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cbecee906c884719" /></Relationships>
</file>

<file path=xl/workbook.xml><?xml version="1.0" encoding="utf-8"?>
<x:workbook xmlns:x="http://schemas.openxmlformats.org/spreadsheetml/2006/main">
  <x:sheets>
    <x:sheet xmlns:r="http://schemas.openxmlformats.org/officeDocument/2006/relationships" name="Dashboard" sheetId="1" r:id="Rfc4ee34f63064496"/>
    <x:sheet xmlns:r="http://schemas.openxmlformats.org/officeDocument/2006/relationships" name="Inputs" sheetId="2" r:id="Rfe5f5a8ebad64def"/>
    <x:sheet xmlns:r="http://schemas.openxmlformats.org/officeDocument/2006/relationships" name="Model_Data" sheetId="3" r:id="R8f544bf5e25e4304"/>
    <x:sheet xmlns:r="http://schemas.openxmlformats.org/officeDocument/2006/relationships" name="Chart_Data" sheetId="4" r:id="Rec76319f46f44f49"/>
    <x:sheet xmlns:r="http://schemas.openxmlformats.org/officeDocument/2006/relationships" name="Scenario_Data" sheetId="5" r:id="Ra5e9cf1fce87424e"/>
    <x:sheet xmlns:r="http://schemas.openxmlformats.org/officeDocument/2006/relationships" name="PRF_Results" sheetId="6" r:id="R6f9c30dc45d94f91"/>
    <x:sheet xmlns:r="http://schemas.openxmlformats.org/officeDocument/2006/relationships" name="Formula_Guide" sheetId="7" r:id="R5cd973453aae42eb"/>
    <x:sheet xmlns:r="http://schemas.openxmlformats.org/officeDocument/2006/relationships" name="Topography_Formulas" sheetId="8" r:id="R6554262f71bb4a92"/>
    <x:sheet xmlns:r="http://schemas.openxmlformats.org/officeDocument/2006/relationships" name="Checks" sheetId="9" r:id="R107ffa138a8b4422"/>
    <x:sheet xmlns:r="http://schemas.openxmlformats.org/officeDocument/2006/relationships" name="Graph_Guide" sheetId="10" r:id="R045669f20d0b415a"/>
    <x:sheet xmlns:r="http://schemas.openxmlformats.org/officeDocument/2006/relationships" name="Dashboard_Live_Data" sheetId="11" r:id="Rbd0df1a7ef254686"/>
    <x:sheet xmlns:r="http://schemas.openxmlformats.org/officeDocument/2006/relationships" name="Native_Chart_Data" sheetId="12" r:id="Red9fc0612cc24955"/>
    <x:sheet xmlns:r="http://schemas.openxmlformats.org/officeDocument/2006/relationships" name="Subsurface_Model" sheetId="13" r:id="Rec7cd88ba9124747"/>
    <x:sheet xmlns:r="http://schemas.openxmlformats.org/officeDocument/2006/relationships" name="Subsurface_Assumptions" sheetId="14" r:id="R26952b11137a40ba"/>
    <x:sheet xmlns:r="http://schemas.openxmlformats.org/officeDocument/2006/relationships" name="Subsurface_Graphs" sheetId="15" r:id="Rf79beaa324f24cab"/>
  </x:sheets>
</x:workbook>
</file>

<file path=xl/sharedStrings.xml><?xml version="1.0" encoding="utf-8"?>
<x:sst xmlns:x="http://schemas.openxmlformats.org/spreadsheetml/2006/main">
  <x:si>
    <x:t xml:space="preserve">Parabolic Motion Radar + Topography Parameter Model</x:t>
  </x:si>
  <x:si>
    <x:t xml:space="preserve">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t>
  </x:si>
  <x:si>
    <x:t xml:space="preserve">Key Output Results</x:t>
  </x:si>
  <x:si>
    <x:t xml:space="preserve">Output</x:t>
  </x:si>
  <x:si>
    <x:t xml:space="preserve">Value</x:t>
  </x:si>
  <x:si>
    <x:t xml:space="preserve">Unit</x:t>
  </x:si>
  <x:si>
    <x:t xml:space="preserve">What it means</x:t>
  </x:si>
  <x:si>
    <x:t xml:space="preserve">Topography toggle</x:t>
  </x:si>
  <x:si>
    <x:t xml:space="preserve">Set Inputs!C27 to TRUE to include terrain, or FALSE to return to a flat surface. Change Inputs!C47 to test a new terrain case.</x:t>
  </x:si>
  <x:si>
    <x:t xml:space="preserve">Flat apparent depth at mid-pass</x:t>
  </x:si>
  <x:si>
    <x:t xml:space="preserve">m</x:t>
  </x:si>
  <x:si>
    <x:t xml:space="preserve">Original flat-surface result.</x:t>
  </x:si>
  <x:si>
    <x:t xml:space="preserve">Topo apparent depth at mid-pass</x:t>
  </x:si>
  <x:si>
    <x:t xml:space="preserve">Apparent depth after terrain height changes the range geometry.</x:t>
  </x:si>
  <x:si>
    <x:t xml:space="preserve">Depth change from topography</x:t>
  </x:si>
  <x:si>
    <x:t xml:space="preserve">Topo apparent depth minus flat apparent depth.</x:t>
  </x:si>
  <x:si>
    <x:t xml:space="preserve">Topo extra two-way delay</x:t>
  </x:si>
  <x:si>
    <x:t xml:space="preserve">us</x:t>
  </x:si>
  <x:si>
    <x:t xml:space="preserve">Two-way delay after topography is included.</x:t>
  </x:si>
  <x:si>
    <x:t xml:space="preserve">Topo VHF interferometric phase</x:t>
  </x:si>
  <x:si>
    <x:t xml:space="preserve">deg</x:t>
  </x:si>
  <x:si>
    <x:t xml:space="preserve">VHF phase after topography changes the look geometry.</x:t>
  </x:si>
  <x:si>
    <x:t xml:space="preserve">Max target terrain height</x:t>
  </x:si>
  <x:si>
    <x:t xml:space="preserve">Highest modeled terrain at the side-offset target path.</x:t>
  </x:si>
  <x:si>
    <x:t xml:space="preserve">Min target terrain height</x:t>
  </x:si>
  <x:si>
    <x:t xml:space="preserve">Lowest modeled terrain at the side-offset target path.</x:t>
  </x:si>
  <x:si>
    <x:t xml:space="preserve">Max absolute topo depth change</x:t>
  </x:si>
  <x:si>
    <x:t xml:space="preserve">Largest magnitude of topography-driven apparent-depth change.</x:t>
  </x:si>
  <x:si>
    <x:t xml:space="preserve">Max topo VHF Doppler magnitude</x:t>
  </x:si>
  <x:si>
    <x:t xml:space="preserve">Hz</x:t>
  </x:si>
  <x:si>
    <x:t xml:space="preserve">Largest VHF Doppler after topography is included.</x:t>
  </x:si>
  <x:si>
    <x:t xml:space="preserve">Simple minimum PRF with topo</x:t>
  </x:si>
  <x:si>
    <x:t xml:space="preserve">Twice max topo VHF Doppler, a simple no-alias floor.</x:t>
  </x:si>
  <x:si>
    <x:t xml:space="preserve">Topo depth uncertainty band</x:t>
  </x:si>
  <x:si>
    <x:t xml:space="preserve">Representative vertical uncertainty converted to apparent-depth uncertainty.</x:t>
  </x:si>
  <x:si>
    <x:t xml:space="preserve">PRF Choices</x:t>
  </x:si>
  <x:si>
    <x:t xml:space="preserve">PRF (Hz)</x:t>
  </x:si>
  <x:si>
    <x:t xml:space="preserve">Pulse interval (ms)</x:t>
  </x:si>
  <x:si>
    <x:t xml:space="preserve">Along-track spacing (m)</x:t>
  </x:si>
  <x:si>
    <x:t xml:space="preserve">Unambiguous range (km)</x:t>
  </x:si>
  <x:si>
    <x:t xml:space="preserve">Pulses in air at z0</x:t>
  </x:si>
  <x:si>
    <x:t xml:space="preserve">Status</x:t>
  </x:si>
  <x:si>
    <x:t xml:space="preserve">How to read this model</x:t>
  </x:si>
  <x:si>
    <x:t xml:space="preserve">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t>
  </x:si>
  <x:si>
    <x:t xml:space="preserve">Paper Pass Scenario Comparison</x:t>
  </x:si>
  <x:si>
    <x:t xml:space="preserve">Scenario</x:t>
  </x:si>
  <x:si>
    <x:t xml:space="preserve">Show</x:t>
  </x:si>
  <x:si>
    <x:t xml:space="preserve">z0 (km)</x:t>
  </x:si>
  <x:si>
    <x:t xml:space="preserve">Length (km)</x:t>
  </x:si>
  <x:si>
    <x:t xml:space="preserve">Edge alt (km)</x:t>
  </x:si>
  <x:si>
    <x:t xml:space="preserve">Mid depth (m)</x:t>
  </x:si>
  <x:si>
    <x:t xml:space="preserve">Max VHF (Hz)</x:t>
  </x:si>
  <x:si>
    <x:t xml:space="preserve">PRF floor (Hz)</x:t>
  </x:si>
  <x:si>
    <x:t xml:space="preserve">Basis</x:t>
  </x:si>
  <x:si>
    <x:t xml:space="preserve">Current editable</x:t>
  </x:si>
  <x:si>
    <x:t xml:space="preserve">800 km below 400</x:t>
  </x:si>
  <x:si>
    <x:t xml:space="preserve">1600 km below 1000</x:t>
  </x:si>
  <x:si>
    <x:t xml:space="preserve">25-1000 km range</x:t>
  </x:si>
  <x:si>
    <x:t xml:space="preserve">Scenario note</x:t>
  </x:si>
  <x:si>
    <x:t xml:space="preserve">Paper numbers are converted into this workbook's simplified parabola so the outcomes can be compared. The paper states altitude ranges and groundtrack requirements, not an exact parabolic spacecraft trajectory.</x:t>
  </x:si>
  <x:si>
    <x:t xml:space="preserve">Quick Graph Guide</x:t>
  </x:si>
  <x:si>
    <x:t xml:space="preserve">Graph</x:t>
  </x:si>
  <x:si>
    <x:t xml:space="preserve">What it is trying to show</x:t>
  </x:si>
  <x:si>
    <x:t xml:space="preserve">How to read the baseline</x:t>
  </x:si>
  <x:si>
    <x:t xml:space="preserve">Apparent depth</x:t>
  </x:si>
  <x:si>
    <x:t xml:space="preserve">Motion and topography change the apparent radar depth relative to the nadir reference.</x:t>
  </x:si>
  <x:si>
    <x:t xml:space="preserve">Grey zero line is a reference, not a plotted terrain/run result.</x:t>
  </x:si>
  <x:si>
    <x:t xml:space="preserve">Surface height</x:t>
  </x:si>
  <x:si>
    <x:t xml:space="preserve">Shows the generated topography used as the reference floor, plus the off-nadir target and nadir terrain heights. The satellite path is curved/parabolic, not flat.</x:t>
  </x:si>
  <x:si>
    <x:t xml:space="preserve">Grey floor now follows the generated topography instead of 0 m; colored lines show target and nadir terrain.</x:t>
  </x:si>
  <x:si>
    <x:t xml:space="preserve">Doppler</x:t>
  </x:si>
  <x:si>
    <x:t xml:space="preserve">Range-rate-driven VHF/HF Doppler, with flat geometry compared against topography-adjusted geometry.</x:t>
  </x:si>
  <x:si>
    <x:t xml:space="preserve">Crossing 0 Hz means the radial motion changes sign near closest approach.</x:t>
  </x:si>
  <x:si>
    <x:t xml:space="preserve">Motion-only / scenarios</x:t>
  </x:si>
  <x:si>
    <x:t xml:space="preserve">The motion-only chart is a radar reading from flat ground. It is not ground height; the curve comes from satellite path and slant-range geometry.</x:t>
  </x:si>
  <x:si>
    <x:t xml:space="preserve">Scenario baselines are grey reference floors; they are intentionally not orange model lines.</x:t>
  </x:si>
  <x:si>
    <x:t xml:space="preserve">Detailed notes</x:t>
  </x:si>
  <x:si>
    <x:t xml:space="preserve">See the Graph_Guide tab for every chart, source range, formula basis, and audit status.</x:t>
  </x:si>
  <x:si>
    <x:t xml:space="preserve">Checks!B4:B23 remains the formula-health checklist.</x:t>
  </x:si>
  <x:si>
    <x:t xml:space="preserve">Parabolic Motion Radar Model - Editable Inputs</x:t>
  </x:si>
  <x:si>
    <x:t xml:space="preserve">Change the yellow cells in column C for the custom model. Use the TRUE/FALSE scenario toggles at the right to overlay paper-derived pass cases on the Dashboard charts.</x:t>
  </x:si>
  <x:si>
    <x:t xml:space="preserve">Parameter</x:t>
  </x:si>
  <x:si>
    <x:t xml:space="preserve">Symbol</x:t>
  </x:si>
  <x:si>
    <x:t xml:space="preserve">Notes</x:t>
  </x:si>
  <x:si>
    <x:t xml:space="preserve">Paper-Derived Pass Scenario Overlays</x:t>
  </x:si>
  <x:si>
    <x:t xml:space="preserve">Closest altitude</x:t>
  </x:si>
  <x:si>
    <x:t xml:space="preserve">z0</x:t>
  </x:si>
  <x:si>
    <x:t xml:space="preserve">km</x:t>
  </x:si>
  <x:si>
    <x:t xml:space="preserve">Altitude at closest approach. Change this to test other flyby heights.</x:t>
  </x:si>
  <x:si>
    <x:t xml:space="preserve">x_min</x:t>
  </x:si>
  <x:si>
    <x:t xml:space="preserve">x_max</x:t>
  </x:si>
  <x:si>
    <x:t xml:space="preserve">x_edge</x:t>
  </x:si>
  <x:si>
    <x:t xml:space="preserve">Delta_z_edge</x:t>
  </x:si>
  <x:si>
    <x:t xml:space="preserve">Edge altitude</x:t>
  </x:si>
  <x:si>
    <x:t xml:space="preserve">Paper basis / meaning</x:t>
  </x:si>
  <x:si>
    <x:t xml:space="preserve">Side/cross-track offset</x:t>
  </x:si>
  <x:si>
    <x:t xml:space="preserve">y</x:t>
  </x:si>
  <x:si>
    <x:t xml:space="preserve">Horizontal offset of the modeled target from nadir.</x:t>
  </x:si>
  <x:si>
    <x:t xml:space="preserve">Current custom inputs</x:t>
  </x:si>
  <x:si>
    <x:t xml:space="preserve">Your editable custom case from the left table. It remains the main model used by the topography dashboard.</x:t>
  </x:si>
  <x:si>
    <x:t xml:space="preserve">Along-track minimum</x:t>
  </x:si>
  <x:si>
    <x:t xml:space="preserve">Left/start side of the modeled pass.</x:t>
  </x:si>
  <x:si>
    <x:t xml:space="preserve">Paper low-altitude 800-km pass</x:t>
  </x:si>
  <x:si>
    <x:t xml:space="preserve">Paper coverage requirement: groundtrack segments at least 800 km long below 400 km for most REASON datasets. This model makes that a parabola.</x:t>
  </x:si>
  <x:si>
    <x:t xml:space="preserve">Along-track maximum</x:t>
  </x:si>
  <x:si>
    <x:t xml:space="preserve">Right/end side of the modeled pass.</x:t>
  </x:si>
  <x:si>
    <x:t xml:space="preserve">Paper ice-ocean 1600-km pass</x:t>
  </x:si>
  <x:si>
    <x:t xml:space="preserve">Paper ice-ocean interface requirement: at least 1600 km below 1000 km. This model makes that a parabola.</x:t>
  </x:si>
  <x:si>
    <x:t xml:space="preserve">Altitude rise at edge</x:t>
  </x:si>
  <x:si>
    <x:t xml:space="preserve">How much altitude rises at +/- x_edge.</x:t>
  </x:si>
  <x:si>
    <x:t xml:space="preserve">Paper operating 25-to-1000-km pass</x:t>
  </x:si>
  <x:si>
    <x:t xml:space="preserve">Paper instrument table lists operational altitudes of 25 km to 1000 km. This shows the lower-bound closest-approach case.</x:t>
  </x:si>
  <x:si>
    <x:t xml:space="preserve">Parabola edge location</x:t>
  </x:si>
  <x:si>
    <x:t xml:space="preserve">Controls curvature together with Delta_z_edge.</x:t>
  </x:si>
  <x:si>
    <x:t xml:space="preserve">Along-track speed</x:t>
  </x:si>
  <x:si>
    <x:t xml:space="preserve">v</x:t>
  </x:si>
  <x:si>
    <x:t xml:space="preserve">km/s</x:t>
  </x:si>
  <x:si>
    <x:t xml:space="preserve">Used for range rate, Doppler, and pulse spacing.</x:t>
  </x:si>
  <x:si>
    <x:t xml:space="preserve">The paper gives altitude ranges and required groundtrack lengths, not exact parabolic equations. These rows convert those paper values into the same simplified parabola equation so outcomes can be compared on one dashboard.</x:t>
  </x:si>
  <x:si>
    <x:t xml:space="preserve">Ice refractive index</x:t>
  </x:si>
  <x:si>
    <x:t xml:space="preserve">n</x:t>
  </x:si>
  <x:si>
    <x:t xml:space="preserve">Used to convert extra slant path into apparent depth.</x:t>
  </x:si>
  <x:si>
    <x:t xml:space="preserve">VHF wavelength</x:t>
  </x:si>
  <x:si>
    <x:t xml:space="preserve">lambda_vhf</x:t>
  </x:si>
  <x:si>
    <x:t xml:space="preserve">REASON-like VHF wavelength.</x:t>
  </x:si>
  <x:si>
    <x:t xml:space="preserve">HF wavelength</x:t>
  </x:si>
  <x:si>
    <x:t xml:space="preserve">lambda_hf</x:t>
  </x:si>
  <x:si>
    <x:t xml:space="preserve">REASON-like HF wavelength.</x:t>
  </x:si>
  <x:si>
    <x:t xml:space="preserve">Interferometer baseline</x:t>
  </x:si>
  <x:si>
    <x:t xml:space="preserve">b</x:t>
  </x:si>
  <x:si>
    <x:t xml:space="preserve">Used for VHF phase estimate.</x:t>
  </x:si>
  <x:si>
    <x:t xml:space="preserve">VHF range resolution</x:t>
  </x:si>
  <x:si>
    <x:t xml:space="preserve">res_vhf</x:t>
  </x:si>
  <x:si>
    <x:t xml:space="preserve">Used for VHF apparent-depth uncertainty band.</x:t>
  </x:si>
  <x:si>
    <x:t xml:space="preserve">HF range resolution</x:t>
  </x:si>
  <x:si>
    <x:t xml:space="preserve">res_hf</x:t>
  </x:si>
  <x:si>
    <x:t xml:space="preserve">Used for HF apparent-depth uncertainty band.</x:t>
  </x:si>
  <x:si>
    <x:t xml:space="preserve">PRF choice 1</x:t>
  </x:si>
  <x:si>
    <x:t xml:space="preserve">PRF_1</x:t>
  </x:si>
  <x:si>
    <x:t xml:space="preserve">Example low PRF.</x:t>
  </x:si>
  <x:si>
    <x:t xml:space="preserve">PRF choice 2</x:t>
  </x:si>
  <x:si>
    <x:t xml:space="preserve">PRF_2</x:t>
  </x:si>
  <x:si>
    <x:t xml:space="preserve">Example medium PRF.</x:t>
  </x:si>
  <x:si>
    <x:t xml:space="preserve">PRF choice 3</x:t>
  </x:si>
  <x:si>
    <x:t xml:space="preserve">PRF_3</x:t>
  </x:si>
  <x:si>
    <x:t xml:space="preserve">Example high PRF.</x:t>
  </x:si>
  <x:si>
    <x:t xml:space="preserve">Speed of light</x:t>
  </x:si>
  <x:si>
    <x:t xml:space="preserve">c</x:t>
  </x:si>
  <x:si>
    <x:t xml:space="preserve">m/s</x:t>
  </x:si>
  <x:si>
    <x:t xml:space="preserve">Physical constant used for delay and timing.</x:t>
  </x:si>
  <x:si>
    <x:t xml:space="preserve">Model note</x:t>
  </x:si>
  <x:si>
    <x:t xml:space="preserve">The parabola is a simplified local path, not a real mission trajectory. Use it to see how geometry changes radar outputs.</x:t>
  </x:si>
  <x:si>
    <x:t xml:space="preserve">Representative Europa Topography Controls</x:t>
  </x:si>
  <x:si>
    <x:t xml:space="preserve">Topography enabled</x:t>
  </x:si>
  <x:si>
    <x:t xml:space="preserve">topography_on</x:t>
  </x:si>
  <x:si>
    <x:t xml:space="preserve">TRUE</x:t>
  </x:si>
  <x:si>
    <x:t xml:space="preserve">Dropdown-style toggle. TRUE adds terrain height to the radar geometry; FALSE returns to flat surface.</x:t>
  </x:si>
  <x:si>
    <x:t xml:space="preserve">Ridge height</x:t>
  </x:si>
  <x:si>
    <x:t xml:space="preserve">A_ridge</x:t>
  </x:si>
  <x:si>
    <x:t xml:space="preserve">Positive height for a representative double-ridge / raised band.</x:t>
  </x:si>
  <x:si>
    <x:t xml:space="preserve">Ridge center x</x:t>
  </x:si>
  <x:si>
    <x:t xml:space="preserve">ridge_x0</x:t>
  </x:si>
  <x:si>
    <x:t xml:space="preserve">Along-track center of the ridge.</x:t>
  </x:si>
  <x:si>
    <x:t xml:space="preserve">Ridge center y</x:t>
  </x:si>
  <x:si>
    <x:t xml:space="preserve">ridge_y0</x:t>
  </x:si>
  <x:si>
    <x:t xml:space="preserve">Cross-track center of the ridge.</x:t>
  </x:si>
  <x:si>
    <x:t xml:space="preserve">Ridge length sigma</x:t>
  </x:si>
  <x:si>
    <x:t xml:space="preserve">ridge_sigma_x</x:t>
  </x:si>
  <x:si>
    <x:t xml:space="preserve">Long direction of the ridge feature.</x:t>
  </x:si>
  <x:si>
    <x:t xml:space="preserve">Ridge width sigma</x:t>
  </x:si>
  <x:si>
    <x:t xml:space="preserve">ridge_sigma_y</x:t>
  </x:si>
  <x:si>
    <x:t xml:space="preserve">Narrow cross-track width of the ridge.</x:t>
  </x:si>
  <x:si>
    <x:t xml:space="preserve">Crater/depression depth</x:t>
  </x:si>
  <x:si>
    <x:t xml:space="preserve">D_crater</x:t>
  </x:si>
  <x:si>
    <x:t xml:space="preserve">Positive number becomes a negative depression in the surface model.</x:t>
  </x:si>
  <x:si>
    <x:t xml:space="preserve">Crater center x</x:t>
  </x:si>
  <x:si>
    <x:t xml:space="preserve">crater_x0</x:t>
  </x:si>
  <x:si>
    <x:t xml:space="preserve">Along-track center of depression.</x:t>
  </x:si>
  <x:si>
    <x:t xml:space="preserve">Crater center y</x:t>
  </x:si>
  <x:si>
    <x:t xml:space="preserve">crater_y0</x:t>
  </x:si>
  <x:si>
    <x:t xml:space="preserve">Cross-track center of depression.</x:t>
  </x:si>
  <x:si>
    <x:t xml:space="preserve">Crater width sigma</x:t>
  </x:si>
  <x:si>
    <x:t xml:space="preserve">crater_sigma</x:t>
  </x:si>
  <x:si>
    <x:t xml:space="preserve">Controls how broad the depression is.</x:t>
  </x:si>
  <x:si>
    <x:t xml:space="preserve">Chaos amplitude</x:t>
  </x:si>
  <x:si>
    <x:t xml:space="preserve">A_chaos</x:t>
  </x:si>
  <x:si>
    <x:t xml:space="preserve">Mixed sinusoidal terrain term for irregular chaos-like height variation.</x:t>
  </x:si>
  <x:si>
    <x:t xml:space="preserve">Fine roughness amplitude</x:t>
  </x:si>
  <x:si>
    <x:t xml:space="preserve">A_rough</x:t>
  </x:si>
  <x:si>
    <x:t xml:space="preserve">Smaller surface roughness term.</x:t>
  </x:si>
  <x:si>
    <x:t xml:space="preserve">Roughness wavelength x</x:t>
  </x:si>
  <x:si>
    <x:t xml:space="preserve">Lx</x:t>
  </x:si>
  <x:si>
    <x:t xml:space="preserve">Along-track roughness wavelength.</x:t>
  </x:si>
  <x:si>
    <x:t xml:space="preserve">Roughness wavelength y</x:t>
  </x:si>
  <x:si>
    <x:t xml:space="preserve">Ly</x:t>
  </x:si>
  <x:si>
    <x:t xml:space="preserve">Cross-track roughness wavelength.</x:t>
  </x:si>
  <x:si>
    <x:t xml:space="preserve">Trough depth</x:t>
  </x:si>
  <x:si>
    <x:t xml:space="preserve">D_trough</x:t>
  </x:si>
  <x:si>
    <x:t xml:space="preserve">Negative linear feature, like a fracture/trough.</x:t>
  </x:si>
  <x:si>
    <x:t xml:space="preserve">Trough center x</x:t>
  </x:si>
  <x:si>
    <x:t xml:space="preserve">trough_x0</x:t>
  </x:si>
  <x:si>
    <x:t xml:space="preserve">Along-track center of trough.</x:t>
  </x:si>
  <x:si>
    <x:t xml:space="preserve">Trough center y</x:t>
  </x:si>
  <x:si>
    <x:t xml:space="preserve">trough_y0</x:t>
  </x:si>
  <x:si>
    <x:t xml:space="preserve">Cross-track center of trough.</x:t>
  </x:si>
  <x:si>
    <x:t xml:space="preserve">Trough width sigma</x:t>
  </x:si>
  <x:si>
    <x:t xml:space="preserve">trough_sigma_y</x:t>
  </x:si>
  <x:si>
    <x:t xml:space="preserve">Narrow width of trough.</x:t>
  </x:si>
  <x:si>
    <x:t xml:space="preserve">Trough length sigma</x:t>
  </x:si>
  <x:si>
    <x:t xml:space="preserve">trough_sigma_x</x:t>
  </x:si>
  <x:si>
    <x:t xml:space="preserve">Long direction of trough.</x:t>
  </x:si>
  <x:si>
    <x:t xml:space="preserve">Terrain vertical uncertainty</x:t>
  </x:si>
  <x:si>
    <x:t xml:space="preserve">sigma_h</x:t>
  </x:si>
  <x:si>
    <x:t xml:space="preserve">Representative uncertainty band for the topographic height model.</x:t>
  </x:si>
  <x:si>
    <x:t xml:space="preserve">Terrain seed</x:t>
  </x:si>
  <x:si>
    <x:t xml:space="preserve">terrain_seed</x:t>
  </x:si>
  <x:si>
    <x:t xml:space="preserve">Change this number to generate a different repeatable random-looking surface. Same seed gives the same graphs.</x:t>
  </x:si>
  <x:si>
    <x:t xml:space="preserve">Seeded random amplitude</x:t>
  </x:si>
  <x:si>
    <x:t xml:space="preserve">A_seeded</x:t>
  </x:si>
  <x:si>
    <x:t xml:space="preserve">Strength of the generated terrain added on top of the DEM-style surface.</x:t>
  </x:si>
  <x:si>
    <x:t xml:space="preserve">Seeded random scale x</x:t>
  </x:si>
  <x:si>
    <x:t xml:space="preserve">L_seed_x</x:t>
  </x:si>
  <x:si>
    <x:t xml:space="preserve">Along-track scale for seeded terrain waves.</x:t>
  </x:si>
  <x:si>
    <x:t xml:space="preserve">Seeded random scale y</x:t>
  </x:si>
  <x:si>
    <x:t xml:space="preserve">L_seed_y</x:t>
  </x:si>
  <x:si>
    <x:t xml:space="preserve">Cross-track scale for seeded terrain waves.</x:t>
  </x:si>
  <x:si>
    <x:t xml:space="preserve">Existing DEM-style scale</x:t>
  </x:si>
  <x:si>
    <x:t xml:space="preserve">S_dem</x:t>
  </x:si>
  <x:si>
    <x:t xml:space="preserve">Multiplier for the project synthetic DEM pattern from reason_common.py.</x:t>
  </x:si>
  <x:si>
    <x:t xml:space="preserve">Europa radius</x:t>
  </x:si>
  <x:si>
    <x:t xml:space="preserve">R_e</x:t>
  </x:si>
  <x:si>
    <x:t xml:space="preserve">Europa mean radius used for spherical slant-range geometry.</x:t>
  </x:si>
  <x:si>
    <x:t xml:space="preserve">Topography note</x:t>
  </x:si>
  <x:si>
    <x:t xml:space="preserve">This is a detailed representative terrain model, not a real imported Europa DEM. It now combines the local project synthetic DEM shape with a seed-controlled random terrain term so you can test multiple possible surfaces.</x:t>
  </x:si>
  <x:si>
    <x:t xml:space="preserve">x_km</x:t>
  </x:si>
  <x:si>
    <x:t xml:space="preserve">z_km</x:t>
  </x:si>
  <x:si>
    <x:t xml:space="preserve">R_nadir_km</x:t>
  </x:si>
  <x:si>
    <x:t xml:space="preserve">R_off_km</x:t>
  </x:si>
  <x:si>
    <x:t xml:space="preserve">Delta_R_m</x:t>
  </x:si>
  <x:si>
    <x:t xml:space="preserve">apparent_depth_m</x:t>
  </x:si>
  <x:si>
    <x:t xml:space="preserve">extra_delay_us</x:t>
  </x:si>
  <x:si>
    <x:t xml:space="preserve">horizontal_offset_km</x:t>
  </x:si>
  <x:si>
    <x:t xml:space="preserve">look_angle_deg</x:t>
  </x:si>
  <x:si>
    <x:t xml:space="preserve">vhf_phase_deg</x:t>
  </x:si>
  <x:si>
    <x:t xml:space="preserve">relative_power</x:t>
  </x:si>
  <x:si>
    <x:t xml:space="preserve">power_dB</x:t>
  </x:si>
  <x:si>
    <x:t xml:space="preserve">dz_dx</x:t>
  </x:si>
  <x:si>
    <x:t xml:space="preserve">dz_dt_km_s</x:t>
  </x:si>
  <x:si>
    <x:t xml:space="preserve">range_rate_m_s</x:t>
  </x:si>
  <x:si>
    <x:t xml:space="preserve">vhf_doppler_hz</x:t>
  </x:si>
  <x:si>
    <x:t xml:space="preserve">hf_doppler_hz</x:t>
  </x:si>
  <x:si>
    <x:t xml:space="preserve">vhf_band_low_m</x:t>
  </x:si>
  <x:si>
    <x:t xml:space="preserve">vhf_band_high_m</x:t>
  </x:si>
  <x:si>
    <x:t xml:space="preserve">hf_band_low_m</x:t>
  </x:si>
  <x:si>
    <x:t xml:space="preserve">hf_band_high_m</x:t>
  </x:si>
  <x:si>
    <x:t xml:space="preserve">abs_vhf_doppler_hz</x:t>
  </x:si>
  <x:si>
    <x:t xml:space="preserve">abs_hf_doppler_hz</x:t>
  </x:si>
  <x:si>
    <x:t xml:space="preserve">h_nadir_m</x:t>
  </x:si>
  <x:si>
    <x:t xml:space="preserve">h_target_m</x:t>
  </x:si>
  <x:si>
    <x:t xml:space="preserve">R_nadir_topo_km</x:t>
  </x:si>
  <x:si>
    <x:t xml:space="preserve">R_off_topo_km</x:t>
  </x:si>
  <x:si>
    <x:t xml:space="preserve">Delta_R_topo_m</x:t>
  </x:si>
  <x:si>
    <x:t xml:space="preserve">apparent_depth_topo_m</x:t>
  </x:si>
  <x:si>
    <x:t xml:space="preserve">extra_delay_topo_us</x:t>
  </x:si>
  <x:si>
    <x:t xml:space="preserve">look_angle_topo_deg</x:t>
  </x:si>
  <x:si>
    <x:t xml:space="preserve">vhf_phase_topo_deg</x:t>
  </x:si>
  <x:si>
    <x:t xml:space="preserve">relative_power_topo</x:t>
  </x:si>
  <x:si>
    <x:t xml:space="preserve">power_dB_topo</x:t>
  </x:si>
  <x:si>
    <x:t xml:space="preserve">depth_change_topo_minus_flat_m</x:t>
  </x:si>
  <x:si>
    <x:t xml:space="preserve">delay_change_topo_minus_flat_us</x:t>
  </x:si>
  <x:si>
    <x:t xml:space="preserve">target_minus_nadir_height_m</x:t>
  </x:si>
  <x:si>
    <x:t xml:space="preserve">range_rate_topo_m_s</x:t>
  </x:si>
  <x:si>
    <x:t xml:space="preserve">vhf_doppler_topo_hz</x:t>
  </x:si>
  <x:si>
    <x:t xml:space="preserve">hf_doppler_topo_hz</x:t>
  </x:si>
  <x:si>
    <x:t xml:space="preserve">abs_vhf_doppler_topo_hz</x:t>
  </x:si>
  <x:si>
    <x:t xml:space="preserve">abs_hf_doppler_topo_hz</x:t>
  </x:si>
  <x:si>
    <x:t xml:space="preserve">topo_depth_uncertainty_m</x:t>
  </x:si>
  <x:si>
    <x:t xml:space="preserve">topo_depth_low_m</x:t>
  </x:si>
  <x:si>
    <x:t xml:space="preserve">topo_depth_high_m</x:t>
  </x:si>
  <x:si>
    <x:t xml:space="preserve">x (km)</x:t>
  </x:si>
  <x:si>
    <x:t xml:space="preserve">Zero-depth nadir reference (0 m)</x:t>
  </x:si>
  <x:si>
    <x:t xml:space="preserve">Constant-altitude off-nadir reading (m)</x:t>
  </x:si>
  <x:si>
    <x:t xml:space="preserve">Parabolic flat-surface reading (m)</x:t>
  </x:si>
  <x:si>
    <x:t xml:space="preserve">Parabolic topography-adjusted reading (m)</x:t>
  </x:si>
  <x:si>
    <x:t xml:space="preserve">Reference floor (generated topography, m)</x:t>
  </x:si>
  <x:si>
    <x:t xml:space="preserve">Off-nadir target topography height (m)</x:t>
  </x:si>
  <x:si>
    <x:t xml:space="preserve">Nadir topography height (m)</x:t>
  </x:si>
  <x:si>
    <x:t xml:space="preserve">Off-nadir target surface height (m)</x:t>
  </x:si>
  <x:si>
    <x:t xml:space="preserve">Nadir surface height (m)</x:t>
  </x:si>
  <x:si>
    <x:t xml:space="preserve">Off-nadir satellite apparent surface height equivalent (m)</x:t>
  </x:si>
  <x:si>
    <x:t xml:space="preserve">Flat-geometry VHF Doppler (Hz)</x:t>
  </x:si>
  <x:si>
    <x:t xml:space="preserve">Topography-adjusted VHF Doppler (Hz)</x:t>
  </x:si>
  <x:si>
    <x:t xml:space="preserve">Flat-geometry HF Doppler (Hz)</x:t>
  </x:si>
  <x:si>
    <x:t xml:space="preserve">Topography-adjusted HF Doppler (Hz)</x:t>
  </x:si>
  <x:si>
    <x:t xml:space="preserve">Altitude rise above z0 (km)</x:t>
  </x:si>
  <x:si>
    <x:t xml:space="preserve">Flat ground + constant satellite altitude reading (m)</x:t>
  </x:si>
  <x:si>
    <x:t xml:space="preserve">Flat ground + parabolic satellite path reading (m)</x:t>
  </x:si>
  <x:si>
    <x:t xml:space="preserve">pass fraction</x:t>
  </x:si>
  <x:si>
    <x:t xml:space="preserve">Current custom inputs altitude (km)</x:t>
  </x:si>
  <x:si>
    <x:t xml:space="preserve">Paper low-altitude 800-km pass altitude (km)</x:t>
  </x:si>
  <x:si>
    <x:t xml:space="preserve">Paper ice-ocean 1600-km pass altitude (km)</x:t>
  </x:si>
  <x:si>
    <x:t xml:space="preserve">Paper operating 25-to-1000-km pass altitude (km)</x:t>
  </x:si>
  <x:si>
    <x:t xml:space="preserve">Current custom inputs apparent depth (m)</x:t>
  </x:si>
  <x:si>
    <x:t xml:space="preserve">Paper low-altitude 800-km pass apparent depth (m)</x:t>
  </x:si>
  <x:si>
    <x:t xml:space="preserve">Paper ice-ocean 1600-km pass apparent depth (m)</x:t>
  </x:si>
  <x:si>
    <x:t xml:space="preserve">Paper operating 25-to-1000-km pass apparent depth (m)</x:t>
  </x:si>
  <x:si>
    <x:t xml:space="preserve">Current custom inputs VHF Doppler (Hz)</x:t>
  </x:si>
  <x:si>
    <x:t xml:space="preserve">Paper low-altitude 800-km pass VHF Doppler (Hz)</x:t>
  </x:si>
  <x:si>
    <x:t xml:space="preserve">Paper ice-ocean 1600-km pass VHF Doppler (Hz)</x:t>
  </x:si>
  <x:si>
    <x:t xml:space="preserve">Paper operating 25-to-1000-km pass VHF Doppler (Hz)</x:t>
  </x:si>
  <x:si>
    <x:t xml:space="preserve">Current custom inputs x (km)</x:t>
  </x:si>
  <x:si>
    <x:t xml:space="preserve">Paper low-altitude 800-km pass x (km)</x:t>
  </x:si>
  <x:si>
    <x:t xml:space="preserve">Paper ice-ocean 1600-km pass x (km)</x:t>
  </x:si>
  <x:si>
    <x:t xml:space="preserve">Paper operating 25-to-1000-km pass x (km)</x:t>
  </x:si>
  <x:si>
    <x:t xml:space="preserve">Current custom inputs raw altitude (km)</x:t>
  </x:si>
  <x:si>
    <x:t xml:space="preserve">Paper low-altitude 800-km pass raw altitude (km)</x:t>
  </x:si>
  <x:si>
    <x:t xml:space="preserve">Paper ice-ocean 1600-km pass raw altitude (km)</x:t>
  </x:si>
  <x:si>
    <x:t xml:space="preserve">Paper operating 25-to-1000-km pass raw altitude (km)</x:t>
  </x:si>
  <x:si>
    <x:t xml:space="preserve">Current custom inputs raw apparent depth (m)</x:t>
  </x:si>
  <x:si>
    <x:t xml:space="preserve">Paper low-altitude 800-km pass raw apparent depth (m)</x:t>
  </x:si>
  <x:si>
    <x:t xml:space="preserve">Paper ice-ocean 1600-km pass raw apparent depth (m)</x:t>
  </x:si>
  <x:si>
    <x:t xml:space="preserve">Paper operating 25-to-1000-km pass raw apparent depth (m)</x:t>
  </x:si>
  <x:si>
    <x:t xml:space="preserve">Current custom inputs raw VHF Doppler (Hz)</x:t>
  </x:si>
  <x:si>
    <x:t xml:space="preserve">Paper low-altitude 800-km pass raw VHF Doppler (Hz)</x:t>
  </x:si>
  <x:si>
    <x:t xml:space="preserve">Paper ice-ocean 1600-km pass raw VHF Doppler (Hz)</x:t>
  </x:si>
  <x:si>
    <x:t xml:space="preserve">Paper operating 25-to-1000-km pass raw VHF Doppler (Hz)</x:t>
  </x:si>
  <x:si>
    <x:t xml:space="preserve">Reference floor (0 m, not a run)</x:t>
  </x:si>
  <x:si>
    <x:t xml:space="preserve">Current custom inputs off-nadir surface (m)</x:t>
  </x:si>
  <x:si>
    <x:t xml:space="preserve">Paper low-altitude 800-km pass off-nadir surface (m)</x:t>
  </x:si>
  <x:si>
    <x:t xml:space="preserve">Paper ice-ocean 1600-km pass off-nadir surface (m)</x:t>
  </x:si>
  <x:si>
    <x:t xml:space="preserve">Paper operating 25-to-1000-km pass off-nadir surface (m)</x:t>
  </x:si>
  <x:si>
    <x:t xml:space="preserve">Reference surface floor (0 km, not a run)</x:t>
  </x:si>
  <x:si>
    <x:t xml:space="preserve">Zero-depth reference (0 m, not a run)</x:t>
  </x:si>
  <x:si>
    <x:t xml:space="preserve">PRF and Pulse Timing Results</x:t>
  </x:si>
  <x:si>
    <x:t xml:space="preserve">Doppler sampling status</x:t>
  </x:si>
  <x:si>
    <x:t xml:space="preserve">Formula Guide</x:t>
  </x:si>
  <x:si>
    <x:t xml:space="preserve">Formula</x:t>
  </x:si>
  <x:si>
    <x:t xml:space="preserve">Meaning</x:t>
  </x:si>
  <x:si>
    <x:t xml:space="preserve">Inputs used</x:t>
  </x:si>
  <x:si>
    <x:t xml:space="preserve">Output produced</x:t>
  </x:si>
  <x:si>
    <x:t xml:space="preserve">z(x) = z0 + Delta_z_edge*(x/x_edge)^2</x:t>
  </x:si>
  <x:si>
    <x:t xml:space="preserve">Parabolic altitude path.</x:t>
  </x:si>
  <x:si>
    <x:t xml:space="preserve">z0, Delta_z_edge, x, x_edge</x:t>
  </x:si>
  <x:si>
    <x:t xml:space="preserve">altitude z</x:t>
  </x:si>
  <x:si>
    <x:t xml:space="preserve">Paper pass scenario = paper altitude/length values inserted into z(x)</x:t>
  </x:si>
  <x:si>
    <x:t xml:space="preserve">The paper gives altitude ranges and groundtrack lengths; this workbook converts them into comparable parabolic cases.</x:t>
  </x:si>
  <x:si>
    <x:t xml:space="preserve">Inputs F6:N9</x:t>
  </x:si>
  <x:si>
    <x:t xml:space="preserve">scenario overlays</x:t>
  </x:si>
  <x:si>
    <x:t xml:space="preserve">scenario_show = TRUE/FALSE</x:t>
  </x:si>
  <x:si>
    <x:t xml:space="preserve">Controls whether a scenario line appears in the paper-pass charts. The summary table still calculates all scenarios.</x:t>
  </x:si>
  <x:si>
    <x:t xml:space="preserve">Inputs F6:F9</x:t>
  </x:si>
  <x:si>
    <x:t xml:space="preserve">visible chart series</x:t>
  </x:si>
  <x:si>
    <x:t xml:space="preserve">theta = sqrt(x^2 + y^2) / R_e</x:t>
  </x:si>
  <x:si>
    <x:t xml:space="preserve">Angular surface separation on Europa.</x:t>
  </x:si>
  <x:si>
    <x:t xml:space="preserve">x, y, Europa radius</x:t>
  </x:si>
  <x:si>
    <x:t xml:space="preserve">central angle</x:t>
  </x:si>
  <x:si>
    <x:t xml:space="preserve">R_off = sqrt((R_e+z)^2 + R_e^2 - 2*(R_e+z)*R_e*cos(theta))</x:t>
  </x:si>
  <x:si>
    <x:t xml:space="preserve">Curvature-corrected slant range from spacecraft to flat surface target.</x:t>
  </x:si>
  <x:si>
    <x:t xml:space="preserve">x, y, z, R_e</x:t>
  </x:si>
  <x:si>
    <x:t xml:space="preserve">off-nadir range</x:t>
  </x:si>
  <x:si>
    <x:t xml:space="preserve">R_nadir = z</x:t>
  </x:si>
  <x:si>
    <x:t xml:space="preserve">Range to target directly below platform.</x:t>
  </x:si>
  <x:si>
    <x:t xml:space="preserve">z</x:t>
  </x:si>
  <x:si>
    <x:t xml:space="preserve">nadir range</x:t>
  </x:si>
  <x:si>
    <x:t xml:space="preserve">Delta_R = R_off - R_nadir</x:t>
  </x:si>
  <x:si>
    <x:t xml:space="preserve">Extra one-way path from side offset.</x:t>
  </x:si>
  <x:si>
    <x:t xml:space="preserve">R_off, R_nadir</x:t>
  </x:si>
  <x:si>
    <x:t xml:space="preserve">extra range</x:t>
  </x:si>
  <x:si>
    <x:t xml:space="preserve">d_app = Delta_R / n</x:t>
  </x:si>
  <x:si>
    <x:t xml:space="preserve">Maps extra range onto apparent in-ice depth.</x:t>
  </x:si>
  <x:si>
    <x:t xml:space="preserve">Delta_R, n</x:t>
  </x:si>
  <x:si>
    <x:t xml:space="preserve">apparent depth</x:t>
  </x:si>
  <x:si>
    <x:t xml:space="preserve">Delta_t = 2*Delta_R/c</x:t>
  </x:si>
  <x:si>
    <x:t xml:space="preserve">Two-way extra echo delay.</x:t>
  </x:si>
  <x:si>
    <x:t xml:space="preserve">Delta_R, c</x:t>
  </x:si>
  <x:si>
    <x:t xml:space="preserve">extra delay</x:t>
  </x:si>
  <x:si>
    <x:t xml:space="preserve">theta = atan(horizontal/z)</x:t>
  </x:si>
  <x:si>
    <x:t xml:space="preserve">Look angle away from nadir.</x:t>
  </x:si>
  <x:si>
    <x:t xml:space="preserve">x, y, z</x:t>
  </x:si>
  <x:si>
    <x:t xml:space="preserve">look angle</x:t>
  </x:si>
  <x:si>
    <x:t xml:space="preserve">phi = (2*pi/lambda)*b*sin(theta)</x:t>
  </x:si>
  <x:si>
    <x:t xml:space="preserve">Interferometric phase for VHF baseline.</x:t>
  </x:si>
  <x:si>
    <x:t xml:space="preserve">lambda, b, theta</x:t>
  </x:si>
  <x:si>
    <x:t xml:space="preserve">phase</x:t>
  </x:si>
  <x:si>
    <x:t xml:space="preserve">P_rel = (R_nadir/R_off)^4</x:t>
  </x:si>
  <x:si>
    <x:t xml:space="preserve">Simple geometry-only two-way range-power ratio.</x:t>
  </x:si>
  <x:si>
    <x:t xml:space="preserve">R_nadir, R_off</x:t>
  </x:si>
  <x:si>
    <x:t xml:space="preserve">relative power</x:t>
  </x:si>
  <x:si>
    <x:t xml:space="preserve">dz/dx = 2*a*x</x:t>
  </x:si>
  <x:si>
    <x:t xml:space="preserve">Slope of parabolic altitude path.</x:t>
  </x:si>
  <x:si>
    <x:t xml:space="preserve">a, x</x:t>
  </x:si>
  <x:si>
    <x:t xml:space="preserve">vertical slope</x:t>
  </x:si>
  <x:si>
    <x:t xml:space="preserve">dz/dt = dz/dx * v</x:t>
  </x:si>
  <x:si>
    <x:t xml:space="preserve">Vertical speed caused by moving along the parabola.</x:t>
  </x:si>
  <x:si>
    <x:t xml:space="preserve">dz/dx, v</x:t>
  </x:si>
  <x:si>
    <x:t xml:space="preserve">vertical speed</x:t>
  </x:si>
  <x:si>
    <x:t xml:space="preserve">dR/dt = (x*v + z*dz/dt)/R</x:t>
  </x:si>
  <x:si>
    <x:t xml:space="preserve">Range rate from chain rule.</x:t>
  </x:si>
  <x:si>
    <x:t xml:space="preserve">x, v, z, dz/dt, R</x:t>
  </x:si>
  <x:si>
    <x:t xml:space="preserve">range rate</x:t>
  </x:si>
  <x:si>
    <x:t xml:space="preserve">f_D = -2*(dR/dt)/lambda</x:t>
  </x:si>
  <x:si>
    <x:t xml:space="preserve">Two-way Doppler shift.</x:t>
  </x:si>
  <x:si>
    <x:t xml:space="preserve">range rate, lambda</x:t>
  </x:si>
  <x:si>
    <x:t xml:space="preserve">PRF_min = 2*max(abs(f_D))</x:t>
  </x:si>
  <x:si>
    <x:t xml:space="preserve">Simple Doppler sampling floor.</x:t>
  </x:si>
  <x:si>
    <x:t xml:space="preserve">minimum PRF</x:t>
  </x:si>
  <x:si>
    <x:t xml:space="preserve">h_project = S_dem*(ridge + scallop + chaos + along_bulge)</x:t>
  </x:si>
  <x:si>
    <x:t xml:space="preserve">Project synthetic DEM-style terrain from reason_common.py, rewritten in Excel formulas.</x:t>
  </x:si>
  <x:si>
    <x:t xml:space="preserve">S_dem, x, y</x:t>
  </x:si>
  <x:si>
    <x:t xml:space="preserve">baseline representative surface</x:t>
  </x:si>
  <x:si>
    <x:t xml:space="preserve">h_seeded = A_seeded*(smooth waves + deterministic hash)</x:t>
  </x:si>
  <x:si>
    <x:t xml:space="preserve">Seed-controlled random-looking terrain. Same seed repeats the same surface; changing the seed changes the surface.</x:t>
  </x:si>
  <x:si>
    <x:t xml:space="preserve">terrain_seed, A_seeded, L_seed_x, L_seed_y</x:t>
  </x:si>
  <x:si>
    <x:t xml:space="preserve">dynamic terrain variation</x:t>
  </x:si>
  <x:si>
    <x:t xml:space="preserve">h_total = h_project + h_ridge + h_crater + h_chaos + h_rough + h_trough + h_seeded</x:t>
  </x:si>
  <x:si>
    <x:t xml:space="preserve">Representative Europa topography model.</x:t>
  </x:si>
  <x:si>
    <x:t xml:space="preserve">topography controls and seed controls</x:t>
  </x:si>
  <x:si>
    <x:t xml:space="preserve">surface height</x:t>
  </x:si>
  <x:si>
    <x:t xml:space="preserve">h_ridge = A*exp(-(x-x0)^2/(2*sx^2))*exp(-(y-y0)^2/(2*sy^2))</x:t>
  </x:si>
  <x:si>
    <x:t xml:space="preserve">Raised ridge / band feature.</x:t>
  </x:si>
  <x:si>
    <x:t xml:space="preserve">ridge height, center, length, width</x:t>
  </x:si>
  <x:si>
    <x:t xml:space="preserve">ridge height</x:t>
  </x:si>
  <x:si>
    <x:t xml:space="preserve">h_crater = -D*exp(-((x-x0)^2+(y-y0)^2)/(2*sigma^2))</x:t>
  </x:si>
  <x:si>
    <x:t xml:space="preserve">Depression or crater-like low area.</x:t>
  </x:si>
  <x:si>
    <x:t xml:space="preserve">crater depth, center, width</x:t>
  </x:si>
  <x:si>
    <x:t xml:space="preserve">depression height</x:t>
  </x:si>
  <x:si>
    <x:t xml:space="preserve">h_rough = A*sin(2*pi*x/Lx)*sin(2*pi*y/Ly)</x:t>
  </x:si>
  <x:si>
    <x:t xml:space="preserve">Fine roughness variation.</x:t>
  </x:si>
  <x:si>
    <x:t xml:space="preserve">roughness amplitude and wavelength</x:t>
  </x:si>
  <x:si>
    <x:t xml:space="preserve">roughness height</x:t>
  </x:si>
  <x:si>
    <x:t xml:space="preserve">R_off_topo = sqrt((R_e+z)^2 + (R_e+h_target/1000)^2 - 2*(R_e+z)*(R_e+h_target/1000)*cos(theta))</x:t>
  </x:si>
  <x:si>
    <x:t xml:space="preserve">Curvature-corrected slant range to the topographic target.</x:t>
  </x:si>
  <x:si>
    <x:t xml:space="preserve">x, y, z, h_target, R_e</x:t>
  </x:si>
  <x:si>
    <x:t xml:space="preserve">topographic range</x:t>
  </x:si>
  <x:si>
    <x:t xml:space="preserve">R_nadir_topo = z - h_nadir/1000</x:t>
  </x:si>
  <x:si>
    <x:t xml:space="preserve">Nadir range after local surface elevation is included.</x:t>
  </x:si>
  <x:si>
    <x:t xml:space="preserve">z, nadir height</x:t>
  </x:si>
  <x:si>
    <x:t xml:space="preserve">topographic nadir range</x:t>
  </x:si>
  <x:si>
    <x:t xml:space="preserve">d_app_topo = (R_off_topo - R_nadir_topo)/n</x:t>
  </x:si>
  <x:si>
    <x:t xml:space="preserve">Topography-adjusted apparent depth.</x:t>
  </x:si>
  <x:si>
    <x:t xml:space="preserve">topographic ranges, n</x:t>
  </x:si>
  <x:si>
    <x:t xml:space="preserve">apparent depth with topography</x:t>
  </x:si>
  <x:si>
    <x:t xml:space="preserve">surface_signal = h_target - h_nadir</x:t>
  </x:si>
  <x:si>
    <x:t xml:space="preserve">The original modeled surface/topography difference between the target path and nadir path.</x:t>
  </x:si>
  <x:si>
    <x:t xml:space="preserve">h_target, h_nadir</x:t>
  </x:si>
  <x:si>
    <x:t xml:space="preserve">true surface signal</x:t>
  </x:si>
  <x:si>
    <x:t xml:space="preserve">apparent_surface_height = -n*(d_app_topo - d_app_flat)</x:t>
  </x:si>
  <x:si>
    <x:t xml:space="preserve">Converts the topography-caused apparent-depth change back into surface-height-equivalent meters for comparison with h_target and h_nadir.</x:t>
  </x:si>
  <x:si>
    <x:t xml:space="preserve">d_app_topo, d_app_flat, n</x:t>
  </x:si>
  <x:si>
    <x:t xml:space="preserve">radar apparent surface height</x:t>
  </x:si>
  <x:si>
    <x:t xml:space="preserve">constant-altitude shift</x:t>
  </x:si>
  <x:si>
    <x:t xml:space="preserve">Same topography shift calculation, but with z held constant at z0 instead of using the parabola.</x:t>
  </x:si>
  <x:si>
    <x:t xml:space="preserve">z0, h_target, h_nadir</x:t>
  </x:si>
  <x:si>
    <x:t xml:space="preserve">path-motion comparison</x:t>
  </x:si>
  <x:si>
    <x:t xml:space="preserve">Topography Formula Explanation</x:t>
  </x:si>
  <x:si>
    <x:t xml:space="preserve">This sheet explains the representative Europa topography model used when Inputs!C27 is TRUE. It is not a real imported DEM; it combines the project's synthetic DEM-style terrain with a seed-controlled random terrain term for testing multiple possible surfaces.</x:t>
  </x:si>
  <x:si>
    <x:t xml:space="preserve">Piece</x:t>
  </x:si>
  <x:si>
    <x:t xml:space="preserve">What it represents</x:t>
  </x:si>
  <x:si>
    <x:t xml:space="preserve">Changeable inputs</x:t>
  </x:si>
  <x:si>
    <x:t xml:space="preserve">Effect on radar output</x:t>
  </x:si>
  <x:si>
    <x:t xml:space="preserve">Checkbox / toggle</x:t>
  </x:si>
  <x:si>
    <x:t xml:space="preserve">topography_factor = IF(OR(Inputs!C27=TRUE, Inputs!C27="TRUE", Inputs!C27=1), 1, 0)</x:t>
  </x:si>
  <x:si>
    <x:t xml:space="preserve">Turns all terrain terms on or off.</x:t>
  </x:si>
  <x:si>
    <x:t xml:space="preserve">Inputs!C27</x:t>
  </x:si>
  <x:si>
    <x:t xml:space="preserve">TRUE includes terrain height; FALSE makes all h(x,y) terms equal 0.</x:t>
  </x:si>
  <x:si>
    <x:t xml:space="preserve">Project DEM-style surface</x:t>
  </x:si>
  <x:si>
    <x:t xml:space="preserve">h_project = S_dem*(115*EXP(-((y-25)^2)/(4.5^2)) + 70*EXP(-((y+38)^2)/(7^2))*(0.55+0.45*SIN(2*PI()*x/45)) + 24*SIN(2*PI()*y/9+x/18)*EXP(-((y+5)^2)/(22^2)) + 18*SIN(2*PI()*x/70))</x:t>
  </x:si>
  <x:si>
    <x:t xml:space="preserve">The same style as the existing local make_synthetic_dem model: an off-nadir ridge, scalloped terrain, chaos-like variation, and along-track bulge.</x:t>
  </x:si>
  <x:si>
    <x:t xml:space="preserve">Provides a repeatable baseline terrain pattern based on the existing project model.</x:t>
  </x:si>
  <x:si>
    <x:t xml:space="preserve">Seeded dynamic terrain</x:t>
  </x:si>
  <x:si>
    <x:t xml:space="preserve">h_seeded = A_seeded*(0.70*smooth_seeded_waves + 0.30*deterministic_hash(x,y,seed))</x:t>
  </x:si>
  <x:si>
    <x:t xml:space="preserve">A random-looking but repeatable terrain term. It avoids volatile RAND(), so the graph stays stable until the seed is changed.</x:t>
  </x:si>
  <x:si>
    <x:t xml:space="preserve">Changing the seed tests a different possible topographic case.</x:t>
  </x:si>
  <x:si>
    <x:t xml:space="preserve">Raised ridge</x:t>
  </x:si>
  <x:si>
    <x:t xml:space="preserve">h_ridge = A_ridge*EXP(-((x-ridge_x0)^2)/(2*ridge_sigma_x^2))*EXP(-((y-ridge_y0)^2)/(2*ridge_sigma_y^2))</x:t>
  </x:si>
  <x:si>
    <x:t xml:space="preserve">A long, narrow positive-height ridge or band, similar to a simplified Europa lineament/ridge.</x:t>
  </x:si>
  <x:si>
    <x:t xml:space="preserve">A_ridge, ridge_x0, ridge_y0, ridge_sigma_x, ridge_sigma_y</x:t>
  </x:si>
  <x:si>
    <x:t xml:space="preserve">A raised target usually shortens the target range and can pull apparent depth upward/shallower.</x:t>
  </x:si>
  <x:si>
    <x:t xml:space="preserve">Crater/depression</x:t>
  </x:si>
  <x:si>
    <x:t xml:space="preserve">h_crater = -D_crater*EXP(-(((x-crater_x0)^2+(y-crater_y0)^2)/(2*crater_sigma^2)))</x:t>
  </x:si>
  <x:si>
    <x:t xml:space="preserve">A negative-height circular depression.</x:t>
  </x:si>
  <x:si>
    <x:t xml:space="preserve">D_crater, crater_x0, crater_y0, crater_sigma</x:t>
  </x:si>
  <x:si>
    <x:t xml:space="preserve">A depression usually lengthens the target range and can push apparent depth deeper.</x:t>
  </x:si>
  <x:si>
    <x:t xml:space="preserve">Chaos terrain</x:t>
  </x:si>
  <x:si>
    <x:t xml:space="preserve">h_chaos = A_chaos*(0.55*SIN(2*PI()*x/Lx)+0.35*COS(2*PI()*y/Ly)+0.2*SIN(2*PI()*(x+y)/(0.5*(Lx+Ly))))</x:t>
  </x:si>
  <x:si>
    <x:t xml:space="preserve">A mixed wave term that gives irregular terrain instead of a single smooth hill.</x:t>
  </x:si>
  <x:si>
    <x:t xml:space="preserve">A_chaos, Lx, Ly</x:t>
  </x:si>
  <x:si>
    <x:t xml:space="preserve">Adds broad, uneven changes to terrain height along the pass.</x:t>
  </x:si>
  <x:si>
    <x:t xml:space="preserve">Fine roughness</x:t>
  </x:si>
  <x:si>
    <x:t xml:space="preserve">h_rough = A_rough*SIN(2*PI()*x/Lx)*SIN(2*PI()*y/Ly)</x:t>
  </x:si>
  <x:si>
    <x:t xml:space="preserve">Smaller oscillating roughness on top of the larger terrain terms.</x:t>
  </x:si>
  <x:si>
    <x:t xml:space="preserve">A_rough, Lx, Ly</x:t>
  </x:si>
  <x:si>
    <x:t xml:space="preserve">Creates smaller-scale wiggles in topography-adjusted range/depth.</x:t>
  </x:si>
  <x:si>
    <x:t xml:space="preserve">Trough/fracture</x:t>
  </x:si>
  <x:si>
    <x:t xml:space="preserve">h_trough = -D_trough*EXP(-((y-trough_y0)^2)/(2*trough_sigma_y^2))*EXP(-((x-trough_x0)^2)/(2*trough_sigma_x^2))</x:t>
  </x:si>
  <x:si>
    <x:t xml:space="preserve">A long negative-height trough or fracture-like feature.</x:t>
  </x:si>
  <x:si>
    <x:t xml:space="preserve">D_trough, trough_x0, trough_y0, trough_sigma_y, trough_sigma_x</x:t>
  </x:si>
  <x:si>
    <x:t xml:space="preserve">Can create a localized deeper apparent-depth shift.</x:t>
  </x:si>
  <x:si>
    <x:t xml:space="preserve">Total surface height</x:t>
  </x:si>
  <x:si>
    <x:t xml:space="preserve">h_total(x,y) = topography_factor*(h_project + h_ridge + h_crater + h_chaos + h_rough + h_trough + h_seeded)</x:t>
  </x:si>
  <x:si>
    <x:t xml:space="preserve">The combined representative terrain surface used by the model.</x:t>
  </x:si>
  <x:si>
    <x:t xml:space="preserve">All topography and seed controls</x:t>
  </x:si>
  <x:si>
    <x:t xml:space="preserve">This is the terrain height used in the range equations.</x:t>
  </x:si>
  <x:si>
    <x:t xml:space="preserve">Nadir topographic height</x:t>
  </x:si>
  <x:si>
    <x:t xml:space="preserve">h_nadir = h_total(x, 0)</x:t>
  </x:si>
  <x:si>
    <x:t xml:space="preserve">Surface height directly below the spacecraft path.</x:t>
  </x:si>
  <x:si>
    <x:t xml:space="preserve">x plus all topography controls</x:t>
  </x:si>
  <x:si>
    <x:t xml:space="preserve">Changes the reference/nadir range.</x:t>
  </x:si>
  <x:si>
    <x:t xml:space="preserve">Target topographic height</x:t>
  </x:si>
  <x:si>
    <x:t xml:space="preserve">h_target = h_total(x, y)</x:t>
  </x:si>
  <x:si>
    <x:t xml:space="preserve">Surface height at the side-offset target path.</x:t>
  </x:si>
  <x:si>
    <x:t xml:space="preserve">x, y plus all topography controls</x:t>
  </x:si>
  <x:si>
    <x:t xml:space="preserve">Changes the off-nadir slant range.</x:t>
  </x:si>
  <x:si>
    <x:t xml:space="preserve">Topographic nadir range</x:t>
  </x:si>
  <x:si>
    <x:t xml:space="preserve">R_nadir_topo = z(x) - h_nadir/1000</x:t>
  </x:si>
  <x:si>
    <x:t xml:space="preserve">Distance from spacecraft to the raised/lowered nadir surface.</x:t>
  </x:si>
  <x:si>
    <x:t xml:space="preserve">z(x), h_nadir</x:t>
  </x:si>
  <x:si>
    <x:t xml:space="preserve">Raised nadir terrain shortens the reference range.</x:t>
  </x:si>
  <x:si>
    <x:t xml:space="preserve">Topographic off-nadir range</x:t>
  </x:si>
  <x:si>
    <x:t xml:space="preserve">theta = SQRT(x^2+y^2)/R_e; R_off_topo = SQRT((R_e+z)^2+(R_e+h_target/1000)^2-2*(R_e+z)*(R_e+h_target/1000)*COS(theta))</x:t>
  </x:si>
  <x:si>
    <x:t xml:space="preserve">Curvature-corrected slant range to the side-offset target after terrain height is included.</x:t>
  </x:si>
  <x:si>
    <x:t xml:space="preserve">x, y, z(x), h_target, R_e</x:t>
  </x:si>
  <x:si>
    <x:t xml:space="preserve">Raised target terrain changes the spherical slant range.</x:t>
  </x:si>
  <x:si>
    <x:t xml:space="preserve">Topographic apparent depth</x:t>
  </x:si>
  <x:si>
    <x:t xml:space="preserve">d_app_topo = (R_off_topo - R_nadir_topo)*1000/n</x:t>
  </x:si>
  <x:si>
    <x:t xml:space="preserve">The apparent depth after topography changes both reference and target ranges.</x:t>
  </x:si>
  <x:si>
    <x:t xml:space="preserve">R_off_topo, R_nadir_topo, n</x:t>
  </x:si>
  <x:si>
    <x:t xml:space="preserve">This is the main output compared against flat apparent depth.</x:t>
  </x:si>
  <x:si>
    <x:t xml:space="preserve">Topography depth difference</x:t>
  </x:si>
  <x:si>
    <x:t xml:space="preserve">depth_change = d_app_topo - d_app_flat</x:t>
  </x:si>
  <x:si>
    <x:t xml:space="preserve">How much terrain changes the apparent-depth result.</x:t>
  </x:si>
  <x:si>
    <x:t xml:space="preserve">d_app_topo, d_app_flat</x:t>
  </x:si>
  <x:si>
    <x:t xml:space="preserve">Negative means topography makes the echo appear shallower; positive means deeper.</x:t>
  </x:si>
  <x:si>
    <x:t xml:space="preserve">Workbook Checks</x:t>
  </x:si>
  <x:si>
    <x:t xml:space="preserve">Check</x:t>
  </x:si>
  <x:si>
    <x:t xml:space="preserve">x_min &lt; x_max</x:t>
  </x:si>
  <x:si>
    <x:t xml:space="preserve">Inputs!C7 must be less than Inputs!C8</x:t>
  </x:si>
  <x:si>
    <x:t xml:space="preserve">z0 positive</x:t>
  </x:si>
  <x:si>
    <x:t xml:space="preserve">Closest altitude must be positive</x:t>
  </x:si>
  <x:si>
    <x:t xml:space="preserve">x_edge positive</x:t>
  </x:si>
  <x:si>
    <x:t xml:space="preserve">Parabola edge must be positive</x:t>
  </x:si>
  <x:si>
    <x:t xml:space="preserve">ice refractive index positive</x:t>
  </x:si>
  <x:si>
    <x:t xml:space="preserve">n must be positive</x:t>
  </x:si>
  <x:si>
    <x:t xml:space="preserve">wavelengths positive</x:t>
  </x:si>
  <x:si>
    <x:t xml:space="preserve">HF and VHF wavelengths must be positive</x:t>
  </x:si>
  <x:si>
    <x:t xml:space="preserve">baseline positive</x:t>
  </x:si>
  <x:si>
    <x:t xml:space="preserve">Interferometry baseline must be positive</x:t>
  </x:si>
  <x:si>
    <x:t xml:space="preserve">topography toggle valid</x:t>
  </x:si>
  <x:si>
    <x:t xml:space="preserve">Inputs!C27 must be TRUE or FALSE</x:t>
  </x:si>
  <x:si>
    <x:t xml:space="preserve">topography widths positive</x:t>
  </x:si>
  <x:si>
    <x:t xml:space="preserve">Terrain sigma/width/wavelength values must be positive</x:t>
  </x:si>
  <x:si>
    <x:t xml:space="preserve">terrain uncertainty nonnegative</x:t>
  </x:si>
  <x:si>
    <x:t xml:space="preserve">Representative vertical uncertainty should be &gt;= 0</x:t>
  </x:si>
  <x:si>
    <x:t xml:space="preserve">seeded terrain scales positive</x:t>
  </x:si>
  <x:si>
    <x:t xml:space="preserve">Seeded random terrain scales must be positive</x:t>
  </x:si>
  <x:si>
    <x:t xml:space="preserve">seeded random amplitude nonnegative</x:t>
  </x:si>
  <x:si>
    <x:t xml:space="preserve">Seeded random terrain amplitude should be &gt;= 0</x:t>
  </x:si>
  <x:si>
    <x:t xml:space="preserve">project DEM scale nonnegative</x:t>
  </x:si>
  <x:si>
    <x:t xml:space="preserve">Existing DEM-style scale should be &gt;= 0</x:t>
  </x:si>
  <x:si>
    <x:t xml:space="preserve">Europa radius positive</x:t>
  </x:si>
  <x:si>
    <x:t xml:space="preserve">Europa radius must be positive for spherical geometry</x:t>
  </x:si>
  <x:si>
    <x:t xml:space="preserve">scenario toggles valid</x:t>
  </x:si>
  <x:si>
    <x:t xml:space="preserve">Inputs!F6:F9 must be TRUE or FALSE</x:t>
  </x:si>
  <x:si>
    <x:t xml:space="preserve">scenario lengths positive</x:t>
  </x:si>
  <x:si>
    <x:t xml:space="preserve">Each scenario must have x_min &lt; x_max and x_edge &gt; 0</x:t>
  </x:si>
  <x:si>
    <x:t xml:space="preserve">PRF high vs simple PRF floor</x:t>
  </x:si>
  <x:si>
    <x:t xml:space="preserve">PRF_3 should exceed Dashboard topo minimum PRF for the default check</x:t>
  </x:si>
  <x:si>
    <x:t xml:space="preserve">model rows available</x:t>
  </x:si>
  <x:si>
    <x:t xml:space="preserve">Model_Data contains 241 plotted positions</x:t>
  </x:si>
  <x:si>
    <x:t xml:space="preserve">chart off-nadir surface link</x:t>
  </x:si>
  <x:si>
    <x:t xml:space="preserve">Chart_Data off-nadir surface line must reference Model_Data h_target</x:t>
  </x:si>
  <x:si>
    <x:t xml:space="preserve">chart nadir surface link</x:t>
  </x:si>
  <x:si>
    <x:t xml:space="preserve">Chart_Data nadir surface line must reference Model_Data h_nadir</x:t>
  </x:si>
  <x:si>
    <x:t xml:space="preserve">chart apparent-height conversion</x:t>
  </x:si>
  <x:si>
    <x:t xml:space="preserve">Chart apparent surface height must equal -n*(topo depth - flat depth)</x:t>
  </x:si>
  <x:si>
    <x:t xml:space="preserve">Chart/graph communication checks</x:t>
  </x:si>
  <x:si>
    <x:t xml:space="preserve">Baseline legends</x:t>
  </x:si>
  <x:si>
    <x:t xml:space="preserve">OK</x:t>
  </x:si>
  <x:si>
    <x:t xml:space="preserve">Reference floor and zero-depth baselines are renamed/styled as neutral references, not scenario outputs.</x:t>
  </x:si>
  <x:si>
    <x:t xml:space="preserve">Graph explanations</x:t>
  </x:si>
  <x:si>
    <x:t xml:space="preserve">Dashboard rows 65-71 and Graph_Guide explain every chart and its source range.</x:t>
  </x:si>
  <x:si>
    <x:t xml:space="preserve">Graph Guide and Formula Audit</x:t>
  </x:si>
  <x:si>
    <x:t xml:space="preserve">Grey baseline lines are references only. For the motion-only chart, flat ground means terrain height is zero; the curved blue line is the radar reading caused by the satellite's parabolic path and changing slant range, not a curved ground surface.</x:t>
  </x:si>
  <x:si>
    <x:t xml:space="preserve">What it shows</x:t>
  </x:si>
  <x:si>
    <x:t xml:space="preserve">Why it matters</x:t>
  </x:si>
  <x:si>
    <x:t xml:space="preserve">Source range</x:t>
  </x:si>
  <x:si>
    <x:t xml:space="preserve">Formula basis</x:t>
  </x:si>
  <x:si>
    <x:t xml:space="preserve">Audit status</x:t>
  </x:si>
  <x:si>
    <x:t xml:space="preserve">Apparent Depth: Motion vs Topography</x:t>
  </x:si>
  <x:si>
    <x:t xml:space="preserve">Compares the zero-depth nadir reference, a constant-altitude off-nadir reading, the parabolic flat-surface reading, and the parabolic topography-adjusted reading across x.</x:t>
  </x:si>
  <x:si>
    <x:t xml:space="preserve">Separates spacecraft motion effects from terrain effects in the radar apparent-depth output.</x:t>
  </x:si>
  <x:si>
    <x:t xml:space="preserve">The grey zero-depth line is just the nadir reference. It is not a floor/topography result.</x:t>
  </x:si>
  <x:si>
    <x:t xml:space="preserve">Chart_Data!A:E</x:t>
  </x:si>
  <x:si>
    <x:t xml:space="preserve">apparent_depth = (R_off - R_nadir)*1000/n; topo version uses h_nadir and h_target.</x:t>
  </x:si>
  <x:si>
    <x:t xml:space="preserve">Linked to Checks!B21:B23</x:t>
  </x:si>
  <x:si>
    <x:t xml:space="preserve">Surface Height: Generated Reference Floor, Target, and Nadir</x:t>
  </x:si>
  <x:si>
    <x:t xml:space="preserve">Plots the generated topography used as the reference floor, the side-looking target path, and the terrain directly below the spacecraft.</x:t>
  </x:si>
  <x:si>
    <x:t xml:space="preserve">Shows the terrain terms that feed the topography-adjusted range equations; the satellite travel path in this model is curved/parabolic, not flat.</x:t>
  </x:si>
  <x:si>
    <x:t xml:space="preserve">The grey reference floor now follows the generated off-nadir topography instead of a 0 m flat floor. Orange/green remain the target and nadir terrain profiles.</x:t>
  </x:si>
  <x:si>
    <x:t xml:space="preserve">Chart_Data!G:J</x:t>
  </x:si>
  <x:si>
    <x:t xml:space="preserve">h_total(x,y) = h_project + ridge + crater + chaos + roughness + trough + seeded terrain.</x:t>
  </x:si>
  <x:si>
    <x:t xml:space="preserve">Inputs validated in Checks!B10:B16</x:t>
  </x:si>
  <x:si>
    <x:t xml:space="preserve">Doppler: Flat Geometry vs Topography</x:t>
  </x:si>
  <x:si>
    <x:t xml:space="preserve">Compares VHF/HF Doppler shifts with flat geometry and with topography-adjusted geometry.</x:t>
  </x:si>
  <x:si>
    <x:t xml:space="preserve">Shows the PRF pressure caused by maximum modeled range-rate magnitude.</x:t>
  </x:si>
  <x:si>
    <x:t xml:space="preserve">Zero Hz is the sign-change reference around closest approach.</x:t>
  </x:si>
  <x:si>
    <x:t xml:space="preserve">Chart_Data!P:T</x:t>
  </x:si>
  <x:si>
    <x:t xml:space="preserve">doppler = -2*range_rate/lambda; range_rate is from adjacent slant-range samples.</x:t>
  </x:si>
  <x:si>
    <x:t xml:space="preserve">PRF check in Checks!B19</x:t>
  </x:si>
  <x:si>
    <x:t xml:space="preserve">Flat Ground Reading: Constant vs Parabolic Satellite Path</x:t>
  </x:si>
  <x:si>
    <x:t xml:space="preserve">This is not a ground-height chart. It calculates the apparent radar depth/readout to flat ground while changing only the satellite path geometry.</x:t>
  </x:si>
  <x:si>
    <x:t xml:space="preserve">Shows that a flat surface can still produce a curved radar reading because the satellite altitude and off-nadir slant range change along track.</x:t>
  </x:si>
  <x:si>
    <x:t xml:space="preserve">The grey zero-depth line is only the nadir reference. The blue curve is flat ground plus parabolic satellite motion, not a parabolic ground surface.</x:t>
  </x:si>
  <x:si>
    <x:t xml:space="preserve">Chart_Data!Y:AB</x:t>
  </x:si>
  <x:si>
    <x:t xml:space="preserve">Ground height is held at h=0. The reading is (R_off - R_nadir)*1000/n; blue uses z(x)=z0+Delta_z_edge*(x/x_edge)^2.</x:t>
  </x:si>
  <x:si>
    <x:t xml:space="preserve">Core inputs validated in Checks!B4:B9</x:t>
  </x:si>
  <x:si>
    <x:t xml:space="preserve">Scenario Off-Nadir Surface Height</x:t>
  </x:si>
  <x:si>
    <x:t xml:space="preserve">Plots the expected off-nadir surface height for each checked pass case on a normalized pass axis.</x:t>
  </x:si>
  <x:si>
    <x:t xml:space="preserve">Shows how the same terrain model is sampled under each scenario overlay.</x:t>
  </x:si>
  <x:si>
    <x:t xml:space="preserve">The grey reference floor is 0 m, not a selected scenario.</x:t>
  </x:si>
  <x:si>
    <x:t xml:space="preserve">Scenario_Data!AQ:AV</x:t>
  </x:si>
  <x:si>
    <x:t xml:space="preserve">Uses scenario x mapping plus h_total(x,y), gated by Inputs!F6:F9 and Inputs!C27.</x:t>
  </x:si>
  <x:si>
    <x:t xml:space="preserve">Scenario checks in Checks!B17:B18</x:t>
  </x:si>
  <x:si>
    <x:t xml:space="preserve">Scenario Apparent-Depth Outcomes</x:t>
  </x:si>
  <x:si>
    <x:t xml:space="preserve">Compares apparent-depth outcomes for the checked custom and paper-derived pass cases.</x:t>
  </x:si>
  <x:si>
    <x:t xml:space="preserve">Shows why long, low-altitude passes can dominate apparent-depth scale.</x:t>
  </x:si>
  <x:si>
    <x:t xml:space="preserve">The grey zero-depth reference is not a model run.</x:t>
  </x:si>
  <x:si>
    <x:t xml:space="preserve">Scenario_Data!BE:BJ</x:t>
  </x:si>
  <x:si>
    <x:t xml:space="preserve">Scenario apparent_depth = (R_off - R_nadir)*1000/n using each scenario z(x).</x:t>
  </x:si>
  <x:si>
    <x:t xml:space="preserve">Scenario Altitude Profiles</x:t>
  </x:si>
  <x:si>
    <x:t xml:space="preserve">Plots altitude versus normalized pass position for the checked custom and paper-derived pass cases.</x:t>
  </x:si>
  <x:si>
    <x:t xml:space="preserve">Shows the parabolic path assumptions used to convert the paper constraints into comparable runs.</x:t>
  </x:si>
  <x:si>
    <x:t xml:space="preserve">The grey surface floor is 0 km and is not a spacecraft trajectory.</x:t>
  </x:si>
  <x:si>
    <x:t xml:space="preserve">Scenario_Data!AX:BC</x:t>
  </x:si>
  <x:si>
    <x:t xml:space="preserve">z(x) = z0 + Delta_z_edge*(x/x_edge)^2.</x:t>
  </x:si>
  <x:si>
    <x:t xml:space="preserve">Formula Audit Summary</x:t>
  </x:si>
  <x:si>
    <x:t xml:space="preserve">Audit item</x:t>
  </x:si>
  <x:si>
    <x:t xml:space="preserve">Live result</x:t>
  </x:si>
  <x:si>
    <x:t xml:space="preserve">Formula / source</x:t>
  </x:si>
  <x:si>
    <x:t xml:space="preserve">Workbook checks</x:t>
  </x:si>
  <x:si>
    <x:t xml:space="preserve">=IF(COUNTIF(Checks!B4:B23,"OK")=ROWS(Checks!B4:B23),"OK","Review Checks")</x:t>
  </x:si>
  <x:si>
    <x:t xml:space="preserve">Confirms input bounds, chart helper links, and apparent-height conversion checks.</x:t>
  </x:si>
  <x:si>
    <x:t xml:space="preserve">=Dashboard!B7</x:t>
  </x:si>
  <x:si>
    <x:t xml:space="preserve">Expected flat-surface radar apparent depth before topography is applied.</x:t>
  </x:si>
  <x:si>
    <x:t xml:space="preserve">Topography-adjusted apparent depth at mid-pass</x:t>
  </x:si>
  <x:si>
    <x:t xml:space="preserve">=Dashboard!B8</x:t>
  </x:si>
  <x:si>
    <x:t xml:space="preserve">Same geometry after terrain height changes the nadir and target ranges.</x:t>
  </x:si>
  <x:si>
    <x:t xml:space="preserve">=Dashboard!B9</x:t>
  </x:si>
  <x:si>
    <x:t xml:space="preserve">Topo apparent depth minus flat apparent depth; negative means the echo appears shallower.</x:t>
  </x:si>
  <x:si>
    <x:t xml:space="preserve">=Dashboard!B16</x:t>
  </x:si>
  <x:si>
    <x:t xml:space="preserve">Twice max absolute topography-adjusted VHF Doppler.</x:t>
  </x:si>
  <x:si>
    <x:t xml:space="preserve">Chart baseline treatment</x:t>
  </x:si>
  <x:si>
    <x:t xml:space="preserve">Baselines renamed and styled neutral grey.</x:t>
  </x:si>
  <x:si>
    <x:t xml:space="preserve">Prevents reference floors from reading like orange model output lines.</x:t>
  </x:si>
  <x:si>
    <x:t xml:space="preserve">Terrain x (km)</x:t>
  </x:si>
  <x:si>
    <x:t xml:space="preserve">Total radar elevation error (m)</x:t>
  </x:si>
  <x:si>
    <x:t xml:space="preserve">Surface x (km)</x:t>
  </x:si>
  <x:si>
    <x:t xml:space="preserve">Reference floor = generated topography (m)</x:t>
  </x:si>
  <x:si>
    <x:t xml:space="preserve">Off-nadir target terrain (m)</x:t>
  </x:si>
  <x:si>
    <x:t xml:space="preserve">Nadir terrain (m)</x:t>
  </x:si>
  <x:si>
    <x:t xml:space="preserve">Normalized pass position</x:t>
  </x:si>
  <x:si>
    <x:t xml:space="preserve">Custom parabolic, 400 km height, 120-km pass</x:t>
  </x:si>
  <x:si>
    <x:t xml:space="preserve">Paper parabolic low-altitude, 35 km height, 800-km pass</x:t>
  </x:si>
  <x:si>
    <x:t xml:space="preserve">Paper parabolic ice-ocean, 35 km height, 1600-km pass</x:t>
  </x:si>
  <x:si>
    <x:t xml:space="preserve">Operating parabolic, 25 km height, 1600-km pass</x:t>
  </x:si>
  <x:si>
    <x:t xml:space="preserve">Nadir no-topo x - Custom parabolic, 400 km height, 120-km pass</x:t>
  </x:si>
  <x:si>
    <x:t xml:space="preserve">Nadir no-topo delay us - Custom parabolic, 400 km height, 120-km pass</x:t>
  </x:si>
  <x:si>
    <x:t xml:space="preserve">Nadir no-topo x - Paper parabolic low-altitude, 35 km height, 800-km pass</x:t>
  </x:si>
  <x:si>
    <x:t xml:space="preserve">Nadir no-topo delay us - Paper parabolic low-altitude, 35 km height, 800-km pass</x:t>
  </x:si>
  <x:si>
    <x:t xml:space="preserve">Nadir no-topo x - Paper parabolic ice-ocean, 35 km height, 1600-km pass</x:t>
  </x:si>
  <x:si>
    <x:t xml:space="preserve">Nadir no-topo delay us - Paper parabolic ice-ocean, 35 km height, 1600-km pass</x:t>
  </x:si>
  <x:si>
    <x:t xml:space="preserve">Nadir no-topo x - Operating parabolic, 25 km height, 1600-km pass</x:t>
  </x:si>
  <x:si>
    <x:t xml:space="preserve">Nadir no-topo delay us - Operating parabolic, 25 km height, 1600-km pass</x:t>
  </x:si>
  <x:si>
    <x:t xml:space="preserve">Nadir topo x - Custom parabolic, 400 km height, 120-km pass</x:t>
  </x:si>
  <x:si>
    <x:t xml:space="preserve">Nadir topo delay us - Custom parabolic, 400 km height, 120-km pass</x:t>
  </x:si>
  <x:si>
    <x:t xml:space="preserve">Nadir topo x - Paper parabolic low-altitude, 35 km height, 800-km pass</x:t>
  </x:si>
  <x:si>
    <x:t xml:space="preserve">Nadir topo delay us - Paper parabolic low-altitude, 35 km height, 800-km pass</x:t>
  </x:si>
  <x:si>
    <x:t xml:space="preserve">Nadir topo x - Paper parabolic ice-ocean, 35 km height, 1600-km pass</x:t>
  </x:si>
  <x:si>
    <x:t xml:space="preserve">Nadir topo delay us - Paper parabolic ice-ocean, 35 km height, 1600-km pass</x:t>
  </x:si>
  <x:si>
    <x:t xml:space="preserve">Nadir topo x - Operating parabolic, 25 km height, 1600-km pass</x:t>
  </x:si>
  <x:si>
    <x:t xml:space="preserve">Nadir topo delay us - Operating parabolic, 25 km height, 1600-km pass</x:t>
  </x:si>
  <x:si>
    <x:t xml:space="preserve">Off-nadir no-topo x - Custom parabolic, 400 km height, 120-km pass</x:t>
  </x:si>
  <x:si>
    <x:t xml:space="preserve">Off-nadir no-topo delay us - Custom parabolic, 400 km height, 120-km pass</x:t>
  </x:si>
  <x:si>
    <x:t xml:space="preserve">Off-nadir no-topo x - Paper parabolic low-altitude, 35 km height, 800-km pass</x:t>
  </x:si>
  <x:si>
    <x:t xml:space="preserve">Off-nadir no-topo delay us - Paper parabolic low-altitude, 35 km height, 800-km pass</x:t>
  </x:si>
  <x:si>
    <x:t xml:space="preserve">Off-nadir no-topo x - Paper parabolic ice-ocean, 35 km height, 1600-km pass</x:t>
  </x:si>
  <x:si>
    <x:t xml:space="preserve">Off-nadir no-topo delay us - Paper parabolic ice-ocean, 35 km height, 1600-km pass</x:t>
  </x:si>
  <x:si>
    <x:t xml:space="preserve">Off-nadir no-topo x - Operating parabolic, 25 km height, 1600-km pass</x:t>
  </x:si>
  <x:si>
    <x:t xml:space="preserve">Off-nadir no-topo delay us - Operating parabolic, 25 km height, 1600-km pass</x:t>
  </x:si>
  <x:si>
    <x:t xml:space="preserve">Off-nadir topo x - Custom parabolic, 400 km height, 120-km pass</x:t>
  </x:si>
  <x:si>
    <x:t xml:space="preserve">Off-nadir topo delay us - Custom parabolic, 400 km height, 120-km pass</x:t>
  </x:si>
  <x:si>
    <x:t xml:space="preserve">Off-nadir topo x - Paper parabolic low-altitude, 35 km height, 800-km pass</x:t>
  </x:si>
  <x:si>
    <x:t xml:space="preserve">Off-nadir topo delay us - Paper parabolic low-altitude, 35 km height, 800-km pass</x:t>
  </x:si>
  <x:si>
    <x:t xml:space="preserve">Off-nadir topo x - Paper parabolic ice-ocean, 35 km height, 1600-km pass</x:t>
  </x:si>
  <x:si>
    <x:t xml:space="preserve">Off-nadir topo delay us - Paper parabolic ice-ocean, 35 km height, 1600-km pass</x:t>
  </x:si>
  <x:si>
    <x:t xml:space="preserve">Off-nadir topo x - Operating parabolic, 25 km height, 1600-km pass</x:t>
  </x:si>
  <x:si>
    <x:t xml:space="preserve">Off-nadir topo delay us - Operating parabolic, 25 km height, 1600-km pass</x:t>
  </x:si>
  <x:si>
    <x:t xml:space="preserve">Surface Height: Generated Topography Reference Floor, Target, and Nadir</x:t>
  </x:si>
  <x:si>
    <x:t xml:space="preserve">Reference floor = generated topography x</x:t>
  </x:si>
  <x:si>
    <x:t xml:space="preserve">Reference floor = generated topography</x:t>
  </x:si>
  <x:si>
    <x:t xml:space="preserve">Off-nadir target terrain x</x:t>
  </x:si>
  <x:si>
    <x:t xml:space="preserve">Off-nadir target terrain</x:t>
  </x:si>
  <x:si>
    <x:t xml:space="preserve">Nadir terrain x</x:t>
  </x:si>
  <x:si>
    <x:t xml:space="preserve">Nadir terrain</x:t>
  </x:si>
  <x:si>
    <x:t xml:space="preserve">Apparent Depth: Spacecraft Motion Distortion by Run</x:t>
  </x:si>
  <x:si>
    <x:t xml:space="preserve">Custom 400 km / 120 km pass x</x:t>
  </x:si>
  <x:si>
    <x:t xml:space="preserve">Custom 400 km / 120 km pass</x:t>
  </x:si>
  <x:si>
    <x:t xml:space="preserve">Paper low-altitude 35 km / 800 km pass x</x:t>
  </x:si>
  <x:si>
    <x:t xml:space="preserve">Paper low-altitude 35 km / 800 km pass</x:t>
  </x:si>
  <x:si>
    <x:t xml:space="preserve">Paper ice-ocean 35 km / 1600 km pass x</x:t>
  </x:si>
  <x:si>
    <x:t xml:space="preserve">Paper ice-ocean 35 km / 1600 km pass</x:t>
  </x:si>
  <x:si>
    <x:t xml:space="preserve">Operating 25 km / 1600 km pass x</x:t>
  </x:si>
  <x:si>
    <x:t xml:space="preserve">Operating 25 km / 1600 km pass</x:t>
  </x:si>
  <x:si>
    <x:t xml:space="preserve">Terrain Baseline: Total Radar Elevation Error</x:t>
  </x:si>
  <x:si>
    <x:t xml:space="preserve">Total radar elevation error - custom parabolic x</x:t>
  </x:si>
  <x:si>
    <x:t xml:space="preserve">Total radar elevation error - custom parabolic</x:t>
  </x:si>
  <x:si>
    <x:t xml:space="preserve">Flat VHF Doppler (Hz) x</x:t>
  </x:si>
  <x:si>
    <x:t xml:space="preserve">Flat VHF Doppler (Hz)</x:t>
  </x:si>
  <x:si>
    <x:t xml:space="preserve">Topo VHF Doppler (Hz) x</x:t>
  </x:si>
  <x:si>
    <x:t xml:space="preserve">Topo VHF Doppler (Hz)</x:t>
  </x:si>
  <x:si>
    <x:t xml:space="preserve">Flat HF Doppler (Hz) x</x:t>
  </x:si>
  <x:si>
    <x:t xml:space="preserve">Flat HF Doppler (Hz)</x:t>
  </x:si>
  <x:si>
    <x:t xml:space="preserve">Topo HF Doppler (Hz) x</x:t>
  </x:si>
  <x:si>
    <x:t xml:space="preserve">Topo HF Doppler (Hz)</x:t>
  </x:si>
  <x:si>
    <x:t xml:space="preserve">Nadir Radar Delay by Flyby: Without Topography</x:t>
  </x:si>
  <x:si>
    <x:t xml:space="preserve">Nadir Radar Delay by Flyby: With Generated Topography</x:t>
  </x:si>
  <x:si>
    <x:t xml:space="preserve">Off-Nadir Radar Delay by Flyby: Without Topography</x:t>
  </x:si>
  <x:si>
    <x:t xml:space="preserve">Off-Nadir Radar Delay by Flyby: With Generated Topography</x:t>
  </x:si>
</x:sst>
</file>

<file path=xl/styles.xml><?xml version="1.0" encoding="utf-8"?>
<x:styleSheet xmlns:x="http://schemas.openxmlformats.org/spreadsheetml/2006/main">
  <x:numFmts count="2">
    <x:numFmt numFmtId="164" formatCode="0.000"/>
    <x:numFmt numFmtId="200" formatCode="0.0"/>
  </x:numFmts>
  <x:fonts count="1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
      <x:b/>
      <x:sz val="11"/>
      <x:color rgb="FF1F2937"/>
      <x:name val="Carlito"/>
    </x:font>
    <x:font>
      <x:sz val="11"/>
      <x:color rgb="FF526174"/>
      <x:name val="Carlito"/>
    </x:font>
  </x:fonts>
  <x:fills count="15">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1F4E79"/>
      </x:patternFill>
    </x:fill>
    <x:fill>
      <x:patternFill patternType="solid">
        <x:fgColor rgb="FF1F2937"/>
      </x:patternFill>
    </x:fill>
    <x:fill>
      <x:patternFill patternType="solid">
        <x:fgColor rgb="FFD9EAF7"/>
      </x:patternFill>
    </x:fill>
  </x:fills>
  <x:borders count="10">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4DAE3"/>
      </x:left>
      <x:right style="thin">
        <x:color rgb="FFD4DAE3"/>
      </x:right>
      <x:top style="thin">
        <x:color rgb="FFD4DAE3"/>
      </x:top>
      <x:bottom style="thin">
        <x:color rgb="FFD4DAE3"/>
      </x:bottom>
    </x:border>
  </x:borders>
  <x:cellStyleXfs count="1">
    <x:xf numFmtId="0" fontId="0" fillId="0" borderId="0"/>
  </x:cellStyleXfs>
  <x:cellXfs count="55">
    <x:xf numFmtId="0" fontId="0" fillId="0" borderId="0" xfId="0"/>
    <x:xf numFmtId="0" fontId="3" fillId="0" borderId="1" xfId="0" applyFont="1" applyBorder="1" applyAlignment="1">
      <x:alignment vertical="center" wrapText="1"/>
    </x:xf>
    <x:xf numFmtId="0" fontId="4" fillId="3" borderId="1" xfId="0" applyFont="1" applyFill="1" applyBorder="1" applyAlignment="1">
      <x:alignment horizontal="center" vertical="center" wrapText="1"/>
    </x:xf>
    <x:xf numFmtId="2" fontId="4" fillId="4" borderId="1" xfId="0" applyNumberFormat="1" applyFont="1" applyFill="1" applyBorder="1" applyAlignment="1">
      <x:alignment horizontal="right" vertical="center" wrapText="1"/>
    </x:xf>
    <x:xf numFmtId="1" fontId="4" fillId="4" borderId="1" xfId="0" applyNumberFormat="1" applyFont="1" applyFill="1" applyBorder="1" applyAlignment="1">
      <x:alignment horizontal="right" vertical="center" wrapText="1"/>
    </x:xf>
    <x:xf numFmtId="0" fontId="3" fillId="5" borderId="2" xfId="0" applyFont="1" applyFill="1" applyBorder="1" applyAlignment="1">
      <x:alignment wrapText="1"/>
    </x:xf>
    <x:xf numFmtId="0" fontId="4" fillId="6" borderId="1" xfId="0" applyFont="1" applyFill="1" applyBorder="1" applyAlignment="1">
      <x:alignment horizontal="center" vertical="center" wrapText="1"/>
    </x:xf>
    <x:xf numFmtId="2" fontId="6" fillId="6" borderId="1" xfId="0" applyNumberFormat="1" applyFont="1" applyFill="1" applyBorder="1" applyAlignment="1">
      <x:alignment horizontal="right" vertical="center" wrapText="1"/>
    </x:xf>
    <x:xf numFmtId="0" fontId="4" fillId="4" borderId="1" xfId="0" applyFont="1" applyFill="1" applyBorder="1" applyAlignment="1">
      <x:alignment horizontal="center" vertical="center" wrapText="1"/>
    </x:xf>
    <x:xf numFmtId="164" fontId="3" fillId="0" borderId="1" xfId="0" applyNumberFormat="1" applyFont="1" applyBorder="1" applyAlignment="1">
      <x:alignment vertical="center" wrapText="1"/>
    </x:xf>
    <x:xf numFmtId="164" fontId="0" fillId="0" borderId="0" xfId="0" applyNumberFormat="1"/>
    <x:xf numFmtId="164" fontId="4" fillId="6" borderId="1" xfId="0" applyNumberFormat="1" applyFont="1" applyFill="1" applyBorder="1" applyAlignment="1">
      <x:alignment horizontal="right" vertical="center" wrapText="1"/>
    </x:xf>
    <x:xf numFmtId="0" fontId="7" fillId="0" borderId="1" xfId="0" applyFont="1" applyBorder="1" applyAlignment="1">
      <x:alignment vertical="center" wrapText="1"/>
    </x:xf>
    <x:xf numFmtId="0" fontId="8" fillId="7" borderId="0" xfId="0" applyFont="1" applyFill="1" applyAlignment="1">
      <x:alignment horizontal="center" vertical="center" wrapText="1"/>
    </x:xf>
    <x:xf numFmtId="0" fontId="9" fillId="8" borderId="5" xfId="0" applyFont="1" applyFill="1" applyBorder="1" applyAlignment="1">
      <x:alignment horizontal="center" vertical="center" wrapText="1"/>
    </x:xf>
    <x:xf numFmtId="0" fontId="10" fillId="0" borderId="5" xfId="0" applyFont="1" applyBorder="1" applyAlignment="1">
      <x:alignment vertical="top" wrapText="1"/>
    </x:xf>
    <x:xf numFmtId="0" fontId="9" fillId="9" borderId="5" xfId="0" applyFont="1" applyFill="1" applyBorder="1" applyAlignment="1">
      <x:alignment vertical="top" wrapText="1"/>
    </x:xf>
    <x:xf numFmtId="0" fontId="13" fillId="0" borderId="0" xfId="0" applyFont="1"/>
    <x:xf numFmtId="0" fontId="11" fillId="9" borderId="5" xfId="0" applyFont="1" applyFill="1" applyBorder="1" applyAlignment="1">
      <x:alignment vertical="top" wrapText="1"/>
    </x:xf>
    <x:xf numFmtId="0" fontId="13" fillId="0" borderId="5" xfId="0" applyFont="1" applyBorder="1" applyAlignment="1">
      <x:alignment vertical="top" wrapText="1"/>
    </x:xf>
    <x:xf numFmtId="0" fontId="11" fillId="11" borderId="5" xfId="0" applyFont="1" applyFill="1" applyBorder="1" applyAlignment="1">
      <x:alignment vertical="top" wrapText="1"/>
    </x:xf>
    <x:xf numFmtId="164" fontId="11" fillId="11" borderId="5" xfId="0" applyNumberFormat="1" applyFont="1" applyFill="1" applyBorder="1" applyAlignment="1">
      <x:alignment vertical="top" wrapText="1"/>
    </x:xf>
    <x:xf numFmtId="0" fontId="15" fillId="8" borderId="5" xfId="0" applyFont="1" applyFill="1" applyBorder="1" applyAlignment="1">
      <x:alignment horizontal="center" vertical="center" wrapText="1"/>
    </x:xf>
    <x:xf numFmtId="0" fontId="1" fillId="2" borderId="0" xfId="0" applyFont="1" applyFill="1" applyAlignment="1">
      <x:alignment horizontal="center" vertical="center"/>
    </x:xf>
    <x:xf numFmtId="0" fontId="3" fillId="3" borderId="0" xfId="0" applyFont="1" applyFill="1" applyAlignment="1">
      <x:alignment wrapText="1"/>
    </x:xf>
    <x:xf numFmtId="0" fontId="5" fillId="6" borderId="2" xfId="0" applyFont="1" applyFill="1" applyBorder="1" applyAlignment="1">
      <x:alignment horizontal="left" vertical="center"/>
    </x:xf>
    <x:xf numFmtId="0" fontId="5" fillId="6" borderId="3" xfId="0" applyFont="1" applyFill="1" applyBorder="1" applyAlignment="1">
      <x:alignment horizontal="left" vertical="center"/>
    </x:xf>
    <x:xf numFmtId="0" fontId="5" fillId="6" borderId="4" xfId="0" applyFont="1" applyFill="1" applyBorder="1" applyAlignment="1">
      <x:alignment horizontal="left" vertical="center"/>
    </x:xf>
    <x:xf numFmtId="0" fontId="3" fillId="5" borderId="2" xfId="0" applyFont="1" applyFill="1" applyBorder="1" applyAlignment="1">
      <x:alignment wrapText="1"/>
    </x:xf>
    <x:xf numFmtId="0" fontId="3" fillId="5" borderId="3" xfId="0" applyFont="1" applyFill="1" applyBorder="1" applyAlignment="1">
      <x:alignment wrapText="1"/>
    </x:xf>
    <x:xf numFmtId="0" fontId="3" fillId="5" borderId="4" xfId="0" applyFont="1" applyFill="1" applyBorder="1" applyAlignment="1">
      <x:alignment wrapText="1"/>
    </x:xf>
    <x:xf numFmtId="0" fontId="8" fillId="7" borderId="0" xfId="0" applyFont="1" applyFill="1" applyAlignment="1">
      <x:alignment horizontal="center" vertical="center" wrapText="1"/>
    </x:xf>
    <x:xf numFmtId="0" fontId="9" fillId="8" borderId="5" xfId="0" applyFont="1" applyFill="1" applyBorder="1" applyAlignment="1">
      <x:alignment horizontal="center" vertical="center" wrapText="1"/>
    </x:xf>
    <x:xf numFmtId="0" fontId="10" fillId="0" borderId="5" xfId="0" applyFont="1" applyBorder="1" applyAlignment="1">
      <x:alignment vertical="top" wrapText="1"/>
    </x:xf>
    <x:xf numFmtId="0" fontId="2" fillId="3" borderId="0" xfId="0" applyFont="1" applyFill="1" applyAlignment="1">
      <x:alignment wrapText="1"/>
    </x:xf>
    <x:xf numFmtId="0" fontId="14" fillId="7" borderId="0" xfId="0" applyFont="1" applyFill="1" applyAlignment="1">
      <x:alignment horizontal="center" vertical="center" wrapText="1"/>
    </x:xf>
    <x:xf numFmtId="0" fontId="12" fillId="10" borderId="6" xfId="0" applyFont="1" applyFill="1" applyBorder="1" applyAlignment="1">
      <x:alignment wrapText="1"/>
    </x:xf>
    <x:xf numFmtId="0" fontId="12" fillId="10" borderId="7" xfId="0" applyFont="1" applyFill="1" applyBorder="1" applyAlignment="1">
      <x:alignment wrapText="1"/>
    </x:xf>
    <x:xf numFmtId="0" fontId="12" fillId="10" borderId="8" xfId="0" applyFont="1" applyFill="1" applyBorder="1" applyAlignment="1">
      <x:alignment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164" fontId="0" fillId="0" borderId="0" xfId="0" applyNumberFormat="1" applyFont="1" applyFill="1" applyBorder="1"/>
    <x:xf numFmtId="200" fontId="8" fillId="12" borderId="0" xfId="0" applyNumberFormat="1" applyFont="1" applyFill="1" applyBorder="1" applyAlignment="1">
      <x:alignment wrapText="1"/>
    </x:xf>
    <x:xf numFmtId="0" fontId="0" fillId="13" borderId="0" xfId="0" applyNumberFormat="1" applyFont="1" applyFill="1" applyBorder="1"/>
    <x:xf numFmtId="0" fontId="8" fillId="13" borderId="0" xfId="0" applyNumberFormat="1" applyFont="1" applyFill="1" applyBorder="1"/>
    <x:xf numFmtId="0" fontId="0"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wrapText="1"/>
    </x:xf>
    <x:xf numFmtId="0" fontId="0" fillId="0" borderId="0" xfId="0" applyNumberFormat="1" applyFont="1" applyFill="1" applyBorder="1" applyAlignment="1">
      <x:alignment wrapText="1"/>
    </x:xf>
    <x:xf numFmtId="0" fontId="16" fillId="14" borderId="9" xfId="0" applyNumberFormat="1" applyFont="1" applyFill="1" applyBorder="1" applyAlignment="1">
      <x:alignment wrapText="1"/>
    </x:xf>
    <x:xf numFmtId="0" fontId="0" fillId="0" borderId="9" xfId="0" applyNumberFormat="1" applyFont="1" applyFill="1" applyBorder="1" applyAlignment="1">
      <x:alignment wrapText="1"/>
    </x:xf>
    <x:xf numFmtId="0" fontId="16" fillId="0" borderId="0" xfId="0" applyNumberFormat="1" applyFont="1" applyFill="1" applyBorder="1"/>
    <x:xf numFmtId="0" fontId="17" fillId="0" borderId="0" xfId="0" applyNumberFormat="1" applyFont="1" applyFill="1" applyBorder="1"/>
    <x:xf numFmtId="0" fontId="17" fillId="0" borderId="0" xfId="0" applyNumberFormat="1" applyFont="1" applyFill="1" applyBorder="1" applyAlignment="1">
      <x:alignment wrapText="1"/>
    </x:xf>
  </x:cellXfs>
  <x:cellStyles count="1">
    <x:cellStyle name="Normal" xfId="0"/>
  </x:cellStyles>
  <x:dxfs count="2">
    <x:dxf>
      <x:font>
        <x:b/>
        <x:color rgb="FF0B2545"/>
      </x:font>
      <x:fill>
        <x:patternFill>
          <x:bgColor rgb="FFFCEFD9"/>
        </x:patternFill>
      </x:fill>
    </x:dxf>
    <x:dxf>
      <x:font>
        <x:b/>
        <x:color rgb="FF0B2545"/>
      </x:font>
      <x:fill>
        <x:patternFill>
          <x:bgColor rgb="FFDFF4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042ba33bca43b2" /><Relationship Type="http://schemas.openxmlformats.org/officeDocument/2006/relationships/theme" Target="/xl/theme/theme1.xml" Id="R556cc17418cb4d2b" /><Relationship Type="http://schemas.openxmlformats.org/officeDocument/2006/relationships/sharedStrings" Target="/xl/sharedStrings.xml" Id="R860cd2c344cd44c3" /><Relationship Type="http://schemas.openxmlformats.org/officeDocument/2006/relationships/worksheet" Target="/xl/worksheets/sheet1.xml" Id="Rfc4ee34f63064496" /><Relationship Type="http://schemas.openxmlformats.org/officeDocument/2006/relationships/worksheet" Target="/xl/worksheets/sheet2.xml" Id="Rfe5f5a8ebad64def" /><Relationship Type="http://schemas.openxmlformats.org/officeDocument/2006/relationships/worksheet" Target="/xl/worksheets/sheet3.xml" Id="R8f544bf5e25e4304" /><Relationship Type="http://schemas.openxmlformats.org/officeDocument/2006/relationships/worksheet" Target="/xl/worksheets/sheet4.xml" Id="Rec76319f46f44f49" /><Relationship Type="http://schemas.openxmlformats.org/officeDocument/2006/relationships/worksheet" Target="/xl/worksheets/sheet5.xml" Id="Ra5e9cf1fce87424e" /><Relationship Type="http://schemas.openxmlformats.org/officeDocument/2006/relationships/worksheet" Target="/xl/worksheets/sheet6.xml" Id="R6f9c30dc45d94f91" /><Relationship Type="http://schemas.openxmlformats.org/officeDocument/2006/relationships/worksheet" Target="/xl/worksheets/sheet7.xml" Id="R5cd973453aae42eb" /><Relationship Type="http://schemas.openxmlformats.org/officeDocument/2006/relationships/worksheet" Target="/xl/worksheets/sheet8.xml" Id="R6554262f71bb4a92" /><Relationship Type="http://schemas.openxmlformats.org/officeDocument/2006/relationships/worksheet" Target="/xl/worksheets/sheet9.xml" Id="R107ffa138a8b4422" /><Relationship Type="http://schemas.openxmlformats.org/officeDocument/2006/relationships/worksheet" Target="/xl/worksheets/sheet10.xml" Id="R045669f20d0b415a" /><Relationship Type="http://schemas.openxmlformats.org/officeDocument/2006/relationships/worksheet" Target="/xl/worksheets/sheet11.xml" Id="Rbd0df1a7ef254686" /><Relationship Type="http://schemas.openxmlformats.org/officeDocument/2006/relationships/worksheet" Target="/xl/worksheets/sheet12.xml" Id="Red9fc0612cc24955" /><Relationship Type="http://schemas.openxmlformats.org/officeDocument/2006/relationships/worksheet" Target="/xl/worksheets/sheet13.xml" Id="Rec7cd88ba9124747" /><Relationship Type="http://schemas.openxmlformats.org/officeDocument/2006/relationships/worksheet" Target="/xl/worksheets/sheet14.xml" Id="R26952b11137a40ba" /><Relationship Type="http://schemas.openxmlformats.org/officeDocument/2006/relationships/worksheet" Target="/xl/worksheets/sheet15.xml" Id="Rf79beaa324f24c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548bb852a94247" /><Relationship Type="http://schemas.openxmlformats.org/officeDocument/2006/relationships/chart" Target="/xl/drawings/charts/chart2.xml" Id="Re46a960b11974479" /><Relationship Type="http://schemas.openxmlformats.org/officeDocument/2006/relationships/chart" Target="/xl/drawings/charts/chart3.xml" Id="R8fca224f6cdf4eab" /><Relationship Type="http://schemas.openxmlformats.org/officeDocument/2006/relationships/chart" Target="/xl/drawings/charts/chart4.xml" Id="R574588f139e44ea5" /><Relationship Type="http://schemas.openxmlformats.org/officeDocument/2006/relationships/chart" Target="/xl/drawings/charts/chart5.xml" Id="Ra2420d2509654a77" /><Relationship Type="http://schemas.openxmlformats.org/officeDocument/2006/relationships/chart" Target="/xl/drawings/charts/chart6.xml" Id="R7e6794228129499f" /><Relationship Type="http://schemas.openxmlformats.org/officeDocument/2006/relationships/chart" Target="/xl/drawings/charts/chart7.xml" Id="R1313831d4e6944d0" /><Relationship Type="http://schemas.openxmlformats.org/officeDocument/2006/relationships/chart" Target="/xl/drawings/charts/chart8.xml" Id="R965ca9cf0f914534" /></Relationships>
</file>

<file path=xl/drawings/_rels/drawing2.xml.rels>&#65279;<?xml version="1.0" encoding="utf-8"?><Relationships xmlns="http://schemas.openxmlformats.org/package/2006/relationships"><Relationship Type="http://schemas.openxmlformats.org/officeDocument/2006/relationships/image" Target="/xl/media/image.png" Id="Rb9f228fad21d4684" /><Relationship Type="http://schemas.openxmlformats.org/officeDocument/2006/relationships/image" Target="/xl/media/image2.png" Id="Re7c3b035cbb645d1" /><Relationship Type="http://schemas.openxmlformats.org/officeDocument/2006/relationships/image" Target="/xl/media/image3.png" Id="R71a2e8fafc044870"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Surface Height: Generated Topography Reference Floor, Target, and Nadir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Reference floor = generated topography</c:v>
          </c:tx>
          <c:spPr>
            <a:ln xmlns:a="http://schemas.openxmlformats.org/drawingml/2006/mai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134.3858310571132</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c:v>
                </c:pt>
                <c:pt idx="25">
                  <c:v>262.75484348528926</c:v>
                </c:pt>
                <c:pt idx="26">
                  <c:v>253.9148101975453</c:v>
                </c:pt>
                <c:pt idx="27">
                  <c:v>253.748238320312</c:v>
                </c:pt>
                <c:pt idx="28">
                  <c:v>237.40469511010875</c:v>
                </c:pt>
                <c:pt idx="29">
                  <c:v>230.03534200748854</c:v>
                </c:pt>
                <c:pt idx="30">
                  <c:v>208.8220272535724</c:v>
                </c:pt>
                <c:pt idx="31">
                  <c:v>201.66422960156285</c:v>
                </c:pt>
                <c:pt idx="32">
                  <c:v>200.11672258234324</c:v>
                </c:pt>
                <c:pt idx="33">
                  <c:v>210.8483953416035</c:v>
                </c:pt>
                <c:pt idx="34">
                  <c:v>180.5581841932563</c:v>
                </c:pt>
                <c:pt idx="35">
                  <c:v>181.7291755177202</c:v>
                </c:pt>
                <c:pt idx="36">
                  <c:v>170.6281729970239</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328.4448057508986</c:v>
                </c:pt>
                <c:pt idx="54">
                  <c:v>342.0571204684842</c:v>
                </c:pt>
                <c:pt idx="55">
                  <c:v>350.9183412247295</c:v>
                </c:pt>
                <c:pt idx="56">
                  <c:v>340.91681406553505</c:v>
                </c:pt>
                <c:pt idx="57">
                  <c:v>355.15219987006986</c:v>
                </c:pt>
                <c:pt idx="58">
                  <c:v>353.2610093246909</c:v>
                </c:pt>
                <c:pt idx="59">
                  <c:v>338.6571544092517</c:v>
                </c:pt>
                <c:pt idx="60">
                  <c:v>336.97644838088075</c:v>
                </c:pt>
                <c:pt idx="61">
                  <c:v>326.24732503276135</c:v>
                </c:pt>
                <c:pt idx="62">
                  <c:v>331.8773601234619</c:v>
                </c:pt>
                <c:pt idx="63">
                  <c:v>310.24247262167495</c:v>
                </c:pt>
                <c:pt idx="64">
                  <c:v>313.2831784265769</c:v>
                </c:pt>
                <c:pt idx="65">
                  <c:v>296.84376125916674</c:v>
                </c:pt>
                <c:pt idx="66">
                  <c:v>289.342268541003</c:v>
                </c:pt>
                <c:pt idx="67">
                  <c:v>290.5597784751114</c:v>
                </c:pt>
                <c:pt idx="68">
                  <c:v>271.74352983421755</c:v>
                </c:pt>
                <c:pt idx="69">
                  <c:v>271.7227708541989</c:v>
                </c:pt>
                <c:pt idx="70">
                  <c:v>260.2713841318971</c:v>
                </c:pt>
                <c:pt idx="71">
                  <c:v>276.4936352896954</c:v>
                </c:pt>
                <c:pt idx="72">
                  <c:v>268.5791759815676</c:v>
                </c:pt>
                <c:pt idx="73">
                  <c:v>273.93459884711217</c:v>
                </c:pt>
                <c:pt idx="74">
                  <c:v>279.55588840773</c:v>
                </c:pt>
                <c:pt idx="75">
                  <c:v>286.69936407981004</c:v>
                </c:pt>
                <c:pt idx="76">
                  <c:v>316.6082081776694</c:v>
                </c:pt>
                <c:pt idx="77">
                  <c:v>332.44947759769417</c:v>
                </c:pt>
                <c:pt idx="78">
                  <c:v>317.91812880175183</c:v>
                </c:pt>
                <c:pt idx="79">
                  <c:v>343.37986587370784</c:v>
                </c:pt>
                <c:pt idx="80">
                  <c:v>338.15830709982725</c:v>
                </c:pt>
                <c:pt idx="81">
                  <c:v>363.814542334925</c:v>
                </c:pt>
                <c:pt idx="82">
                  <c:v>371.186419883424</c:v>
                </c:pt>
                <c:pt idx="83">
                  <c:v>365.6884368087795</c:v>
                </c:pt>
                <c:pt idx="84">
                  <c:v>392.0220541536099</c:v>
                </c:pt>
                <c:pt idx="85">
                  <c:v>397.07097057156574</c:v>
                </c:pt>
                <c:pt idx="86">
                  <c:v>381.37310246850825</c:v>
                </c:pt>
                <c:pt idx="87">
                  <c:v>387.1431058674635</c:v>
                </c:pt>
                <c:pt idx="88">
                  <c:v>413.2956148642764</c:v>
                </c:pt>
                <c:pt idx="89">
                  <c:v>405.1793484681727</c:v>
                </c:pt>
                <c:pt idx="90">
                  <c:v>416.63024006091615</c:v>
                </c:pt>
                <c:pt idx="91">
                  <c:v>425.31373753688456</c:v>
                </c:pt>
                <c:pt idx="92">
                  <c:v>420.9575928892744</c:v>
                </c:pt>
                <c:pt idx="93">
                  <c:v>418.7700178970381</c:v>
                </c:pt>
                <c:pt idx="94">
                  <c:v>432.88444582509743</c:v>
                </c:pt>
                <c:pt idx="95">
                  <c:v>448.8683161255995</c:v>
                </c:pt>
                <c:pt idx="96">
                  <c:v>437.9918993100179</c:v>
                </c:pt>
                <c:pt idx="97">
                  <c:v>458.91089147275255</c:v>
                </c:pt>
                <c:pt idx="98">
                  <c:v>462.5412492823468</c:v>
                </c:pt>
                <c:pt idx="99">
                  <c:v>470.10163194835405</c:v>
                </c:pt>
                <c:pt idx="100">
                  <c:v>471.51448488312155</c:v>
                </c:pt>
                <c:pt idx="101">
                  <c:v>470.5815738170562</c:v>
                </c:pt>
                <c:pt idx="102">
                  <c:v>480.618285675218</c:v>
                </c:pt>
                <c:pt idx="103">
                  <c:v>460.6206107904381</c:v>
                </c:pt>
                <c:pt idx="104">
                  <c:v>475.6659223963138</c:v>
                </c:pt>
                <c:pt idx="105">
                  <c:v>470.2640951439132</c:v>
                </c:pt>
                <c:pt idx="106">
                  <c:v>442.95708145426426</c:v>
                </c:pt>
                <c:pt idx="107">
                  <c:v>455.8100478474453</c:v>
                </c:pt>
                <c:pt idx="108">
                  <c:v>447.75344272198197</c:v>
                </c:pt>
                <c:pt idx="109">
                  <c:v>437.23203216912464</c:v>
                </c:pt>
                <c:pt idx="110">
                  <c:v>426.4950993655156</c:v>
                </c:pt>
                <c:pt idx="111">
                  <c:v>423.30568039506915</c:v>
                </c:pt>
                <c:pt idx="112">
                  <c:v>426.01474675634427</c:v>
                </c:pt>
                <c:pt idx="113">
                  <c:v>404.9650488224043</c:v>
                </c:pt>
                <c:pt idx="114">
                  <c:v>420.1474189559781</c:v>
                </c:pt>
                <c:pt idx="115">
                  <c:v>420.97624209783453</c:v>
                </c:pt>
                <c:pt idx="116">
                  <c:v>435.98300826713626</c:v>
                </c:pt>
                <c:pt idx="117">
                  <c:v>431.10580672292525</c:v>
                </c:pt>
                <c:pt idx="118">
                  <c:v>440.9944102420088</c:v>
                </c:pt>
                <c:pt idx="119">
                  <c:v>474.23278667183286</c:v>
                </c:pt>
                <c:pt idx="120">
                  <c:v>480.44802858922253</c:v>
                </c:pt>
                <c:pt idx="121">
                  <c:v>482.7451811280071</c:v>
                </c:pt>
                <c:pt idx="122">
                  <c:v>497.58165314697214</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503.48380224840304</c:v>
                </c:pt>
                <c:pt idx="136">
                  <c:v>497.2264534493298</c:v>
                </c:pt>
                <c:pt idx="137">
                  <c:v>479.6019721372586</c:v>
                </c:pt>
                <c:pt idx="138">
                  <c:v>481.22587957439987</c:v>
                </c:pt>
                <c:pt idx="139">
                  <c:v>478.27937371872196</c:v>
                </c:pt>
                <c:pt idx="140">
                  <c:v>454.2022007690483</c:v>
                </c:pt>
                <c:pt idx="141">
                  <c:v>437.9381023255097</c:v>
                </c:pt>
                <c:pt idx="142">
                  <c:v>444.9386077034492</c:v>
                </c:pt>
                <c:pt idx="143">
                  <c:v>434.44467895572086</c:v>
                </c:pt>
                <c:pt idx="144">
                  <c:v>422.8387186345762</c:v>
                </c:pt>
                <c:pt idx="145">
                  <c:v>434.12423495839124</c:v>
                </c:pt>
                <c:pt idx="146">
                  <c:v>428.8351991704085</c:v>
                </c:pt>
                <c:pt idx="147">
                  <c:v>408.84619240872695</c:v>
                </c:pt>
                <c:pt idx="148">
                  <c:v>412.55100068044544</c:v>
                </c:pt>
                <c:pt idx="149">
                  <c:v>415.5675277705944</c:v>
                </c:pt>
                <c:pt idx="150">
                  <c:v>399.34593170493116</c:v>
                </c:pt>
                <c:pt idx="151">
                  <c:v>395.616361037493</c:v>
                </c:pt>
                <c:pt idx="152">
                  <c:v>400.30891755789503</c:v>
                </c:pt>
                <c:pt idx="153">
                  <c:v>406.20178346502695</c:v>
                </c:pt>
                <c:pt idx="154">
                  <c:v>402.89735855020393</c:v>
                </c:pt>
                <c:pt idx="155">
                  <c:v>412.59673853511725</c:v>
                </c:pt>
                <c:pt idx="156">
                  <c:v>417.3671248555892</c:v>
                </c:pt>
                <c:pt idx="157">
                  <c:v>414.0307836021328</c:v>
                </c:pt>
                <c:pt idx="158">
                  <c:v>429.33926339108206</c:v>
                </c:pt>
                <c:pt idx="159">
                  <c:v>436.66425250955575</c:v>
                </c:pt>
                <c:pt idx="160">
                  <c:v>439.01130208847866</c:v>
                </c:pt>
                <c:pt idx="161">
                  <c:v>441.7637232897853</c:v>
                </c:pt>
                <c:pt idx="162">
                  <c:v>441.2537143317768</c:v>
                </c:pt>
                <c:pt idx="163">
                  <c:v>444.1394266764314</c:v>
                </c:pt>
                <c:pt idx="164">
                  <c:v>447.7794532624074</c:v>
                </c:pt>
                <c:pt idx="165">
                  <c:v>442.50927153418206</c:v>
                </c:pt>
                <c:pt idx="166">
                  <c:v>438.1289491107309</c:v>
                </c:pt>
                <c:pt idx="167">
                  <c:v>431.2131008039683</c:v>
                </c:pt>
                <c:pt idx="168">
                  <c:v>441.2625072507224</c:v>
                </c:pt>
                <c:pt idx="169">
                  <c:v>415.4369773441946</c:v>
                </c:pt>
                <c:pt idx="170">
                  <c:v>418.8320748478185</c:v>
                </c:pt>
                <c:pt idx="171">
                  <c:v>390.1569109362468</c:v>
                </c:pt>
                <c:pt idx="172">
                  <c:v>387.37494101799217</c:v>
                </c:pt>
                <c:pt idx="173">
                  <c:v>383.48713922986474</c:v>
                </c:pt>
                <c:pt idx="174">
                  <c:v>346.2287328646241</c:v>
                </c:pt>
                <c:pt idx="175">
                  <c:v>337.03514018583576</c:v>
                </c:pt>
                <c:pt idx="176">
                  <c:v>312.18369818898617</c:v>
                </c:pt>
                <c:pt idx="177">
                  <c:v>310.4659866511931</c:v>
                </c:pt>
                <c:pt idx="178">
                  <c:v>283.98171018669603</c:v>
                </c:pt>
                <c:pt idx="179">
                  <c:v>263.5246591496981</c:v>
                </c:pt>
                <c:pt idx="180">
                  <c:v>258.3810354027646</c:v>
                </c:pt>
                <c:pt idx="181">
                  <c:v>239.98613946244137</c:v>
                </c:pt>
                <c:pt idx="182">
                  <c:v>239.5805230601625</c:v>
                </c:pt>
                <c:pt idx="183">
                  <c:v>216.56157473379682</c:v>
                </c:pt>
                <c:pt idx="184">
                  <c:v>222.437703421877</c:v>
                </c:pt>
                <c:pt idx="185">
                  <c:v>227.97180197682223</c:v>
                </c:pt>
                <c:pt idx="186">
                  <c:v>226.08418221808537</c:v>
                </c:pt>
                <c:pt idx="187">
                  <c:v>226.23942491258683</c:v>
                </c:pt>
                <c:pt idx="188">
                  <c:v>243.2704274883201</c:v>
                </c:pt>
                <c:pt idx="189">
                  <c:v>248.8414359782273</c:v>
                </c:pt>
                <c:pt idx="190">
                  <c:v>242.00890812042311</c:v>
                </c:pt>
                <c:pt idx="191">
                  <c:v>242.63788270086079</c:v>
                </c:pt>
                <c:pt idx="192">
                  <c:v>251.8480330414438</c:v>
                </c:pt>
                <c:pt idx="193">
                  <c:v>274.3131350022337</c:v>
                </c:pt>
                <c:pt idx="194">
                  <c:v>277.26991348245565</c:v>
                </c:pt>
                <c:pt idx="195">
                  <c:v>280.6842863692354</c:v>
                </c:pt>
                <c:pt idx="196">
                  <c:v>282.3717678695042</c:v>
                </c:pt>
                <c:pt idx="197">
                  <c:v>311.18191933727104</c:v>
                </c:pt>
                <c:pt idx="198">
                  <c:v>302.8435496777789</c:v>
                </c:pt>
                <c:pt idx="199">
                  <c:v>298.92940490778824</c:v>
                </c:pt>
                <c:pt idx="200">
                  <c:v>304.8211728122678</c:v>
                </c:pt>
                <c:pt idx="201">
                  <c:v>300.6975060151263</c:v>
                </c:pt>
                <c:pt idx="202">
                  <c:v>276.5571077382654</c:v>
                </c:pt>
                <c:pt idx="203">
                  <c:v>269.21554101681534</c:v>
                </c:pt>
                <c:pt idx="204">
                  <c:v>271.1262021129023</c:v>
                </c:pt>
                <c:pt idx="205">
                  <c:v>259.7768551367322</c:v>
                </c:pt>
                <c:pt idx="206">
                  <c:v>247.2629698422237</c:v>
                </c:pt>
                <c:pt idx="207">
                  <c:v>225.35528260314678</c:v>
                </c:pt>
                <c:pt idx="208">
                  <c:v>208.84015984832814</c:v>
                </c:pt>
                <c:pt idx="209">
                  <c:v>178.96296340227542</c:v>
                </c:pt>
                <c:pt idx="210">
                  <c:v>165.26573251393552</c:v>
                </c:pt>
                <c:pt idx="211">
                  <c:v>168.78187987738474</c:v>
                </c:pt>
                <c:pt idx="212">
                  <c:v>147.2236511039814</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c:v>
                </c:pt>
                <c:pt idx="225">
                  <c:v>164.06842387185546</c:v>
                </c:pt>
                <c:pt idx="226">
                  <c:v>183.5232809151917</c:v>
                </c:pt>
                <c:pt idx="227">
                  <c:v>181.04186719105834</c:v>
                </c:pt>
                <c:pt idx="228">
                  <c:v>181.54184215615243</c:v>
                </c:pt>
                <c:pt idx="229">
                  <c:v>176.6795228662295</c:v>
                </c:pt>
                <c:pt idx="230">
                  <c:v>188.5060598638298</c:v>
                </c:pt>
                <c:pt idx="231">
                  <c:v>182.552269274569</c:v>
                </c:pt>
                <c:pt idx="232">
                  <c:v>186.90390563134164</c:v>
                </c:pt>
                <c:pt idx="233">
                  <c:v>190.07062484954076</c:v>
                </c:pt>
                <c:pt idx="234">
                  <c:v>200.68454527158707</c:v>
                </c:pt>
                <c:pt idx="235">
                  <c:v>178.2777126906697</c:v>
                </c:pt>
                <c:pt idx="236">
                  <c:v>194.52778179385766</c:v>
                </c:pt>
                <c:pt idx="237">
                  <c:v>188.33221875951745</c:v>
                </c:pt>
                <c:pt idx="238">
                  <c:v>193.74067782731254</c:v>
                </c:pt>
                <c:pt idx="239">
                  <c:v>168.97901642333537</c:v>
                </c:pt>
                <c:pt idx="240">
                  <c:v>179.34901119414707</c:v>
                </c:pt>
              </c:numCache>
            </c:numRef>
          </c:yVal>
        </c:ser>
        <c:ser>
          <c:idx val="1"/>
          <c:order val="1"/>
          <c:tx>
            <c:v>Off-nadir target terrain</c:v>
          </c:tx>
          <c:spPr>
            <a:ln xmlns:a="http://schemas.openxmlformats.org/drawingml/2006/main" w="19050">
              <a:solidFill>
                <a:srgbClr val="F97316"/>
              </a:solidFill>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134.3858310571132</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c:v>
                </c:pt>
                <c:pt idx="25">
                  <c:v>262.75484348528926</c:v>
                </c:pt>
                <c:pt idx="26">
                  <c:v>253.9148101975453</c:v>
                </c:pt>
                <c:pt idx="27">
                  <c:v>253.748238320312</c:v>
                </c:pt>
                <c:pt idx="28">
                  <c:v>237.40469511010875</c:v>
                </c:pt>
                <c:pt idx="29">
                  <c:v>230.03534200748854</c:v>
                </c:pt>
                <c:pt idx="30">
                  <c:v>208.8220272535724</c:v>
                </c:pt>
                <c:pt idx="31">
                  <c:v>201.66422960156285</c:v>
                </c:pt>
                <c:pt idx="32">
                  <c:v>200.11672258234324</c:v>
                </c:pt>
                <c:pt idx="33">
                  <c:v>210.8483953416035</c:v>
                </c:pt>
                <c:pt idx="34">
                  <c:v>180.5581841932563</c:v>
                </c:pt>
                <c:pt idx="35">
                  <c:v>181.7291755177202</c:v>
                </c:pt>
                <c:pt idx="36">
                  <c:v>170.6281729970239</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328.4448057508986</c:v>
                </c:pt>
                <c:pt idx="54">
                  <c:v>342.0571204684842</c:v>
                </c:pt>
                <c:pt idx="55">
                  <c:v>350.9183412247295</c:v>
                </c:pt>
                <c:pt idx="56">
                  <c:v>340.91681406553505</c:v>
                </c:pt>
                <c:pt idx="57">
                  <c:v>355.15219987006986</c:v>
                </c:pt>
                <c:pt idx="58">
                  <c:v>353.2610093246909</c:v>
                </c:pt>
                <c:pt idx="59">
                  <c:v>338.6571544092517</c:v>
                </c:pt>
                <c:pt idx="60">
                  <c:v>336.97644838088075</c:v>
                </c:pt>
                <c:pt idx="61">
                  <c:v>326.24732503276135</c:v>
                </c:pt>
                <c:pt idx="62">
                  <c:v>331.8773601234619</c:v>
                </c:pt>
                <c:pt idx="63">
                  <c:v>310.24247262167495</c:v>
                </c:pt>
                <c:pt idx="64">
                  <c:v>313.2831784265769</c:v>
                </c:pt>
                <c:pt idx="65">
                  <c:v>296.84376125916674</c:v>
                </c:pt>
                <c:pt idx="66">
                  <c:v>289.342268541003</c:v>
                </c:pt>
                <c:pt idx="67">
                  <c:v>290.5597784751114</c:v>
                </c:pt>
                <c:pt idx="68">
                  <c:v>271.74352983421755</c:v>
                </c:pt>
                <c:pt idx="69">
                  <c:v>271.7227708541989</c:v>
                </c:pt>
                <c:pt idx="70">
                  <c:v>260.2713841318971</c:v>
                </c:pt>
                <c:pt idx="71">
                  <c:v>276.4936352896954</c:v>
                </c:pt>
                <c:pt idx="72">
                  <c:v>268.5791759815676</c:v>
                </c:pt>
                <c:pt idx="73">
                  <c:v>273.93459884711217</c:v>
                </c:pt>
                <c:pt idx="74">
                  <c:v>279.55588840773</c:v>
                </c:pt>
                <c:pt idx="75">
                  <c:v>286.69936407981004</c:v>
                </c:pt>
                <c:pt idx="76">
                  <c:v>316.6082081776694</c:v>
                </c:pt>
                <c:pt idx="77">
                  <c:v>332.44947759769417</c:v>
                </c:pt>
                <c:pt idx="78">
                  <c:v>317.91812880175183</c:v>
                </c:pt>
                <c:pt idx="79">
                  <c:v>343.37986587370784</c:v>
                </c:pt>
                <c:pt idx="80">
                  <c:v>338.15830709982725</c:v>
                </c:pt>
                <c:pt idx="81">
                  <c:v>363.814542334925</c:v>
                </c:pt>
                <c:pt idx="82">
                  <c:v>371.186419883424</c:v>
                </c:pt>
                <c:pt idx="83">
                  <c:v>365.6884368087795</c:v>
                </c:pt>
                <c:pt idx="84">
                  <c:v>392.0220541536099</c:v>
                </c:pt>
                <c:pt idx="85">
                  <c:v>397.07097057156574</c:v>
                </c:pt>
                <c:pt idx="86">
                  <c:v>381.37310246850825</c:v>
                </c:pt>
                <c:pt idx="87">
                  <c:v>387.1431058674635</c:v>
                </c:pt>
                <c:pt idx="88">
                  <c:v>413.2956148642764</c:v>
                </c:pt>
                <c:pt idx="89">
                  <c:v>405.1793484681727</c:v>
                </c:pt>
                <c:pt idx="90">
                  <c:v>416.63024006091615</c:v>
                </c:pt>
                <c:pt idx="91">
                  <c:v>425.31373753688456</c:v>
                </c:pt>
                <c:pt idx="92">
                  <c:v>420.9575928892744</c:v>
                </c:pt>
                <c:pt idx="93">
                  <c:v>418.7700178970381</c:v>
                </c:pt>
                <c:pt idx="94">
                  <c:v>432.88444582509743</c:v>
                </c:pt>
                <c:pt idx="95">
                  <c:v>448.8683161255995</c:v>
                </c:pt>
                <c:pt idx="96">
                  <c:v>437.9918993100179</c:v>
                </c:pt>
                <c:pt idx="97">
                  <c:v>458.91089147275255</c:v>
                </c:pt>
                <c:pt idx="98">
                  <c:v>462.5412492823468</c:v>
                </c:pt>
                <c:pt idx="99">
                  <c:v>470.10163194835405</c:v>
                </c:pt>
                <c:pt idx="100">
                  <c:v>471.51448488312155</c:v>
                </c:pt>
                <c:pt idx="101">
                  <c:v>470.5815738170562</c:v>
                </c:pt>
                <c:pt idx="102">
                  <c:v>480.618285675218</c:v>
                </c:pt>
                <c:pt idx="103">
                  <c:v>460.6206107904381</c:v>
                </c:pt>
                <c:pt idx="104">
                  <c:v>475.6659223963138</c:v>
                </c:pt>
                <c:pt idx="105">
                  <c:v>470.2640951439132</c:v>
                </c:pt>
                <c:pt idx="106">
                  <c:v>442.95708145426426</c:v>
                </c:pt>
                <c:pt idx="107">
                  <c:v>455.8100478474453</c:v>
                </c:pt>
                <c:pt idx="108">
                  <c:v>447.75344272198197</c:v>
                </c:pt>
                <c:pt idx="109">
                  <c:v>437.23203216912464</c:v>
                </c:pt>
                <c:pt idx="110">
                  <c:v>426.4950993655156</c:v>
                </c:pt>
                <c:pt idx="111">
                  <c:v>423.30568039506915</c:v>
                </c:pt>
                <c:pt idx="112">
                  <c:v>426.01474675634427</c:v>
                </c:pt>
                <c:pt idx="113">
                  <c:v>404.9650488224043</c:v>
                </c:pt>
                <c:pt idx="114">
                  <c:v>420.1474189559781</c:v>
                </c:pt>
                <c:pt idx="115">
                  <c:v>420.97624209783453</c:v>
                </c:pt>
                <c:pt idx="116">
                  <c:v>435.98300826713626</c:v>
                </c:pt>
                <c:pt idx="117">
                  <c:v>431.10580672292525</c:v>
                </c:pt>
                <c:pt idx="118">
                  <c:v>440.9944102420088</c:v>
                </c:pt>
                <c:pt idx="119">
                  <c:v>474.23278667183286</c:v>
                </c:pt>
                <c:pt idx="120">
                  <c:v>480.44802858922253</c:v>
                </c:pt>
                <c:pt idx="121">
                  <c:v>482.7451811280071</c:v>
                </c:pt>
                <c:pt idx="122">
                  <c:v>497.58165314697214</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503.48380224840304</c:v>
                </c:pt>
                <c:pt idx="136">
                  <c:v>497.2264534493298</c:v>
                </c:pt>
                <c:pt idx="137">
                  <c:v>479.6019721372586</c:v>
                </c:pt>
                <c:pt idx="138">
                  <c:v>481.22587957439987</c:v>
                </c:pt>
                <c:pt idx="139">
                  <c:v>478.27937371872196</c:v>
                </c:pt>
                <c:pt idx="140">
                  <c:v>454.2022007690483</c:v>
                </c:pt>
                <c:pt idx="141">
                  <c:v>437.9381023255097</c:v>
                </c:pt>
                <c:pt idx="142">
                  <c:v>444.9386077034492</c:v>
                </c:pt>
                <c:pt idx="143">
                  <c:v>434.44467895572086</c:v>
                </c:pt>
                <c:pt idx="144">
                  <c:v>422.8387186345762</c:v>
                </c:pt>
                <c:pt idx="145">
                  <c:v>434.12423495839124</c:v>
                </c:pt>
                <c:pt idx="146">
                  <c:v>428.8351991704085</c:v>
                </c:pt>
                <c:pt idx="147">
                  <c:v>408.84619240872695</c:v>
                </c:pt>
                <c:pt idx="148">
                  <c:v>412.55100068044544</c:v>
                </c:pt>
                <c:pt idx="149">
                  <c:v>415.5675277705944</c:v>
                </c:pt>
                <c:pt idx="150">
                  <c:v>399.34593170493116</c:v>
                </c:pt>
                <c:pt idx="151">
                  <c:v>395.616361037493</c:v>
                </c:pt>
                <c:pt idx="152">
                  <c:v>400.30891755789503</c:v>
                </c:pt>
                <c:pt idx="153">
                  <c:v>406.20178346502695</c:v>
                </c:pt>
                <c:pt idx="154">
                  <c:v>402.89735855020393</c:v>
                </c:pt>
                <c:pt idx="155">
                  <c:v>412.59673853511725</c:v>
                </c:pt>
                <c:pt idx="156">
                  <c:v>417.3671248555892</c:v>
                </c:pt>
                <c:pt idx="157">
                  <c:v>414.0307836021328</c:v>
                </c:pt>
                <c:pt idx="158">
                  <c:v>429.33926339108206</c:v>
                </c:pt>
                <c:pt idx="159">
                  <c:v>436.66425250955575</c:v>
                </c:pt>
                <c:pt idx="160">
                  <c:v>439.01130208847866</c:v>
                </c:pt>
                <c:pt idx="161">
                  <c:v>441.7637232897853</c:v>
                </c:pt>
                <c:pt idx="162">
                  <c:v>441.2537143317768</c:v>
                </c:pt>
                <c:pt idx="163">
                  <c:v>444.1394266764314</c:v>
                </c:pt>
                <c:pt idx="164">
                  <c:v>447.7794532624074</c:v>
                </c:pt>
                <c:pt idx="165">
                  <c:v>442.50927153418206</c:v>
                </c:pt>
                <c:pt idx="166">
                  <c:v>438.1289491107309</c:v>
                </c:pt>
                <c:pt idx="167">
                  <c:v>431.2131008039683</c:v>
                </c:pt>
                <c:pt idx="168">
                  <c:v>441.2625072507224</c:v>
                </c:pt>
                <c:pt idx="169">
                  <c:v>415.4369773441946</c:v>
                </c:pt>
                <c:pt idx="170">
                  <c:v>418.8320748478185</c:v>
                </c:pt>
                <c:pt idx="171">
                  <c:v>390.1569109362468</c:v>
                </c:pt>
                <c:pt idx="172">
                  <c:v>387.37494101799217</c:v>
                </c:pt>
                <c:pt idx="173">
                  <c:v>383.48713922986474</c:v>
                </c:pt>
                <c:pt idx="174">
                  <c:v>346.2287328646241</c:v>
                </c:pt>
                <c:pt idx="175">
                  <c:v>337.03514018583576</c:v>
                </c:pt>
                <c:pt idx="176">
                  <c:v>312.18369818898617</c:v>
                </c:pt>
                <c:pt idx="177">
                  <c:v>310.4659866511931</c:v>
                </c:pt>
                <c:pt idx="178">
                  <c:v>283.98171018669603</c:v>
                </c:pt>
                <c:pt idx="179">
                  <c:v>263.5246591496981</c:v>
                </c:pt>
                <c:pt idx="180">
                  <c:v>258.3810354027646</c:v>
                </c:pt>
                <c:pt idx="181">
                  <c:v>239.98613946244137</c:v>
                </c:pt>
                <c:pt idx="182">
                  <c:v>239.5805230601625</c:v>
                </c:pt>
                <c:pt idx="183">
                  <c:v>216.56157473379682</c:v>
                </c:pt>
                <c:pt idx="184">
                  <c:v>222.437703421877</c:v>
                </c:pt>
                <c:pt idx="185">
                  <c:v>227.97180197682223</c:v>
                </c:pt>
                <c:pt idx="186">
                  <c:v>226.08418221808537</c:v>
                </c:pt>
                <c:pt idx="187">
                  <c:v>226.23942491258683</c:v>
                </c:pt>
                <c:pt idx="188">
                  <c:v>243.2704274883201</c:v>
                </c:pt>
                <c:pt idx="189">
                  <c:v>248.8414359782273</c:v>
                </c:pt>
                <c:pt idx="190">
                  <c:v>242.00890812042311</c:v>
                </c:pt>
                <c:pt idx="191">
                  <c:v>242.63788270086079</c:v>
                </c:pt>
                <c:pt idx="192">
                  <c:v>251.8480330414438</c:v>
                </c:pt>
                <c:pt idx="193">
                  <c:v>274.3131350022337</c:v>
                </c:pt>
                <c:pt idx="194">
                  <c:v>277.26991348245565</c:v>
                </c:pt>
                <c:pt idx="195">
                  <c:v>280.6842863692354</c:v>
                </c:pt>
                <c:pt idx="196">
                  <c:v>282.3717678695042</c:v>
                </c:pt>
                <c:pt idx="197">
                  <c:v>311.18191933727104</c:v>
                </c:pt>
                <c:pt idx="198">
                  <c:v>302.8435496777789</c:v>
                </c:pt>
                <c:pt idx="199">
                  <c:v>298.92940490778824</c:v>
                </c:pt>
                <c:pt idx="200">
                  <c:v>304.8211728122678</c:v>
                </c:pt>
                <c:pt idx="201">
                  <c:v>300.6975060151263</c:v>
                </c:pt>
                <c:pt idx="202">
                  <c:v>276.5571077382654</c:v>
                </c:pt>
                <c:pt idx="203">
                  <c:v>269.21554101681534</c:v>
                </c:pt>
                <c:pt idx="204">
                  <c:v>271.1262021129023</c:v>
                </c:pt>
                <c:pt idx="205">
                  <c:v>259.7768551367322</c:v>
                </c:pt>
                <c:pt idx="206">
                  <c:v>247.2629698422237</c:v>
                </c:pt>
                <c:pt idx="207">
                  <c:v>225.35528260314678</c:v>
                </c:pt>
                <c:pt idx="208">
                  <c:v>208.84015984832814</c:v>
                </c:pt>
                <c:pt idx="209">
                  <c:v>178.96296340227542</c:v>
                </c:pt>
                <c:pt idx="210">
                  <c:v>165.26573251393552</c:v>
                </c:pt>
                <c:pt idx="211">
                  <c:v>168.78187987738474</c:v>
                </c:pt>
                <c:pt idx="212">
                  <c:v>147.2236511039814</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c:v>
                </c:pt>
                <c:pt idx="225">
                  <c:v>164.06842387185546</c:v>
                </c:pt>
                <c:pt idx="226">
                  <c:v>183.5232809151917</c:v>
                </c:pt>
                <c:pt idx="227">
                  <c:v>181.04186719105834</c:v>
                </c:pt>
                <c:pt idx="228">
                  <c:v>181.54184215615243</c:v>
                </c:pt>
                <c:pt idx="229">
                  <c:v>176.6795228662295</c:v>
                </c:pt>
                <c:pt idx="230">
                  <c:v>188.5060598638298</c:v>
                </c:pt>
                <c:pt idx="231">
                  <c:v>182.552269274569</c:v>
                </c:pt>
                <c:pt idx="232">
                  <c:v>186.90390563134164</c:v>
                </c:pt>
                <c:pt idx="233">
                  <c:v>190.07062484954076</c:v>
                </c:pt>
                <c:pt idx="234">
                  <c:v>200.68454527158707</c:v>
                </c:pt>
                <c:pt idx="235">
                  <c:v>178.2777126906697</c:v>
                </c:pt>
                <c:pt idx="236">
                  <c:v>194.52778179385766</c:v>
                </c:pt>
                <c:pt idx="237">
                  <c:v>188.33221875951745</c:v>
                </c:pt>
                <c:pt idx="238">
                  <c:v>193.74067782731254</c:v>
                </c:pt>
                <c:pt idx="239">
                  <c:v>168.97901642333537</c:v>
                </c:pt>
                <c:pt idx="240">
                  <c:v>179.34901119414707</c:v>
                </c:pt>
              </c:numCache>
            </c:numRef>
          </c:yVal>
        </c:ser>
        <c:ser>
          <c:idx val="2"/>
          <c:order val="2"/>
          <c:tx>
            <c:v>Nadir terrain</c:v>
          </c:tx>
          <c:spPr>
            <a:ln xmlns:a="http://schemas.openxmlformats.org/drawingml/2006/main" w="19050">
              <a:solidFill>
                <a:srgbClr val="16A34A"/>
              </a:solidFill>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c:v>
                </c:pt>
                <c:pt idx="1">
                  <c:v>19.64511700640947</c:v>
                </c:pt>
                <c:pt idx="2">
                  <c:v>7.970448353767724</c:v>
                </c:pt>
                <c:pt idx="3">
                  <c:v>21.747313566648423</c:v>
                </c:pt>
                <c:pt idx="4">
                  <c:v>31.866913549015347</c:v>
                </c:pt>
                <c:pt idx="5">
                  <c:v>34.58634748797326</c:v>
                </c:pt>
                <c:pt idx="6">
                  <c:v>55.44088303799376</c:v>
                </c:pt>
                <c:pt idx="7">
                  <c:v>57.32564727891993</c:v>
                </c:pt>
                <c:pt idx="8">
                  <c:v>61.55956835196879</c:v>
                </c:pt>
                <c:pt idx="9">
                  <c:v>38.49658216595124</c:v>
                </c:pt>
                <c:pt idx="10">
                  <c:v>46.51195593176057</c:v>
                </c:pt>
                <c:pt idx="11">
                  <c:v>49.77469341509185</c:v>
                </c:pt>
                <c:pt idx="12">
                  <c:v>37.91568406723211</c:v>
                </c:pt>
                <c:pt idx="13">
                  <c:v>49.305692333608725</c:v>
                </c:pt>
                <c:pt idx="14">
                  <c:v>54.961826683264675</c:v>
                </c:pt>
                <c:pt idx="15">
                  <c:v>41.913539426844665</c:v>
                </c:pt>
                <c:pt idx="16">
                  <c:v>44.0092440465048</c:v>
                </c:pt>
                <c:pt idx="17">
                  <c:v>32.491619283106324</c:v>
                </c:pt>
                <c:pt idx="18">
                  <c:v>39.10881658677256</c:v>
                </c:pt>
                <c:pt idx="19">
                  <c:v>47.99583170220943</c:v>
                </c:pt>
                <c:pt idx="20">
                  <c:v>29.034419664389077</c:v>
                </c:pt>
                <c:pt idx="21">
                  <c:v>51.90461728837901</c:v>
                </c:pt>
                <c:pt idx="22">
                  <c:v>39.64300304421553</c:v>
                </c:pt>
                <c:pt idx="23">
                  <c:v>40.329360187280464</c:v>
                </c:pt>
                <c:pt idx="24">
                  <c:v>55.67705400563339</c:v>
                </c:pt>
                <c:pt idx="25">
                  <c:v>53.974959185609514</c:v>
                </c:pt>
                <c:pt idx="26">
                  <c:v>61.213442747759345</c:v>
                </c:pt>
                <c:pt idx="27">
                  <c:v>57.529820703344</c:v>
                </c:pt>
                <c:pt idx="28">
                  <c:v>49.53962065283257</c:v>
                </c:pt>
                <c:pt idx="29">
                  <c:v>36.88291850821592</c:v>
                </c:pt>
                <c:pt idx="30">
                  <c:v>46.59917835352822</c:v>
                </c:pt>
                <c:pt idx="31">
                  <c:v>27.91531821493412</c:v>
                </c:pt>
                <c:pt idx="32">
                  <c:v>18.82539201019003</c:v>
                </c:pt>
                <c:pt idx="33">
                  <c:v>22.55480739682735</c:v>
                </c:pt>
                <c:pt idx="34">
                  <c:v>3.69479063881065</c:v>
                </c:pt>
                <c:pt idx="35">
                  <c:v>9.477549494288523</c:v>
                </c:pt>
                <c:pt idx="36">
                  <c:v>-8.691303525994272</c:v>
                </c:pt>
                <c:pt idx="37">
                  <c:v>-15.792555414769886</c:v>
                </c:pt>
                <c:pt idx="38">
                  <c:v>-17.886266996681616</c:v>
                </c:pt>
                <c:pt idx="39">
                  <c:v>-15.042977474303433</c:v>
                </c:pt>
                <c:pt idx="40">
                  <c:v>-31.231711064274894</c:v>
                </c:pt>
                <c:pt idx="41">
                  <c:v>-33.241151326098546</c:v>
                </c:pt>
                <c:pt idx="42">
                  <c:v>-32.02020136507765</c:v>
                </c:pt>
                <c:pt idx="43">
                  <c:v>-34.295384147954024</c:v>
                </c:pt>
                <c:pt idx="44">
                  <c:v>-21.15737906152213</c:v>
                </c:pt>
                <c:pt idx="45">
                  <c:v>-18.69341167436205</c:v>
                </c:pt>
                <c:pt idx="46">
                  <c:v>-25.83766278531854</c:v>
                </c:pt>
                <c:pt idx="47">
                  <c:v>-21.548035323184823</c:v>
                </c:pt>
                <c:pt idx="48">
                  <c:v>-2.286662206392558</c:v>
                </c:pt>
                <c:pt idx="49">
                  <c:v>-0.6339718611461809</c:v>
                </c:pt>
                <c:pt idx="50">
                  <c:v>-9.708529731781153</c:v>
                </c:pt>
                <c:pt idx="51">
                  <c:v>-9.85965082687293</c:v>
                </c:pt>
                <c:pt idx="52">
                  <c:v>0.233219012771956</c:v>
                </c:pt>
                <c:pt idx="53">
                  <c:v>8.500195567439437</c:v>
                </c:pt>
                <c:pt idx="54">
                  <c:v>12.884972617306985</c:v>
                </c:pt>
                <c:pt idx="55">
                  <c:v>14.196906765365963</c:v>
                </c:pt>
                <c:pt idx="56">
                  <c:v>5.730826646134426</c:v>
                </c:pt>
                <c:pt idx="57">
                  <c:v>9.295817115602365</c:v>
                </c:pt>
                <c:pt idx="58">
                  <c:v>-13.18958267522941</c:v>
                </c:pt>
                <c:pt idx="59">
                  <c:v>-7.467318037700602</c:v>
                </c:pt>
                <c:pt idx="60">
                  <c:v>-17.518013833672008</c:v>
                </c:pt>
                <c:pt idx="61">
                  <c:v>-36.167878297776255</c:v>
                </c:pt>
                <c:pt idx="62">
                  <c:v>-22.86382175599607</c:v>
                </c:pt>
                <c:pt idx="63">
                  <c:v>-29.731374520275047</c:v>
                </c:pt>
                <c:pt idx="64">
                  <c:v>-53.01751827704016</c:v>
                </c:pt>
                <c:pt idx="65">
                  <c:v>-63.02108594889231</c:v>
                </c:pt>
                <c:pt idx="66">
                  <c:v>-69.67153928411518</c:v>
                </c:pt>
                <c:pt idx="67">
                  <c:v>-78.11942002863731</c:v>
                </c:pt>
                <c:pt idx="68">
                  <c:v>-82.17349441978894</c:v>
                </c:pt>
                <c:pt idx="69">
                  <c:v>-104.31813701930129</c:v>
                </c:pt>
                <c:pt idx="70">
                  <c:v>-97.5529758835811</c:v>
                </c:pt>
                <c:pt idx="71">
                  <c:v>-113.61582851930044</c:v>
                </c:pt>
                <c:pt idx="72">
                  <c:v>-111.48853690711687</c:v>
                </c:pt>
                <c:pt idx="73">
                  <c:v>-125.65162794647964</c:v>
                </c:pt>
                <c:pt idx="74">
                  <c:v>-132.5457898426781</c:v>
                </c:pt>
                <c:pt idx="75">
                  <c:v>-138.29494668428998</c:v>
                </c:pt>
                <c:pt idx="76">
                  <c:v>-144.0992283446906</c:v>
                </c:pt>
                <c:pt idx="77">
                  <c:v>-156.9345481530768</c:v>
                </c:pt>
                <c:pt idx="78">
                  <c:v>-142.37794992196604</c:v>
                </c:pt>
                <c:pt idx="79">
                  <c:v>-140.5508651158499</c:v>
                </c:pt>
                <c:pt idx="80">
                  <c:v>-146.32822187126578</c:v>
                </c:pt>
                <c:pt idx="81">
                  <c:v>-140.0483381286437</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c:v>
                </c:pt>
                <c:pt idx="91">
                  <c:v>-86.65248482679937</c:v>
                </c:pt>
                <c:pt idx="92">
                  <c:v>-84.36597258140502</c:v>
                </c:pt>
                <c:pt idx="93">
                  <c:v>-61.03205493353448</c:v>
                </c:pt>
                <c:pt idx="94">
                  <c:v>-64.09243482429542</c:v>
                </c:pt>
                <c:pt idx="95">
                  <c:v>-70.18392228131138</c:v>
                </c:pt>
                <c:pt idx="96">
                  <c:v>-47.55794552962975</c:v>
                </c:pt>
                <c:pt idx="97">
                  <c:v>-48.06780811544866</c:v>
                </c:pt>
                <c:pt idx="98">
                  <c:v>-43.28983557333215</c:v>
                </c:pt>
                <c:pt idx="99">
                  <c:v>-52.09631463655199</c:v>
                </c:pt>
                <c:pt idx="100">
                  <c:v>-49.423131521111884</c:v>
                </c:pt>
                <c:pt idx="101">
                  <c:v>-32.277557975083496</c:v>
                </c:pt>
                <c:pt idx="102">
                  <c:v>-47.4214748383975</c:v>
                </c:pt>
                <c:pt idx="103">
                  <c:v>-61.84832289166857</c:v>
                </c:pt>
                <c:pt idx="104">
                  <c:v>-39.34099577037003</c:v>
                </c:pt>
                <c:pt idx="105">
                  <c:v>-43.22381145165265</c:v>
                </c:pt>
                <c:pt idx="106">
                  <c:v>-48.04634011268098</c:v>
                </c:pt>
                <c:pt idx="107">
                  <c:v>-59.466303655605586</c:v>
                </c:pt>
                <c:pt idx="108">
                  <c:v>-61.098645360716475</c:v>
                </c:pt>
                <c:pt idx="109">
                  <c:v>-63.59054434613801</c:v>
                </c:pt>
                <c:pt idx="110">
                  <c:v>-73.64560445817172</c:v>
                </c:pt>
                <c:pt idx="111">
                  <c:v>-73.08935088189128</c:v>
                </c:pt>
                <c:pt idx="112">
                  <c:v>-74.23673097551541</c:v>
                </c:pt>
                <c:pt idx="113">
                  <c:v>-78.64906809360804</c:v>
                </c:pt>
                <c:pt idx="114">
                  <c:v>-67.68197739460362</c:v>
                </c:pt>
                <c:pt idx="115">
                  <c:v>-49.83449295863612</c:v>
                </c:pt>
                <c:pt idx="116">
                  <c:v>-59.60727995622125</c:v>
                </c:pt>
                <c:pt idx="117">
                  <c:v>-34.15455011761312</c:v>
                </c:pt>
                <c:pt idx="118">
                  <c:v>-38.26579288799343</c:v>
                </c:pt>
                <c:pt idx="119">
                  <c:v>-15.949828195457984</c:v>
                </c:pt>
                <c:pt idx="120">
                  <c:v>-4.948127387128106</c:v>
                </c:pt>
                <c:pt idx="121">
                  <c:v>2.259569132321303</c:v>
                </c:pt>
                <c:pt idx="122">
                  <c:v>43.07644622126787</c:v>
                </c:pt>
                <c:pt idx="123">
                  <c:v>46.8149548284789</c:v>
                </c:pt>
                <c:pt idx="124">
                  <c:v>65.55817790320465</c:v>
                </c:pt>
                <c:pt idx="125">
                  <c:v>70.90088362648228</c:v>
                </c:pt>
                <c:pt idx="126">
                  <c:v>82.12086586426281</c:v>
                </c:pt>
                <c:pt idx="127">
                  <c:v>98.61636326587373</c:v>
                </c:pt>
                <c:pt idx="128">
                  <c:v>96.36311355528144</c:v>
                </c:pt>
                <c:pt idx="129">
                  <c:v>82.51998590748882</c:v>
                </c:pt>
                <c:pt idx="130">
                  <c:v>98.94976350623145</c:v>
                </c:pt>
                <c:pt idx="131">
                  <c:v>97.11441747768893</c:v>
                </c:pt>
                <c:pt idx="132">
                  <c:v>70.34255347941284</c:v>
                </c:pt>
                <c:pt idx="133">
                  <c:v>77.64795080795966</c:v>
                </c:pt>
                <c:pt idx="134">
                  <c:v>66.91550989907311</c:v>
                </c:pt>
                <c:pt idx="135">
                  <c:v>56.202037436945574</c:v>
                </c:pt>
                <c:pt idx="136">
                  <c:v>45.99320506201067</c:v>
                </c:pt>
                <c:pt idx="137">
                  <c:v>35.42120810065494</c:v>
                </c:pt>
                <c:pt idx="138">
                  <c:v>29.628149721243545</c:v>
                </c:pt>
                <c:pt idx="139">
                  <c:v>5.649927018638348</c:v>
                </c:pt>
                <c:pt idx="140">
                  <c:v>-8.569441618173812</c:v>
                </c:pt>
                <c:pt idx="141">
                  <c:v>4.936290407774814</c:v>
                </c:pt>
                <c:pt idx="142">
                  <c:v>1.9403678384373038</c:v>
                </c:pt>
                <c:pt idx="143">
                  <c:v>4.044824683821267</c:v>
                </c:pt>
                <c:pt idx="144">
                  <c:v>7.073891806129688</c:v>
                </c:pt>
                <c:pt idx="145">
                  <c:v>-5.687454175445142</c:v>
                </c:pt>
                <c:pt idx="146">
                  <c:v>-3.618490966575764</c:v>
                </c:pt>
                <c:pt idx="147">
                  <c:v>0.04576132524433074</c:v>
                </c:pt>
                <c:pt idx="148">
                  <c:v>17.148059194147212</c:v>
                </c:pt>
                <c:pt idx="149">
                  <c:v>27.325427950728567</c:v>
                </c:pt>
                <c:pt idx="150">
                  <c:v>45.362905639140564</c:v>
                </c:pt>
                <c:pt idx="151">
                  <c:v>49.090179641950456</c:v>
                </c:pt>
                <c:pt idx="152">
                  <c:v>69.7201880441823</c:v>
                </c:pt>
                <c:pt idx="153">
                  <c:v>71.50919840907298</c:v>
                </c:pt>
                <c:pt idx="154">
                  <c:v>58.586187093984584</c:v>
                </c:pt>
                <c:pt idx="155">
                  <c:v>65.71226511619231</c:v>
                </c:pt>
                <c:pt idx="156">
                  <c:v>70.50298613715029</c:v>
                </c:pt>
                <c:pt idx="157">
                  <c:v>84.15381309689964</c:v>
                </c:pt>
                <c:pt idx="158">
                  <c:v>87.79516149602648</c:v>
                </c:pt>
                <c:pt idx="159">
                  <c:v>80.08578782325549</c:v>
                </c:pt>
                <c:pt idx="160">
                  <c:v>74.3316686390942</c:v>
                </c:pt>
                <c:pt idx="161">
                  <c:v>77.08298836787891</c:v>
                </c:pt>
                <c:pt idx="162">
                  <c:v>84.6060805836893</c:v>
                </c:pt>
                <c:pt idx="163">
                  <c:v>83.65167434978589</c:v>
                </c:pt>
                <c:pt idx="164">
                  <c:v>73.3658982637227</c:v>
                </c:pt>
                <c:pt idx="165">
                  <c:v>73.86322008676284</c:v>
                </c:pt>
                <c:pt idx="166">
                  <c:v>61.781548358505674</c:v>
                </c:pt>
                <c:pt idx="167">
                  <c:v>70.98866885242666</c:v>
                </c:pt>
                <c:pt idx="168">
                  <c:v>75.46815017056922</c:v>
                </c:pt>
                <c:pt idx="169">
                  <c:v>80.2881627342364</c:v>
                </c:pt>
                <c:pt idx="170">
                  <c:v>61.498548518191555</c:v>
                </c:pt>
                <c:pt idx="171">
                  <c:v>67.90188044896082</c:v>
                </c:pt>
                <c:pt idx="172">
                  <c:v>65.03267186217182</c:v>
                </c:pt>
                <c:pt idx="173">
                  <c:v>69.51659821200863</c:v>
                </c:pt>
                <c:pt idx="174">
                  <c:v>64.45446968061479</c:v>
                </c:pt>
                <c:pt idx="175">
                  <c:v>45.78588130375909</c:v>
                </c:pt>
                <c:pt idx="176">
                  <c:v>58.944391773626705</c:v>
                </c:pt>
                <c:pt idx="177">
                  <c:v>53.72705851492565</c:v>
                </c:pt>
                <c:pt idx="178">
                  <c:v>29.3621575955436</c:v>
                </c:pt>
                <c:pt idx="179">
                  <c:v>20.44582998899722</c:v>
                </c:pt>
                <c:pt idx="180">
                  <c:v>11.879118514207924</c:v>
                </c:pt>
                <c:pt idx="181">
                  <c:v>4.284803604386866</c:v>
                </c:pt>
                <c:pt idx="182">
                  <c:v>18.692329061381155</c:v>
                </c:pt>
                <c:pt idx="183">
                  <c:v>18.579807279110426</c:v>
                </c:pt>
                <c:pt idx="184">
                  <c:v>-1.3588316603362678</c:v>
                </c:pt>
                <c:pt idx="185">
                  <c:v>5.846843018322446</c:v>
                </c:pt>
                <c:pt idx="186">
                  <c:v>-3.610290991247414</c:v>
                </c:pt>
                <c:pt idx="187">
                  <c:v>2.8193818928466783</c:v>
                </c:pt>
                <c:pt idx="188">
                  <c:v>9.90157819415245</c:v>
                </c:pt>
                <c:pt idx="189">
                  <c:v>22.306190725387925</c:v>
                </c:pt>
                <c:pt idx="190">
                  <c:v>28.92396994213728</c:v>
                </c:pt>
                <c:pt idx="191">
                  <c:v>32.227616256478356</c:v>
                </c:pt>
                <c:pt idx="192">
                  <c:v>45.422536466318</c:v>
                </c:pt>
                <c:pt idx="193">
                  <c:v>44.98219479969489</c:v>
                </c:pt>
                <c:pt idx="194">
                  <c:v>58.36098804305038</c:v>
                </c:pt>
                <c:pt idx="195">
                  <c:v>56.08108474403666</c:v>
                </c:pt>
                <c:pt idx="196">
                  <c:v>74.89136844725374</c:v>
                </c:pt>
                <c:pt idx="197">
                  <c:v>81.22943665181958</c:v>
                </c:pt>
                <c:pt idx="198">
                  <c:v>82.75771702731363</c:v>
                </c:pt>
                <c:pt idx="199">
                  <c:v>76.31271490051972</c:v>
                </c:pt>
                <c:pt idx="200">
                  <c:v>66.26609020115302</c:v>
                </c:pt>
                <c:pt idx="201">
                  <c:v>60.152205166209214</c:v>
                </c:pt>
                <c:pt idx="202">
                  <c:v>52.60933898915909</c:v>
                </c:pt>
                <c:pt idx="203">
                  <c:v>58.38095189793533</c:v>
                </c:pt>
                <c:pt idx="204">
                  <c:v>34.52124211278962</c:v>
                </c:pt>
                <c:pt idx="205">
                  <c:v>40.25127636090155</c:v>
                </c:pt>
                <c:pt idx="206">
                  <c:v>33.32797910139238</c:v>
                </c:pt>
                <c:pt idx="207">
                  <c:v>20.522948331557505</c:v>
                </c:pt>
                <c:pt idx="208">
                  <c:v>7.051899638145716</c:v>
                </c:pt>
                <c:pt idx="209">
                  <c:v>-3.283716108943903</c:v>
                </c:pt>
                <c:pt idx="210">
                  <c:v>-4.7462079682678</c:v>
                </c:pt>
                <c:pt idx="211">
                  <c:v>-4.954776418919145</c:v>
                </c:pt>
                <c:pt idx="212">
                  <c:v>-0.04819256513620118</c:v>
                </c:pt>
                <c:pt idx="213">
                  <c:v>-12.32376640540756</c:v>
                </c:pt>
                <c:pt idx="214">
                  <c:v>5.624733438492097</c:v>
                </c:pt>
                <c:pt idx="215">
                  <c:v>4.725819493947934</c:v>
                </c:pt>
                <c:pt idx="216">
                  <c:v>-9.076914728959792</c:v>
                </c:pt>
                <c:pt idx="217">
                  <c:v>-2.0408727900443155</c:v>
                </c:pt>
                <c:pt idx="218">
                  <c:v>10.43102720072224</c:v>
                </c:pt>
                <c:pt idx="219">
                  <c:v>-2.2699304094542576</c:v>
                </c:pt>
                <c:pt idx="220">
                  <c:v>8.17258837755962</c:v>
                </c:pt>
                <c:pt idx="221">
                  <c:v>7.1754118877202355</c:v>
                </c:pt>
                <c:pt idx="222">
                  <c:v>11.525237738664625</c:v>
                </c:pt>
                <c:pt idx="223">
                  <c:v>-4.550946531916537</c:v>
                </c:pt>
                <c:pt idx="224">
                  <c:v>-7.850949021571967</c:v>
                </c:pt>
                <c:pt idx="225">
                  <c:v>6.5883469319652015</c:v>
                </c:pt>
                <c:pt idx="226">
                  <c:v>4.508396540761183</c:v>
                </c:pt>
                <c:pt idx="227">
                  <c:v>-0.1280560890739677</c:v>
                </c:pt>
                <c:pt idx="228">
                  <c:v>-7.852837825142384</c:v>
                </c:pt>
                <c:pt idx="229">
                  <c:v>-10.88592803052483</c:v>
                </c:pt>
                <c:pt idx="230">
                  <c:v>-2.7391578251359494</c:v>
                </c:pt>
                <c:pt idx="231">
                  <c:v>-6.538094280084824</c:v>
                </c:pt>
                <c:pt idx="232">
                  <c:v>-4.357290177669684</c:v>
                </c:pt>
                <c:pt idx="233">
                  <c:v>21.715435034758002</c:v>
                </c:pt>
                <c:pt idx="234">
                  <c:v>18.4135707545088</c:v>
                </c:pt>
                <c:pt idx="235">
                  <c:v>25.968776223167485</c:v>
                </c:pt>
                <c:pt idx="236">
                  <c:v>30.070182113253747</c:v>
                </c:pt>
                <c:pt idx="237">
                  <c:v>28.425297518081656</c:v>
                </c:pt>
                <c:pt idx="238">
                  <c:v>25.687015204981627</c:v>
                </c:pt>
                <c:pt idx="239">
                  <c:v>45.68157707931567</c:v>
                </c:pt>
                <c:pt idx="240">
                  <c:v>31.89413090916895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4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Apparent Depth: Spacecraft Motion Distortion by Run</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ln>
          </c:spPr>
          <c:marker>
            <c:symbol val="none"/>
          </c:marker>
          <c:xVal>
            <c:numRef>
              <c:f>Native_Chart_Data!$A$248:$A$488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Native_Chart_Data!$B$248:$B$488</c:f>
              <c:numCache>
                <c:formatCode>General</c:formatCode>
                <c:ptCount val="241"/>
                <c:pt idx="0">
                  <c:v>-28.60683575205121</c:v>
                </c:pt>
                <c:pt idx="1">
                  <c:v>-27.782863149590867</c:v>
                </c:pt>
                <c:pt idx="2">
                  <c:v>-26.877434485224512</c:v>
                </c:pt>
                <c:pt idx="3">
                  <c:v>-26.091469511469313</c:v>
                </c:pt>
                <c:pt idx="4">
                  <c:v>-25.322987391846254</c:v>
                </c:pt>
                <c:pt idx="5">
                  <c:v>-24.47902381513677</c:v>
                </c:pt>
                <c:pt idx="6">
                  <c:v>-23.746844660086936</c:v>
                </c:pt>
                <c:pt idx="7">
                  <c:v>-23.03135332022248</c:v>
                </c:pt>
                <c:pt idx="8">
                  <c:v>-22.246059825895372</c:v>
                </c:pt>
                <c:pt idx="9">
                  <c:v>-21.565197447271657</c:v>
                </c:pt>
                <c:pt idx="10">
                  <c:v>-20.90024248669988</c:v>
                </c:pt>
                <c:pt idx="11">
                  <c:v>-20.17087555141279</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-12.84013677697476</c:v>
                </c:pt>
                <c:pt idx="25">
                  <c:v>-12.392726180069985</c:v>
                </c:pt>
                <c:pt idx="26">
                  <c:v>-11.903744966717568</c:v>
                </c:pt>
                <c:pt idx="27">
                  <c:v>-11.481613456182458</c:v>
                </c:pt>
                <c:pt idx="28">
                  <c:v>-11.071038001998204</c:v>
                </c:pt>
                <c:pt idx="29">
                  <c:v>-10.622685923482095</c:v>
                </c:pt>
                <c:pt idx="30">
                  <c:v>-10.235955038383963</c:v>
                </c:pt>
                <c:pt idx="31">
                  <c:v>-9.86011393674653</c:v>
                </c:pt>
                <c:pt idx="32">
                  <c:v>-9.45004867322723</c:v>
                </c:pt>
                <c:pt idx="33">
                  <c:v>-9.096655219469085</c:v>
                </c:pt>
                <c:pt idx="34">
                  <c:v>-8.753503156986426</c:v>
                </c:pt>
                <c:pt idx="35">
                  <c:v>-8.379445258978194</c:v>
                </c:pt>
                <c:pt idx="36">
                  <c:v>-8.057382321536807</c:v>
                </c:pt>
                <c:pt idx="37">
                  <c:v>-7.744930637363723</c:v>
                </c:pt>
                <c:pt idx="38">
                  <c:v>-7.404664824446172</c:v>
                </c:pt>
                <c:pt idx="39">
                  <c:v>-7.111982920109767</c:v>
                </c:pt>
                <c:pt idx="40">
                  <c:v>-6.828300748499714</c:v>
                </c:pt>
                <c:pt idx="41">
                  <c:v>-6.51967719021377</c:v>
                </c:pt>
                <c:pt idx="42">
                  <c:v>-6.254485391421895</c:v>
                </c:pt>
                <c:pt idx="43">
                  <c:v>-5.997700776976217</c:v>
                </c:pt>
                <c:pt idx="44">
                  <c:v>-5.718636339065142</c:v>
                </c:pt>
                <c:pt idx="45">
                  <c:v>-5.479103372775171</c:v>
                </c:pt>
                <c:pt idx="46">
                  <c:v>-5.247404357237883</c:v>
                </c:pt>
                <c:pt idx="47">
                  <c:v>-4.995883813084447</c:v>
                </c:pt>
                <c:pt idx="48">
                  <c:v>-4.780239127223922</c:v>
                </c:pt>
                <c:pt idx="49">
                  <c:v>-4.571874809995052</c:v>
                </c:pt>
                <c:pt idx="50">
                  <c:v>-4.3459520128728855</c:v>
                </c:pt>
                <c:pt idx="51">
                  <c:v>-4.152486814658005</c:v>
                </c:pt>
                <c:pt idx="52">
                  <c:v>-3.965768378529674</c:v>
                </c:pt>
                <c:pt idx="53">
                  <c:v>-3.763567414630188</c:v>
                </c:pt>
                <c:pt idx="54">
                  <c:v>-3.590635671074324</c:v>
                </c:pt>
                <c:pt idx="55">
                  <c:v>-3.423937371721422</c:v>
                </c:pt>
                <c:pt idx="56">
                  <c:v>-3.243653659340225</c:v>
                </c:pt>
                <c:pt idx="57">
                  <c:v>-3.089673071670859</c:v>
                </c:pt>
                <c:pt idx="58">
                  <c:v>-2.941433207470027</c:v>
                </c:pt>
                <c:pt idx="59">
                  <c:v>-2.7813345652473345</c:v>
                </c:pt>
                <c:pt idx="60">
                  <c:v>-2.6447875068229223</c:v>
                </c:pt>
                <c:pt idx="61">
                  <c:v>-2.513509340354176</c:v>
                </c:pt>
                <c:pt idx="62">
                  <c:v>-2.371937016364882</c:v>
                </c:pt>
                <c:pt idx="63">
                  <c:v>-2.251371436165755</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-0.9697693759256936</c:v>
                </c:pt>
                <c:pt idx="78">
                  <c:v>-0.9096841644008009</c:v>
                </c:pt>
                <c:pt idx="79">
                  <c:v>-0.8524904108952569</c:v>
                </c:pt>
                <c:pt idx="80">
                  <c:v>-0.791473780832689</c:v>
                </c:pt>
                <c:pt idx="81">
                  <c:v>-0.7400807499819848</c:v>
                </c:pt>
                <c:pt idx="82">
                  <c:v>-0.6912607618419315</c:v>
                </c:pt>
                <c:pt idx="83">
                  <c:v>-0.6392930692547907</c:v>
                </c:pt>
                <c:pt idx="84">
                  <c:v>-0.5956213488765343</c:v>
                </c:pt>
                <c:pt idx="85">
                  <c:v>-0.554227051803764</c:v>
                </c:pt>
                <c:pt idx="86">
                  <c:v>-0.5102690384285324</c:v>
                </c:pt>
                <c:pt idx="87">
                  <c:v>-0.4734191912100414</c:v>
                </c:pt>
                <c:pt idx="88">
                  <c:v>-0.43857412502381976</c:v>
                </c:pt>
                <c:pt idx="89">
                  <c:v>-0.4016673031354685</c:v>
                </c:pt>
                <c:pt idx="90">
                  <c:v>-0.37081187517208036</c:v>
                </c:pt>
                <c:pt idx="91">
                  <c:v>-0.3417117286797975</c:v>
                </c:pt>
                <c:pt idx="92">
                  <c:v>-0.3109789747541072</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-0.09831908205035234</c:v>
                </c:pt>
                <c:pt idx="104">
                  <c:v>-0.08515635971855318</c:v>
                </c:pt>
                <c:pt idx="105">
                  <c:v>-0.07441357867173792</c:v>
                </c:pt>
                <c:pt idx="106">
                  <c:v>-0.06453059099612801</c:v>
                </c:pt>
                <c:pt idx="107">
                  <c:v>-0.05439381022904399</c:v>
                </c:pt>
                <c:pt idx="108">
                  <c:v>-0.04621763118234412</c:v>
                </c:pt>
                <c:pt idx="109">
                  <c:v>-0.038793322623632776</c:v>
                </c:pt>
                <c:pt idx="110">
                  <c:v>-0.031303072409855304</c:v>
                </c:pt>
                <c:pt idx="111">
                  <c:v>-0.025381627713954913</c:v>
                </c:pt>
                <c:pt idx="112">
                  <c:v>-0.02012804017840608</c:v>
                </c:pt>
                <c:pt idx="113">
                  <c:v>-0.014988976835297763</c:v>
                </c:pt>
                <c:pt idx="114">
                  <c:v>-0.011085185236197503</c:v>
                </c:pt>
                <c:pt idx="115">
                  <c:v>-0.007789207541122778</c:v>
                </c:pt>
                <c:pt idx="116">
                  <c:v>-0.00479024185108301</c:v>
                </c:pt>
                <c:pt idx="117">
                  <c:v>-0.0027419606900593863</c:v>
                </c:pt>
                <c:pt idx="118">
                  <c:v>-0.0012654526615278883</c:v>
                </c:pt>
                <c:pt idx="119">
                  <c:v>-0.0002798786321136504</c:v>
                </c:pt>
                <c:pt idx="120">
                  <c:v>0</c:v>
                </c:pt>
                <c:pt idx="121">
                  <c:v>-0.0002798786321136504</c:v>
                </c:pt>
                <c:pt idx="122">
                  <c:v>-0.0012654526615278883</c:v>
                </c:pt>
                <c:pt idx="123">
                  <c:v>-0.0027419606900593863</c:v>
                </c:pt>
                <c:pt idx="124">
                  <c:v>-0.00479024185108301</c:v>
                </c:pt>
                <c:pt idx="125">
                  <c:v>-0.007789207541122778</c:v>
                </c:pt>
                <c:pt idx="126">
                  <c:v>-0.011085185236197503</c:v>
                </c:pt>
                <c:pt idx="127">
                  <c:v>-0.014988976835297763</c:v>
                </c:pt>
                <c:pt idx="128">
                  <c:v>-0.02012804017840608</c:v>
                </c:pt>
                <c:pt idx="129">
                  <c:v>-0.025381627713954913</c:v>
                </c:pt>
                <c:pt idx="130">
                  <c:v>-0.031303072409855304</c:v>
                </c:pt>
                <c:pt idx="131">
                  <c:v>-0.038793322623632776</c:v>
                </c:pt>
                <c:pt idx="132">
                  <c:v>-0.04621763118234412</c:v>
                </c:pt>
                <c:pt idx="133">
                  <c:v>-0.05439381022904399</c:v>
                </c:pt>
                <c:pt idx="134">
                  <c:v>-0.06453059099612801</c:v>
                </c:pt>
                <c:pt idx="135">
                  <c:v>-0.07441357867173792</c:v>
                </c:pt>
                <c:pt idx="136">
                  <c:v>-0.08515635971855318</c:v>
                </c:pt>
                <c:pt idx="137">
                  <c:v>-0.09831908205035234</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-0.3109789747541072</c:v>
                </c:pt>
                <c:pt idx="149">
                  <c:v>-0.3417117286797975</c:v>
                </c:pt>
                <c:pt idx="150">
                  <c:v>-0.37081187517208036</c:v>
                </c:pt>
                <c:pt idx="151">
                  <c:v>-0.4016673031354685</c:v>
                </c:pt>
                <c:pt idx="152">
                  <c:v>-0.43857412502381976</c:v>
                </c:pt>
                <c:pt idx="153">
                  <c:v>-0.4734191912100414</c:v>
                </c:pt>
                <c:pt idx="154">
                  <c:v>-0.5102690384285324</c:v>
                </c:pt>
                <c:pt idx="155">
                  <c:v>-0.554227051803764</c:v>
                </c:pt>
                <c:pt idx="156">
                  <c:v>-0.5956213488765343</c:v>
                </c:pt>
                <c:pt idx="157">
                  <c:v>-0.6392930692547907</c:v>
                </c:pt>
                <c:pt idx="158">
                  <c:v>-0.6912607618419315</c:v>
                </c:pt>
                <c:pt idx="159">
                  <c:v>-0.7400807499819848</c:v>
                </c:pt>
                <c:pt idx="160">
                  <c:v>-0.791473780832689</c:v>
                </c:pt>
                <c:pt idx="161">
                  <c:v>-0.8524904108952569</c:v>
                </c:pt>
                <c:pt idx="162">
                  <c:v>-0.9096841644008009</c:v>
                </c:pt>
                <c:pt idx="163">
                  <c:v>-0.9697693759256936</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-2.251371436165755</c:v>
                </c:pt>
                <c:pt idx="178">
                  <c:v>-2.371937016364882</c:v>
                </c:pt>
                <c:pt idx="179">
                  <c:v>-2.513509340354176</c:v>
                </c:pt>
                <c:pt idx="180">
                  <c:v>-2.6447875068229223</c:v>
                </c:pt>
                <c:pt idx="181">
                  <c:v>-2.7813345652473345</c:v>
                </c:pt>
                <c:pt idx="182">
                  <c:v>-2.941433207470027</c:v>
                </c:pt>
                <c:pt idx="183">
                  <c:v>-3.089673071670859</c:v>
                </c:pt>
                <c:pt idx="184">
                  <c:v>-3.243653659340225</c:v>
                </c:pt>
                <c:pt idx="185">
                  <c:v>-3.423937371721422</c:v>
                </c:pt>
                <c:pt idx="186">
                  <c:v>-3.590635671074324</c:v>
                </c:pt>
                <c:pt idx="187">
                  <c:v>-3.763567414630188</c:v>
                </c:pt>
                <c:pt idx="188">
                  <c:v>-3.965768378529674</c:v>
                </c:pt>
                <c:pt idx="189">
                  <c:v>-4.152486814658005</c:v>
                </c:pt>
                <c:pt idx="190">
                  <c:v>-4.3459520128728855</c:v>
                </c:pt>
                <c:pt idx="191">
                  <c:v>-4.571874809995052</c:v>
                </c:pt>
                <c:pt idx="192">
                  <c:v>-4.780239127223922</c:v>
                </c:pt>
                <c:pt idx="193">
                  <c:v>-4.995883813084447</c:v>
                </c:pt>
                <c:pt idx="194">
                  <c:v>-5.247404357237883</c:v>
                </c:pt>
                <c:pt idx="195">
                  <c:v>-5.479103372775171</c:v>
                </c:pt>
                <c:pt idx="196">
                  <c:v>-5.718636339065142</c:v>
                </c:pt>
                <c:pt idx="197">
                  <c:v>-5.997700776976217</c:v>
                </c:pt>
                <c:pt idx="198">
                  <c:v>-6.254485391421895</c:v>
                </c:pt>
                <c:pt idx="199">
                  <c:v>-6.51967719021377</c:v>
                </c:pt>
                <c:pt idx="200">
                  <c:v>-6.828300748499714</c:v>
                </c:pt>
                <c:pt idx="201">
                  <c:v>-7.111982920109767</c:v>
                </c:pt>
                <c:pt idx="202">
                  <c:v>-7.404664824446172</c:v>
                </c:pt>
                <c:pt idx="203">
                  <c:v>-7.744930637363723</c:v>
                </c:pt>
                <c:pt idx="204">
                  <c:v>-8.057382321536807</c:v>
                </c:pt>
                <c:pt idx="205">
                  <c:v>-8.379445258978194</c:v>
                </c:pt>
                <c:pt idx="206">
                  <c:v>-8.753503156986426</c:v>
                </c:pt>
                <c:pt idx="207">
                  <c:v>-9.096655219469085</c:v>
                </c:pt>
                <c:pt idx="208">
                  <c:v>-9.45004867322723</c:v>
                </c:pt>
                <c:pt idx="209">
                  <c:v>-9.86011393674653</c:v>
                </c:pt>
                <c:pt idx="210">
                  <c:v>-10.235955038383963</c:v>
                </c:pt>
                <c:pt idx="211">
                  <c:v>-10.622685923482095</c:v>
                </c:pt>
                <c:pt idx="212">
                  <c:v>-11.071038001998204</c:v>
                </c:pt>
                <c:pt idx="213">
                  <c:v>-11.481613456182458</c:v>
                </c:pt>
                <c:pt idx="214">
                  <c:v>-11.903744966717568</c:v>
                </c:pt>
                <c:pt idx="215">
                  <c:v>-12.392726180069985</c:v>
                </c:pt>
                <c:pt idx="216">
                  <c:v>-12.84013677697476</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c:v>
                </c:pt>
                <c:pt idx="230">
                  <c:v>-20.90024248669988</c:v>
                </c:pt>
                <c:pt idx="231">
                  <c:v>-21.565197447271657</c:v>
                </c:pt>
                <c:pt idx="232">
                  <c:v>-22.246059825895372</c:v>
                </c:pt>
                <c:pt idx="233">
                  <c:v>-23.03135332022248</c:v>
                </c:pt>
                <c:pt idx="234">
                  <c:v>-23.746844660086936</c:v>
                </c:pt>
                <c:pt idx="235">
                  <c:v>-24.47902381513677</c:v>
                </c:pt>
                <c:pt idx="236">
                  <c:v>-25.322987391846254</c:v>
                </c:pt>
                <c:pt idx="237">
                  <c:v>-26.091469511469313</c:v>
                </c:pt>
                <c:pt idx="238">
                  <c:v>-26.877434485224512</c:v>
                </c:pt>
                <c:pt idx="239">
                  <c:v>-27.782863149590867</c:v>
                </c:pt>
                <c:pt idx="240">
                  <c:v>-28.60683575205121</c:v>
                </c:pt>
              </c:numCache>
            </c:numRef>
          </c:yVal>
        </c:ser>
        <c:ser>
          <c:idx val="1"/>
          <c:order val="1"/>
          <c:tx>
            <c:v>Paper low-altitude 35 km / 800 km pass</c:v>
          </c:tx>
          <c:spPr>
            <a:ln xmlns:a="http://schemas.openxmlformats.org/drawingml/2006/main" w="19050">
              <a:solidFill>
                <a:srgbClr val="F97316"/>
              </a:solidFill>
            </a:ln>
          </c:spPr>
          <c:marker>
            <c:symbol val="none"/>
          </c:marker>
          <c:xVal>
            <c:numRef>
              <c:f>Native_Chart_Data!$C$248:$C$488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Native_Chart_Data!$D$248:$D$488</c:f>
              <c:numCache>
                <c:formatCode>General</c:formatCode>
                <c:ptCount val="241"/>
                <c:pt idx="0">
                  <c:v>-95550.6968246352</c:v>
                </c:pt>
                <c:pt idx="1">
                  <c:v>-94429.87293064831</c:v>
                </c:pt>
                <c:pt idx="2">
                  <c:v>-93169.45002082347</c:v>
                </c:pt>
                <c:pt idx="3">
                  <c:v>-92049.59969520803</c:v>
                </c:pt>
                <c:pt idx="4">
                  <c:v>-90930.31855627525</c:v>
                </c:pt>
                <c:pt idx="5">
                  <c:v>-89671.89852079703</c:v>
                </c:pt>
                <c:pt idx="6">
                  <c:v>-88554.07088364325</c:v>
                </c:pt>
                <c:pt idx="7">
                  <c:v>-87437.04511505857</c:v>
                </c:pt>
                <c:pt idx="8">
                  <c:v>-86181.44608297395</c:v>
                </c:pt>
                <c:pt idx="9">
                  <c:v>-85066.38324979196</c:v>
                </c:pt>
                <c:pt idx="10">
                  <c:v>-83952.36924737085</c:v>
                </c:pt>
                <c:pt idx="11">
                  <c:v>-82700.4595564772</c:v>
                </c:pt>
                <c:pt idx="12">
                  <c:v>-81588.94913418307</c:v>
                </c:pt>
                <c:pt idx="13">
                  <c:v>-80478.7496070101</c:v>
                </c:pt>
                <c:pt idx="14">
                  <c:v>-79231.45069310423</c:v>
                </c:pt>
                <c:pt idx="15">
                  <c:v>-78124.32838336958</c:v>
                </c:pt>
                <c:pt idx="16">
                  <c:v>-77018.79498984448</c:v>
                </c:pt>
                <c:pt idx="17">
                  <c:v>-75777.08439083702</c:v>
                </c:pt>
                <c:pt idx="18">
                  <c:v>-74675.23669418608</c:v>
                </c:pt>
                <c:pt idx="19">
                  <c:v>-73575.27277737434</c:v>
                </c:pt>
                <c:pt idx="20">
                  <c:v>-72340.18724720042</c:v>
                </c:pt>
                <c:pt idx="21">
                  <c:v>-71244.55426280205</c:v>
                </c:pt>
                <c:pt idx="22">
                  <c:v>-70151.11767949266</c:v>
                </c:pt>
                <c:pt idx="23">
                  <c:v>-68923.75640485117</c:v>
                </c:pt>
                <c:pt idx="24">
                  <c:v>-67835.33471918713</c:v>
                </c:pt>
                <c:pt idx="25">
                  <c:v>-66749.44075526144</c:v>
                </c:pt>
                <c:pt idx="26">
                  <c:v>-65530.96866610383</c:v>
                </c:pt>
                <c:pt idx="27">
                  <c:v>-64450.81432177829</c:v>
                </c:pt>
                <c:pt idx="28">
                  <c:v>-63373.53868446994</c:v>
                </c:pt>
                <c:pt idx="29">
                  <c:v>-62165.189846866764</c:v>
                </c:pt>
                <c:pt idx="30">
                  <c:v>-61094.421380709784</c:v>
                </c:pt>
                <c:pt idx="31">
                  <c:v>-60026.90325623649</c:v>
                </c:pt>
                <c:pt idx="32">
                  <c:v>-58829.98433378036</c:v>
                </c:pt>
                <c:pt idx="33">
                  <c:v>-57769.785871170316</c:v>
                </c:pt>
                <c:pt idx="34">
                  <c:v>-56713.23103390145</c:v>
                </c:pt>
                <c:pt idx="35">
                  <c:v>-55529.124801208105</c:v>
                </c:pt>
                <c:pt idx="36">
                  <c:v>-54480.74919119819</c:v>
                </c:pt>
                <c:pt idx="37">
                  <c:v>-53436.43314820457</c:v>
                </c:pt>
                <c:pt idx="38">
                  <c:v>-52266.60203742246</c:v>
                </c:pt>
                <c:pt idx="39">
                  <c:v>-51231.374010913656</c:v>
                </c:pt>
                <c:pt idx="40">
                  <c:v>-50200.64516336976</c:v>
                </c:pt>
                <c:pt idx="41">
                  <c:v>-49046.63482196539</c:v>
                </c:pt>
                <c:pt idx="42">
                  <c:v>-48025.954152811115</c:v>
                </c:pt>
                <c:pt idx="43">
                  <c:v>-47010.236953450076</c:v>
                </c:pt>
                <c:pt idx="44">
                  <c:v>-45873.67978905515</c:v>
                </c:pt>
                <c:pt idx="45">
                  <c:v>-44869.024435891464</c:v>
                </c:pt>
                <c:pt idx="46">
                  <c:v>-43869.822519638255</c:v>
                </c:pt>
                <c:pt idx="47">
                  <c:v>-42752.44120550476</c:v>
                </c:pt>
                <c:pt idx="48">
                  <c:v>-41765.370410184376</c:v>
                </c:pt>
                <c:pt idx="49">
                  <c:v>-40784.26967339727</c:v>
                </c:pt>
                <c:pt idx="50">
                  <c:v>-39687.88058628065</c:v>
                </c:pt>
                <c:pt idx="51">
                  <c:v>-38720.0379034832</c:v>
                </c:pt>
                <c:pt idx="52">
                  <c:v>-37758.709506009036</c:v>
                </c:pt>
                <c:pt idx="53">
                  <c:v>-36685.22606722001</c:v>
                </c:pt>
                <c:pt idx="54">
                  <c:v>-35738.342299056225</c:v>
                </c:pt>
                <c:pt idx="55">
                  <c:v>-34798.54556291022</c:v>
                </c:pt>
                <c:pt idx="56">
                  <c:v>-33749.98145308542</c:v>
                </c:pt>
                <c:pt idx="57">
                  <c:v>-32825.87746268808</c:v>
                </c:pt>
                <c:pt idx="58">
                  <c:v>-31909.46264160071</c:v>
                </c:pt>
                <c:pt idx="59">
                  <c:v>-30887.93486067957</c:v>
                </c:pt>
                <c:pt idx="60">
                  <c:v>-29988.524239953986</c:v>
                </c:pt>
                <c:pt idx="61">
                  <c:v>-29097.435135520733</c:v>
                </c:pt>
                <c:pt idx="62">
                  <c:v>-28105.166881478122</c:v>
                </c:pt>
                <c:pt idx="63">
                  <c:v>-27232.458450313294</c:v>
                </c:pt>
                <c:pt idx="64">
                  <c:v>-26368.73485292532</c:v>
                </c:pt>
                <c:pt idx="65">
                  <c:v>-25408.05819572629</c:v>
                </c:pt>
                <c:pt idx="66">
                  <c:v>-24564.158312691114</c:v>
                </c:pt>
                <c:pt idx="67">
                  <c:v>-23729.938248077422</c:v>
                </c:pt>
                <c:pt idx="68">
                  <c:v>-22803.296578072208</c:v>
                </c:pt>
                <c:pt idx="69">
                  <c:v>-21990.41124452041</c:v>
                </c:pt>
                <c:pt idx="70">
                  <c:v>-21187.933007764404</c:v>
                </c:pt>
                <c:pt idx="71">
                  <c:v>-20297.883237372946</c:v>
                </c:pt>
                <c:pt idx="72">
                  <c:v>-19518.31997454776</c:v>
                </c:pt>
                <c:pt idx="73">
                  <c:v>-18749.923928481905</c:v>
                </c:pt>
                <c:pt idx="74">
                  <c:v>-17899.13841594477</c:v>
                </c:pt>
                <c:pt idx="75">
                  <c:v>-17155.30788033462</c:v>
                </c:pt>
                <c:pt idx="76">
                  <c:v>-16423.437974026107</c:v>
                </c:pt>
                <c:pt idx="77">
                  <c:v>-15614.70610330964</c:v>
                </c:pt>
                <c:pt idx="78">
                  <c:v>-14909.123361914171</c:v>
                </c:pt>
                <c:pt idx="79">
                  <c:v>-14216.32826550211</c:v>
                </c:pt>
                <c:pt idx="80">
                  <c:v>-13452.55752473721</c:v>
                </c:pt>
                <c:pt idx="81">
                  <c:v>-12787.842801368242</c:v>
                </c:pt>
                <c:pt idx="82">
                  <c:v>-12136.776407525518</c:v>
                </c:pt>
                <c:pt idx="83">
                  <c:v>-11420.992588521869</c:v>
                </c:pt>
                <c:pt idx="84">
                  <c:v>-10799.871032643307</c:v>
                </c:pt>
                <c:pt idx="85">
                  <c:v>-10193.291736298073</c:v>
                </c:pt>
                <c:pt idx="86">
                  <c:v>-9528.637373909565</c:v>
                </c:pt>
                <c:pt idx="87">
                  <c:v>-8953.936813090862</c:v>
                </c:pt>
                <c:pt idx="88">
                  <c:v>-8394.704215810816</c:v>
                </c:pt>
                <c:pt idx="89">
                  <c:v>-7784.433251420131</c:v>
                </c:pt>
                <c:pt idx="90">
                  <c:v>-7259.077562381237</c:v>
                </c:pt>
                <c:pt idx="91">
                  <c:v>-6750.1435304916085</c:v>
                </c:pt>
                <c:pt idx="92">
                  <c:v>-6197.6076393513285</c:v>
                </c:pt>
                <c:pt idx="93">
                  <c:v>-5724.600396393598</c:v>
                </c:pt>
                <c:pt idx="94">
                  <c:v>-5268.987544536823</c:v>
                </c:pt>
                <c:pt idx="95">
                  <c:v>-4777.603842826582</c:v>
                </c:pt>
                <c:pt idx="96">
                  <c:v>-4359.990199988479</c:v>
                </c:pt>
                <c:pt idx="97">
                  <c:v>-3960.742176330219</c:v>
                </c:pt>
                <c:pt idx="98">
                  <c:v>-3533.9191182778195</c:v>
                </c:pt>
                <c:pt idx="99">
                  <c:v>-3174.698779983293</c:v>
                </c:pt>
                <c:pt idx="100">
                  <c:v>-2834.7671819467178</c:v>
                </c:pt>
                <c:pt idx="101">
                  <c:v>-2475.736579407454</c:v>
                </c:pt>
                <c:pt idx="102">
                  <c:v>-2177.6671843117474</c:v>
                </c:pt>
                <c:pt idx="103">
                  <c:v>-1899.6570192596373</c:v>
                </c:pt>
                <c:pt idx="104">
                  <c:v>-1611.097851974435</c:v>
                </c:pt>
                <c:pt idx="105">
                  <c:v>-1376.257653004077</c:v>
                </c:pt>
                <c:pt idx="106">
                  <c:v>-1161.8662425758666</c:v>
                </c:pt>
                <c:pt idx="107">
                  <c:v>-945.0864313584152</c:v>
                </c:pt>
                <c:pt idx="108">
                  <c:v>-773.9404461593731</c:v>
                </c:pt>
                <c:pt idx="109">
                  <c:v>-622.7876519774909</c:v>
                </c:pt>
                <c:pt idx="110">
                  <c:v>-476.0772849904715</c:v>
                </c:pt>
                <c:pt idx="111">
                  <c:v>-365.6858715468552</c:v>
                </c:pt>
                <c:pt idx="112">
                  <c:v>-273.20619150514904</c:v>
                </c:pt>
                <c:pt idx="113">
                  <c:v>-189.13531467878693</c:v>
                </c:pt>
                <c:pt idx="114">
                  <c:v>-130.5838257490177</c:v>
                </c:pt>
                <c:pt idx="115">
                  <c:v>-85.53253798029891</c:v>
                </c:pt>
                <c:pt idx="116">
                  <c:v>-48.70715008078969</c:v>
                </c:pt>
                <c:pt idx="117">
                  <c:v>-26.20922916708696</c:v>
                </c:pt>
                <c:pt idx="118">
                  <c:v>-11.501173772391667</c:v>
                </c:pt>
                <c:pt idx="119">
                  <c:v>-2.4515400940208565</c:v>
                </c:pt>
                <c:pt idx="120">
                  <c:v>0</c:v>
                </c:pt>
                <c:pt idx="121">
                  <c:v>-2.4515400940208565</c:v>
                </c:pt>
                <c:pt idx="122">
                  <c:v>-11.501173772391667</c:v>
                </c:pt>
                <c:pt idx="123">
                  <c:v>-26.20922916708696</c:v>
                </c:pt>
                <c:pt idx="124">
                  <c:v>-48.70715008078969</c:v>
                </c:pt>
                <c:pt idx="125">
                  <c:v>-85.53253798029891</c:v>
                </c:pt>
                <c:pt idx="126">
                  <c:v>-130.5838257490177</c:v>
                </c:pt>
                <c:pt idx="127">
                  <c:v>-189.13531467878693</c:v>
                </c:pt>
                <c:pt idx="128">
                  <c:v>-273.20619150514904</c:v>
                </c:pt>
                <c:pt idx="129">
                  <c:v>-365.6858715468552</c:v>
                </c:pt>
                <c:pt idx="130">
                  <c:v>-476.0772849904715</c:v>
                </c:pt>
                <c:pt idx="131">
                  <c:v>-622.7876519774909</c:v>
                </c:pt>
                <c:pt idx="132">
                  <c:v>-773.9404461593822</c:v>
                </c:pt>
                <c:pt idx="133">
                  <c:v>-945.0864313584188</c:v>
                </c:pt>
                <c:pt idx="134">
                  <c:v>-1161.8662425758666</c:v>
                </c:pt>
                <c:pt idx="135">
                  <c:v>-1376.257653004077</c:v>
                </c:pt>
                <c:pt idx="136">
                  <c:v>-1611.097851974435</c:v>
                </c:pt>
                <c:pt idx="137">
                  <c:v>-1899.6570192596264</c:v>
                </c:pt>
                <c:pt idx="138">
                  <c:v>-2177.66718431174</c:v>
                </c:pt>
                <c:pt idx="139">
                  <c:v>-2475.736579407454</c:v>
                </c:pt>
                <c:pt idx="140">
                  <c:v>-2834.7671819467178</c:v>
                </c:pt>
                <c:pt idx="141">
                  <c:v>-3174.698779983293</c:v>
                </c:pt>
                <c:pt idx="142">
                  <c:v>-3533.9191182778195</c:v>
                </c:pt>
                <c:pt idx="143">
                  <c:v>-3960.742176330219</c:v>
                </c:pt>
                <c:pt idx="144">
                  <c:v>-4359.990199988479</c:v>
                </c:pt>
                <c:pt idx="145">
                  <c:v>-4777.603842826582</c:v>
                </c:pt>
                <c:pt idx="146">
                  <c:v>-5268.987544536823</c:v>
                </c:pt>
                <c:pt idx="147">
                  <c:v>-5724.6003963936055</c:v>
                </c:pt>
                <c:pt idx="148">
                  <c:v>-6197.607639351343</c:v>
                </c:pt>
                <c:pt idx="149">
                  <c:v>-6750.1435304916085</c:v>
                </c:pt>
                <c:pt idx="150">
                  <c:v>-7259.077562381237</c:v>
                </c:pt>
                <c:pt idx="151">
                  <c:v>-7784.433251420131</c:v>
                </c:pt>
                <c:pt idx="152">
                  <c:v>-8394.704215810802</c:v>
                </c:pt>
                <c:pt idx="153">
                  <c:v>-8953.936813088847</c:v>
                </c:pt>
                <c:pt idx="154">
                  <c:v>-9528.637373909558</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c:v>
                </c:pt>
                <c:pt idx="166">
                  <c:v>-17899.1384159448</c:v>
                </c:pt>
                <c:pt idx="167">
                  <c:v>-18749.92392848187</c:v>
                </c:pt>
                <c:pt idx="168">
                  <c:v>-19518.31997454776</c:v>
                </c:pt>
                <c:pt idx="169">
                  <c:v>-20297.88323737291</c:v>
                </c:pt>
                <c:pt idx="170">
                  <c:v>-21187.93300776442</c:v>
                </c:pt>
                <c:pt idx="171">
                  <c:v>-21990.4112445204</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-32825.87746268808</c:v>
                </c:pt>
                <c:pt idx="184">
                  <c:v>-33749.98145308635</c:v>
                </c:pt>
                <c:pt idx="185">
                  <c:v>-34798.54556291025</c:v>
                </c:pt>
                <c:pt idx="186">
                  <c:v>-35738.342299056225</c:v>
                </c:pt>
                <c:pt idx="187">
                  <c:v>-36685.22606722002</c:v>
                </c:pt>
                <c:pt idx="188">
                  <c:v>-37758.70950600899</c:v>
                </c:pt>
                <c:pt idx="189">
                  <c:v>-38720.0379034832</c:v>
                </c:pt>
                <c:pt idx="190">
                  <c:v>-39687.88058628062</c:v>
                </c:pt>
                <c:pt idx="191">
                  <c:v>-40784.26967339731</c:v>
                </c:pt>
                <c:pt idx="192">
                  <c:v>-41765.370410184376</c:v>
                </c:pt>
                <c:pt idx="193">
                  <c:v>-42752.441205505645</c:v>
                </c:pt>
                <c:pt idx="194">
                  <c:v>-43869.822519639056</c:v>
                </c:pt>
                <c:pt idx="195">
                  <c:v>-44869.024435891464</c:v>
                </c:pt>
                <c:pt idx="196">
                  <c:v>-45873.67978905518</c:v>
                </c:pt>
                <c:pt idx="197">
                  <c:v>-47010.23695345006</c:v>
                </c:pt>
                <c:pt idx="198">
                  <c:v>-48025.954152811115</c:v>
                </c:pt>
                <c:pt idx="199">
                  <c:v>-49046.63482196606</c:v>
                </c:pt>
                <c:pt idx="200">
                  <c:v>-50200.64516336979</c:v>
                </c:pt>
                <c:pt idx="201">
                  <c:v>-51231.374010913656</c:v>
                </c:pt>
                <c:pt idx="202">
                  <c:v>-52266.60203742246</c:v>
                </c:pt>
                <c:pt idx="203">
                  <c:v>-53436.43314820457</c:v>
                </c:pt>
                <c:pt idx="204">
                  <c:v>-54480.74919119819</c:v>
                </c:pt>
                <c:pt idx="205">
                  <c:v>-55529.124801208076</c:v>
                </c:pt>
                <c:pt idx="206">
                  <c:v>-56713.231033901524</c:v>
                </c:pt>
                <c:pt idx="207">
                  <c:v>-57769.785871170316</c:v>
                </c:pt>
                <c:pt idx="208">
                  <c:v>-58829.984333780376</c:v>
                </c:pt>
                <c:pt idx="209">
                  <c:v>-60026.903256236474</c:v>
                </c:pt>
                <c:pt idx="210">
                  <c:v>-61094.421380709784</c:v>
                </c:pt>
                <c:pt idx="211">
                  <c:v>-62165.18984686682</c:v>
                </c:pt>
                <c:pt idx="212">
                  <c:v>-63373.53868446988</c:v>
                </c:pt>
                <c:pt idx="213">
                  <c:v>-64450.81432177829</c:v>
                </c:pt>
                <c:pt idx="214">
                  <c:v>-65530.96866610306</c:v>
                </c:pt>
                <c:pt idx="215">
                  <c:v>-66749.44075526152</c:v>
                </c:pt>
                <c:pt idx="216">
                  <c:v>-67835.33471918713</c:v>
                </c:pt>
                <c:pt idx="217">
                  <c:v>-68923.75640485117</c:v>
                </c:pt>
                <c:pt idx="218">
                  <c:v>-70151.11767949266</c:v>
                </c:pt>
                <c:pt idx="219">
                  <c:v>-71244.55426280205</c:v>
                </c:pt>
                <c:pt idx="220">
                  <c:v>-72340.18724720035</c:v>
                </c:pt>
                <c:pt idx="221">
                  <c:v>-73575.27277737437</c:v>
                </c:pt>
                <c:pt idx="222">
                  <c:v>-74675.23669418608</c:v>
                </c:pt>
                <c:pt idx="223">
                  <c:v>-75777.08439083706</c:v>
                </c:pt>
                <c:pt idx="224">
                  <c:v>-77018.79498984448</c:v>
                </c:pt>
                <c:pt idx="225">
                  <c:v>-78124.32838336958</c:v>
                </c:pt>
                <c:pt idx="226">
                  <c:v>-79231.45069310427</c:v>
                </c:pt>
                <c:pt idx="227">
                  <c:v>-80478.74960701005</c:v>
                </c:pt>
                <c:pt idx="228">
                  <c:v>-81588.94913418307</c:v>
                </c:pt>
                <c:pt idx="229">
                  <c:v>-82700.45955647714</c:v>
                </c:pt>
                <c:pt idx="230">
                  <c:v>-83952.36924737085</c:v>
                </c:pt>
                <c:pt idx="231">
                  <c:v>-85066.38324979196</c:v>
                </c:pt>
                <c:pt idx="232">
                  <c:v>-86181.44608297395</c:v>
                </c:pt>
                <c:pt idx="233">
                  <c:v>-87437.04511505857</c:v>
                </c:pt>
                <c:pt idx="234">
                  <c:v>-88554.07088364325</c:v>
                </c:pt>
                <c:pt idx="235">
                  <c:v>-89671.89852079697</c:v>
                </c:pt>
                <c:pt idx="236">
                  <c:v>-90930.31855627532</c:v>
                </c:pt>
                <c:pt idx="237">
                  <c:v>-92049.59969520803</c:v>
                </c:pt>
                <c:pt idx="238">
                  <c:v>-93169.45002082353</c:v>
                </c:pt>
                <c:pt idx="239">
                  <c:v>-94429.87293064826</c:v>
                </c:pt>
                <c:pt idx="240">
                  <c:v>-95550.6968246352</c:v>
                </c:pt>
              </c:numCache>
            </c:numRef>
          </c:yVal>
        </c:ser>
        <c:ser>
          <c:idx val="2"/>
          <c:order val="2"/>
          <c:tx>
            <c:v>Paper ice-ocean 35 km / 1600 km pass</c:v>
          </c:tx>
          <c:spPr>
            <a:ln xmlns:a="http://schemas.openxmlformats.org/drawingml/2006/main" w="19050">
              <a:solidFill>
                <a:srgbClr val="16A34A"/>
              </a:solidFill>
            </a:ln>
          </c:spPr>
          <c:marker>
            <c:symbol val="none"/>
          </c:marker>
          <c:xVal>
            <c:numRef>
              <c:f>Native_Chart_Data!$E$248:$E$488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-185083.7019914568</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c:v>
                </c:pt>
                <c:pt idx="28">
                  <c:v>-139293.61086167698</c:v>
                </c:pt>
                <c:pt idx="29">
                  <c:v>-137142.1869054523</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-98763.92423983713</c:v>
                </c:pt>
                <c:pt idx="49">
                  <c:v>-96812.05822906003</c:v>
                </c:pt>
                <c:pt idx="50">
                  <c:v>-94618.1727807392</c:v>
                </c:pt>
                <c:pt idx="51">
                  <c:v>-92670.23504071141</c:v>
                </c:pt>
                <c:pt idx="52">
                  <c:v>-90724.77444856224</c:v>
                </c:pt>
                <c:pt idx="53">
                  <c:v>-88539.61228230709</c:v>
                </c:pt>
                <c:pt idx="54">
                  <c:v>-86600.81524649766</c:v>
                </c:pt>
                <c:pt idx="55">
                  <c:v>-84665.83712834844</c:v>
                </c:pt>
                <c:pt idx="56">
                  <c:v>-82494.11644292489</c:v>
                </c:pt>
                <c:pt idx="57">
                  <c:v>-80568.7736811837</c:v>
                </c:pt>
                <c:pt idx="58">
                  <c:v>-78648.70676173814</c:v>
                </c:pt>
                <c:pt idx="59">
                  <c:v>-76495.55061689255</c:v>
                </c:pt>
                <c:pt idx="60">
                  <c:v>-74588.34383380503</c:v>
                </c:pt>
                <c:pt idx="61">
                  <c:v>-72687.99278310628</c:v>
                </c:pt>
                <c:pt idx="62">
                  <c:v>-70558.9565452948</c:v>
                </c:pt>
                <c:pt idx="63">
                  <c:v>-68674.96006151366</c:v>
                </c:pt>
                <c:pt idx="64">
                  <c:v>-66799.53002109205</c:v>
                </c:pt>
                <c:pt idx="65">
                  <c:v>-64700.62896395361</c:v>
                </c:pt>
                <c:pt idx="66">
                  <c:v>-62845.33421508742</c:v>
                </c:pt>
                <c:pt idx="67">
                  <c:v>-61000.45522179082</c:v>
                </c:pt>
                <c:pt idx="68">
                  <c:v>-58938.19185999589</c:v>
                </c:pt>
                <c:pt idx="69">
                  <c:v>-57117.53151668291</c:v>
                </c:pt>
                <c:pt idx="70">
                  <c:v>-55309.28240772686</c:v>
                </c:pt>
                <c:pt idx="71">
                  <c:v>-53290.67307252447</c:v>
                </c:pt>
                <c:pt idx="72">
                  <c:v>-51511.04432508859</c:v>
                </c:pt>
                <c:pt idx="73">
                  <c:v>-49745.97565061512</c:v>
                </c:pt>
                <c:pt idx="74">
                  <c:v>-47778.57575572333</c:v>
                </c:pt>
                <c:pt idx="75">
                  <c:v>-46046.86225919663</c:v>
                </c:pt>
                <c:pt idx="76">
                  <c:v>-44332.01768741841</c:v>
                </c:pt>
                <c:pt idx="77">
                  <c:v>-42423.945096951415</c:v>
                </c:pt>
                <c:pt idx="78">
                  <c:v>-40747.537049505336</c:v>
                </c:pt>
                <c:pt idx="79">
                  <c:v>-39090.472738230674</c:v>
                </c:pt>
                <c:pt idx="80">
                  <c:v>-37250.42865196269</c:v>
                </c:pt>
                <c:pt idx="81">
                  <c:v>-35637.24050020533</c:v>
                </c:pt>
                <c:pt idx="82">
                  <c:v>-34046.04194794646</c:v>
                </c:pt>
                <c:pt idx="83">
                  <c:v>-32283.3287901734</c:v>
                </c:pt>
                <c:pt idx="84">
                  <c:v>-30741.8141453946</c:v>
                </c:pt>
                <c:pt idx="85">
                  <c:v>-29225.110156037</c:v>
                </c:pt>
                <c:pt idx="86">
                  <c:v>-27549.64613181504</c:v>
                </c:pt>
                <c:pt idx="87">
                  <c:v>-26088.809681649203</c:v>
                </c:pt>
                <c:pt idx="88">
                  <c:v>-24655.783322873118</c:v>
                </c:pt>
                <c:pt idx="89">
                  <c:v>-23078.113644632846</c:v>
                </c:pt>
                <c:pt idx="90">
                  <c:v>-21707.520208299306</c:v>
                </c:pt>
                <c:pt idx="91">
                  <c:v>-20367.91707237235</c:v>
                </c:pt>
                <c:pt idx="92">
                  <c:v>-18899.22242547247</c:v>
                </c:pt>
                <c:pt idx="93">
                  <c:v>-17629.003880901917</c:v>
                </c:pt>
                <c:pt idx="94">
                  <c:v>-16393.138607990768</c:v>
                </c:pt>
                <c:pt idx="95">
                  <c:v>-15045.242230124342</c:v>
                </c:pt>
                <c:pt idx="96">
                  <c:v>-13886.103797269352</c:v>
                </c:pt>
                <c:pt idx="97">
                  <c:v>-12764.866565310112</c:v>
                </c:pt>
                <c:pt idx="98">
                  <c:v>-11550.242027722496</c:v>
                </c:pt>
                <c:pt idx="99">
                  <c:v>-10513.46974524825</c:v>
                </c:pt>
                <c:pt idx="100">
                  <c:v>-9518.334244312478</c:v>
                </c:pt>
                <c:pt idx="101">
                  <c:v>-8450.11460672399</c:v>
                </c:pt>
                <c:pt idx="102">
                  <c:v>-7547.5826717634845</c:v>
                </c:pt>
                <c:pt idx="103">
                  <c:v>-6690.610806332428</c:v>
                </c:pt>
                <c:pt idx="104">
                  <c:v>-5782.586392976991</c:v>
                </c:pt>
                <c:pt idx="105">
                  <c:v>-5026.741503405137</c:v>
                </c:pt>
                <c:pt idx="106">
                  <c:v>-4320.543295968455</c:v>
                </c:pt>
                <c:pt idx="107">
                  <c:v>-3587.063067524843</c:v>
                </c:pt>
                <c:pt idx="108">
                  <c:v>-2990.7521080161314</c:v>
                </c:pt>
                <c:pt idx="109">
                  <c:v>-2448.174221919682</c:v>
                </c:pt>
                <c:pt idx="110">
                  <c:v>-1903.505948859045</c:v>
                </c:pt>
                <c:pt idx="111">
                  <c:v>-1478.9642244424758</c:v>
                </c:pt>
                <c:pt idx="112">
                  <c:v>-1111.366579203488</c:v>
                </c:pt>
                <c:pt idx="113">
                  <c:v>-766.3118882481267</c:v>
                </c:pt>
                <c:pt idx="114">
                  <c:v>-520.010223424264</c:v>
                </c:pt>
                <c:pt idx="115">
                  <c:v>-328.85027552274187</c:v>
                </c:pt>
                <c:pt idx="116">
                  <c:v>-175.28477054044197</c:v>
                </c:pt>
                <c:pt idx="117">
                  <c:v>-86.79473246431189</c:v>
                </c:pt>
                <c:pt idx="118">
                  <c:v>-34.56744155919023</c:v>
                </c:pt>
                <c:pt idx="119">
                  <c:v>-6.7016754171791035</c:v>
                </c:pt>
                <c:pt idx="120">
                  <c:v>0</c:v>
                </c:pt>
                <c:pt idx="121">
                  <c:v>-6.7016754171791035</c:v>
                </c:pt>
                <c:pt idx="122">
                  <c:v>-34.56744155918659</c:v>
                </c:pt>
                <c:pt idx="123">
                  <c:v>-86.79473246430734</c:v>
                </c:pt>
                <c:pt idx="124">
                  <c:v>-175.28477054044197</c:v>
                </c:pt>
                <c:pt idx="125">
                  <c:v>-328.85027552274187</c:v>
                </c:pt>
                <c:pt idx="126">
                  <c:v>-520.010223424264</c:v>
                </c:pt>
                <c:pt idx="127">
                  <c:v>-766.3118882481267</c:v>
                </c:pt>
                <c:pt idx="128">
                  <c:v>-1111.366579203488</c:v>
                </c:pt>
                <c:pt idx="129">
                  <c:v>-1478.9642244424758</c:v>
                </c:pt>
                <c:pt idx="130">
                  <c:v>-1903.505948859045</c:v>
                </c:pt>
                <c:pt idx="131">
                  <c:v>-2448.174221919682</c:v>
                </c:pt>
                <c:pt idx="132">
                  <c:v>-2990.7521080161423</c:v>
                </c:pt>
                <c:pt idx="133">
                  <c:v>-3587.0630675248613</c:v>
                </c:pt>
                <c:pt idx="134">
                  <c:v>-4320.543295968455</c:v>
                </c:pt>
                <c:pt idx="135">
                  <c:v>-5026.741503405137</c:v>
                </c:pt>
                <c:pt idx="136">
                  <c:v>-5782.586392976991</c:v>
                </c:pt>
                <c:pt idx="137">
                  <c:v>-6690.6108063344145</c:v>
                </c:pt>
                <c:pt idx="138">
                  <c:v>-7547.58267176729</c:v>
                </c:pt>
                <c:pt idx="139">
                  <c:v>-8450.11460672399</c:v>
                </c:pt>
                <c:pt idx="140">
                  <c:v>-9518.334244312478</c:v>
                </c:pt>
                <c:pt idx="141">
                  <c:v>-10513.46974524825</c:v>
                </c:pt>
                <c:pt idx="142">
                  <c:v>-11550.242027722496</c:v>
                </c:pt>
                <c:pt idx="143">
                  <c:v>-12764.866565310112</c:v>
                </c:pt>
                <c:pt idx="144">
                  <c:v>-13886.103797269352</c:v>
                </c:pt>
                <c:pt idx="145">
                  <c:v>-15045.242230124342</c:v>
                </c:pt>
                <c:pt idx="146">
                  <c:v>-16393.138607990768</c:v>
                </c:pt>
                <c:pt idx="147">
                  <c:v>-17629.00388090196</c:v>
                </c:pt>
                <c:pt idx="148">
                  <c:v>-18899.2224254725</c:v>
                </c:pt>
                <c:pt idx="149">
                  <c:v>-20367.91707237235</c:v>
                </c:pt>
                <c:pt idx="150">
                  <c:v>-21707.520208299306</c:v>
                </c:pt>
                <c:pt idx="151">
                  <c:v>-23078.113644632846</c:v>
                </c:pt>
                <c:pt idx="152">
                  <c:v>-24655.78332287309</c:v>
                </c:pt>
                <c:pt idx="153">
                  <c:v>-26088.80968164916</c:v>
                </c:pt>
                <c:pt idx="154">
                  <c:v>-27549.646131814996</c:v>
                </c:pt>
                <c:pt idx="155">
                  <c:v>-29225.110156036026</c:v>
                </c:pt>
                <c:pt idx="156">
                  <c:v>-30741.8141453946</c:v>
                </c:pt>
                <c:pt idx="157">
                  <c:v>-32283.3287901734</c:v>
                </c:pt>
                <c:pt idx="158">
                  <c:v>-34046.04194794646</c:v>
                </c:pt>
                <c:pt idx="159">
                  <c:v>-35637.24050020533</c:v>
                </c:pt>
                <c:pt idx="160">
                  <c:v>-37250.42865196265</c:v>
                </c:pt>
                <c:pt idx="161">
                  <c:v>-39090.47273823073</c:v>
                </c:pt>
                <c:pt idx="162">
                  <c:v>-40747.537049505336</c:v>
                </c:pt>
                <c:pt idx="163">
                  <c:v>-42423.945096951444</c:v>
                </c:pt>
                <c:pt idx="164">
                  <c:v>-44332.01768741835</c:v>
                </c:pt>
                <c:pt idx="165">
                  <c:v>-46046.86225919663</c:v>
                </c:pt>
                <c:pt idx="166">
                  <c:v>-47778.5757557234</c:v>
                </c:pt>
                <c:pt idx="167">
                  <c:v>-49745.97565061507</c:v>
                </c:pt>
                <c:pt idx="168">
                  <c:v>-51511.04432508859</c:v>
                </c:pt>
                <c:pt idx="169">
                  <c:v>-53290.67307252441</c:v>
                </c:pt>
                <c:pt idx="170">
                  <c:v>-55309.2824077269</c:v>
                </c:pt>
                <c:pt idx="171">
                  <c:v>-57117.531516682895</c:v>
                </c:pt>
                <c:pt idx="172">
                  <c:v>-58938.1918599959</c:v>
                </c:pt>
                <c:pt idx="173">
                  <c:v>-61000.45522179079</c:v>
                </c:pt>
                <c:pt idx="174">
                  <c:v>-62845.33421508745</c:v>
                </c:pt>
                <c:pt idx="175">
                  <c:v>-64700.62896395409</c:v>
                </c:pt>
                <c:pt idx="176">
                  <c:v>-66799.5300210921</c:v>
                </c:pt>
                <c:pt idx="177">
                  <c:v>-68674.96006151366</c:v>
                </c:pt>
                <c:pt idx="178">
                  <c:v>-70558.95654529486</c:v>
                </c:pt>
                <c:pt idx="179">
                  <c:v>-72687.99278310622</c:v>
                </c:pt>
                <c:pt idx="180">
                  <c:v>-74588.34383380503</c:v>
                </c:pt>
                <c:pt idx="181">
                  <c:v>-76495.55061689264</c:v>
                </c:pt>
                <c:pt idx="182">
                  <c:v>-78648.70676173811</c:v>
                </c:pt>
                <c:pt idx="183">
                  <c:v>-80568.7736811837</c:v>
                </c:pt>
                <c:pt idx="184">
                  <c:v>-82494.11644292518</c:v>
                </c:pt>
                <c:pt idx="185">
                  <c:v>-84665.8371283485</c:v>
                </c:pt>
                <c:pt idx="186">
                  <c:v>-86600.81524649766</c:v>
                </c:pt>
                <c:pt idx="187">
                  <c:v>-88539.61228230715</c:v>
                </c:pt>
                <c:pt idx="188">
                  <c:v>-90724.77444856253</c:v>
                </c:pt>
                <c:pt idx="189">
                  <c:v>-92670.23504071141</c:v>
                </c:pt>
                <c:pt idx="190">
                  <c:v>-94618.17278073911</c:v>
                </c:pt>
                <c:pt idx="191">
                  <c:v>-96812.05822906029</c:v>
                </c:pt>
                <c:pt idx="192">
                  <c:v>-98763.92423983713</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c:v>
                </c:pt>
                <c:pt idx="214">
                  <c:v>-143103.28717150204</c:v>
                </c:pt>
                <c:pt idx="215">
                  <c:v>-145237.23692226943</c:v>
                </c:pt>
                <c:pt idx="216">
                  <c:v>-147128.35590287362</c:v>
                </c:pt>
                <c:pt idx="217">
                  <c:v>-149013.88756056636</c:v>
                </c:pt>
                <c:pt idx="218">
                  <c:v>-151128.20153368788</c:v>
                </c:pt>
                <c:pt idx="219">
                  <c:v>-153001.25134490427</c:v>
                </c:pt>
                <c:pt idx="220">
                  <c:v>-154868.1520014535</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-190472.5531477006</c:v>
                </c:pt>
                <c:pt idx="240">
                  <c:v>-192178.91313344726</c:v>
                </c:pt>
              </c:numCache>
            </c:numRef>
          </c:yVal>
        </c:ser>
        <c:ser>
          <c:idx val="3"/>
          <c:order val="3"/>
          <c:tx>
            <c:v>Operating 25 km / 1600 km pass</c:v>
          </c:tx>
          <c:spPr>
            <a:ln xmlns:a="http://schemas.openxmlformats.org/drawingml/2006/main" w="19050">
              <a:solidFill>
                <a:srgbClr val="7C3AED"/>
              </a:solidFill>
            </a:ln>
          </c:spPr>
          <c:marker>
            <c:symbol val="none"/>
          </c:marker>
          <c:xVal>
            <c:numRef>
              <c:f>Native_Chart_Data!$G$248:$G$488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c:v>
                </c:pt>
                <c:pt idx="16">
                  <c:v>-166607.7364499004</c:v>
                </c:pt>
                <c:pt idx="17">
                  <c:v>-164527.09337077424</c:v>
                </c:pt>
                <c:pt idx="18">
                  <c:v>-162669.9960054315</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-140849.2828749542</c:v>
                </c:pt>
                <c:pt idx="30">
                  <c:v>-138916.5188951826</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c:v>
                </c:pt>
                <c:pt idx="51">
                  <c:v>-95895.98581265062</c:v>
                </c:pt>
                <c:pt idx="52">
                  <c:v>-93922.89271885809</c:v>
                </c:pt>
                <c:pt idx="53">
                  <c:v>-91705.91995911699</c:v>
                </c:pt>
                <c:pt idx="54">
                  <c:v>-89738.19699014083</c:v>
                </c:pt>
                <c:pt idx="55">
                  <c:v>-87773.67562430885</c:v>
                </c:pt>
                <c:pt idx="56">
                  <c:v>-85567.97437946271</c:v>
                </c:pt>
                <c:pt idx="57">
                  <c:v>-83611.75944718669</c:v>
                </c:pt>
                <c:pt idx="58">
                  <c:v>-81660.18743462116</c:v>
                </c:pt>
                <c:pt idx="59">
                  <c:v>-79470.82596585053</c:v>
                </c:pt>
                <c:pt idx="60">
                  <c:v>-77530.75464681152</c:v>
                </c:pt>
                <c:pt idx="61">
                  <c:v>-75596.89314596457</c:v>
                </c:pt>
                <c:pt idx="62">
                  <c:v>-73429.38122625276</c:v>
                </c:pt>
                <c:pt idx="63">
                  <c:v>-71510.49050705163</c:v>
                </c:pt>
                <c:pt idx="64">
                  <c:v>-69599.51053278937</c:v>
                </c:pt>
                <c:pt idx="65">
                  <c:v>-67459.82912343887</c:v>
                </c:pt>
                <c:pt idx="66">
                  <c:v>-65567.5837894667</c:v>
                </c:pt>
                <c:pt idx="67">
                  <c:v>-63685.092564364764</c:v>
                </c:pt>
                <c:pt idx="68">
                  <c:v>-61579.723356260394</c:v>
                </c:pt>
                <c:pt idx="69">
                  <c:v>-59720.04210248677</c:v>
                </c:pt>
                <c:pt idx="70">
                  <c:v>-57872.108972824644</c:v>
                </c:pt>
                <c:pt idx="71">
                  <c:v>-55808.06323941442</c:v>
                </c:pt>
                <c:pt idx="72">
                  <c:v>-53987.34398363595</c:v>
                </c:pt>
                <c:pt idx="73">
                  <c:v>-52180.525354744386</c:v>
                </c:pt>
                <c:pt idx="74">
                  <c:v>-50165.37147333971</c:v>
                </c:pt>
                <c:pt idx="75">
                  <c:v>-48390.51527485564</c:v>
                </c:pt>
                <c:pt idx="76">
                  <c:v>-46631.87794663328</c:v>
                </c:pt>
                <c:pt idx="77">
                  <c:v>-44673.766867657614</c:v>
                </c:pt>
                <c:pt idx="78">
                  <c:v>-42952.19979250127</c:v>
                </c:pt>
                <c:pt idx="79">
                  <c:v>-41249.342022155164</c:v>
                </c:pt>
                <c:pt idx="80">
                  <c:v>-39357.02991700129</c:v>
                </c:pt>
                <c:pt idx="81">
                  <c:v>-37696.722160192</c:v>
                </c:pt>
                <c:pt idx="82">
                  <c:v>-36057.79176290192</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c:v>
                </c:pt>
                <c:pt idx="98">
                  <c:v>-12681.604714695779</c:v>
                </c:pt>
                <c:pt idx="99">
                  <c:v>-11588.17818289464</c:v>
                </c:pt>
                <c:pt idx="100">
                  <c:v>-10536.017531248719</c:v>
                </c:pt>
                <c:pt idx="101">
                  <c:v>-9403.219768093775</c:v>
                </c:pt>
                <c:pt idx="102">
                  <c:v>-8442.924503822665</c:v>
                </c:pt>
                <c:pt idx="103">
                  <c:v>-7527.867382246135</c:v>
                </c:pt>
                <c:pt idx="104">
                  <c:v>-6554.136414658264</c:v>
                </c:pt>
                <c:pt idx="105">
                  <c:v>-5739.591971731104</c:v>
                </c:pt>
                <c:pt idx="106">
                  <c:v>-4974.4518534386225</c:v>
                </c:pt>
                <c:pt idx="107">
                  <c:v>-4174.431723955735</c:v>
                </c:pt>
                <c:pt idx="108">
                  <c:v>-3518.8494159470647</c:v>
                </c:pt>
                <c:pt idx="109">
                  <c:v>-2916.9995331569153</c:v>
                </c:pt>
                <c:pt idx="110">
                  <c:v>-2305.8725854526674</c:v>
                </c:pt>
                <c:pt idx="111">
                  <c:v>-1822.7678078152858</c:v>
                </c:pt>
                <c:pt idx="112">
                  <c:v>-1397.552072156148</c:v>
                </c:pt>
                <c:pt idx="113">
                  <c:v>-989.6747178815604</c:v>
                </c:pt>
                <c:pt idx="114">
                  <c:v>-690.4618564313296</c:v>
                </c:pt>
                <c:pt idx="115">
                  <c:v>-450.68761011315837</c:v>
                </c:pt>
                <c:pt idx="116">
                  <c:v>-249.93122636938642</c:v>
                </c:pt>
                <c:pt idx="117">
                  <c:v>-128.3739092290234</c:v>
                </c:pt>
                <c:pt idx="118">
                  <c:v>-52.890554438504296</c:v>
                </c:pt>
                <c:pt idx="119">
                  <c:v>-10.54136055730396</c:v>
                </c:pt>
                <c:pt idx="120">
                  <c:v>0</c:v>
                </c:pt>
                <c:pt idx="121">
                  <c:v>-10.54136055730396</c:v>
                </c:pt>
                <c:pt idx="122">
                  <c:v>-52.89055443850248</c:v>
                </c:pt>
                <c:pt idx="123">
                  <c:v>-128.37390922901977</c:v>
                </c:pt>
                <c:pt idx="124">
                  <c:v>-249.93122636938642</c:v>
                </c:pt>
                <c:pt idx="125">
                  <c:v>-450.68761011315837</c:v>
                </c:pt>
                <c:pt idx="126">
                  <c:v>-690.4618564313296</c:v>
                </c:pt>
                <c:pt idx="127">
                  <c:v>-989.6747178815604</c:v>
                </c:pt>
                <c:pt idx="128">
                  <c:v>-1397.552072156148</c:v>
                </c:pt>
                <c:pt idx="129">
                  <c:v>-1822.7678078152858</c:v>
                </c:pt>
                <c:pt idx="130">
                  <c:v>-2305.8725854526674</c:v>
                </c:pt>
                <c:pt idx="131">
                  <c:v>-2916.9995331569153</c:v>
                </c:pt>
                <c:pt idx="132">
                  <c:v>-3518.8494159470793</c:v>
                </c:pt>
                <c:pt idx="133">
                  <c:v>-4174.4317239557495</c:v>
                </c:pt>
                <c:pt idx="134">
                  <c:v>-4974.4518534386225</c:v>
                </c:pt>
                <c:pt idx="135">
                  <c:v>-5739.591971731104</c:v>
                </c:pt>
                <c:pt idx="136">
                  <c:v>-6554.136414658264</c:v>
                </c:pt>
                <c:pt idx="137">
                  <c:v>-7527.867382244032</c:v>
                </c:pt>
                <c:pt idx="138">
                  <c:v>-8442.924503822644</c:v>
                </c:pt>
                <c:pt idx="139">
                  <c:v>-9403.219768093775</c:v>
                </c:pt>
                <c:pt idx="140">
                  <c:v>-10536.017531248719</c:v>
                </c:pt>
                <c:pt idx="141">
                  <c:v>-11588.17818289464</c:v>
                </c:pt>
                <c:pt idx="142">
                  <c:v>-12681.604714695779</c:v>
                </c:pt>
                <c:pt idx="143">
                  <c:v>-13959.5036406426</c:v>
                </c:pt>
                <c:pt idx="144">
                  <c:v>-15136.55814203358</c:v>
                </c:pt>
                <c:pt idx="145">
                  <c:v>-16351.096914099966</c:v>
                </c:pt>
                <c:pt idx="146">
                  <c:v>-17760.80185039583</c:v>
                </c:pt>
                <c:pt idx="147">
                  <c:v>-19051.13227164834</c:v>
                </c:pt>
                <c:pt idx="148">
                  <c:v>-20375.352826851158</c:v>
                </c:pt>
                <c:pt idx="149">
                  <c:v>-21904.22804430117</c:v>
                </c:pt>
                <c:pt idx="150">
                  <c:v>-23296.801058357276</c:v>
                </c:pt>
                <c:pt idx="151">
                  <c:v>-24719.85672730935</c:v>
                </c:pt>
                <c:pt idx="152">
                  <c:v>-26355.92282022882</c:v>
                </c:pt>
                <c:pt idx="153">
                  <c:v>-27840.28839250606</c:v>
                </c:pt>
                <c:pt idx="154">
                  <c:v>-29351.91580166442</c:v>
                </c:pt>
                <c:pt idx="155">
                  <c:v>-31083.84952937637</c:v>
                </c:pt>
                <c:pt idx="156">
                  <c:v>-32650.140682705838</c:v>
                </c:pt>
                <c:pt idx="157">
                  <c:v>-34240.659083493854</c:v>
                </c:pt>
                <c:pt idx="158">
                  <c:v>-36057.79176290192</c:v>
                </c:pt>
                <c:pt idx="159">
                  <c:v>-37696.722160192</c:v>
                </c:pt>
                <c:pt idx="160">
                  <c:v>-39357.029917001244</c:v>
                </c:pt>
                <c:pt idx="161">
                  <c:v>-41249.34202215604</c:v>
                </c:pt>
                <c:pt idx="162">
                  <c:v>-42952.19979250127</c:v>
                </c:pt>
                <c:pt idx="163">
                  <c:v>-44673.76686765764</c:v>
                </c:pt>
                <c:pt idx="164">
                  <c:v>-46631.87794663398</c:v>
                </c:pt>
                <c:pt idx="165">
                  <c:v>-48390.51527485564</c:v>
                </c:pt>
                <c:pt idx="166">
                  <c:v>-50165.37147334049</c:v>
                </c:pt>
                <c:pt idx="167">
                  <c:v>-52180.52535474431</c:v>
                </c:pt>
                <c:pt idx="168">
                  <c:v>-53987.34398363595</c:v>
                </c:pt>
                <c:pt idx="169">
                  <c:v>-55808.06323941368</c:v>
                </c:pt>
                <c:pt idx="170">
                  <c:v>-57872.10897282533</c:v>
                </c:pt>
                <c:pt idx="171">
                  <c:v>-59720.04210248674</c:v>
                </c:pt>
                <c:pt idx="172">
                  <c:v>-61579.72335626042</c:v>
                </c:pt>
                <c:pt idx="173">
                  <c:v>-63685.09256436417</c:v>
                </c:pt>
                <c:pt idx="174">
                  <c:v>-65567.58378946672</c:v>
                </c:pt>
                <c:pt idx="175">
                  <c:v>-67459.8291234388</c:v>
                </c:pt>
                <c:pt idx="176">
                  <c:v>-69599.51053278941</c:v>
                </c:pt>
                <c:pt idx="177">
                  <c:v>-71510.49050705163</c:v>
                </c:pt>
                <c:pt idx="178">
                  <c:v>-73429.38122625335</c:v>
                </c:pt>
                <c:pt idx="179">
                  <c:v>-75596.89314596399</c:v>
                </c:pt>
                <c:pt idx="180">
                  <c:v>-77530.75464681152</c:v>
                </c:pt>
                <c:pt idx="181">
                  <c:v>-79470.82596585111</c:v>
                </c:pt>
                <c:pt idx="182">
                  <c:v>-81660.1874346211</c:v>
                </c:pt>
                <c:pt idx="183">
                  <c:v>-83611.75944718669</c:v>
                </c:pt>
                <c:pt idx="184">
                  <c:v>-85567.97437946207</c:v>
                </c:pt>
                <c:pt idx="185">
                  <c:v>-87773.67562430893</c:v>
                </c:pt>
                <c:pt idx="186">
                  <c:v>-89738.19699014083</c:v>
                </c:pt>
                <c:pt idx="187">
                  <c:v>-91705.91995911617</c:v>
                </c:pt>
                <c:pt idx="188">
                  <c:v>-93922.89271885797</c:v>
                </c:pt>
                <c:pt idx="189">
                  <c:v>-95895.98581265062</c:v>
                </c:pt>
                <c:pt idx="190">
                  <c:v>-97870.95642178803</c:v>
                </c:pt>
                <c:pt idx="191">
                  <c:v>-100094.54459469789</c:v>
                </c:pt>
                <c:pt idx="192">
                  <c:v>-102072.18940950758</c:v>
                </c:pt>
                <c:pt idx="193">
                  <c:v>-104050.49672552545</c:v>
                </c:pt>
                <c:pt idx="194">
                  <c:v>-106276.42770998081</c:v>
                </c:pt>
                <c:pt idx="195">
                  <c:v>-108254.93665267841</c:v>
                </c:pt>
                <c:pt idx="196">
                  <c:v>-110232.99428005761</c:v>
                </c:pt>
                <c:pt idx="197">
                  <c:v>-112457.3512933722</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-130896.1058035729</c:v>
                </c:pt>
                <c:pt idx="207">
                  <c:v>-132847.0183380536</c:v>
                </c:pt>
                <c:pt idx="208">
                  <c:v>-134793.8913710381</c:v>
                </c:pt>
                <c:pt idx="209">
                  <c:v>-136979.00244933437</c:v>
                </c:pt>
                <c:pt idx="210">
                  <c:v>-138916.5188951826</c:v>
                </c:pt>
                <c:pt idx="211">
                  <c:v>-140849.28287495405</c:v>
                </c:pt>
                <c:pt idx="212">
                  <c:v>-143017.6944627408</c:v>
                </c:pt>
                <c:pt idx="213">
                  <c:v>-144939.65393967155</c:v>
                </c:pt>
                <c:pt idx="214">
                  <c:v>-146856.2100081469</c:v>
                </c:pt>
                <c:pt idx="215">
                  <c:v>-149005.63294747737</c:v>
                </c:pt>
                <c:pt idx="216">
                  <c:v>-150910.062898851</c:v>
                </c:pt>
                <c:pt idx="217">
                  <c:v>-152808.49543699686</c:v>
                </c:pt>
                <c:pt idx="218">
                  <c:v>-154936.84079418762</c:v>
                </c:pt>
                <c:pt idx="219">
                  <c:v>-156821.9415170548</c:v>
                </c:pt>
                <c:pt idx="220">
                  <c:v>-158700.503065868</c:v>
                </c:pt>
                <c:pt idx="221">
                  <c:v>-160805.86562780722</c:v>
                </c:pt>
                <c:pt idx="222">
                  <c:v>-162669.9960054315</c:v>
                </c:pt>
                <c:pt idx="223">
                  <c:v>-164527.0933707741</c:v>
                </c:pt>
                <c:pt idx="224">
                  <c:v>-166607.73644990035</c:v>
                </c:pt>
                <c:pt idx="225">
                  <c:v>-168449.4008262297</c:v>
                </c:pt>
                <c:pt idx="226">
                  <c:v>-170283.5823050193</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-187091.6621591744</c:v>
                </c:pt>
                <c:pt idx="236">
                  <c:v>-189058.9662057004</c:v>
                </c:pt>
                <c:pt idx="237">
                  <c:v>-190798.31818207764</c:v>
                </c:pt>
                <c:pt idx="238">
                  <c:v>-192528.7589427018</c:v>
                </c:pt>
                <c:pt idx="239">
                  <c:v>-194464.73837065237</c:v>
                </c:pt>
                <c:pt idx="240">
                  <c:v>-196175.94007289349</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50000"/>
          <c:min val="-2500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Terrain Baseline: Total Radar Elevation Error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Total radar elevation error - custom parabolic</c:v>
          </c:tx>
          <c:spPr>
            <a:ln xmlns:a="http://schemas.openxmlformats.org/drawingml/2006/main" w="19050">
              <a:solidFill>
                <a:srgbClr val="DC581C"/>
              </a:solidFill>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c:v>
                </c:pt>
                <c:pt idx="1">
                  <c:v>-21.835331789793656</c:v>
                </c:pt>
                <c:pt idx="2">
                  <c:v>-10.1755490948848</c:v>
                </c:pt>
                <c:pt idx="3">
                  <c:v>-24.33397914678592</c:v>
                </c:pt>
                <c:pt idx="4">
                  <c:v>-34.145943095855884</c:v>
                </c:pt>
                <c:pt idx="5">
                  <c:v>-37.18620756396368</c:v>
                </c:pt>
                <c:pt idx="6">
                  <c:v>-57.97778339698746</c:v>
                </c:pt>
                <c:pt idx="7">
                  <c:v>-59.899357079548835</c:v>
                </c:pt>
                <c:pt idx="8">
                  <c:v>-64.55713040328685</c:v>
                </c:pt>
                <c:pt idx="9">
                  <c:v>-41.33568476798443</c:v>
                </c:pt>
                <c:pt idx="10">
                  <c:v>-49.58095040517583</c:v>
                </c:pt>
                <c:pt idx="11">
                  <c:v>-53.11367179601942</c:v>
                </c:pt>
                <c:pt idx="12">
                  <c:v>-41.23963182688874</c:v>
                </c:pt>
                <c:pt idx="13">
                  <c:v>-52.89202961017506</c:v>
                </c:pt>
                <c:pt idx="14">
                  <c:v>-58.58124540527393</c:v>
                </c:pt>
                <c:pt idx="15">
                  <c:v>-45.612087128365545</c:v>
                </c:pt>
                <c:pt idx="16">
                  <c:v>-47.85601796566243</c:v>
                </c:pt>
                <c:pt idx="17">
                  <c:v>-36.597181996407414</c:v>
                </c:pt>
                <c:pt idx="18">
                  <c:v>-43.00623256223966</c:v>
                </c:pt>
                <c:pt idx="19">
                  <c:v>-51.79967795698167</c:v>
                </c:pt>
                <c:pt idx="20">
                  <c:v>-33.13988446377812</c:v>
                </c:pt>
                <c:pt idx="21">
                  <c:v>-55.728002609540795</c:v>
                </c:pt>
                <c:pt idx="22">
                  <c:v>-43.55059818784699</c:v>
                </c:pt>
                <c:pt idx="23">
                  <c:v>-44.12840969169716</c:v>
                </c:pt>
                <c:pt idx="24">
                  <c:v>-59.24933487502835</c:v>
                </c:pt>
                <c:pt idx="25">
                  <c:v>-57.61708752121564</c:v>
                </c:pt>
                <c:pt idx="26">
                  <c:v>-64.67682483280376</c:v>
                </c:pt>
                <c:pt idx="27">
                  <c:v>-60.9353736942775</c:v>
                </c:pt>
                <c:pt idx="28">
                  <c:v>-52.674234164719905</c:v>
                </c:pt>
                <c:pt idx="29">
                  <c:v>-39.87080279850994</c:v>
                </c:pt>
                <c:pt idx="30">
                  <c:v>-49.267020374654436</c:v>
                </c:pt>
                <c:pt idx="31">
                  <c:v>-30.449261480925486</c:v>
                </c:pt>
                <c:pt idx="32">
                  <c:v>-21.29823305713009</c:v>
                </c:pt>
                <c:pt idx="33">
                  <c:v>-25.11690437512837</c:v>
                </c:pt>
                <c:pt idx="34">
                  <c:v>-5.851868406506469</c:v>
                </c:pt>
                <c:pt idx="35">
                  <c:v>-11.611992984345875</c:v>
                </c:pt>
                <c:pt idx="36">
                  <c:v>6.721315243257379</c:v>
                </c:pt>
                <c:pt idx="37">
                  <c:v>13.847610350363624</c:v>
                </c:pt>
                <c:pt idx="38">
                  <c:v>15.915812814890273</c:v>
                </c:pt>
                <c:pt idx="39">
                  <c:v>12.9466902854939</c:v>
                </c:pt>
                <c:pt idx="40">
                  <c:v>29.102694375902416</c:v>
                </c:pt>
                <c:pt idx="41">
                  <c:v>31.11424964805272</c:v>
                </c:pt>
                <c:pt idx="42">
                  <c:v>30.101673250917116</c:v>
                </c:pt>
                <c:pt idx="43">
                  <c:v>32.133994706628584</c:v>
                </c:pt>
                <c:pt idx="44">
                  <c:v>19.12172334847037</c:v>
                </c:pt>
                <c:pt idx="45">
                  <c:v>16.33682565185896</c:v>
                </c:pt>
                <c:pt idx="46">
                  <c:v>23.552479750778133</c:v>
                </c:pt>
                <c:pt idx="47">
                  <c:v>19.03166123894414</c:v>
                </c:pt>
                <c:pt idx="48">
                  <c:v>-0.2623218193104435</c:v>
                </c:pt>
                <c:pt idx="49">
                  <c:v>-1.9757328739763693</c:v>
                </c:pt>
                <c:pt idx="50">
                  <c:v>7.184875005316087</c:v>
                </c:pt>
                <c:pt idx="51">
                  <c:v>7.068156756689859</c:v>
                </c:pt>
                <c:pt idx="52">
                  <c:v>-2.999835813461118</c:v>
                </c:pt>
                <c:pt idx="53">
                  <c:v>-11.29209622370604</c:v>
                </c:pt>
                <c:pt idx="54">
                  <c:v>-15.738275591660624</c:v>
                </c:pt>
                <c:pt idx="55">
                  <c:v>-17.06917876670684</c:v>
                </c:pt>
                <c:pt idx="56">
                  <c:v>-8.468507015690818</c:v>
                </c:pt>
                <c:pt idx="57">
                  <c:v>-12.093868668153164</c:v>
                </c:pt>
                <c:pt idx="58">
                  <c:v>10.459386000426377</c:v>
                </c:pt>
                <c:pt idx="59">
                  <c:v>4.900052542946412</c:v>
                </c:pt>
                <c:pt idx="60">
                  <c:v>15.012442539728227</c:v>
                </c:pt>
                <c:pt idx="61">
                  <c:v>33.78877449254139</c:v>
                </c:pt>
                <c:pt idx="62">
                  <c:v>20.490290570501998</c:v>
                </c:pt>
                <c:pt idx="63">
                  <c:v>27.55558811212802</c:v>
                </c:pt>
                <c:pt idx="64">
                  <c:v>50.86297851600432</c:v>
                </c:pt>
                <c:pt idx="65">
                  <c:v>61.01934725720247</c:v>
                </c:pt>
                <c:pt idx="66">
                  <c:v>67.75840286430258</c:v>
                </c:pt>
                <c:pt idx="67">
                  <c:v>76.23568800360908</c:v>
                </c:pt>
                <c:pt idx="68">
                  <c:v>80.44622831250399</c:v>
                </c:pt>
                <c:pt idx="69">
                  <c:v>102.62475841942188</c:v>
                </c:pt>
                <c:pt idx="70">
                  <c:v>95.9627285030823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134.9294543629348</c:v>
                </c:pt>
                <c:pt idx="84">
                  <c:v>147.29813428303765</c:v>
                </c:pt>
                <c:pt idx="85">
                  <c:v>137.25939183843724</c:v>
                </c:pt>
                <c:pt idx="86">
                  <c:v>123.99875892548812</c:v>
                </c:pt>
                <c:pt idx="87">
                  <c:v>122.1642571318593</c:v>
                </c:pt>
                <c:pt idx="88">
                  <c:v>95.69343337780924</c:v>
                </c:pt>
                <c:pt idx="89">
                  <c:v>107.59636634063799</c:v>
                </c:pt>
                <c:pt idx="90">
                  <c:v>88.756788598213</c:v>
                </c:pt>
                <c:pt idx="91">
                  <c:v>84.90823497062411</c:v>
                </c:pt>
                <c:pt idx="92">
                  <c:v>82.66882036124099</c:v>
                </c:pt>
                <c:pt idx="93">
                  <c:v>59.371781486156976</c:v>
                </c:pt>
                <c:pt idx="94">
                  <c:v>62.40409195271275</c:v>
                </c:pt>
                <c:pt idx="95">
                  <c:v>68.46106537271447</c:v>
                </c:pt>
                <c:pt idx="96">
                  <c:v>45.903038773874755</c:v>
                </c:pt>
                <c:pt idx="97">
                  <c:v>46.36006761282579</c:v>
                </c:pt>
                <c:pt idx="98">
                  <c:v>41.59395285736048</c:v>
                </c:pt>
                <c:pt idx="99">
                  <c:v>50.3973368399773</c:v>
                </c:pt>
                <c:pt idx="100">
                  <c:v>47.74262749334355</c:v>
                </c:pt>
                <c:pt idx="101">
                  <c:v>30.622778156968423</c:v>
                </c:pt>
                <c:pt idx="102">
                  <c:v>45.75306376780679</c:v>
                </c:pt>
                <c:pt idx="103">
                  <c:v>60.26909079725334</c:v>
                </c:pt>
                <c:pt idx="104">
                  <c:v>37.72928503169089</c:v>
                </c:pt>
                <c:pt idx="105">
                  <c:v>41.64822705623317</c:v>
                </c:pt>
                <c:pt idx="106">
                  <c:v>46.5780342922273</c:v>
                </c:pt>
                <c:pt idx="107">
                  <c:v>57.97037664669824</c:v>
                </c:pt>
                <c:pt idx="108">
                  <c:v>59.64286286593574</c:v>
                </c:pt>
                <c:pt idx="109">
                  <c:v>62.18129300695398</c:v>
                </c:pt>
                <c:pt idx="110">
                  <c:v>72.28193903621099</c:v>
                </c:pt>
                <c:pt idx="111">
                  <c:v>71.74572140012543</c:v>
                </c:pt>
                <c:pt idx="112">
                  <c:v>72.8933434872161</c:v>
                </c:pt>
                <c:pt idx="113">
                  <c:v>77.37954858602365</c:v>
                </c:pt>
                <c:pt idx="114">
                  <c:v>66.37148842226225</c:v>
                </c:pt>
                <c:pt idx="115">
                  <c:v>48.52707596926308</c:v>
                </c:pt>
                <c:pt idx="116">
                  <c:v>58.258002434762375</c:v>
                </c:pt>
                <c:pt idx="117">
                  <c:v>32.8240715860631</c:v>
                </c:pt>
                <c:pt idx="118">
                  <c:v>36.90745807012206</c:v>
                </c:pt>
                <c:pt idx="119">
                  <c:v>14.490732066080454</c:v>
                </c:pt>
                <c:pt idx="120">
                  <c:v>3.4704730016699727</c:v>
                </c:pt>
                <c:pt idx="121">
                  <c:v>-3.744887298194101</c:v>
                </c:pt>
                <c:pt idx="122">
                  <c:v>-44.60929521056897</c:v>
                </c:pt>
                <c:pt idx="123">
                  <c:v>-48.41044167320268</c:v>
                </c:pt>
                <c:pt idx="124">
                  <c:v>-67.2127716143965</c:v>
                </c:pt>
                <c:pt idx="125">
                  <c:v>-72.60871904794737</c:v>
                </c:pt>
                <c:pt idx="126">
                  <c:v>-83.79582951419684</c:v>
                </c:pt>
                <c:pt idx="127">
                  <c:v>-100.38174553044831</c:v>
                </c:pt>
                <c:pt idx="128">
                  <c:v>-98.13487225669684</c:v>
                </c:pt>
                <c:pt idx="129">
                  <c:v>-84.32559173978757</c:v>
                </c:pt>
                <c:pt idx="130">
                  <c:v>-100.70506580081894</c:v>
                </c:pt>
                <c:pt idx="131">
                  <c:v>-98.853802750613</c:v>
                </c:pt>
                <c:pt idx="132">
                  <c:v>-72.07812022820997</c:v>
                </c:pt>
                <c:pt idx="133">
                  <c:v>-79.36936471450957</c:v>
                </c:pt>
                <c:pt idx="134">
                  <c:v>-68.68735869698332</c:v>
                </c:pt>
                <c:pt idx="135">
                  <c:v>-57.88906159607785</c:v>
                </c:pt>
                <c:pt idx="136">
                  <c:v>-47.678060396535784</c:v>
                </c:pt>
                <c:pt idx="137">
                  <c:v>-37.06559531772615</c:v>
                </c:pt>
                <c:pt idx="138">
                  <c:v>-31.298672514684142</c:v>
                </c:pt>
                <c:pt idx="139">
                  <c:v>-7.331808066710664</c:v>
                </c:pt>
                <c:pt idx="140">
                  <c:v>6.950709341010338</c:v>
                </c:pt>
                <c:pt idx="141">
                  <c:v>-6.518900351173727</c:v>
                </c:pt>
                <c:pt idx="142">
                  <c:v>-3.5716399061417405</c:v>
                </c:pt>
                <c:pt idx="143">
                  <c:v>-5.661420832986096</c:v>
                </c:pt>
                <c:pt idx="144">
                  <c:v>-8.671483580595464</c:v>
                </c:pt>
                <c:pt idx="145">
                  <c:v>4.021249498760881</c:v>
                </c:pt>
                <c:pt idx="146">
                  <c:v>1.9459578878685306</c:v>
                </c:pt>
                <c:pt idx="147">
                  <c:v>-1.6666503235243226</c:v>
                </c:pt>
                <c:pt idx="148">
                  <c:v>-18.81128421623464</c:v>
                </c:pt>
                <c:pt idx="149">
                  <c:v>-29.029666399043833</c:v>
                </c:pt>
                <c:pt idx="150">
                  <c:v>-47.029230224199864</c:v>
                </c:pt>
                <c:pt idx="151">
                  <c:v>-50.77028983950106</c:v>
                </c:pt>
                <c:pt idx="152">
                  <c:v>-71.45092295981351</c:v>
                </c:pt>
                <c:pt idx="153">
                  <c:v>-73.29754339504791</c:v>
                </c:pt>
                <c:pt idx="154">
                  <c:v>-60.392783689960936</c:v>
                </c:pt>
                <c:pt idx="155">
                  <c:v>-67.59699500577472</c:v>
                </c:pt>
                <c:pt idx="156">
                  <c:v>-72.44552854447926</c:v>
                </c:pt>
                <c:pt idx="157">
                  <c:v>-86.11751503190482</c:v>
                </c:pt>
                <c:pt idx="158">
                  <c:v>-89.87063812898208</c:v>
                </c:pt>
                <c:pt idx="159">
                  <c:v>-82.23751612797241</c:v>
                </c:pt>
                <c:pt idx="160">
                  <c:v>-76.53704728675359</c:v>
                </c:pt>
                <c:pt idx="161">
                  <c:v>-79.34560005519478</c:v>
                </c:pt>
                <c:pt idx="162">
                  <c:v>-86.91047035433752</c:v>
                </c:pt>
                <c:pt idx="163">
                  <c:v>-86.01689250798682</c:v>
                </c:pt>
                <c:pt idx="164">
                  <c:v>-75.79770446387516</c:v>
                </c:pt>
                <c:pt idx="165">
                  <c:v>-76.31405067890728</c:v>
                </c:pt>
                <c:pt idx="166">
                  <c:v>-64.25633636231674</c:v>
                </c:pt>
                <c:pt idx="167">
                  <c:v>-73.4728540128869</c:v>
                </c:pt>
                <c:pt idx="168">
                  <c:v>-78.06097148341985</c:v>
                </c:pt>
                <c:pt idx="169">
                  <c:v>-82.77777036732385</c:v>
                </c:pt>
                <c:pt idx="170">
                  <c:v>-64.0586008488292</c:v>
                </c:pt>
                <c:pt idx="171">
                  <c:v>-70.33405513005249</c:v>
                </c:pt>
                <c:pt idx="172">
                  <c:v>-67.49562383687334</c:v>
                </c:pt>
                <c:pt idx="173">
                  <c:v>-72.00336103907381</c:v>
                </c:pt>
                <c:pt idx="174">
                  <c:v>-66.74406286520434</c:v>
                </c:pt>
                <c:pt idx="175">
                  <c:v>-48.058872961976704</c:v>
                </c:pt>
                <c:pt idx="176">
                  <c:v>-61.09136424796961</c:v>
                </c:pt>
                <c:pt idx="177">
                  <c:v>-55.904413669962196</c:v>
                </c:pt>
                <c:pt idx="178">
                  <c:v>-31.39290658082129</c:v>
                </c:pt>
                <c:pt idx="179">
                  <c:v>-22.367241319432367</c:v>
                </c:pt>
                <c:pt idx="180">
                  <c:v>-13.799924431809131</c:v>
                </c:pt>
                <c:pt idx="181">
                  <c:v>-6.1036281431614725</c:v>
                </c:pt>
                <c:pt idx="182">
                  <c:v>-20.543420099947923</c:v>
                </c:pt>
                <c:pt idx="183">
                  <c:v>-20.28539462774293</c:v>
                </c:pt>
                <c:pt idx="184">
                  <c:v>-0.42689792163008633</c:v>
                </c:pt>
                <c:pt idx="185">
                  <c:v>-7.712229584059514</c:v>
                </c:pt>
                <c:pt idx="186">
                  <c:v>1.7249272045091288</c:v>
                </c:pt>
                <c:pt idx="187">
                  <c:v>-4.742014780555934</c:v>
                </c:pt>
                <c:pt idx="188">
                  <c:v>-12.008270604959733</c:v>
                </c:pt>
                <c:pt idx="189">
                  <c:v>-24.501863179500816</c:v>
                </c:pt>
                <c:pt idx="190">
                  <c:v>-31.09945778927886</c:v>
                </c:pt>
                <c:pt idx="191">
                  <c:v>-34.44955577121655</c:v>
                </c:pt>
                <c:pt idx="192">
                  <c:v>-47.77178417863914</c:v>
                </c:pt>
                <c:pt idx="193">
                  <c:v>-47.58850500560911</c:v>
                </c:pt>
                <c:pt idx="194">
                  <c:v>-61.04391279282535</c:v>
                </c:pt>
                <c:pt idx="195">
                  <c:v>-58.84680272570924</c:v>
                </c:pt>
                <c:pt idx="196">
                  <c:v>-77.72439146435559</c:v>
                </c:pt>
                <c:pt idx="197">
                  <c:v>-84.40826877550307</c:v>
                </c:pt>
                <c:pt idx="198">
                  <c:v>-85.90700470954434</c:v>
                </c:pt>
                <c:pt idx="199">
                  <c:v>-79.47691436006437</c:v>
                </c:pt>
                <c:pt idx="200">
                  <c:v>-69.55012271575345</c:v>
                </c:pt>
                <c:pt idx="201">
                  <c:v>-63.44908989814266</c:v>
                </c:pt>
                <c:pt idx="202">
                  <c:v>-55.69468625089738</c:v>
                </c:pt>
                <c:pt idx="203">
                  <c:v>-61.436839734876884</c:v>
                </c:pt>
                <c:pt idx="204">
                  <c:v>-37.65230230192819</c:v>
                </c:pt>
                <c:pt idx="205">
                  <c:v>-43.30298834836995</c:v>
                </c:pt>
                <c:pt idx="206">
                  <c:v>-36.28244299194577</c:v>
                </c:pt>
                <c:pt idx="207">
                  <c:v>-23.261421172748356</c:v>
                </c:pt>
                <c:pt idx="208">
                  <c:v>-9.63259125781883</c:v>
                </c:pt>
                <c:pt idx="209">
                  <c:v>1.0351428006268861</c:v>
                </c:pt>
                <c:pt idx="210">
                  <c:v>2.635051893500531</c:v>
                </c:pt>
                <c:pt idx="211">
                  <c:v>2.762829766127794</c:v>
                </c:pt>
                <c:pt idx="212">
                  <c:v>-1.8952716670484335</c:v>
                </c:pt>
                <c:pt idx="213">
                  <c:v>10.643125662069693</c:v>
                </c:pt>
                <c:pt idx="214">
                  <c:v>-7.2483720897441515</c:v>
                </c:pt>
                <c:pt idx="215">
                  <c:v>-6.218848981770151</c:v>
                </c:pt>
                <c:pt idx="216">
                  <c:v>7.316979239027631</c:v>
                </c:pt>
                <c:pt idx="217">
                  <c:v>0.40634772954453524</c:v>
                </c:pt>
                <c:pt idx="218">
                  <c:v>-12.02291335515622</c:v>
                </c:pt>
                <c:pt idx="219">
                  <c:v>0.5602533864366706</c:v>
                </c:pt>
                <c:pt idx="220">
                  <c:v>-9.90034021804506</c:v>
                </c:pt>
                <c:pt idx="221">
                  <c:v>-9.261408253939592</c:v>
                </c:pt>
                <c:pt idx="222">
                  <c:v>-13.64503521568463</c:v>
                </c:pt>
                <c:pt idx="223">
                  <c:v>2.0445562852635533</c:v>
                </c:pt>
                <c:pt idx="224">
                  <c:v>5.188627805772796</c:v>
                </c:pt>
                <c:pt idx="225">
                  <c:v>-9.24374226910868</c:v>
                </c:pt>
                <c:pt idx="226">
                  <c:v>-7.523615352549314</c:v>
                </c:pt>
                <c:pt idx="227">
                  <c:v>-2.890955997517267</c:v>
                </c:pt>
                <c:pt idx="228">
                  <c:v>4.780407983842736</c:v>
                </c:pt>
                <c:pt idx="229">
                  <c:v>7.851592639476451</c:v>
                </c:pt>
                <c:pt idx="230">
                  <c:v>-0.5459606868673177</c:v>
                </c:pt>
                <c:pt idx="231">
                  <c:v>3.3103320554038476</c:v>
                </c:pt>
                <c:pt idx="232">
                  <c:v>1.0046162126672868</c:v>
                </c:pt>
                <c:pt idx="233">
                  <c:v>-25.174071050032467</c:v>
                </c:pt>
                <c:pt idx="234">
                  <c:v>-22.117718757033032</c:v>
                </c:pt>
                <c:pt idx="235">
                  <c:v>-29.305969865231276</c:v>
                </c:pt>
                <c:pt idx="236">
                  <c:v>-33.763162078350604</c:v>
                </c:pt>
                <c:pt idx="237">
                  <c:v>-32.05079854149554</c:v>
                </c:pt>
                <c:pt idx="238">
                  <c:v>-29.468701438210815</c:v>
                </c:pt>
                <c:pt idx="239">
                  <c:v>-49.02543943363386</c:v>
                </c:pt>
                <c:pt idx="240">
                  <c:v>-35.49215422910294</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200"/>
          <c:min val="-15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Doppler: Flat Geometry vs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Flat VHF Doppler (Hz)</c:v>
          </c:tx>
          <c:spPr>
            <a:ln xmlns:a="http://schemas.openxmlformats.org/drawingml/2006/main" w="19050">
              <a:solidFill>
                <a:srgbClr val="0E74CA"/>
              </a:solidFill>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496.7909104278988</c:v>
                </c:pt>
                <c:pt idx="3">
                  <c:v>492.71549658133154</c:v>
                </c:pt>
                <c:pt idx="4">
                  <c:v>488.63679323794713</c:v>
                </c:pt>
                <c:pt idx="5">
                  <c:v>484.554822402788</c:v>
                </c:pt>
                <c:pt idx="6">
                  <c:v>480.4696062107723</c:v>
                </c:pt>
                <c:pt idx="7">
                  <c:v>476.38116695534336</c:v>
                </c:pt>
                <c:pt idx="8">
                  <c:v>472.2895270569097</c:v>
                </c:pt>
                <c:pt idx="9">
                  <c:v>468.1947090801259</c:v>
                </c:pt>
                <c:pt idx="10">
                  <c:v>464.0967357390764</c:v>
                </c:pt>
                <c:pt idx="11">
                  <c:v>459.9956298745383</c:v>
                </c:pt>
                <c:pt idx="12">
                  <c:v>455.89141447326256</c:v>
                </c:pt>
                <c:pt idx="13">
                  <c:v>451.7841126563326</c:v>
                </c:pt>
                <c:pt idx="14">
                  <c:v>447.67374769307935</c:v>
                </c:pt>
                <c:pt idx="15">
                  <c:v>443.56034297125007</c:v>
                </c:pt>
                <c:pt idx="16">
                  <c:v>439.4439220161985</c:v>
                </c:pt>
                <c:pt idx="17">
                  <c:v>435.32450851025715</c:v>
                </c:pt>
                <c:pt idx="18">
                  <c:v>431.2021262460803</c:v>
                </c:pt>
                <c:pt idx="19">
                  <c:v>427.0767991610228</c:v>
                </c:pt>
                <c:pt idx="20">
                  <c:v>422.9485513214968</c:v>
                </c:pt>
                <c:pt idx="21">
                  <c:v>418.81740692178937</c:v>
                </c:pt>
                <c:pt idx="22">
                  <c:v>414.6833903003426</c:v>
                </c:pt>
                <c:pt idx="23">
                  <c:v>410.54652591110425</c:v>
                </c:pt>
                <c:pt idx="24">
                  <c:v>406.40683834462834</c:v>
                </c:pt>
                <c:pt idx="25">
                  <c:v>402.26435232361837</c:v>
                </c:pt>
                <c:pt idx="26">
                  <c:v>398.1190926891031</c:v>
                </c:pt>
                <c:pt idx="27">
                  <c:v>393.9710844109868</c:v>
                </c:pt>
                <c:pt idx="28">
                  <c:v>389.8203525829558</c:v>
                </c:pt>
                <c:pt idx="29">
                  <c:v>385.6669224382131</c:v>
                </c:pt>
                <c:pt idx="30">
                  <c:v>381.5108193193737</c:v>
                </c:pt>
                <c:pt idx="31">
                  <c:v>377.3520686901975</c:v>
                </c:pt>
                <c:pt idx="32">
                  <c:v>373.1906961457753</c:v>
                </c:pt>
                <c:pt idx="33">
                  <c:v>369.0267273985228</c:v>
                </c:pt>
                <c:pt idx="34">
                  <c:v>364.8601882793628</c:v>
                </c:pt>
                <c:pt idx="35">
                  <c:v>360.6911047401809</c:v>
                </c:pt>
                <c:pt idx="36">
                  <c:v>356.5195028526432</c:v>
                </c:pt>
                <c:pt idx="37">
                  <c:v>352.3454087967366</c:v>
                </c:pt>
                <c:pt idx="38">
                  <c:v>348.16884888314235</c:v>
                </c:pt>
                <c:pt idx="39">
                  <c:v>343.98984952458704</c:v>
                </c:pt>
                <c:pt idx="40">
                  <c:v>339.80843724993974</c:v>
                </c:pt>
                <c:pt idx="41">
                  <c:v>335.62463871039654</c:v>
                </c:pt>
                <c:pt idx="42">
                  <c:v>331.4384806597445</c:v>
                </c:pt>
                <c:pt idx="43">
                  <c:v>327.2499899624563</c:v>
                </c:pt>
                <c:pt idx="44">
                  <c:v>323.0591935966004</c:v>
                </c:pt>
                <c:pt idx="45">
                  <c:v>318.8661186490208</c:v>
                </c:pt>
                <c:pt idx="46">
                  <c:v>314.6707923143367</c:v>
                </c:pt>
                <c:pt idx="47">
                  <c:v>310.4732418857566</c:v>
                </c:pt>
                <c:pt idx="48">
                  <c:v>306.2734947710851</c:v>
                </c:pt>
                <c:pt idx="49">
                  <c:v>302.0715784808999</c:v>
                </c:pt>
                <c:pt idx="50">
                  <c:v>297.8675206210937</c:v>
                </c:pt>
                <c:pt idx="51">
                  <c:v>293.66134891224647</c:v>
                </c:pt>
                <c:pt idx="52">
                  <c:v>289.4530911666152</c:v>
                </c:pt>
                <c:pt idx="53">
                  <c:v>285.24277529395476</c:v>
                </c:pt>
                <c:pt idx="54">
                  <c:v>281.0304293043373</c:v>
                </c:pt>
                <c:pt idx="55">
                  <c:v>276.81608131206303</c:v>
                </c:pt>
                <c:pt idx="56">
                  <c:v>272.599759519926</c:v>
                </c:pt>
                <c:pt idx="57">
                  <c:v>268.38149222203356</c:v>
                </c:pt>
                <c:pt idx="58">
                  <c:v>264.16130781663014</c:v>
                </c:pt>
                <c:pt idx="59">
                  <c:v>259.939234788817</c:v>
                </c:pt>
                <c:pt idx="60">
                  <c:v>255.71530170509504</c:v>
                </c:pt>
                <c:pt idx="61">
                  <c:v>251.4895372385581</c:v>
                </c:pt>
                <c:pt idx="62">
                  <c:v>247.26197014497302</c:v>
                </c:pt>
                <c:pt idx="63">
                  <c:v>243.03262925423041</c:v>
                </c:pt>
                <c:pt idx="64">
                  <c:v>238.80154350054</c:v>
                </c:pt>
                <c:pt idx="65">
                  <c:v>234.56874188968868</c:v>
                </c:pt>
                <c:pt idx="66">
                  <c:v>230.3342535144111</c:v>
                </c:pt>
                <c:pt idx="67">
                  <c:v>226.0981075584823</c:v>
                </c:pt>
                <c:pt idx="68">
                  <c:v>221.86033326770485</c:v>
                </c:pt>
                <c:pt idx="69">
                  <c:v>217.6209599799222</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119.7425943531016</c:v>
                </c:pt>
                <c:pt idx="93">
                  <c:v>115.4738272234681</c:v>
                </c:pt>
                <c:pt idx="94">
                  <c:v>111.20421613486542</c:v>
                </c:pt>
                <c:pt idx="95">
                  <c:v>106.9337919834652</c:v>
                </c:pt>
                <c:pt idx="96">
                  <c:v>102.66258570945865</c:v>
                </c:pt>
                <c:pt idx="97">
                  <c:v>98.39062828850729</c:v>
                </c:pt>
                <c:pt idx="98">
                  <c:v>94.1179507391098</c:v>
                </c:pt>
                <c:pt idx="99">
                  <c:v>89.8445841135981</c:v>
                </c:pt>
                <c:pt idx="100">
                  <c:v>85.5705594970459</c:v>
                </c:pt>
                <c:pt idx="101">
                  <c:v>81.2959080145447</c:v>
                </c:pt>
                <c:pt idx="102">
                  <c:v>77.0206608074659</c:v>
                </c:pt>
                <c:pt idx="103">
                  <c:v>72.74484905628924</c:v>
                </c:pt>
                <c:pt idx="104">
                  <c:v>68.46850397168964</c:v>
                </c:pt>
                <c:pt idx="105">
                  <c:v>64.19165678507852</c:v>
                </c:pt>
                <c:pt idx="106">
                  <c:v>59.914338766157016</c:v>
                </c:pt>
                <c:pt idx="107">
                  <c:v>55.63658118935564</c:v>
                </c:pt>
                <c:pt idx="108">
                  <c:v>51.35841535866348</c:v>
                </c:pt>
                <c:pt idx="109">
                  <c:v>47.07987260953814</c:v>
                </c:pt>
                <c:pt idx="110">
                  <c:v>42.80098427389021</c:v>
                </c:pt>
                <c:pt idx="111">
                  <c:v>38.521781712279335</c:v>
                </c:pt>
                <c:pt idx="112">
                  <c:v>34.24229631555136</c:v>
                </c:pt>
                <c:pt idx="113">
                  <c:v>29.962559468549443</c:v>
                </c:pt>
                <c:pt idx="114">
                  <c:v>25.68260257039583</c:v>
                </c:pt>
                <c:pt idx="115">
                  <c:v>21.402457042222522</c:v>
                </c:pt>
                <c:pt idx="116">
                  <c:v>17.12215430170545</c:v>
                </c:pt>
                <c:pt idx="117">
                  <c:v>12.841725789530756</c:v>
                </c:pt>
                <c:pt idx="118">
                  <c:v>8.561202941109514</c:v>
                </c:pt>
                <c:pt idx="119">
                  <c:v>4.280617193035141</c:v>
                </c:pt>
                <c:pt idx="120">
                  <c:v>0</c:v>
                </c:pt>
                <c:pt idx="121">
                  <c:v>-4.280617193035141</c:v>
                </c:pt>
                <c:pt idx="122">
                  <c:v>-8.561202941109514</c:v>
                </c:pt>
                <c:pt idx="123">
                  <c:v>-12.841725789530756</c:v>
                </c:pt>
                <c:pt idx="124">
                  <c:v>-17.12215430170545</c:v>
                </c:pt>
                <c:pt idx="125">
                  <c:v>-21.402457042222522</c:v>
                </c:pt>
                <c:pt idx="126">
                  <c:v>-25.68260257039583</c:v>
                </c:pt>
                <c:pt idx="127">
                  <c:v>-29.962559468549443</c:v>
                </c:pt>
                <c:pt idx="128">
                  <c:v>-34.24229631555136</c:v>
                </c:pt>
                <c:pt idx="129">
                  <c:v>-38.521781712279335</c:v>
                </c:pt>
                <c:pt idx="130">
                  <c:v>-42.80098427389021</c:v>
                </c:pt>
                <c:pt idx="131">
                  <c:v>-47.07987260953814</c:v>
                </c:pt>
                <c:pt idx="132">
                  <c:v>-51.35841535866348</c:v>
                </c:pt>
                <c:pt idx="133">
                  <c:v>-55.63658118935564</c:v>
                </c:pt>
                <c:pt idx="134">
                  <c:v>-59.914338766157016</c:v>
                </c:pt>
                <c:pt idx="135">
                  <c:v>-64.19165678507852</c:v>
                </c:pt>
                <c:pt idx="136">
                  <c:v>-68.46850397168964</c:v>
                </c:pt>
                <c:pt idx="137">
                  <c:v>-72.74484905628924</c:v>
                </c:pt>
                <c:pt idx="138">
                  <c:v>-77.0206608074659</c:v>
                </c:pt>
                <c:pt idx="139">
                  <c:v>-81.2959080145447</c:v>
                </c:pt>
                <c:pt idx="140">
                  <c:v>-85.5705594970459</c:v>
                </c:pt>
                <c:pt idx="141">
                  <c:v>-89.8445841135981</c:v>
                </c:pt>
                <c:pt idx="142">
                  <c:v>-94.1179507391098</c:v>
                </c:pt>
                <c:pt idx="143">
                  <c:v>-98.39062828850729</c:v>
                </c:pt>
                <c:pt idx="144">
                  <c:v>-102.66258570945865</c:v>
                </c:pt>
                <c:pt idx="145">
                  <c:v>-106.9337919834652</c:v>
                </c:pt>
                <c:pt idx="146">
                  <c:v>-111.20421613486542</c:v>
                </c:pt>
                <c:pt idx="147">
                  <c:v>-115.4738272234681</c:v>
                </c:pt>
                <c:pt idx="148">
                  <c:v>-119.7425943531016</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-217.6209599799222</c:v>
                </c:pt>
                <c:pt idx="172">
                  <c:v>-221.86033326770485</c:v>
                </c:pt>
                <c:pt idx="173">
                  <c:v>-226.0981075584823</c:v>
                </c:pt>
                <c:pt idx="174">
                  <c:v>-230.3342535144111</c:v>
                </c:pt>
                <c:pt idx="175">
                  <c:v>-234.56874188968868</c:v>
                </c:pt>
                <c:pt idx="176">
                  <c:v>-238.80154350054</c:v>
                </c:pt>
                <c:pt idx="177">
                  <c:v>-243.03262925423041</c:v>
                </c:pt>
                <c:pt idx="178">
                  <c:v>-247.26197014497302</c:v>
                </c:pt>
                <c:pt idx="179">
                  <c:v>-251.4895372385581</c:v>
                </c:pt>
                <c:pt idx="180">
                  <c:v>-255.71530170509504</c:v>
                </c:pt>
                <c:pt idx="181">
                  <c:v>-259.939234788817</c:v>
                </c:pt>
                <c:pt idx="182">
                  <c:v>-264.16130781663014</c:v>
                </c:pt>
                <c:pt idx="183">
                  <c:v>-268.38149222203356</c:v>
                </c:pt>
                <c:pt idx="184">
                  <c:v>-272.599759519926</c:v>
                </c:pt>
                <c:pt idx="185">
                  <c:v>-276.81608131206303</c:v>
                </c:pt>
                <c:pt idx="186">
                  <c:v>-281.0304293043373</c:v>
                </c:pt>
                <c:pt idx="187">
                  <c:v>-285.24277529395476</c:v>
                </c:pt>
                <c:pt idx="188">
                  <c:v>-289.4530911666152</c:v>
                </c:pt>
                <c:pt idx="189">
                  <c:v>-293.66134891224647</c:v>
                </c:pt>
                <c:pt idx="190">
                  <c:v>-297.8675206210937</c:v>
                </c:pt>
                <c:pt idx="191">
                  <c:v>-302.0715784808999</c:v>
                </c:pt>
                <c:pt idx="192">
                  <c:v>-306.2734947710851</c:v>
                </c:pt>
                <c:pt idx="193">
                  <c:v>-310.4732418857566</c:v>
                </c:pt>
                <c:pt idx="194">
                  <c:v>-314.6707923143367</c:v>
                </c:pt>
                <c:pt idx="195">
                  <c:v>-318.8661186490208</c:v>
                </c:pt>
                <c:pt idx="196">
                  <c:v>-323.0591935966004</c:v>
                </c:pt>
                <c:pt idx="197">
                  <c:v>-327.2499899624563</c:v>
                </c:pt>
                <c:pt idx="198">
                  <c:v>-331.4384806597445</c:v>
                </c:pt>
                <c:pt idx="199">
                  <c:v>-335.62463871039654</c:v>
                </c:pt>
                <c:pt idx="200">
                  <c:v>-339.80843724993974</c:v>
                </c:pt>
                <c:pt idx="201">
                  <c:v>-343.98984952458704</c:v>
                </c:pt>
                <c:pt idx="202">
                  <c:v>-348.16884888314235</c:v>
                </c:pt>
                <c:pt idx="203">
                  <c:v>-352.3454087967366</c:v>
                </c:pt>
                <c:pt idx="204">
                  <c:v>-356.5195028526432</c:v>
                </c:pt>
                <c:pt idx="205">
                  <c:v>-360.6911047401809</c:v>
                </c:pt>
                <c:pt idx="206">
                  <c:v>-364.8601882793628</c:v>
                </c:pt>
                <c:pt idx="207">
                  <c:v>-369.0267273985228</c:v>
                </c:pt>
                <c:pt idx="208">
                  <c:v>-373.1906961457753</c:v>
                </c:pt>
                <c:pt idx="209">
                  <c:v>-377.3520686901975</c:v>
                </c:pt>
                <c:pt idx="210">
                  <c:v>-381.5108193193737</c:v>
                </c:pt>
                <c:pt idx="211">
                  <c:v>-385.6669224382131</c:v>
                </c:pt>
                <c:pt idx="212">
                  <c:v>-389.8203525829558</c:v>
                </c:pt>
                <c:pt idx="213">
                  <c:v>-393.9710844109868</c:v>
                </c:pt>
                <c:pt idx="214">
                  <c:v>-398.1190926891031</c:v>
                </c:pt>
                <c:pt idx="215">
                  <c:v>-402.26435232361837</c:v>
                </c:pt>
                <c:pt idx="216">
                  <c:v>-406.40683834462834</c:v>
                </c:pt>
                <c:pt idx="217">
                  <c:v>-410.54652591110425</c:v>
                </c:pt>
                <c:pt idx="218">
                  <c:v>-414.6833903003426</c:v>
                </c:pt>
                <c:pt idx="219">
                  <c:v>-418.81740692178937</c:v>
                </c:pt>
                <c:pt idx="220">
                  <c:v>-422.9485513214968</c:v>
                </c:pt>
                <c:pt idx="221">
                  <c:v>-427.0767991610228</c:v>
                </c:pt>
                <c:pt idx="222">
                  <c:v>-431.2021262460803</c:v>
                </c:pt>
                <c:pt idx="223">
                  <c:v>-435.32450851025715</c:v>
                </c:pt>
                <c:pt idx="224">
                  <c:v>-439.4439220161985</c:v>
                </c:pt>
                <c:pt idx="225">
                  <c:v>-443.56034297125007</c:v>
                </c:pt>
                <c:pt idx="226">
                  <c:v>-447.67374769307935</c:v>
                </c:pt>
                <c:pt idx="227">
                  <c:v>-451.7841126563326</c:v>
                </c:pt>
                <c:pt idx="228">
                  <c:v>-455.89141447326256</c:v>
                </c:pt>
                <c:pt idx="229">
                  <c:v>-459.9956298745383</c:v>
                </c:pt>
                <c:pt idx="230">
                  <c:v>-464.0967357390764</c:v>
                </c:pt>
                <c:pt idx="231">
                  <c:v>-468.1947090801259</c:v>
                </c:pt>
                <c:pt idx="232">
                  <c:v>-472.2895270569097</c:v>
                </c:pt>
                <c:pt idx="233">
                  <c:v>-476.38116695534336</c:v>
                </c:pt>
                <c:pt idx="234">
                  <c:v>-480.4696062107723</c:v>
                </c:pt>
                <c:pt idx="235">
                  <c:v>-484.554822402788</c:v>
                </c:pt>
                <c:pt idx="236">
                  <c:v>-488.63679323794713</c:v>
                </c:pt>
                <c:pt idx="237">
                  <c:v>-492.71549658133154</c:v>
                </c:pt>
                <c:pt idx="238">
                  <c:v>-496.7909104278988</c:v>
                </c:pt>
                <c:pt idx="239">
                  <c:v>-500.86301291985365</c:v>
                </c:pt>
                <c:pt idx="240">
                  <c:v>-502.89823360690207</c:v>
                </c:pt>
              </c:numCache>
            </c:numRef>
          </c:yVal>
        </c:ser>
        <c:ser>
          <c:idx val="1"/>
          <c:order val="1"/>
          <c:tx>
            <c:v>Topo VHF Doppler (Hz)</c:v>
          </c:tx>
          <c:spPr>
            <a:ln xmlns:a="http://schemas.openxmlformats.org/drawingml/2006/main" w="19050">
              <a:solidFill>
                <a:srgbClr val="F97316"/>
              </a:solidFill>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c:v>
                </c:pt>
                <c:pt idx="1">
                  <c:v>490.87300120691</c:v>
                </c:pt>
                <c:pt idx="2">
                  <c:v>534.0602149449296</c:v>
                </c:pt>
                <c:pt idx="3">
                  <c:v>503.9209462031067</c:v>
                </c:pt>
                <c:pt idx="4">
                  <c:v>495.8407751602863</c:v>
                </c:pt>
                <c:pt idx="5">
                  <c:v>511.9766582025477</c:v>
                </c:pt>
                <c:pt idx="6">
                  <c:v>484.5983430347587</c:v>
                </c:pt>
                <c:pt idx="7">
                  <c:v>523.0828149356057</c:v>
                </c:pt>
                <c:pt idx="8">
                  <c:v>502.4626690393234</c:v>
                </c:pt>
                <c:pt idx="9">
                  <c:v>482.4716566599818</c:v>
                </c:pt>
                <c:pt idx="10">
                  <c:v>517.4251021308919</c:v>
                </c:pt>
                <c:pt idx="11">
                  <c:v>492.04615879461926</c:v>
                </c:pt>
                <c:pt idx="12">
                  <c:v>488.51245490695874</c:v>
                </c:pt>
                <c:pt idx="13">
                  <c:v>489.52310187305557</c:v>
                </c:pt>
                <c:pt idx="14">
                  <c:v>468.99927804070103</c:v>
                </c:pt>
                <c:pt idx="15">
                  <c:v>476.7410332173313</c:v>
                </c:pt>
                <c:pt idx="16">
                  <c:v>491.44939474927014</c:v>
                </c:pt>
                <c:pt idx="17">
                  <c:v>452.40092921339965</c:v>
                </c:pt>
                <c:pt idx="18">
                  <c:v>413.01562584385465</c:v>
                </c:pt>
                <c:pt idx="19">
                  <c:v>461.5402613873812</c:v>
                </c:pt>
                <c:pt idx="20">
                  <c:v>437.62067462193954</c:v>
                </c:pt>
                <c:pt idx="21">
                  <c:v>411.2584073795915</c:v>
                </c:pt>
                <c:pt idx="22">
                  <c:v>425.2262899123707</c:v>
                </c:pt>
                <c:pt idx="23">
                  <c:v>386.8337905608314</c:v>
                </c:pt>
                <c:pt idx="24">
                  <c:v>402.2937246757465</c:v>
                </c:pt>
                <c:pt idx="25">
                  <c:v>402.8830502902565</c:v>
                </c:pt>
                <c:pt idx="26">
                  <c:v>384.0870449766044</c:v>
                </c:pt>
                <c:pt idx="27">
                  <c:v>368.08092998808206</c:v>
                </c:pt>
                <c:pt idx="28">
                  <c:v>352.54798840351214</c:v>
                </c:pt>
                <c:pt idx="29">
                  <c:v>340.6814882529943</c:v>
                </c:pt>
                <c:pt idx="30">
                  <c:v>336.8433451087185</c:v>
                </c:pt>
                <c:pt idx="31">
                  <c:v>363.7355827749161</c:v>
                </c:pt>
                <c:pt idx="32">
                  <c:v>387.84031539016723</c:v>
                </c:pt>
                <c:pt idx="33">
                  <c:v>338.2382872227936</c:v>
                </c:pt>
                <c:pt idx="34">
                  <c:v>318.9536821423644</c:v>
                </c:pt>
                <c:pt idx="35">
                  <c:v>345.1024300021345</c:v>
                </c:pt>
                <c:pt idx="36">
                  <c:v>340.27294612515107</c:v>
                </c:pt>
                <c:pt idx="37">
                  <c:v>362.0055736474569</c:v>
                </c:pt>
                <c:pt idx="38">
                  <c:v>379.704203484107</c:v>
                </c:pt>
                <c:pt idx="39">
                  <c:v>377.3350791899247</c:v>
                </c:pt>
                <c:pt idx="40">
                  <c:v>355.33588521257116</c:v>
                </c:pt>
                <c:pt idx="41">
                  <c:v>314.96723845502856</c:v>
                </c:pt>
                <c:pt idx="42">
                  <c:v>348.4273363549619</c:v>
                </c:pt>
                <c:pt idx="43">
                  <c:v>356.4903792555924</c:v>
                </c:pt>
                <c:pt idx="44">
                  <c:v>366.83142083111306</c:v>
                </c:pt>
                <c:pt idx="45">
                  <c:v>371.67029926577015</c:v>
                </c:pt>
                <c:pt idx="46">
                  <c:v>355.48139120546693</c:v>
                </c:pt>
                <c:pt idx="47">
                  <c:v>369.34297482257534</c:v>
                </c:pt>
                <c:pt idx="48">
                  <c:v>338.2824754723515</c:v>
                </c:pt>
                <c:pt idx="49">
                  <c:v>314.05984233133495</c:v>
                </c:pt>
                <c:pt idx="50">
                  <c:v>347.75645538547906</c:v>
                </c:pt>
                <c:pt idx="51">
                  <c:v>355.1955134131276</c:v>
                </c:pt>
                <c:pt idx="52">
                  <c:v>308.8603249510925</c:v>
                </c:pt>
                <c:pt idx="53">
                  <c:v>321.33106228302495</c:v>
                </c:pt>
                <c:pt idx="54">
                  <c:v>316.859491910418</c:v>
                </c:pt>
                <c:pt idx="55">
                  <c:v>275.1765872350006</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213.6323248183544</c:v>
                </c:pt>
                <c:pt idx="64">
                  <c:v>217.6420816668724</c:v>
                </c:pt>
                <c:pt idx="65">
                  <c:v>196.6495314187341</c:v>
                </c:pt>
                <c:pt idx="66">
                  <c:v>220.46869172654624</c:v>
                </c:pt>
                <c:pt idx="67">
                  <c:v>198.23751812764385</c:v>
                </c:pt>
                <c:pt idx="68">
                  <c:v>192.02568655455252</c:v>
                </c:pt>
                <c:pt idx="69">
                  <c:v>199.48475681912896</c:v>
                </c:pt>
                <c:pt idx="70">
                  <c:v>221.0725897208249</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c:v>
                </c:pt>
                <c:pt idx="91">
                  <c:v>131.00044031953075</c:v>
                </c:pt>
                <c:pt idx="92">
                  <c:v>109.40700518340236</c:v>
                </c:pt>
                <c:pt idx="93">
                  <c:v>134.57088687846408</c:v>
                </c:pt>
                <c:pt idx="94">
                  <c:v>159.26135976260412</c:v>
                </c:pt>
                <c:pt idx="95">
                  <c:v>115.15921534473819</c:v>
                </c:pt>
                <c:pt idx="96">
                  <c:v>118.75489251451654</c:v>
                </c:pt>
                <c:pt idx="97">
                  <c:v>137.6040267078679</c:v>
                </c:pt>
                <c:pt idx="98">
                  <c:v>112.0371558296938</c:v>
                </c:pt>
                <c:pt idx="99">
                  <c:v>104.22636697594498</c:v>
                </c:pt>
                <c:pt idx="100">
                  <c:v>86.40918325254461</c:v>
                </c:pt>
                <c:pt idx="101">
                  <c:v>95.88133801335061</c:v>
                </c:pt>
                <c:pt idx="102">
                  <c:v>61.203996322819876</c:v>
                </c:pt>
                <c:pt idx="103">
                  <c:v>64.91178834112361</c:v>
                </c:pt>
                <c:pt idx="104">
                  <c:v>83.90391525563246</c:v>
                </c:pt>
                <c:pt idx="105">
                  <c:v>12.086959146927256</c:v>
                </c:pt>
                <c:pt idx="106">
                  <c:v>36.91531491022033</c:v>
                </c:pt>
                <c:pt idx="107">
                  <c:v>63.33079653877576</c:v>
                </c:pt>
                <c:pt idx="108">
                  <c:v>21.772271344889305</c:v>
                </c:pt>
                <c:pt idx="109">
                  <c:v>13.213910555714392</c:v>
                </c:pt>
                <c:pt idx="110">
                  <c:v>20.623816407260165</c:v>
                </c:pt>
                <c:pt idx="111">
                  <c:v>37.7856622314539</c:v>
                </c:pt>
                <c:pt idx="112">
                  <c:v>5.015861757965467</c:v>
                </c:pt>
                <c:pt idx="113">
                  <c:v>20.627472613523423</c:v>
                </c:pt>
                <c:pt idx="114">
                  <c:v>51.23987584029237</c:v>
                </c:pt>
                <c:pt idx="115">
                  <c:v>46.6773382615429</c:v>
                </c:pt>
                <c:pt idx="116">
                  <c:v>33.29255923435994</c:v>
                </c:pt>
                <c:pt idx="117">
                  <c:v>20.845477274997393</c:v>
                </c:pt>
                <c:pt idx="118">
                  <c:v>77.35858270280005</c:v>
                </c:pt>
                <c:pt idx="119">
                  <c:v>67.21549524045258</c:v>
                </c:pt>
                <c:pt idx="120">
                  <c:v>13.577875871487777</c:v>
                </c:pt>
                <c:pt idx="121">
                  <c:v>23.04487073324708</c:v>
                </c:pt>
                <c:pt idx="122">
                  <c:v>45.85282185325923</c:v>
                </c:pt>
                <c:pt idx="123">
                  <c:v>46.04321213610092</c:v>
                </c:pt>
                <c:pt idx="124">
                  <c:v>35.28480728100476</c:v>
                </c:pt>
                <c:pt idx="125">
                  <c:v>-17.696456895737356</c:v>
                </c:pt>
                <c:pt idx="126">
                  <c:v>-4.673549830840784</c:v>
                </c:pt>
                <c:pt idx="127">
                  <c:v>9.605232376725326</c:v>
                </c:pt>
                <c:pt idx="128">
                  <c:v>-25.147264343559073</c:v>
                </c:pt>
                <c:pt idx="129">
                  <c:v>-59.06357460871732</c:v>
                </c:pt>
                <c:pt idx="130">
                  <c:v>-89.29079603231003</c:v>
                </c:pt>
                <c:pt idx="131">
                  <c:v>-71.24450372502906</c:v>
                </c:pt>
                <c:pt idx="132">
                  <c:v>-75.48150197753785</c:v>
                </c:pt>
                <c:pt idx="133">
                  <c:v>-54.54940081717723</c:v>
                </c:pt>
                <c:pt idx="134">
                  <c:v>-93.36744727406767</c:v>
                </c:pt>
                <c:pt idx="135">
                  <c:v>-123.54267273130972</c:v>
                </c:pt>
                <c:pt idx="136">
                  <c:v>-106.61121304219705</c:v>
                </c:pt>
                <c:pt idx="137">
                  <c:v>-98.32283519044722</c:v>
                </c:pt>
                <c:pt idx="138">
                  <c:v>-79.19680840677756</c:v>
                </c:pt>
                <c:pt idx="139">
                  <c:v>-124.45092927709993</c:v>
                </c:pt>
                <c:pt idx="140">
                  <c:v>-149.95775995867007</c:v>
                </c:pt>
                <c:pt idx="141">
                  <c:v>-104.68639668342803</c:v>
                </c:pt>
                <c:pt idx="142">
                  <c:v>-99.76180605999616</c:v>
                </c:pt>
                <c:pt idx="143">
                  <c:v>-133.6965623294418</c:v>
                </c:pt>
                <c:pt idx="144">
                  <c:v>-103.25466974927622</c:v>
                </c:pt>
                <c:pt idx="145">
                  <c:v>-97.45932921296117</c:v>
                </c:pt>
                <c:pt idx="146">
                  <c:v>-151.57657912886862</c:v>
                </c:pt>
                <c:pt idx="147">
                  <c:v>-141.51365191682999</c:v>
                </c:pt>
                <c:pt idx="148">
                  <c:v>-109.12181689409408</c:v>
                </c:pt>
                <c:pt idx="149">
                  <c:v>-145.14355631799845</c:v>
                </c:pt>
                <c:pt idx="150">
                  <c:v>-160.1607348960897</c:v>
                </c:pt>
                <c:pt idx="151">
                  <c:v>-131.10580275870234</c:v>
                </c:pt>
                <c:pt idx="152">
                  <c:v>-120.04510651404416</c:v>
                </c:pt>
                <c:pt idx="153">
                  <c:v>-137.05256517414455</c:v>
                </c:pt>
                <c:pt idx="154">
                  <c:v>-135.2580367196424</c:v>
                </c:pt>
                <c:pt idx="155">
                  <c:v>-126.66363410589838</c:v>
                </c:pt>
                <c:pt idx="156">
                  <c:v>-151.69053844329028</c:v>
                </c:pt>
                <c:pt idx="157">
                  <c:v>-139.1757167734795</c:v>
                </c:pt>
                <c:pt idx="158">
                  <c:v>-126.46437359499032</c:v>
                </c:pt>
                <c:pt idx="159">
                  <c:v>-151.36712018684193</c:v>
                </c:pt>
                <c:pt idx="160">
                  <c:v>-162.90904520274125</c:v>
                </c:pt>
                <c:pt idx="161">
                  <c:v>-171.7163481087482</c:v>
                </c:pt>
                <c:pt idx="162">
                  <c:v>-175.76256821785137</c:v>
                </c:pt>
                <c:pt idx="163">
                  <c:v>-173.414639069415</c:v>
                </c:pt>
                <c:pt idx="164">
                  <c:v>-190.64828334176127</c:v>
                </c:pt>
                <c:pt idx="165">
                  <c:v>-207.66237126308624</c:v>
                </c:pt>
                <c:pt idx="166">
                  <c:v>-214.52838117938882</c:v>
                </c:pt>
                <c:pt idx="167">
                  <c:v>-195.82322653741357</c:v>
                </c:pt>
                <c:pt idx="168">
                  <c:v>-230.14401414493477</c:v>
                </c:pt>
                <c:pt idx="169">
                  <c:v>-244.97379562135393</c:v>
                </c:pt>
                <c:pt idx="170">
                  <c:v>-253.7362306406976</c:v>
                </c:pt>
                <c:pt idx="171">
                  <c:v>-267.79701353816563</c:v>
                </c:pt>
                <c:pt idx="172">
                  <c:v>-232.61930903145185</c:v>
                </c:pt>
                <c:pt idx="173">
                  <c:v>-291.65466653967087</c:v>
                </c:pt>
                <c:pt idx="174">
                  <c:v>-304.31541811476563</c:v>
                </c:pt>
                <c:pt idx="175">
                  <c:v>-288.8126042343174</c:v>
                </c:pt>
                <c:pt idx="176">
                  <c:v>-281.15917075083416</c:v>
                </c:pt>
                <c:pt idx="177">
                  <c:v>-287.9698524754531</c:v>
                </c:pt>
                <c:pt idx="178">
                  <c:v>-321.95858402801605</c:v>
                </c:pt>
                <c:pt idx="179">
                  <c:v>-292.2747079845067</c:v>
                </c:pt>
                <c:pt idx="180">
                  <c:v>-293.2127943380692</c:v>
                </c:pt>
                <c:pt idx="181">
                  <c:v>-289.90851073058366</c:v>
                </c:pt>
                <c:pt idx="182">
                  <c:v>-301.45943187817466</c:v>
                </c:pt>
                <c:pt idx="183">
                  <c:v>-295.7054253127353</c:v>
                </c:pt>
                <c:pt idx="184">
                  <c:v>-254.59907467848097</c:v>
                </c:pt>
                <c:pt idx="185">
                  <c:v>-271.14112996578115</c:v>
                </c:pt>
                <c:pt idx="186">
                  <c:v>-283.8938267223057</c:v>
                </c:pt>
                <c:pt idx="187">
                  <c:v>-258.09890866003116</c:v>
                </c:pt>
                <c:pt idx="188">
                  <c:v>-253.7267367678396</c:v>
                </c:pt>
                <c:pt idx="189">
                  <c:v>-295.78985259904584</c:v>
                </c:pt>
                <c:pt idx="190">
                  <c:v>-307.8352331618589</c:v>
                </c:pt>
                <c:pt idx="191">
                  <c:v>-286.6069943915136</c:v>
                </c:pt>
                <c:pt idx="192">
                  <c:v>-256.20808419480454</c:v>
                </c:pt>
                <c:pt idx="193">
                  <c:v>-270.33211644011317</c:v>
                </c:pt>
                <c:pt idx="194">
                  <c:v>-304.7320025682893</c:v>
                </c:pt>
                <c:pt idx="195">
                  <c:v>-310.94330885744057</c:v>
                </c:pt>
                <c:pt idx="196">
                  <c:v>-274.9239634749756</c:v>
                </c:pt>
                <c:pt idx="197">
                  <c:v>-295.00116253339</c:v>
                </c:pt>
                <c:pt idx="198">
                  <c:v>-351.0190914843406</c:v>
                </c:pt>
                <c:pt idx="199">
                  <c:v>-332.6760334270148</c:v>
                </c:pt>
                <c:pt idx="200">
                  <c:v>-337.1917719139674</c:v>
                </c:pt>
                <c:pt idx="201">
                  <c:v>-388.8944572384389</c:v>
                </c:pt>
                <c:pt idx="202">
                  <c:v>-398.15439784842965</c:v>
                </c:pt>
                <c:pt idx="203">
                  <c:v>-361.1079984811113</c:v>
                </c:pt>
                <c:pt idx="204">
                  <c:v>-371.61471890167377</c:v>
                </c:pt>
                <c:pt idx="205">
                  <c:v>-398.58972229558276</c:v>
                </c:pt>
                <c:pt idx="206">
                  <c:v>-419.4335216990112</c:v>
                </c:pt>
                <c:pt idx="207">
                  <c:v>-429.9051877553211</c:v>
                </c:pt>
                <c:pt idx="208">
                  <c:v>-446.6345676146375</c:v>
                </c:pt>
                <c:pt idx="209">
                  <c:v>-446.31989555336986</c:v>
                </c:pt>
                <c:pt idx="210">
                  <c:v>-397.70995031030907</c:v>
                </c:pt>
                <c:pt idx="211">
                  <c:v>-414.2659457460468</c:v>
                </c:pt>
                <c:pt idx="212">
                  <c:v>-458.6307151440451</c:v>
                </c:pt>
                <c:pt idx="213">
                  <c:v>-438.4974537015296</c:v>
                </c:pt>
                <c:pt idx="214">
                  <c:v>-425.83713410422206</c:v>
                </c:pt>
                <c:pt idx="215">
                  <c:v>-393.00673283623837</c:v>
                </c:pt>
                <c:pt idx="216">
                  <c:v>-396.2138094164402</c:v>
                </c:pt>
                <c:pt idx="217">
                  <c:v>-435.0026550449911</c:v>
                </c:pt>
                <c:pt idx="218">
                  <c:v>-412.3174071446556</c:v>
                </c:pt>
                <c:pt idx="219">
                  <c:v>-409.9288273368984</c:v>
                </c:pt>
                <c:pt idx="220">
                  <c:v>-389.68272555466683</c:v>
                </c:pt>
                <c:pt idx="221">
                  <c:v>-392.7478406424598</c:v>
                </c:pt>
                <c:pt idx="222">
                  <c:v>-395.66337661017315</c:v>
                </c:pt>
                <c:pt idx="223">
                  <c:v>-388.336184705895</c:v>
                </c:pt>
                <c:pt idx="224">
                  <c:v>-432.5621530304488</c:v>
                </c:pt>
                <c:pt idx="225">
                  <c:v>-417.6767255714367</c:v>
                </c:pt>
                <c:pt idx="226">
                  <c:v>-421.09802518143624</c:v>
                </c:pt>
                <c:pt idx="227">
                  <c:v>-455.0459523180507</c:v>
                </c:pt>
                <c:pt idx="228">
                  <c:v>-462.8956826801186</c:v>
                </c:pt>
                <c:pt idx="229">
                  <c:v>-449.1931834153547</c:v>
                </c:pt>
                <c:pt idx="230">
                  <c:v>-455.00982441953965</c:v>
                </c:pt>
                <c:pt idx="231">
                  <c:v>-470.8662445768823</c:v>
                </c:pt>
                <c:pt idx="232">
                  <c:v>-460.6295562019113</c:v>
                </c:pt>
                <c:pt idx="233">
                  <c:v>-454.89450199102066</c:v>
                </c:pt>
                <c:pt idx="234">
                  <c:v>-499.14395786781824</c:v>
                </c:pt>
                <c:pt idx="235">
                  <c:v>-494.387775107225</c:v>
                </c:pt>
                <c:pt idx="236">
                  <c:v>-473.0108753379682</c:v>
                </c:pt>
                <c:pt idx="237">
                  <c:v>-494.11679295681097</c:v>
                </c:pt>
                <c:pt idx="238">
                  <c:v>-527.305412295209</c:v>
                </c:pt>
                <c:pt idx="239">
                  <c:v>-523.5958188716722</c:v>
                </c:pt>
                <c:pt idx="240">
                  <c:v>-470.52756543034775</c:v>
                </c:pt>
              </c:numCache>
            </c:numRef>
          </c:yVal>
        </c:ser>
        <c:ser>
          <c:idx val="2"/>
          <c:order val="2"/>
          <c:tx>
            <c:v>Flat HF Doppler (Hz)</c:v>
          </c:tx>
          <c:spPr>
            <a:ln xmlns:a="http://schemas.openxmlformats.org/drawingml/2006/main" w="19050">
              <a:solidFill>
                <a:srgbClr val="16A34A"/>
              </a:solidFill>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c:v>
                </c:pt>
                <c:pt idx="1">
                  <c:v>75.20465659457263</c:v>
                </c:pt>
                <c:pt idx="2">
                  <c:v>74.59322979397881</c:v>
                </c:pt>
                <c:pt idx="3">
                  <c:v>73.98130579299273</c:v>
                </c:pt>
                <c:pt idx="4">
                  <c:v>73.36888787356564</c:v>
                </c:pt>
                <c:pt idx="5">
                  <c:v>72.75597933975796</c:v>
                </c:pt>
                <c:pt idx="6">
                  <c:v>72.14258351513098</c:v>
                </c:pt>
                <c:pt idx="7">
                  <c:v>71.52870374704855</c:v>
                </c:pt>
                <c:pt idx="8">
                  <c:v>70.9143434019384</c:v>
                </c:pt>
                <c:pt idx="9">
                  <c:v>70.29950586788678</c:v>
                </c:pt>
                <c:pt idx="10">
                  <c:v>69.68419455541688</c:v>
                </c:pt>
                <c:pt idx="11">
                  <c:v>69.06841289407483</c:v>
                </c:pt>
                <c:pt idx="12">
                  <c:v>68.45216433532471</c:v>
                </c:pt>
                <c:pt idx="13">
                  <c:v>67.8354523508007</c:v>
                </c:pt>
                <c:pt idx="14">
                  <c:v>67.2182804343963</c:v>
                </c:pt>
                <c:pt idx="15">
                  <c:v>66.6006520977853</c:v>
                </c:pt>
                <c:pt idx="16">
                  <c:v>65.98257087330308</c:v>
                </c:pt>
                <c:pt idx="17">
                  <c:v>65.36404031685544</c:v>
                </c:pt>
                <c:pt idx="18">
                  <c:v>64.74506400091296</c:v>
                </c:pt>
                <c:pt idx="19">
                  <c:v>64.1256455196731</c:v>
                </c:pt>
                <c:pt idx="20">
                  <c:v>63.50578848671123</c:v>
                </c:pt>
                <c:pt idx="21">
                  <c:v>62.88549653480322</c:v>
                </c:pt>
                <c:pt idx="22">
                  <c:v>62.26477331836976</c:v>
                </c:pt>
                <c:pt idx="23">
                  <c:v>61.64362250917482</c:v>
                </c:pt>
                <c:pt idx="24">
                  <c:v>61.02204779949375</c:v>
                </c:pt>
                <c:pt idx="25">
                  <c:v>60.400052901444205</c:v>
                </c:pt>
                <c:pt idx="26">
                  <c:v>59.77764154491039</c:v>
                </c:pt>
                <c:pt idx="27">
                  <c:v>59.15481747912715</c:v>
                </c:pt>
                <c:pt idx="28">
                  <c:v>58.531584471915295</c:v>
                </c:pt>
                <c:pt idx="29">
                  <c:v>57.90794631204401</c:v>
                </c:pt>
                <c:pt idx="30">
                  <c:v>57.28390680471077</c:v>
                </c:pt>
                <c:pt idx="31">
                  <c:v>56.65946977330293</c:v>
                </c:pt>
                <c:pt idx="32">
                  <c:v>56.034639060927226</c:v>
                </c:pt>
                <c:pt idx="33">
                  <c:v>55.40941852830673</c:v>
                </c:pt>
                <c:pt idx="34">
                  <c:v>54.78381205395838</c:v>
                </c:pt>
                <c:pt idx="35">
                  <c:v>54.1578235345617</c:v>
                </c:pt>
                <c:pt idx="36">
                  <c:v>53.531456884781264</c:v>
                </c:pt>
                <c:pt idx="37">
                  <c:v>52.90471603554604</c:v>
                </c:pt>
                <c:pt idx="38">
                  <c:v>52.27760493740877</c:v>
                </c:pt>
                <c:pt idx="39">
                  <c:v>51.65012755624431</c:v>
                </c:pt>
                <c:pt idx="40">
                  <c:v>51.02228787536633</c:v>
                </c:pt>
                <c:pt idx="41">
                  <c:v>50.39408989645594</c:v>
                </c:pt>
                <c:pt idx="42">
                  <c:v>49.76553763659828</c:v>
                </c:pt>
                <c:pt idx="43">
                  <c:v>49.13663512949795</c:v>
                </c:pt>
                <c:pt idx="44">
                  <c:v>48.507386425915975</c:v>
                </c:pt>
                <c:pt idx="45">
                  <c:v>47.87779559294607</c:v>
                </c:pt>
                <c:pt idx="46">
                  <c:v>47.247866713864376</c:v>
                </c:pt>
                <c:pt idx="47">
                  <c:v>46.61760388675024</c:v>
                </c:pt>
                <c:pt idx="48">
                  <c:v>45.987011226889656</c:v>
                </c:pt>
                <c:pt idx="49">
                  <c:v>45.356092864999994</c:v>
                </c:pt>
                <c:pt idx="50">
                  <c:v>44.72485294611017</c:v>
                </c:pt>
                <c:pt idx="51">
                  <c:v>44.09329563246944</c:v>
                </c:pt>
                <c:pt idx="52">
                  <c:v>43.46142510009238</c:v>
                </c:pt>
                <c:pt idx="53">
                  <c:v>42.82924553963285</c:v>
                </c:pt>
                <c:pt idx="54">
                  <c:v>42.196761156807405</c:v>
                </c:pt>
                <c:pt idx="55">
                  <c:v>41.56397617298244</c:v>
                </c:pt>
                <c:pt idx="56">
                  <c:v>40.930894822811716</c:v>
                </c:pt>
                <c:pt idx="57">
                  <c:v>40.29752135465969</c:v>
                </c:pt>
                <c:pt idx="58">
                  <c:v>39.663860032527054</c:v>
                </c:pt>
                <c:pt idx="59">
                  <c:v>39.02991513345601</c:v>
                </c:pt>
                <c:pt idx="60">
                  <c:v>38.39569094671097</c:v>
                </c:pt>
                <c:pt idx="61">
                  <c:v>37.76119177756128</c:v>
                </c:pt>
                <c:pt idx="62">
                  <c:v>37.12642194368964</c:v>
                </c:pt>
                <c:pt idx="63">
                  <c:v>36.491385773908476</c:v>
                </c:pt>
                <c:pt idx="64">
                  <c:v>35.8560876126937</c:v>
                </c:pt>
                <c:pt idx="65">
                  <c:v>35.22053181526857</c:v>
                </c:pt>
                <c:pt idx="66">
                  <c:v>34.58472274991158</c:v>
                </c:pt>
                <c:pt idx="67">
                  <c:v>33.94866479857092</c:v>
                </c:pt>
                <c:pt idx="68">
                  <c:v>33.31236235250824</c:v>
                </c:pt>
                <c:pt idx="69">
                  <c:v>32.67581981680514</c:v>
                </c:pt>
                <c:pt idx="70">
                  <c:v>32.03904160828744</c:v>
                </c:pt>
                <c:pt idx="71">
                  <c:v>31.402032154391737</c:v>
                </c:pt>
                <c:pt idx="72">
                  <c:v>30.764795893861866</c:v>
                </c:pt>
                <c:pt idx="73">
                  <c:v>30.12733727732243</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24.38094319148166</c:v>
                </c:pt>
                <c:pt idx="83">
                  <c:v>23.74150805844802</c:v>
                </c:pt>
                <c:pt idx="84">
                  <c:v>23.101900191872744</c:v>
                </c:pt>
                <c:pt idx="85">
                  <c:v>22.462124158620966</c:v>
                </c:pt>
                <c:pt idx="86">
                  <c:v>21.82218453244049</c:v>
                </c:pt>
                <c:pt idx="87">
                  <c:v>21.18208589688418</c:v>
                </c:pt>
                <c:pt idx="88">
                  <c:v>20.541832843329825</c:v>
                </c:pt>
                <c:pt idx="89">
                  <c:v>19.901429969150243</c:v>
                </c:pt>
                <c:pt idx="90">
                  <c:v>19.260881880526412</c:v>
                </c:pt>
                <c:pt idx="91">
                  <c:v>18.62019319165544</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c:v>
                </c:pt>
                <c:pt idx="101">
                  <c:v>12.206592794976682</c:v>
                </c:pt>
                <c:pt idx="102">
                  <c:v>11.564663784904791</c:v>
                </c:pt>
                <c:pt idx="103">
                  <c:v>10.92265000845184</c:v>
                </c:pt>
                <c:pt idx="104">
                  <c:v>10.280556151905353</c:v>
                </c:pt>
                <c:pt idx="105">
                  <c:v>9.638386904666445</c:v>
                </c:pt>
                <c:pt idx="106">
                  <c:v>8.996146961885438</c:v>
                </c:pt>
                <c:pt idx="107">
                  <c:v>8.353841019422768</c:v>
                </c:pt>
                <c:pt idx="108">
                  <c:v>7.711473777577099</c:v>
                </c:pt>
                <c:pt idx="109">
                  <c:v>7.069049941372094</c:v>
                </c:pt>
                <c:pt idx="110">
                  <c:v>6.426574215298831</c:v>
                </c:pt>
                <c:pt idx="111">
                  <c:v>5.784051308150051</c:v>
                </c:pt>
                <c:pt idx="112">
                  <c:v>5.14148593326597</c:v>
                </c:pt>
                <c:pt idx="113">
                  <c:v>4.498882803085502</c:v>
                </c:pt>
                <c:pt idx="114">
                  <c:v>3.8562466321915663</c:v>
                </c:pt>
                <c:pt idx="115">
                  <c:v>3.2135821384718506</c:v>
                </c:pt>
                <c:pt idx="116">
                  <c:v>2.570894039295113</c:v>
                </c:pt>
                <c:pt idx="117">
                  <c:v>1.9281870554850986</c:v>
                </c:pt>
                <c:pt idx="118">
                  <c:v>1.2854659070735006</c:v>
                </c:pt>
                <c:pt idx="119">
                  <c:v>0.6427353142695408</c:v>
                </c:pt>
                <c:pt idx="120">
                  <c:v>0</c:v>
                </c:pt>
                <c:pt idx="121">
                  <c:v>-0.6427353142695408</c:v>
                </c:pt>
                <c:pt idx="122">
                  <c:v>-1.2854659070735006</c:v>
                </c:pt>
                <c:pt idx="123">
                  <c:v>-1.9281870554850986</c:v>
                </c:pt>
                <c:pt idx="124">
                  <c:v>-2.570894039295113</c:v>
                </c:pt>
                <c:pt idx="125">
                  <c:v>-3.2135821384718506</c:v>
                </c:pt>
                <c:pt idx="126">
                  <c:v>-3.8562466321915663</c:v>
                </c:pt>
                <c:pt idx="127">
                  <c:v>-4.498882803085502</c:v>
                </c:pt>
                <c:pt idx="128">
                  <c:v>-5.14148593326597</c:v>
                </c:pt>
                <c:pt idx="129">
                  <c:v>-5.784051308150051</c:v>
                </c:pt>
                <c:pt idx="130">
                  <c:v>-6.426574215298831</c:v>
                </c:pt>
                <c:pt idx="131">
                  <c:v>-7.069049941372094</c:v>
                </c:pt>
                <c:pt idx="132">
                  <c:v>-7.711473777577099</c:v>
                </c:pt>
                <c:pt idx="133">
                  <c:v>-8.353841019422768</c:v>
                </c:pt>
                <c:pt idx="134">
                  <c:v>-8.996146961885438</c:v>
                </c:pt>
                <c:pt idx="135">
                  <c:v>-9.638386904666445</c:v>
                </c:pt>
                <c:pt idx="136">
                  <c:v>-10.280556151905353</c:v>
                </c:pt>
                <c:pt idx="137">
                  <c:v>-10.92265000845184</c:v>
                </c:pt>
                <c:pt idx="138">
                  <c:v>-11.564663784904791</c:v>
                </c:pt>
                <c:pt idx="139">
                  <c:v>-12.206592794976682</c:v>
                </c:pt>
                <c:pt idx="140">
                  <c:v>-12.8484323569138</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-18.62019319165544</c:v>
                </c:pt>
                <c:pt idx="150">
                  <c:v>-19.260881880526412</c:v>
                </c:pt>
                <c:pt idx="151">
                  <c:v>-19.901429969150243</c:v>
                </c:pt>
                <c:pt idx="152">
                  <c:v>-20.541832843329825</c:v>
                </c:pt>
                <c:pt idx="153">
                  <c:v>-21.18208589688418</c:v>
                </c:pt>
                <c:pt idx="154">
                  <c:v>-21.82218453244049</c:v>
                </c:pt>
                <c:pt idx="155">
                  <c:v>-22.462124158620966</c:v>
                </c:pt>
                <c:pt idx="156">
                  <c:v>-23.101900191872744</c:v>
                </c:pt>
                <c:pt idx="157">
                  <c:v>-23.74150805844802</c:v>
                </c:pt>
                <c:pt idx="158">
                  <c:v>-24.38094319148166</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-30.12733727732243</c:v>
                </c:pt>
                <c:pt idx="168">
                  <c:v>-30.764795893861866</c:v>
                </c:pt>
                <c:pt idx="169">
                  <c:v>-31.402032154391737</c:v>
                </c:pt>
                <c:pt idx="170">
                  <c:v>-32.03904160828744</c:v>
                </c:pt>
                <c:pt idx="171">
                  <c:v>-32.67581981680514</c:v>
                </c:pt>
                <c:pt idx="172">
                  <c:v>-33.31236235250824</c:v>
                </c:pt>
                <c:pt idx="173">
                  <c:v>-33.94866479857092</c:v>
                </c:pt>
                <c:pt idx="174">
                  <c:v>-34.58472274991158</c:v>
                </c:pt>
                <c:pt idx="175">
                  <c:v>-35.22053181526857</c:v>
                </c:pt>
                <c:pt idx="176">
                  <c:v>-35.8560876126937</c:v>
                </c:pt>
                <c:pt idx="177">
                  <c:v>-36.491385773908476</c:v>
                </c:pt>
                <c:pt idx="178">
                  <c:v>-37.12642194368964</c:v>
                </c:pt>
                <c:pt idx="179">
                  <c:v>-37.76119177756128</c:v>
                </c:pt>
                <c:pt idx="180">
                  <c:v>-38.39569094671097</c:v>
                </c:pt>
                <c:pt idx="181">
                  <c:v>-39.02991513345601</c:v>
                </c:pt>
                <c:pt idx="182">
                  <c:v>-39.663860032527054</c:v>
                </c:pt>
                <c:pt idx="183">
                  <c:v>-40.29752135465969</c:v>
                </c:pt>
                <c:pt idx="184">
                  <c:v>-40.930894822811716</c:v>
                </c:pt>
                <c:pt idx="185">
                  <c:v>-41.56397617298244</c:v>
                </c:pt>
                <c:pt idx="186">
                  <c:v>-42.196761156807405</c:v>
                </c:pt>
                <c:pt idx="187">
                  <c:v>-42.82924553963285</c:v>
                </c:pt>
                <c:pt idx="188">
                  <c:v>-43.46142510009238</c:v>
                </c:pt>
                <c:pt idx="189">
                  <c:v>-44.09329563246944</c:v>
                </c:pt>
                <c:pt idx="190">
                  <c:v>-44.72485294611017</c:v>
                </c:pt>
                <c:pt idx="191">
                  <c:v>-45.356092864999994</c:v>
                </c:pt>
                <c:pt idx="192">
                  <c:v>-45.987011226889656</c:v>
                </c:pt>
                <c:pt idx="193">
                  <c:v>-46.61760388675024</c:v>
                </c:pt>
                <c:pt idx="194">
                  <c:v>-47.247866713864376</c:v>
                </c:pt>
                <c:pt idx="195">
                  <c:v>-47.87779559294607</c:v>
                </c:pt>
                <c:pt idx="196">
                  <c:v>-48.507386425915975</c:v>
                </c:pt>
                <c:pt idx="197">
                  <c:v>-49.13663512949795</c:v>
                </c:pt>
                <c:pt idx="198">
                  <c:v>-49.76553763659828</c:v>
                </c:pt>
                <c:pt idx="199">
                  <c:v>-50.39408989645594</c:v>
                </c:pt>
                <c:pt idx="200">
                  <c:v>-51.02228787536633</c:v>
                </c:pt>
                <c:pt idx="201">
                  <c:v>-51.65012755624431</c:v>
                </c:pt>
                <c:pt idx="202">
                  <c:v>-52.27760493740877</c:v>
                </c:pt>
                <c:pt idx="203">
                  <c:v>-52.90471603554604</c:v>
                </c:pt>
                <c:pt idx="204">
                  <c:v>-53.531456884781264</c:v>
                </c:pt>
                <c:pt idx="205">
                  <c:v>-54.1578235345617</c:v>
                </c:pt>
                <c:pt idx="206">
                  <c:v>-54.78381205395838</c:v>
                </c:pt>
                <c:pt idx="207">
                  <c:v>-55.40941852830673</c:v>
                </c:pt>
                <c:pt idx="208">
                  <c:v>-56.034639060927226</c:v>
                </c:pt>
                <c:pt idx="209">
                  <c:v>-56.65946977330293</c:v>
                </c:pt>
                <c:pt idx="210">
                  <c:v>-57.28390680471077</c:v>
                </c:pt>
                <c:pt idx="211">
                  <c:v>-57.90794631204401</c:v>
                </c:pt>
                <c:pt idx="212">
                  <c:v>-58.531584471915295</c:v>
                </c:pt>
                <c:pt idx="213">
                  <c:v>-59.15481747912715</c:v>
                </c:pt>
                <c:pt idx="214">
                  <c:v>-59.77764154491039</c:v>
                </c:pt>
                <c:pt idx="215">
                  <c:v>-60.400052901444205</c:v>
                </c:pt>
                <c:pt idx="216">
                  <c:v>-61.02204779949375</c:v>
                </c:pt>
                <c:pt idx="217">
                  <c:v>-61.64362250917482</c:v>
                </c:pt>
                <c:pt idx="218">
                  <c:v>-62.26477331836976</c:v>
                </c:pt>
                <c:pt idx="219">
                  <c:v>-62.88549653480322</c:v>
                </c:pt>
                <c:pt idx="220">
                  <c:v>-63.50578848671123</c:v>
                </c:pt>
                <c:pt idx="221">
                  <c:v>-64.1256455196731</c:v>
                </c:pt>
                <c:pt idx="222">
                  <c:v>-64.74506400091296</c:v>
                </c:pt>
                <c:pt idx="223">
                  <c:v>-65.36404031685544</c:v>
                </c:pt>
                <c:pt idx="224">
                  <c:v>-65.98257087330308</c:v>
                </c:pt>
                <c:pt idx="225">
                  <c:v>-66.6006520977853</c:v>
                </c:pt>
                <c:pt idx="226">
                  <c:v>-67.2182804343963</c:v>
                </c:pt>
                <c:pt idx="227">
                  <c:v>-67.8354523508007</c:v>
                </c:pt>
                <c:pt idx="228">
                  <c:v>-68.45216433532471</c:v>
                </c:pt>
                <c:pt idx="229">
                  <c:v>-69.06841289407483</c:v>
                </c:pt>
                <c:pt idx="230">
                  <c:v>-69.68419455541688</c:v>
                </c:pt>
                <c:pt idx="231">
                  <c:v>-70.29950586788678</c:v>
                </c:pt>
                <c:pt idx="232">
                  <c:v>-70.9143434019384</c:v>
                </c:pt>
                <c:pt idx="233">
                  <c:v>-71.52870374704855</c:v>
                </c:pt>
                <c:pt idx="234">
                  <c:v>-72.14258351513098</c:v>
                </c:pt>
                <c:pt idx="235">
                  <c:v>-72.75597933975796</c:v>
                </c:pt>
                <c:pt idx="236">
                  <c:v>-73.36888787356564</c:v>
                </c:pt>
                <c:pt idx="237">
                  <c:v>-73.98130579299273</c:v>
                </c:pt>
                <c:pt idx="238">
                  <c:v>-74.59322979397881</c:v>
                </c:pt>
                <c:pt idx="239">
                  <c:v>-75.20465659457263</c:v>
                </c:pt>
                <c:pt idx="240">
                  <c:v>-75.51024528632163</c:v>
                </c:pt>
              </c:numCache>
            </c:numRef>
          </c:yVal>
        </c:ser>
        <c:ser>
          <c:idx val="3"/>
          <c:order val="3"/>
          <c:tx>
            <c:v>Topo HF Doppler (Hz)</c:v>
          </c:tx>
          <c:spPr>
            <a:ln xmlns:a="http://schemas.openxmlformats.org/drawingml/2006/main" w="19050">
              <a:solidFill>
                <a:srgbClr val="06B6D4"/>
              </a:solidFill>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71.41414886632106</c:v>
                </c:pt>
                <c:pt idx="1">
                  <c:v>73.70465483587238</c:v>
                </c:pt>
                <c:pt idx="2">
                  <c:v>80.18922146320266</c:v>
                </c:pt>
                <c:pt idx="3">
                  <c:v>75.66380573620222</c:v>
                </c:pt>
                <c:pt idx="4">
                  <c:v>74.45056684088384</c:v>
                </c:pt>
                <c:pt idx="5">
                  <c:v>76.87337210248465</c:v>
                </c:pt>
                <c:pt idx="6">
                  <c:v>72.762513969183</c:v>
                </c:pt>
                <c:pt idx="7">
                  <c:v>78.54096320354441</c:v>
                </c:pt>
                <c:pt idx="8">
                  <c:v>75.44484520109961</c:v>
                </c:pt>
                <c:pt idx="9">
                  <c:v>72.44319169068797</c:v>
                </c:pt>
                <c:pt idx="10">
                  <c:v>77.6914567764102</c:v>
                </c:pt>
                <c:pt idx="11">
                  <c:v>73.88080462381672</c:v>
                </c:pt>
                <c:pt idx="12">
                  <c:v>73.35021845449832</c:v>
                </c:pt>
                <c:pt idx="13">
                  <c:v>73.50196724820655</c:v>
                </c:pt>
                <c:pt idx="14">
                  <c:v>70.42031201812328</c:v>
                </c:pt>
                <c:pt idx="15">
                  <c:v>71.58273772032001</c:v>
                </c:pt>
                <c:pt idx="16">
                  <c:v>73.79120041280333</c:v>
                </c:pt>
                <c:pt idx="17">
                  <c:v>67.92806744945942</c:v>
                </c:pt>
                <c:pt idx="18">
                  <c:v>62.01435823481302</c:v>
                </c:pt>
                <c:pt idx="19">
                  <c:v>69.30033954765484</c:v>
                </c:pt>
                <c:pt idx="20">
                  <c:v>65.70881000329423</c:v>
                </c:pt>
                <c:pt idx="21">
                  <c:v>61.75051161855729</c:v>
                </c:pt>
                <c:pt idx="22">
                  <c:v>63.84779127813375</c:v>
                </c:pt>
                <c:pt idx="23">
                  <c:v>58.083151735860575</c:v>
                </c:pt>
                <c:pt idx="24">
                  <c:v>60.404463164526504</c:v>
                </c:pt>
                <c:pt idx="25">
                  <c:v>60.49295049403251</c:v>
                </c:pt>
                <c:pt idx="26">
                  <c:v>57.670727473964625</c:v>
                </c:pt>
                <c:pt idx="27">
                  <c:v>55.26740690511743</c:v>
                </c:pt>
                <c:pt idx="28">
                  <c:v>52.935133393920744</c:v>
                </c:pt>
                <c:pt idx="29">
                  <c:v>51.15337661456371</c:v>
                </c:pt>
                <c:pt idx="30">
                  <c:v>50.57707884515293</c:v>
                </c:pt>
                <c:pt idx="31">
                  <c:v>54.614952368606026</c:v>
                </c:pt>
                <c:pt idx="32">
                  <c:v>58.2342815901152</c:v>
                </c:pt>
                <c:pt idx="33">
                  <c:v>50.78652961303207</c:v>
                </c:pt>
                <c:pt idx="34">
                  <c:v>47.89094326461929</c:v>
                </c:pt>
                <c:pt idx="35">
                  <c:v>51.81718168200218</c:v>
                </c:pt>
                <c:pt idx="36">
                  <c:v>51.09203395272539</c:v>
                </c:pt>
                <c:pt idx="37">
                  <c:v>54.3551912383569</c:v>
                </c:pt>
                <c:pt idx="38">
                  <c:v>57.01264316578183</c:v>
                </c:pt>
                <c:pt idx="39">
                  <c:v>56.656918797286</c:v>
                </c:pt>
                <c:pt idx="40">
                  <c:v>53.353736518404084</c:v>
                </c:pt>
                <c:pt idx="41">
                  <c:v>47.29237814640069</c:v>
                </c:pt>
                <c:pt idx="42">
                  <c:v>52.3164168701144</c:v>
                </c:pt>
                <c:pt idx="43">
                  <c:v>53.527083972311175</c:v>
                </c:pt>
                <c:pt idx="44">
                  <c:v>55.07979291758455</c:v>
                </c:pt>
                <c:pt idx="45">
                  <c:v>55.80635124110663</c:v>
                </c:pt>
                <c:pt idx="46">
                  <c:v>53.37558426508513</c:v>
                </c:pt>
                <c:pt idx="47">
                  <c:v>55.45690312651282</c:v>
                </c:pt>
                <c:pt idx="48">
                  <c:v>50.79316448533807</c:v>
                </c:pt>
                <c:pt idx="49">
                  <c:v>47.15613248218243</c:v>
                </c:pt>
                <c:pt idx="50">
                  <c:v>52.21568399181368</c:v>
                </c:pt>
                <c:pt idx="51">
                  <c:v>53.33265967164079</c:v>
                </c:pt>
                <c:pt idx="52">
                  <c:v>46.375424166830705</c:v>
                </c:pt>
                <c:pt idx="53">
                  <c:v>48.24790724970345</c:v>
                </c:pt>
                <c:pt idx="54">
                  <c:v>47.57650028684955</c:v>
                </c:pt>
                <c:pt idx="55">
                  <c:v>41.31780589114124</c:v>
                </c:pt>
                <c:pt idx="56">
                  <c:v>41.965868779359546</c:v>
                </c:pt>
                <c:pt idx="57">
                  <c:v>43.26489167391623</c:v>
                </c:pt>
                <c:pt idx="58">
                  <c:v>35.75653044621007</c:v>
                </c:pt>
                <c:pt idx="59">
                  <c:v>35.17167235556669</c:v>
                </c:pt>
                <c:pt idx="60">
                  <c:v>35.4595545654597</c:v>
                </c:pt>
                <c:pt idx="61">
                  <c:v>36.56790693697133</c:v>
                </c:pt>
                <c:pt idx="62">
                  <c:v>33.33025737575682</c:v>
                </c:pt>
                <c:pt idx="63">
                  <c:v>32.07692564840156</c:v>
                </c:pt>
                <c:pt idx="64">
                  <c:v>32.678991241272136</c:v>
                </c:pt>
                <c:pt idx="65">
                  <c:v>29.5269566694796</c:v>
                </c:pt>
                <c:pt idx="66">
                  <c:v>33.10340716614809</c:v>
                </c:pt>
                <c:pt idx="67">
                  <c:v>29.765393112258838</c:v>
                </c:pt>
                <c:pt idx="68">
                  <c:v>28.83268566885173</c:v>
                </c:pt>
                <c:pt idx="69">
                  <c:v>29.952666189058405</c:v>
                </c:pt>
                <c:pt idx="70">
                  <c:v>33.194082540664404</c:v>
                </c:pt>
                <c:pt idx="71">
                  <c:v>33.40096695713631</c:v>
                </c:pt>
                <c:pt idx="72">
                  <c:v>30.16896361517669</c:v>
                </c:pt>
                <c:pt idx="73">
                  <c:v>32.764147953124514</c:v>
                </c:pt>
                <c:pt idx="74">
                  <c:v>32.553924929402115</c:v>
                </c:pt>
                <c:pt idx="75">
                  <c:v>37.71949471692105</c:v>
                </c:pt>
                <c:pt idx="76">
                  <c:v>39.16080600119712</c:v>
                </c:pt>
                <c:pt idx="77">
                  <c:v>27.904263105164002</c:v>
                </c:pt>
                <c:pt idx="78">
                  <c:v>29.565583631556258</c:v>
                </c:pt>
                <c:pt idx="79">
                  <c:v>31.15141322955656</c:v>
                </c:pt>
                <c:pt idx="80">
                  <c:v>30.560306003575832</c:v>
                </c:pt>
                <c:pt idx="81">
                  <c:v>32.93187191673213</c:v>
                </c:pt>
                <c:pt idx="82">
                  <c:v>24.84511360329656</c:v>
                </c:pt>
                <c:pt idx="83">
                  <c:v>28.739770999298663</c:v>
                </c:pt>
                <c:pt idx="84">
                  <c:v>30.6221419614112</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c:v>
                </c:pt>
                <c:pt idx="103">
                  <c:v>9.746514765934476</c:v>
                </c:pt>
                <c:pt idx="104">
                  <c:v>12.598185473818688</c:v>
                </c:pt>
                <c:pt idx="105">
                  <c:v>1.8148587307698585</c:v>
                </c:pt>
                <c:pt idx="106">
                  <c:v>5.54284007660966</c:v>
                </c:pt>
                <c:pt idx="107">
                  <c:v>9.50912860942579</c:v>
                </c:pt>
                <c:pt idx="108">
                  <c:v>3.269109811544941</c:v>
                </c:pt>
                <c:pt idx="109">
                  <c:v>1.98407065401117</c:v>
                </c:pt>
                <c:pt idx="110">
                  <c:v>3.096669130219244</c:v>
                </c:pt>
                <c:pt idx="111">
                  <c:v>5.67352285757566</c:v>
                </c:pt>
                <c:pt idx="112">
                  <c:v>0.7531323960909111</c:v>
                </c:pt>
                <c:pt idx="113">
                  <c:v>3.0972181101386522</c:v>
                </c:pt>
                <c:pt idx="114">
                  <c:v>7.693675051094951</c:v>
                </c:pt>
                <c:pt idx="115">
                  <c:v>7.008609348580015</c:v>
                </c:pt>
                <c:pt idx="116">
                  <c:v>4.998882767921914</c:v>
                </c:pt>
                <c:pt idx="117">
                  <c:v>3.1299515427924014</c:v>
                </c:pt>
                <c:pt idx="118">
                  <c:v>11.615402808228236</c:v>
                </c:pt>
                <c:pt idx="119">
                  <c:v>10.09241670277066</c:v>
                </c:pt>
                <c:pt idx="120">
                  <c:v>2.0387201008239906</c:v>
                </c:pt>
                <c:pt idx="121">
                  <c:v>3.46019080078785</c:v>
                </c:pt>
                <c:pt idx="122">
                  <c:v>6.88480808607496</c:v>
                </c:pt>
                <c:pt idx="123">
                  <c:v>6.91339521563077</c:v>
                </c:pt>
                <c:pt idx="124">
                  <c:v>5.2980191112619766</c:v>
                </c:pt>
                <c:pt idx="125">
                  <c:v>-2.657125660020624</c:v>
                </c:pt>
                <c:pt idx="126">
                  <c:v>-0.7017342088349526</c:v>
                </c:pt>
                <c:pt idx="127">
                  <c:v>1.4422270835923914</c:v>
                </c:pt>
                <c:pt idx="128">
                  <c:v>-3.7758655170509123</c:v>
                </c:pt>
                <c:pt idx="129">
                  <c:v>-8.868404595903502</c:v>
                </c:pt>
                <c:pt idx="130">
                  <c:v>-13.407026431277783</c:v>
                </c:pt>
                <c:pt idx="131">
                  <c:v>-10.697372931686047</c:v>
                </c:pt>
                <c:pt idx="132">
                  <c:v>-11.333558855486164</c:v>
                </c:pt>
                <c:pt idx="133">
                  <c:v>-8.190600723299886</c:v>
                </c:pt>
                <c:pt idx="134">
                  <c:v>-14.019136227337489</c:v>
                </c:pt>
                <c:pt idx="135">
                  <c:v>-18.54995086055702</c:v>
                </c:pt>
                <c:pt idx="136">
                  <c:v>-16.007689645975535</c:v>
                </c:pt>
                <c:pt idx="137">
                  <c:v>-14.76318846703412</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c:v>
                </c:pt>
                <c:pt idx="147">
                  <c:v>-21.248296083608107</c:v>
                </c:pt>
                <c:pt idx="148">
                  <c:v>-16.38465719130542</c:v>
                </c:pt>
                <c:pt idx="149">
                  <c:v>-21.79332677447424</c:v>
                </c:pt>
                <c:pt idx="150">
                  <c:v>-24.048158392806265</c:v>
                </c:pt>
                <c:pt idx="151">
                  <c:v>-19.685555969775127</c:v>
                </c:pt>
                <c:pt idx="152">
                  <c:v>-18.0247907678745</c:v>
                </c:pt>
                <c:pt idx="153">
                  <c:v>-20.578463239361046</c:v>
                </c:pt>
                <c:pt idx="154">
                  <c:v>-20.309014522468832</c:v>
                </c:pt>
                <c:pt idx="155">
                  <c:v>-19.018563679564323</c:v>
                </c:pt>
                <c:pt idx="156">
                  <c:v>-22.77635712361716</c:v>
                </c:pt>
                <c:pt idx="157">
                  <c:v>-20.89725477079272</c:v>
                </c:pt>
                <c:pt idx="158">
                  <c:v>-18.98864468393248</c:v>
                </c:pt>
                <c:pt idx="159">
                  <c:v>-22.72779582385014</c:v>
                </c:pt>
                <c:pt idx="160">
                  <c:v>-24.4608175980092</c:v>
                </c:pt>
                <c:pt idx="161">
                  <c:v>-25.783235451763996</c:v>
                </c:pt>
                <c:pt idx="162">
                  <c:v>-26.390776008686395</c:v>
                </c:pt>
                <c:pt idx="163">
                  <c:v>-26.03823409450676</c:v>
                </c:pt>
                <c:pt idx="164">
                  <c:v>-28.625868369633828</c:v>
                </c:pt>
                <c:pt idx="165">
                  <c:v>-31.180536225688627</c:v>
                </c:pt>
                <c:pt idx="166">
                  <c:v>-32.21146864555388</c:v>
                </c:pt>
                <c:pt idx="167">
                  <c:v>-29.40288686747952</c:v>
                </c:pt>
                <c:pt idx="168">
                  <c:v>-34.55615828002024</c:v>
                </c:pt>
                <c:pt idx="169">
                  <c:v>-36.78285219539849</c:v>
                </c:pt>
                <c:pt idx="170">
                  <c:v>-38.09853312923388</c:v>
                </c:pt>
                <c:pt idx="171">
                  <c:v>-40.20976179251736</c:v>
                </c:pt>
                <c:pt idx="172">
                  <c:v>-34.92782417889668</c:v>
                </c:pt>
                <c:pt idx="173">
                  <c:v>-43.791991972923554</c:v>
                </c:pt>
                <c:pt idx="174">
                  <c:v>-45.693005722937784</c:v>
                </c:pt>
                <c:pt idx="175">
                  <c:v>-43.36525589103865</c:v>
                </c:pt>
                <c:pt idx="176">
                  <c:v>-42.21609170432946</c:v>
                </c:pt>
                <c:pt idx="177">
                  <c:v>-43.23871658790587</c:v>
                </c:pt>
                <c:pt idx="178">
                  <c:v>-48.342129733936346</c:v>
                </c:pt>
                <c:pt idx="179">
                  <c:v>-43.88509128896497</c:v>
                </c:pt>
                <c:pt idx="180">
                  <c:v>-44.02594509580619</c:v>
                </c:pt>
                <c:pt idx="181">
                  <c:v>-43.52980641600356</c:v>
                </c:pt>
                <c:pt idx="182">
                  <c:v>-45.26417896068689</c:v>
                </c:pt>
                <c:pt idx="183">
                  <c:v>-44.400214010921225</c:v>
                </c:pt>
                <c:pt idx="184">
                  <c:v>-38.22808929106321</c:v>
                </c:pt>
                <c:pt idx="185">
                  <c:v>-40.71188137624342</c:v>
                </c:pt>
                <c:pt idx="186">
                  <c:v>-42.62670070905491</c:v>
                </c:pt>
                <c:pt idx="187">
                  <c:v>-38.75358988889357</c:v>
                </c:pt>
                <c:pt idx="188">
                  <c:v>-38.097107622798745</c:v>
                </c:pt>
                <c:pt idx="189">
                  <c:v>-44.41289078063752</c:v>
                </c:pt>
                <c:pt idx="190">
                  <c:v>-46.2215064807596</c:v>
                </c:pt>
                <c:pt idx="191">
                  <c:v>-43.03408324196901</c:v>
                </c:pt>
                <c:pt idx="192">
                  <c:v>-38.46968231153222</c:v>
                </c:pt>
                <c:pt idx="193">
                  <c:v>-40.59040787389087</c:v>
                </c:pt>
                <c:pt idx="194">
                  <c:v>-45.75555594118459</c:v>
                </c:pt>
                <c:pt idx="195">
                  <c:v>-46.688184513129215</c:v>
                </c:pt>
                <c:pt idx="196">
                  <c:v>-41.27987439564199</c:v>
                </c:pt>
                <c:pt idx="197">
                  <c:v>-44.29446884885736</c:v>
                </c:pt>
                <c:pt idx="198">
                  <c:v>-52.705569291943036</c:v>
                </c:pt>
                <c:pt idx="199">
                  <c:v>-49.951356370422644</c:v>
                </c:pt>
                <c:pt idx="200">
                  <c:v>-50.62939518227739</c:v>
                </c:pt>
                <c:pt idx="201">
                  <c:v>-58.392561146912755</c:v>
                </c:pt>
                <c:pt idx="202">
                  <c:v>-59.78294261988434</c:v>
                </c:pt>
                <c:pt idx="203">
                  <c:v>-54.22042019235906</c:v>
                </c:pt>
                <c:pt idx="204">
                  <c:v>-55.79800584109216</c:v>
                </c:pt>
                <c:pt idx="205">
                  <c:v>-59.848306650988405</c:v>
                </c:pt>
                <c:pt idx="206">
                  <c:v>-62.978006261112796</c:v>
                </c:pt>
                <c:pt idx="207">
                  <c:v>-64.55032849178995</c:v>
                </c:pt>
                <c:pt idx="208">
                  <c:v>-67.06224738958521</c:v>
                </c:pt>
                <c:pt idx="209">
                  <c:v>-67.01499933233782</c:v>
                </c:pt>
                <c:pt idx="210">
                  <c:v>-59.716208755301665</c:v>
                </c:pt>
                <c:pt idx="211">
                  <c:v>-62.202093955862885</c:v>
                </c:pt>
                <c:pt idx="212">
                  <c:v>-68.86347074234912</c:v>
                </c:pt>
                <c:pt idx="213">
                  <c:v>-65.84045851374319</c:v>
                </c:pt>
                <c:pt idx="214">
                  <c:v>-63.93950962525857</c:v>
                </c:pt>
                <c:pt idx="215">
                  <c:v>-59.01001994538114</c:v>
                </c:pt>
                <c:pt idx="216">
                  <c:v>-59.491562975441475</c:v>
                </c:pt>
                <c:pt idx="217">
                  <c:v>-65.31571397071939</c:v>
                </c:pt>
                <c:pt idx="218">
                  <c:v>-61.90952059229063</c:v>
                </c:pt>
                <c:pt idx="219">
                  <c:v>-61.550874975510276</c:v>
                </c:pt>
                <c:pt idx="220">
                  <c:v>-58.51091975295298</c:v>
                </c:pt>
                <c:pt idx="221">
                  <c:v>-58.971147243612585</c:v>
                </c:pt>
                <c:pt idx="222">
                  <c:v>-59.40891540693291</c:v>
                </c:pt>
                <c:pt idx="223">
                  <c:v>-58.308736442326584</c:v>
                </c:pt>
                <c:pt idx="224">
                  <c:v>-64.94927222679412</c:v>
                </c:pt>
                <c:pt idx="225">
                  <c:v>-62.71422305877428</c:v>
                </c:pt>
                <c:pt idx="226">
                  <c:v>-63.227931708924366</c:v>
                </c:pt>
                <c:pt idx="227">
                  <c:v>-68.32521806577338</c:v>
                </c:pt>
                <c:pt idx="228">
                  <c:v>-69.50385625827607</c:v>
                </c:pt>
                <c:pt idx="229">
                  <c:v>-67.44642393623946</c:v>
                </c:pt>
                <c:pt idx="230">
                  <c:v>-68.31979345638734</c:v>
                </c:pt>
                <c:pt idx="231">
                  <c:v>-70.70063732385621</c:v>
                </c:pt>
                <c:pt idx="232">
                  <c:v>-69.16359702731403</c:v>
                </c:pt>
                <c:pt idx="233">
                  <c:v>-68.30247777642954</c:v>
                </c:pt>
                <c:pt idx="234">
                  <c:v>-74.94654022039313</c:v>
                </c:pt>
                <c:pt idx="235">
                  <c:v>-74.2323986647485</c:v>
                </c:pt>
                <c:pt idx="236">
                  <c:v>-71.02265395464988</c:v>
                </c:pt>
                <c:pt idx="237">
                  <c:v>-74.19171065417582</c:v>
                </c:pt>
                <c:pt idx="238">
                  <c:v>-79.17498683111246</c:v>
                </c:pt>
                <c:pt idx="239">
                  <c:v>-78.61799082157242</c:v>
                </c:pt>
                <c:pt idx="240">
                  <c:v>-70.64978459915132</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8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5.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-34.98</c:v>
                </c:pt>
                <c:pt idx="51">
                  <c:v>-34.5</c:v>
                </c:pt>
                <c:pt idx="52">
                  <c:v>-34.019999999999996</c:v>
                </c:pt>
                <c:pt idx="53">
                  <c:v>-33.480000000000004</c:v>
                </c:pt>
                <c:pt idx="54">
                  <c:v>-33</c:v>
                </c:pt>
                <c:pt idx="55">
                  <c:v>-32.52</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-1.0200000000000031</c:v>
                </c:pt>
                <c:pt idx="119">
                  <c:v>-0.480000000000004</c:v>
                </c:pt>
                <c:pt idx="120">
                  <c:v>0</c:v>
                </c:pt>
                <c:pt idx="121">
                  <c:v>0.480000000000004</c:v>
                </c:pt>
                <c:pt idx="122">
                  <c:v>1.019999999999996</c:v>
                </c:pt>
                <c:pt idx="123">
                  <c:v>1.499999999999993</c:v>
                </c:pt>
                <c:pt idx="124">
                  <c:v>1.9799999999999969</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c:v>
                </c:pt>
                <c:pt idx="5">
                  <c:v>2693.0034110464517</c:v>
                </c:pt>
                <c:pt idx="6">
                  <c:v>2692.596089258523</c:v>
                </c:pt>
                <c:pt idx="7">
                  <c:v>2692.1921831669297</c:v>
                </c:pt>
                <c:pt idx="8">
                  <c:v>2691.7418716384122</c:v>
                </c:pt>
                <c:pt idx="9">
                  <c:v>2691.34522390153</c:v>
                </c:pt>
                <c:pt idx="10">
                  <c:v>2690.951991860983</c:v>
                </c:pt>
                <c:pt idx="11">
                  <c:v>2690.5136886398923</c:v>
                </c:pt>
                <c:pt idx="12">
                  <c:v>2690.1277149540565</c:v>
                </c:pt>
                <c:pt idx="13">
                  <c:v>2689.745156964556</c:v>
                </c:pt>
                <c:pt idx="14">
                  <c:v>2689.3188620508927</c:v>
                </c:pt>
                <c:pt idx="15">
                  <c:v>2688.9435624161033</c:v>
                </c:pt>
                <c:pt idx="16">
                  <c:v>2688.5716784776487</c:v>
                </c:pt>
                <c:pt idx="17">
                  <c:v>2688.1573918714125</c:v>
                </c:pt>
                <c:pt idx="18">
                  <c:v>2687.7927662876696</c:v>
                </c:pt>
                <c:pt idx="19">
                  <c:v>2687.431556400261</c:v>
                </c:pt>
                <c:pt idx="20">
                  <c:v>2687.0292781014527</c:v>
                </c:pt>
                <c:pt idx="21">
                  <c:v>2686.6753265687557</c:v>
                </c:pt>
                <c:pt idx="22">
                  <c:v>2686.324790732394</c:v>
                </c:pt>
                <c:pt idx="23">
                  <c:v>2685.9345207410115</c:v>
                </c:pt>
                <c:pt idx="24">
                  <c:v>2685.591243259362</c:v>
                </c:pt>
                <c:pt idx="25">
                  <c:v>2685.251381474046</c:v>
                </c:pt>
                <c:pt idx="26">
                  <c:v>2684.873119790092</c:v>
                </c:pt>
                <c:pt idx="27">
                  <c:v>2684.540516359488</c:v>
                </c:pt>
                <c:pt idx="28">
                  <c:v>2684.211328625219</c:v>
                </c:pt>
                <c:pt idx="29">
                  <c:v>2683.8450752486906</c:v>
                </c:pt>
                <c:pt idx="30">
                  <c:v>2683.5231458691333</c:v>
                </c:pt>
                <c:pt idx="31">
                  <c:v>2683.20463218591</c:v>
                </c:pt>
                <c:pt idx="32">
                  <c:v>2682.85038711681</c:v>
                </c:pt>
                <c:pt idx="33">
                  <c:v>2682.539131788299</c:v>
                </c:pt>
                <c:pt idx="34">
                  <c:v>2682.231292156122</c:v>
                </c:pt>
                <c:pt idx="35">
                  <c:v>2681.8890553944493</c:v>
                </c:pt>
                <c:pt idx="36">
                  <c:v>2681.588474116984</c:v>
                </c:pt>
                <c:pt idx="37">
                  <c:v>2681.2913085358537</c:v>
                </c:pt>
                <c:pt idx="38">
                  <c:v>2680.9610800816076</c:v>
                </c:pt>
                <c:pt idx="39">
                  <c:v>2680.671172855189</c:v>
                </c:pt>
                <c:pt idx="40">
                  <c:v>2680.3846813251052</c:v>
                </c:pt>
                <c:pt idx="41">
                  <c:v>2680.0664611782863</c:v>
                </c:pt>
                <c:pt idx="42">
                  <c:v>2679.7872280029137</c:v>
                </c:pt>
                <c:pt idx="43">
                  <c:v>2679.5114105238763</c:v>
                </c:pt>
                <c:pt idx="44">
                  <c:v>2679.205198684485</c:v>
                </c:pt>
                <c:pt idx="45">
                  <c:v>2678.9366395601587</c:v>
                </c:pt>
                <c:pt idx="46">
                  <c:v>2678.6714961321677</c:v>
                </c:pt>
                <c:pt idx="47">
                  <c:v>2678.377292600203</c:v>
                </c:pt>
                <c:pt idx="48">
                  <c:v>2678.119407526923</c:v>
                </c:pt>
                <c:pt idx="49">
                  <c:v>2677.8649381499786</c:v>
                </c:pt>
                <c:pt idx="50">
                  <c:v>2677.582742925441</c:v>
                </c:pt>
                <c:pt idx="51">
                  <c:v>2677.3355319032075</c:v>
                </c:pt>
                <c:pt idx="52">
                  <c:v>2677.091736577309</c:v>
                </c:pt>
                <c:pt idx="53">
                  <c:v>2676.821549660199</c:v>
                </c:pt>
                <c:pt idx="54">
                  <c:v>2676.585012689012</c:v>
                </c:pt>
                <c:pt idx="55">
                  <c:v>2676.3518914141596</c:v>
                </c:pt>
                <c:pt idx="56">
                  <c:v>2676.093712804476</c:v>
                </c:pt>
                <c:pt idx="57">
                  <c:v>2675.867849884336</c:v>
                </c:pt>
                <c:pt idx="58">
                  <c:v>2675.6454026605297</c:v>
                </c:pt>
                <c:pt idx="59">
                  <c:v>2675.3992323582734</c:v>
                </c:pt>
                <c:pt idx="60">
                  <c:v>2675.184043489179</c:v>
                </c:pt>
                <c:pt idx="61">
                  <c:v>2674.9722703164202</c:v>
                </c:pt>
                <c:pt idx="62">
                  <c:v>2674.738108321591</c:v>
                </c:pt>
                <c:pt idx="63">
                  <c:v>2674.5335935035428</c:v>
                </c:pt>
                <c:pt idx="64">
                  <c:v>2674.33249438183</c:v>
                </c:pt>
                <c:pt idx="65">
                  <c:v>2674.1103406944285</c:v>
                </c:pt>
                <c:pt idx="66">
                  <c:v>2673.9164999274262</c:v>
                </c:pt>
                <c:pt idx="67">
                  <c:v>2673.7260748567596</c:v>
                </c:pt>
                <c:pt idx="68">
                  <c:v>2673.515929476785</c:v>
                </c:pt>
                <c:pt idx="69">
                  <c:v>2673.3327627608296</c:v>
                </c:pt>
                <c:pt idx="70">
                  <c:v>2673.1530117412094</c:v>
                </c:pt>
                <c:pt idx="71">
                  <c:v>2672.954874668662</c:v>
                </c:pt>
                <c:pt idx="72">
                  <c:v>2672.782382003753</c:v>
                </c:pt>
                <c:pt idx="73">
                  <c:v>2672.6133050351787</c:v>
                </c:pt>
                <c:pt idx="74">
                  <c:v>2672.427176270058</c:v>
                </c:pt>
                <c:pt idx="75">
                  <c:v>2672.2653576561956</c:v>
                </c:pt>
                <c:pt idx="76">
                  <c:v>2672.106954738668</c:v>
                </c:pt>
                <c:pt idx="77">
                  <c:v>2671.932834280975</c:v>
                </c:pt>
                <c:pt idx="78">
                  <c:v>2671.7816897181583</c:v>
                </c:pt>
                <c:pt idx="79">
                  <c:v>2671.633960851677</c:v>
                </c:pt>
                <c:pt idx="80">
                  <c:v>2671.4718487014106</c:v>
                </c:pt>
                <c:pt idx="81">
                  <c:v>2671.331378189641</c:v>
                </c:pt>
                <c:pt idx="82">
                  <c:v>2671.194323374206</c:v>
                </c:pt>
                <c:pt idx="83">
                  <c:v>2671.0442195313667</c:v>
                </c:pt>
                <c:pt idx="84">
                  <c:v>2670.914423070643</c:v>
                </c:pt>
                <c:pt idx="85">
                  <c:v>2670.7880423062543</c:v>
                </c:pt>
                <c:pt idx="86">
                  <c:v>2670.6499467708427</c:v>
                </c:pt>
                <c:pt idx="87">
                  <c:v>2670.5308243611653</c:v>
                </c:pt>
                <c:pt idx="88">
                  <c:v>2670.4151176478226</c:v>
                </c:pt>
                <c:pt idx="89">
                  <c:v>2670.2890304198377</c:v>
                </c:pt>
                <c:pt idx="90">
                  <c:v>2670.180582061207</c:v>
                </c:pt>
                <c:pt idx="91">
                  <c:v>2670.075549398911</c:v>
                </c:pt>
                <c:pt idx="92">
                  <c:v>2669.9614704783535</c:v>
                </c:pt>
                <c:pt idx="93">
                  <c:v>2669.863696170769</c:v>
                </c:pt>
                <c:pt idx="94">
                  <c:v>2669.769337559519</c:v>
                </c:pt>
                <c:pt idx="95">
                  <c:v>2669.6672669463883</c:v>
                </c:pt>
                <c:pt idx="96">
                  <c:v>2669.5801666898506</c:v>
                </c:pt>
                <c:pt idx="97">
                  <c:v>2669.496482129647</c:v>
                </c:pt>
                <c:pt idx="98">
                  <c:v>2669.406419823944</c:v>
                </c:pt>
                <c:pt idx="99">
                  <c:v>2669.329993618452</c:v>
                </c:pt>
                <c:pt idx="100">
                  <c:v>2669.256983109295</c:v>
                </c:pt>
                <c:pt idx="101">
                  <c:v>2669.1789291110185</c:v>
                </c:pt>
                <c:pt idx="102">
                  <c:v>2669.113176956573</c:v>
                </c:pt>
                <c:pt idx="103">
                  <c:v>2669.050840498462</c:v>
                </c:pt>
                <c:pt idx="104">
                  <c:v>2668.984794807613</c:v>
                </c:pt>
                <c:pt idx="105">
                  <c:v>2668.929716704214</c:v>
                </c:pt>
                <c:pt idx="106">
                  <c:v>2668.8780542971494</c:v>
                </c:pt>
                <c:pt idx="107">
                  <c:v>2668.8240169137275</c:v>
                </c:pt>
                <c:pt idx="108">
                  <c:v>2668.779612861375</c:v>
                </c:pt>
                <c:pt idx="109">
                  <c:v>2668.738624505357</c:v>
                </c:pt>
                <c:pt idx="110">
                  <c:v>2668.696595429362</c:v>
                </c:pt>
                <c:pt idx="111">
                  <c:v>2668.6628654280557</c:v>
                </c:pt>
                <c:pt idx="112">
                  <c:v>2668.632551123084</c:v>
                </c:pt>
                <c:pt idx="113">
                  <c:v>2668.602530354516</c:v>
                </c:pt>
                <c:pt idx="114">
                  <c:v>2668.579474404256</c:v>
                </c:pt>
                <c:pt idx="115">
                  <c:v>2668.5598341503305</c:v>
                </c:pt>
                <c:pt idx="116">
                  <c:v>2668.54182168919</c:v>
                </c:pt>
                <c:pt idx="117">
                  <c:v>2668.5294397899765</c:v>
                </c:pt>
                <c:pt idx="118">
                  <c:v>2668.520473587097</c:v>
                </c:pt>
                <c:pt idx="119">
                  <c:v>2668.514469433384</c:v>
                </c:pt>
                <c:pt idx="120">
                  <c:v>2668.5127615852166</c:v>
                </c:pt>
                <c:pt idx="121">
                  <c:v>2668.514469433384</c:v>
                </c:pt>
                <c:pt idx="122">
                  <c:v>2668.520473587097</c:v>
                </c:pt>
                <c:pt idx="123">
                  <c:v>2668.5294397899765</c:v>
                </c:pt>
                <c:pt idx="124">
                  <c:v>2668.54182168919</c:v>
                </c:pt>
                <c:pt idx="125">
                  <c:v>2668.5598341503305</c:v>
                </c:pt>
                <c:pt idx="126">
                  <c:v>2668.579474404256</c:v>
                </c:pt>
                <c:pt idx="127">
                  <c:v>2668.602530354516</c:v>
                </c:pt>
                <c:pt idx="128">
                  <c:v>2668.632551123084</c:v>
                </c:pt>
                <c:pt idx="129">
                  <c:v>2668.6628654280557</c:v>
                </c:pt>
                <c:pt idx="130">
                  <c:v>2668.696595429362</c:v>
                </c:pt>
                <c:pt idx="131">
                  <c:v>2668.738624505357</c:v>
                </c:pt>
                <c:pt idx="132">
                  <c:v>2668.779612861375</c:v>
                </c:pt>
                <c:pt idx="133">
                  <c:v>2668.8240169137275</c:v>
                </c:pt>
                <c:pt idx="134">
                  <c:v>2668.8780542971494</c:v>
                </c:pt>
                <c:pt idx="135">
                  <c:v>2668.929716704214</c:v>
                </c:pt>
                <c:pt idx="136">
                  <c:v>2668.984794807613</c:v>
                </c:pt>
                <c:pt idx="137">
                  <c:v>2669.050840498462</c:v>
                </c:pt>
                <c:pt idx="138">
                  <c:v>2669.113176956573</c:v>
                </c:pt>
                <c:pt idx="139">
                  <c:v>2669.1789291110185</c:v>
                </c:pt>
                <c:pt idx="140">
                  <c:v>2669.256983109295</c:v>
                </c:pt>
                <c:pt idx="141">
                  <c:v>2669.329993618452</c:v>
                </c:pt>
                <c:pt idx="142">
                  <c:v>2669.406419823944</c:v>
                </c:pt>
                <c:pt idx="143">
                  <c:v>2669.496482129647</c:v>
                </c:pt>
                <c:pt idx="144">
                  <c:v>2669.5801666898506</c:v>
                </c:pt>
                <c:pt idx="145">
                  <c:v>2669.6672669463883</c:v>
                </c:pt>
                <c:pt idx="146">
                  <c:v>2669.769337559519</c:v>
                </c:pt>
                <c:pt idx="147">
                  <c:v>2669.863696170769</c:v>
                </c:pt>
                <c:pt idx="148">
                  <c:v>2669.9614704783535</c:v>
                </c:pt>
                <c:pt idx="149">
                  <c:v>2670.075549398911</c:v>
                </c:pt>
                <c:pt idx="150">
                  <c:v>2670.180582061207</c:v>
                </c:pt>
                <c:pt idx="151">
                  <c:v>2670.2890304198377</c:v>
                </c:pt>
                <c:pt idx="152">
                  <c:v>2670.4151176478226</c:v>
                </c:pt>
                <c:pt idx="153">
                  <c:v>2670.5308243611653</c:v>
                </c:pt>
                <c:pt idx="154">
                  <c:v>2670.6499467708427</c:v>
                </c:pt>
                <c:pt idx="155">
                  <c:v>2670.7880423062543</c:v>
                </c:pt>
                <c:pt idx="156">
                  <c:v>2670.914423070643</c:v>
                </c:pt>
                <c:pt idx="157">
                  <c:v>2671.0442195313667</c:v>
                </c:pt>
                <c:pt idx="158">
                  <c:v>2671.194323374206</c:v>
                </c:pt>
                <c:pt idx="159">
                  <c:v>2671.331378189641</c:v>
                </c:pt>
                <c:pt idx="160">
                  <c:v>2671.4718487014106</c:v>
                </c:pt>
                <c:pt idx="161">
                  <c:v>2671.633960851677</c:v>
                </c:pt>
                <c:pt idx="162">
                  <c:v>2671.7816897181583</c:v>
                </c:pt>
                <c:pt idx="163">
                  <c:v>2671.932834280975</c:v>
                </c:pt>
                <c:pt idx="164">
                  <c:v>2672.106954738668</c:v>
                </c:pt>
                <c:pt idx="165">
                  <c:v>2672.2653576561956</c:v>
                </c:pt>
                <c:pt idx="166">
                  <c:v>2672.427176270058</c:v>
                </c:pt>
                <c:pt idx="167">
                  <c:v>2672.6133050351787</c:v>
                </c:pt>
                <c:pt idx="168">
                  <c:v>2672.782382003753</c:v>
                </c:pt>
                <c:pt idx="169">
                  <c:v>2672.954874668662</c:v>
                </c:pt>
                <c:pt idx="170">
                  <c:v>2673.1530117412094</c:v>
                </c:pt>
                <c:pt idx="171">
                  <c:v>2673.3327627608296</c:v>
                </c:pt>
                <c:pt idx="172">
                  <c:v>2673.515929476785</c:v>
                </c:pt>
                <c:pt idx="173">
                  <c:v>2673.7260748567596</c:v>
                </c:pt>
                <c:pt idx="174">
                  <c:v>2673.9164999274262</c:v>
                </c:pt>
                <c:pt idx="175">
                  <c:v>2674.1103406944285</c:v>
                </c:pt>
                <c:pt idx="176">
                  <c:v>2674.33249438183</c:v>
                </c:pt>
                <c:pt idx="177">
                  <c:v>2674.5335935035428</c:v>
                </c:pt>
                <c:pt idx="178">
                  <c:v>2674.738108321591</c:v>
                </c:pt>
                <c:pt idx="179">
                  <c:v>2674.9722703164202</c:v>
                </c:pt>
                <c:pt idx="180">
                  <c:v>2675.184043489179</c:v>
                </c:pt>
                <c:pt idx="181">
                  <c:v>2675.3992323582734</c:v>
                </c:pt>
                <c:pt idx="182">
                  <c:v>2675.6454026605297</c:v>
                </c:pt>
                <c:pt idx="183">
                  <c:v>2675.867849884336</c:v>
                </c:pt>
                <c:pt idx="184">
                  <c:v>2676.093712804476</c:v>
                </c:pt>
                <c:pt idx="185">
                  <c:v>2676.3518914141596</c:v>
                </c:pt>
                <c:pt idx="186">
                  <c:v>2676.585012689012</c:v>
                </c:pt>
                <c:pt idx="187">
                  <c:v>2676.821549660199</c:v>
                </c:pt>
                <c:pt idx="188">
                  <c:v>2677.091736577309</c:v>
                </c:pt>
                <c:pt idx="189">
                  <c:v>2677.3355319032075</c:v>
                </c:pt>
                <c:pt idx="190">
                  <c:v>2677.582742925441</c:v>
                </c:pt>
                <c:pt idx="191">
                  <c:v>2677.8649381499786</c:v>
                </c:pt>
                <c:pt idx="192">
                  <c:v>2678.119407526923</c:v>
                </c:pt>
                <c:pt idx="193">
                  <c:v>2678.377292600203</c:v>
                </c:pt>
                <c:pt idx="194">
                  <c:v>2678.6714961321677</c:v>
                </c:pt>
                <c:pt idx="195">
                  <c:v>2678.9366395601587</c:v>
                </c:pt>
                <c:pt idx="196">
                  <c:v>2679.205198684485</c:v>
                </c:pt>
                <c:pt idx="197">
                  <c:v>2679.5114105238763</c:v>
                </c:pt>
                <c:pt idx="198">
                  <c:v>2679.7872280029137</c:v>
                </c:pt>
                <c:pt idx="199">
                  <c:v>2680.0664611782863</c:v>
                </c:pt>
                <c:pt idx="200">
                  <c:v>2680.3846813251052</c:v>
                </c:pt>
                <c:pt idx="201">
                  <c:v>2680.671172855189</c:v>
                </c:pt>
                <c:pt idx="202">
                  <c:v>2680.9610800816076</c:v>
                </c:pt>
                <c:pt idx="203">
                  <c:v>2681.2913085358537</c:v>
                </c:pt>
                <c:pt idx="204">
                  <c:v>2681.588474116984</c:v>
                </c:pt>
                <c:pt idx="205">
                  <c:v>2681.8890553944493</c:v>
                </c:pt>
                <c:pt idx="206">
                  <c:v>2682.231292156122</c:v>
                </c:pt>
                <c:pt idx="207">
                  <c:v>2682.539131788299</c:v>
                </c:pt>
                <c:pt idx="208">
                  <c:v>2682.85038711681</c:v>
                </c:pt>
                <c:pt idx="209">
                  <c:v>2683.20463218591</c:v>
                </c:pt>
                <c:pt idx="210">
                  <c:v>2683.5231458691333</c:v>
                </c:pt>
                <c:pt idx="211">
                  <c:v>2683.8450752486906</c:v>
                </c:pt>
                <c:pt idx="212">
                  <c:v>2684.211328625219</c:v>
                </c:pt>
                <c:pt idx="213">
                  <c:v>2684.540516359488</c:v>
                </c:pt>
                <c:pt idx="214">
                  <c:v>2684.873119790092</c:v>
                </c:pt>
                <c:pt idx="215">
                  <c:v>2685.251381474046</c:v>
                </c:pt>
                <c:pt idx="216">
                  <c:v>2685.591243259362</c:v>
                </c:pt>
                <c:pt idx="217">
                  <c:v>2685.9345207410115</c:v>
                </c:pt>
                <c:pt idx="218">
                  <c:v>2686.324790732394</c:v>
                </c:pt>
                <c:pt idx="219">
                  <c:v>2686.6753265687557</c:v>
                </c:pt>
                <c:pt idx="220">
                  <c:v>2687.0292781014527</c:v>
                </c:pt>
                <c:pt idx="221">
                  <c:v>2687.431556400261</c:v>
                </c:pt>
                <c:pt idx="222">
                  <c:v>2687.7927662876696</c:v>
                </c:pt>
                <c:pt idx="223">
                  <c:v>2688.1573918714125</c:v>
                </c:pt>
                <c:pt idx="224">
                  <c:v>2688.5716784776487</c:v>
                </c:pt>
                <c:pt idx="225">
                  <c:v>2688.9435624161033</c:v>
                </c:pt>
                <c:pt idx="226">
                  <c:v>2689.3188620508927</c:v>
                </c:pt>
                <c:pt idx="227">
                  <c:v>2689.745156964556</c:v>
                </c:pt>
                <c:pt idx="228">
                  <c:v>2690.1277149540565</c:v>
                </c:pt>
                <c:pt idx="229">
                  <c:v>2690.5136886398923</c:v>
                </c:pt>
                <c:pt idx="230">
                  <c:v>2690.951991860983</c:v>
                </c:pt>
                <c:pt idx="231">
                  <c:v>2691.34522390153</c:v>
                </c:pt>
                <c:pt idx="232">
                  <c:v>2691.7418716384122</c:v>
                </c:pt>
                <c:pt idx="233">
                  <c:v>2692.1921831669297</c:v>
                </c:pt>
                <c:pt idx="234">
                  <c:v>2692.596089258523</c:v>
                </c:pt>
                <c:pt idx="235">
                  <c:v>2693.0034110464517</c:v>
                </c:pt>
                <c:pt idx="236">
                  <c:v>2693.465730882396</c:v>
                </c:pt>
                <c:pt idx="237">
                  <c:v>2693.8803110250356</c:v>
                </c:pt>
                <c:pt idx="238">
                  <c:v>2694.2983068640106</c:v>
                </c:pt>
                <c:pt idx="239">
                  <c:v>2694.7726350073826</c:v>
                </c:pt>
                <c:pt idx="240">
                  <c:v>2695.1978892010684</c:v>
                </c:pt>
              </c:numCache>
            </c:numRef>
          </c:yVal>
        </c:ser>
        <c:ser>
          <c:idx val="1"/>
          <c:order val="1"/>
          <c:tx>
            <c:v>Paper low-altitude 35 km / 800 km pass</c:v>
          </c:tx>
          <c:spPr>
            <a:ln xmlns:a="http://schemas.openxmlformats.org/drawingml/2006/main" w="19050">
              <a:solidFill>
                <a:srgbClr val="F97316"/>
              </a:solidFill>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c:v>
                </c:pt>
                <c:pt idx="74">
                  <c:v>-153.2</c:v>
                </c:pt>
                <c:pt idx="75">
                  <c:v>-150</c:v>
                </c:pt>
                <c:pt idx="76">
                  <c:v>-146.8</c:v>
                </c:pt>
                <c:pt idx="77">
                  <c:v>-143.2</c:v>
                </c:pt>
                <c:pt idx="78">
                  <c:v>-140</c:v>
                </c:pt>
                <c:pt idx="79">
                  <c:v>-136.8</c:v>
                </c:pt>
                <c:pt idx="80">
                  <c:v>-133.2</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-26.799999999999955</c:v>
                </c:pt>
                <c:pt idx="113">
                  <c:v>-23.200000000000045</c:v>
                </c:pt>
                <c:pt idx="114">
                  <c:v>-20</c:v>
                </c:pt>
                <c:pt idx="115">
                  <c:v>-16.80000000000001</c:v>
                </c:pt>
                <c:pt idx="116">
                  <c:v>-13.199999999999989</c:v>
                </c:pt>
                <c:pt idx="117">
                  <c:v>-10</c:v>
                </c:pt>
                <c:pt idx="118">
                  <c:v>-6.800000000000011</c:v>
                </c:pt>
                <c:pt idx="119">
                  <c:v>-3.1999999999999886</c:v>
                </c:pt>
                <c:pt idx="120">
                  <c:v>0</c:v>
                </c:pt>
                <c:pt idx="121">
                  <c:v>3.1999999999999886</c:v>
                </c:pt>
                <c:pt idx="122">
                  <c:v>6.7999999999999545</c:v>
                </c:pt>
                <c:pt idx="123">
                  <c:v>9.999999999999943</c:v>
                </c:pt>
                <c:pt idx="124">
                  <c:v>13.199999999999989</c:v>
                </c:pt>
                <c:pt idx="125">
                  <c:v>16.80000000000001</c:v>
                </c:pt>
                <c:pt idx="126">
                  <c:v>20</c:v>
                </c:pt>
                <c:pt idx="127">
                  <c:v>23.200000000000045</c:v>
                </c:pt>
                <c:pt idx="128">
                  <c:v>26.799999999999955</c:v>
                </c:pt>
                <c:pt idx="129">
                  <c:v>30</c:v>
                </c:pt>
                <c:pt idx="130">
                  <c:v>33.19999999999999</c:v>
                </c:pt>
                <c:pt idx="131">
                  <c:v>36.80000000000001</c:v>
                </c:pt>
                <c:pt idx="132">
                  <c:v>40.00000000000006</c:v>
                </c:pt>
                <c:pt idx="133">
                  <c:v>43.200000000000045</c:v>
                </c:pt>
                <c:pt idx="134">
                  <c:v>46.80000000000001</c:v>
                </c:pt>
                <c:pt idx="135">
                  <c:v>50</c:v>
                </c:pt>
                <c:pt idx="136">
                  <c:v>53.19999999999999</c:v>
                </c:pt>
                <c:pt idx="137">
                  <c:v>56.799999999999955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c:v>
                </c:pt>
                <c:pt idx="6">
                  <c:v>2431.0985168279312</c:v>
                </c:pt>
                <c:pt idx="7">
                  <c:v>2394.2420859700205</c:v>
                </c:pt>
                <c:pt idx="8">
                  <c:v>2353.1511589928</c:v>
                </c:pt>
                <c:pt idx="9">
                  <c:v>2316.957053002314</c:v>
                </c:pt>
                <c:pt idx="10">
                  <c:v>2281.0746293023826</c:v>
                </c:pt>
                <c:pt idx="11">
                  <c:v>2241.0794603778854</c:v>
                </c:pt>
                <c:pt idx="12">
                  <c:v>2205.8593615453797</c:v>
                </c:pt>
                <c:pt idx="13">
                  <c:v>2170.9509450034266</c:v>
                </c:pt>
                <c:pt idx="14">
                  <c:v>2132.051534131656</c:v>
                </c:pt>
                <c:pt idx="15">
                  <c:v>2097.8054424571283</c:v>
                </c:pt>
                <c:pt idx="16">
                  <c:v>2063.8710330731533</c:v>
                </c:pt>
                <c:pt idx="17">
                  <c:v>2026.067380254109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1513.401147669966</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c:v>
                </c:pt>
                <c:pt idx="52">
                  <c:v>1016.3263346671649</c:v>
                </c:pt>
                <c:pt idx="53">
                  <c:v>991.6717784808318</c:v>
                </c:pt>
                <c:pt idx="54">
                  <c:v>970.0877798600259</c:v>
                </c:pt>
                <c:pt idx="55">
                  <c:v>948.8154635297731</c:v>
                </c:pt>
                <c:pt idx="56">
                  <c:v>925.2566653961659</c:v>
                </c:pt>
                <c:pt idx="57">
                  <c:v>904.6466739333382</c:v>
                </c:pt>
                <c:pt idx="58">
                  <c:v>884.3483647610641</c:v>
                </c:pt>
                <c:pt idx="59">
                  <c:v>861.8853246801826</c:v>
                </c:pt>
                <c:pt idx="60">
                  <c:v>842.2493403753339</c:v>
                </c:pt>
                <c:pt idx="61">
                  <c:v>822.9250383610386</c:v>
                </c:pt>
                <c:pt idx="62">
                  <c:v>801.5577563328827</c:v>
                </c:pt>
                <c:pt idx="63">
                  <c:v>782.8957791860126</c:v>
                </c:pt>
                <c:pt idx="64">
                  <c:v>764.545484329696</c:v>
                </c:pt>
                <c:pt idx="65">
                  <c:v>744.2739603542661</c:v>
                </c:pt>
                <c:pt idx="66">
                  <c:v>726.5859903653746</c:v>
                </c:pt>
                <c:pt idx="67">
                  <c:v>709.2097026670363</c:v>
                </c:pt>
                <c:pt idx="68">
                  <c:v>690.0339367443328</c:v>
                </c:pt>
                <c:pt idx="69">
                  <c:v>673.3199739134199</c:v>
                </c:pt>
                <c:pt idx="70">
                  <c:v>656.9176933730602</c:v>
                </c:pt>
                <c:pt idx="71">
                  <c:v>638.8376855030822</c:v>
                </c:pt>
                <c:pt idx="72">
                  <c:v>623.097729830148</c:v>
                </c:pt>
                <c:pt idx="73">
                  <c:v>607.6694564477671</c:v>
                </c:pt>
                <c:pt idx="74">
                  <c:v>590.685206630515</c:v>
                </c:pt>
                <c:pt idx="75">
                  <c:v>575.9192581155594</c:v>
                </c:pt>
                <c:pt idx="76">
                  <c:v>561.464991891157</c:v>
                </c:pt>
                <c:pt idx="77">
                  <c:v>545.576500126631</c:v>
                </c:pt>
                <c:pt idx="78">
                  <c:v>531.7845587696538</c:v>
                </c:pt>
                <c:pt idx="79">
                  <c:v>518.3042997032301</c:v>
                </c:pt>
                <c:pt idx="80">
                  <c:v>503.51156599142996</c:v>
                </c:pt>
                <c:pt idx="81">
                  <c:v>490.6936317924316</c:v>
                </c:pt>
                <c:pt idx="82">
                  <c:v>478.18737988398607</c:v>
                </c:pt>
                <c:pt idx="83">
                  <c:v>464.49040422491237</c:v>
                </c:pt>
                <c:pt idx="84">
                  <c:v>452.64647718389233</c:v>
                </c:pt>
                <c:pt idx="85">
                  <c:v>441.11423243342574</c:v>
                </c:pt>
                <c:pt idx="86">
                  <c:v>428.5130148270775</c:v>
                </c:pt>
                <c:pt idx="87">
                  <c:v>417.6430949440363</c:v>
                </c:pt>
                <c:pt idx="88">
                  <c:v>407.0848573515482</c:v>
                </c:pt>
                <c:pt idx="89">
                  <c:v>395.5793977979259</c:v>
                </c:pt>
                <c:pt idx="90">
                  <c:v>385.68348507286333</c:v>
                </c:pt>
                <c:pt idx="91">
                  <c:v>376.09925463835384</c:v>
                </c:pt>
                <c:pt idx="92">
                  <c:v>365.6895531374575</c:v>
                </c:pt>
                <c:pt idx="93">
                  <c:v>356.7676475703735</c:v>
                </c:pt>
                <c:pt idx="94">
                  <c:v>348.1574242938427</c:v>
                </c:pt>
                <c:pt idx="95">
                  <c:v>338.8434808456722</c:v>
                </c:pt>
                <c:pt idx="96">
                  <c:v>330.8955824365668</c:v>
                </c:pt>
                <c:pt idx="97">
                  <c:v>323.2593663180145</c:v>
                </c:pt>
                <c:pt idx="98">
                  <c:v>315.04118092257016</c:v>
                </c:pt>
                <c:pt idx="99">
                  <c:v>308.0672896714433</c:v>
                </c:pt>
                <c:pt idx="100">
                  <c:v>301.40508071086964</c:v>
                </c:pt>
                <c:pt idx="101">
                  <c:v>294.2826533681511</c:v>
                </c:pt>
                <c:pt idx="102">
                  <c:v>288.2827692750029</c:v>
                </c:pt>
                <c:pt idx="103">
                  <c:v>282.5945674724079</c:v>
                </c:pt>
                <c:pt idx="104">
                  <c:v>276.56789818241526</c:v>
                </c:pt>
                <c:pt idx="105">
                  <c:v>271.54202124724566</c:v>
                </c:pt>
                <c:pt idx="106">
                  <c:v>266.8278266026293</c:v>
                </c:pt>
                <c:pt idx="107">
                  <c:v>261.89691536536253</c:v>
                </c:pt>
                <c:pt idx="108">
                  <c:v>257.8450455881715</c:v>
                </c:pt>
                <c:pt idx="109">
                  <c:v>254.1048581015337</c:v>
                </c:pt>
                <c:pt idx="110">
                  <c:v>250.26970491699296</c:v>
                </c:pt>
                <c:pt idx="111">
                  <c:v>247.19184229778054</c:v>
                </c:pt>
                <c:pt idx="112">
                  <c:v>244.42566196912128</c:v>
                </c:pt>
                <c:pt idx="113">
                  <c:v>241.68626683730656</c:v>
                </c:pt>
                <c:pt idx="114">
                  <c:v>239.5824113760727</c:v>
                </c:pt>
                <c:pt idx="115">
                  <c:v>237.7902382053921</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237.7902382053921</c:v>
                </c:pt>
                <c:pt idx="126">
                  <c:v>239.5824113760727</c:v>
                </c:pt>
                <c:pt idx="127">
                  <c:v>241.68626683730656</c:v>
                </c:pt>
                <c:pt idx="128">
                  <c:v>244.42566196912128</c:v>
                </c:pt>
                <c:pt idx="129">
                  <c:v>247.19184229778054</c:v>
                </c:pt>
                <c:pt idx="130">
                  <c:v>250.26970491699296</c:v>
                </c:pt>
                <c:pt idx="131">
                  <c:v>254.1048581015337</c:v>
                </c:pt>
                <c:pt idx="132">
                  <c:v>257.8450455881716</c:v>
                </c:pt>
                <c:pt idx="133">
                  <c:v>261.8969153653626</c:v>
                </c:pt>
                <c:pt idx="134">
                  <c:v>266.8278266026293</c:v>
                </c:pt>
                <c:pt idx="135">
                  <c:v>271.54202124724566</c:v>
                </c:pt>
                <c:pt idx="136">
                  <c:v>276.56789818241526</c:v>
                </c:pt>
                <c:pt idx="137">
                  <c:v>282.5945674724078</c:v>
                </c:pt>
                <c:pt idx="138">
                  <c:v>288.2827692750028</c:v>
                </c:pt>
                <c:pt idx="139">
                  <c:v>294.2826533681511</c:v>
                </c:pt>
                <c:pt idx="140">
                  <c:v>301.40508071086964</c:v>
                </c:pt>
                <c:pt idx="141">
                  <c:v>308.0672896714433</c:v>
                </c:pt>
                <c:pt idx="142">
                  <c:v>315.04118092257016</c:v>
                </c:pt>
                <c:pt idx="143">
                  <c:v>323.2593663180145</c:v>
                </c:pt>
                <c:pt idx="144">
                  <c:v>330.8955824365668</c:v>
                </c:pt>
                <c:pt idx="145">
                  <c:v>338.8434808456722</c:v>
                </c:pt>
                <c:pt idx="146">
                  <c:v>348.1574242938427</c:v>
                </c:pt>
                <c:pt idx="147">
                  <c:v>356.76764757037364</c:v>
                </c:pt>
                <c:pt idx="148">
                  <c:v>365.68955313745766</c:v>
                </c:pt>
                <c:pt idx="149">
                  <c:v>376.09925463835384</c:v>
                </c:pt>
                <c:pt idx="150">
                  <c:v>385.68348507286333</c:v>
                </c:pt>
                <c:pt idx="151">
                  <c:v>395.5793977979259</c:v>
                </c:pt>
                <c:pt idx="152">
                  <c:v>407.08485735154807</c:v>
                </c:pt>
                <c:pt idx="153">
                  <c:v>417.6430949440361</c:v>
                </c:pt>
                <c:pt idx="154">
                  <c:v>428.51301482707726</c:v>
                </c:pt>
                <c:pt idx="155">
                  <c:v>441.11423243342597</c:v>
                </c:pt>
                <c:pt idx="156">
                  <c:v>452.64647718389233</c:v>
                </c:pt>
                <c:pt idx="157">
                  <c:v>464.49040422491237</c:v>
                </c:pt>
                <c:pt idx="158">
                  <c:v>478.18737988398607</c:v>
                </c:pt>
                <c:pt idx="159">
                  <c:v>490.6936317924316</c:v>
                </c:pt>
                <c:pt idx="160">
                  <c:v>503.51156599142973</c:v>
                </c:pt>
                <c:pt idx="161">
                  <c:v>518.3042997032304</c:v>
                </c:pt>
                <c:pt idx="162">
                  <c:v>531.7845587696538</c:v>
                </c:pt>
                <c:pt idx="163">
                  <c:v>545.5765001266311</c:v>
                </c:pt>
                <c:pt idx="164">
                  <c:v>561.4649918911567</c:v>
                </c:pt>
                <c:pt idx="165">
                  <c:v>575.9192581155594</c:v>
                </c:pt>
                <c:pt idx="166">
                  <c:v>590.6852066305153</c:v>
                </c:pt>
                <c:pt idx="167">
                  <c:v>607.6694564477666</c:v>
                </c:pt>
                <c:pt idx="168">
                  <c:v>623.097729830148</c:v>
                </c:pt>
                <c:pt idx="169">
                  <c:v>638.8376855030817</c:v>
                </c:pt>
                <c:pt idx="170">
                  <c:v>656.9176933730604</c:v>
                </c:pt>
                <c:pt idx="171">
                  <c:v>673.3199739134197</c:v>
                </c:pt>
                <c:pt idx="172">
                  <c:v>690.0339367443329</c:v>
                </c:pt>
                <c:pt idx="173">
                  <c:v>709.2097026670361</c:v>
                </c:pt>
                <c:pt idx="174">
                  <c:v>726.5859903653748</c:v>
                </c:pt>
                <c:pt idx="175">
                  <c:v>744.2739603542658</c:v>
                </c:pt>
                <c:pt idx="176">
                  <c:v>764.5454843296961</c:v>
                </c:pt>
                <c:pt idx="177">
                  <c:v>782.8957791860126</c:v>
                </c:pt>
                <c:pt idx="178">
                  <c:v>801.557756332883</c:v>
                </c:pt>
                <c:pt idx="179">
                  <c:v>822.9250383610382</c:v>
                </c:pt>
                <c:pt idx="180">
                  <c:v>842.2493403753339</c:v>
                </c:pt>
                <c:pt idx="181">
                  <c:v>861.8853246801829</c:v>
                </c:pt>
                <c:pt idx="182">
                  <c:v>884.3483647610641</c:v>
                </c:pt>
                <c:pt idx="183">
                  <c:v>904.6466739333382</c:v>
                </c:pt>
                <c:pt idx="184">
                  <c:v>925.256665396165</c:v>
                </c:pt>
                <c:pt idx="185">
                  <c:v>948.8154635297733</c:v>
                </c:pt>
                <c:pt idx="186">
                  <c:v>970.0877798600259</c:v>
                </c:pt>
                <c:pt idx="187">
                  <c:v>991.671778480832</c:v>
                </c:pt>
                <c:pt idx="188">
                  <c:v>1016.3263346671646</c:v>
                </c:pt>
                <c:pt idx="189">
                  <c:v>1038.572658155396</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1513.401147669966</c:v>
                </c:pt>
                <c:pt idx="208">
                  <c:v>1541.803196396622</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2132.051534131657</c:v>
                </c:pt>
                <c:pt idx="227">
                  <c:v>2170.9509450034257</c:v>
                </c:pt>
                <c:pt idx="228">
                  <c:v>2205.8593615453797</c:v>
                </c:pt>
                <c:pt idx="229">
                  <c:v>2241.079460377885</c:v>
                </c:pt>
                <c:pt idx="230">
                  <c:v>2281.0746293023826</c:v>
                </c:pt>
                <c:pt idx="231">
                  <c:v>2316.957053002314</c:v>
                </c:pt>
                <c:pt idx="232">
                  <c:v>2353.1511589928</c:v>
                </c:pt>
                <c:pt idx="233">
                  <c:v>2394.2420859700205</c:v>
                </c:pt>
                <c:pt idx="234">
                  <c:v>2431.0985168279312</c:v>
                </c:pt>
                <c:pt idx="235">
                  <c:v>2468.266629976394</c:v>
                </c:pt>
                <c:pt idx="236">
                  <c:v>2510.4533150063444</c:v>
                </c:pt>
                <c:pt idx="237">
                  <c:v>2548.2837530222323</c:v>
                </c:pt>
                <c:pt idx="238">
                  <c:v>2586.425873328675</c:v>
                </c:pt>
                <c:pt idx="239">
                  <c:v>2629.708316411348</c:v>
                </c:pt>
                <c:pt idx="240">
                  <c:v>2668.5127615852166</c:v>
                </c:pt>
              </c:numCache>
            </c:numRef>
          </c:yVal>
        </c:ser>
        <c:ser>
          <c:idx val="2"/>
          <c:order val="2"/>
          <c:tx>
            <c:v>Paper ice-ocean 35 km / 1600 km pass</c:v>
          </c:tx>
          <c:spPr>
            <a:ln xmlns:a="http://schemas.openxmlformats.org/drawingml/2006/main" w="19050">
              <a:solidFill>
                <a:srgbClr val="16A34A"/>
              </a:solidFill>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Native_Chart_Data!$F$983:$F$1223</c:f>
              <c:numCache>
                <c:formatCode>General</c:formatCode>
                <c:ptCount val="241"/>
                <c:pt idx="0">
                  <c:v>6671.281903963041</c:v>
                </c:pt>
                <c:pt idx="1">
                  <c:v>6568.689329736241</c:v>
                </c:pt>
                <c:pt idx="2">
                  <c:v>6454.2576651478</c:v>
                </c:pt>
                <c:pt idx="3">
                  <c:v>6353.416168995152</c:v>
                </c:pt>
                <c:pt idx="4">
                  <c:v>6253.398709583282</c:v>
                </c:pt>
                <c:pt idx="5">
                  <c:v>6141.864049161637</c:v>
                </c:pt>
                <c:pt idx="6">
                  <c:v>6043.597667823918</c:v>
                </c:pt>
                <c:pt idx="7">
                  <c:v>5946.155323226975</c:v>
                </c:pt>
                <c:pt idx="8">
                  <c:v>5837.51766697213</c:v>
                </c:pt>
                <c:pt idx="9">
                  <c:v>5741.82640044934</c:v>
                </c:pt>
                <c:pt idx="10">
                  <c:v>5646.959170667329</c:v>
                </c:pt>
                <c:pt idx="11">
                  <c:v>5541.218518579276</c:v>
                </c:pt>
                <c:pt idx="12">
                  <c:v>5448.102366871419</c:v>
                </c:pt>
                <c:pt idx="13">
                  <c:v>5355.810251904337</c:v>
                </c:pt>
                <c:pt idx="14">
                  <c:v>5252.966603983079</c:v>
                </c:pt>
                <c:pt idx="15">
                  <c:v>5162.42556709015</c:v>
                </c:pt>
                <c:pt idx="16">
                  <c:v>5072.708566937998</c:v>
                </c:pt>
                <c:pt idx="17">
                  <c:v>4972.761923183538</c:v>
                </c:pt>
                <c:pt idx="18">
                  <c:v>4884.7960011055375</c:v>
                </c:pt>
                <c:pt idx="19">
                  <c:v>4797.654115768317</c:v>
                </c:pt>
                <c:pt idx="20">
                  <c:v>4700.604476180652</c:v>
                </c:pt>
                <c:pt idx="21">
                  <c:v>4615.213668917581</c:v>
                </c:pt>
                <c:pt idx="22">
                  <c:v>4530.646898395288</c:v>
                </c:pt>
                <c:pt idx="23">
                  <c:v>4436.494262974422</c:v>
                </c:pt>
                <c:pt idx="24">
                  <c:v>4353.678570526281</c:v>
                </c:pt>
                <c:pt idx="25">
                  <c:v>4271.686914818919</c:v>
                </c:pt>
                <c:pt idx="26">
                  <c:v>4180.431283564847</c:v>
                </c:pt>
                <c:pt idx="27">
                  <c:v>4100.190705931635</c:v>
                </c:pt>
                <c:pt idx="28">
                  <c:v>4020.774165039202</c:v>
                </c:pt>
                <c:pt idx="29">
                  <c:v>3932.415537951925</c:v>
                </c:pt>
                <c:pt idx="30">
                  <c:v>3854.7500751336447</c:v>
                </c:pt>
                <c:pt idx="31">
                  <c:v>3777.908649056141</c:v>
                </c:pt>
                <c:pt idx="32">
                  <c:v>3692.447026135661</c:v>
                </c:pt>
                <c:pt idx="33">
                  <c:v>3617.3566781323107</c:v>
                </c:pt>
                <c:pt idx="34">
                  <c:v>3543.0903668697347</c:v>
                </c:pt>
                <c:pt idx="35">
                  <c:v>3460.525748116051</c:v>
                </c:pt>
                <c:pt idx="36">
                  <c:v>3388.01051492763</c:v>
                </c:pt>
                <c:pt idx="37">
                  <c:v>3316.319318479985</c:v>
                </c:pt>
                <c:pt idx="38">
                  <c:v>3236.6517038930992</c:v>
                </c:pt>
                <c:pt idx="39">
                  <c:v>3166.7115855196066</c:v>
                </c:pt>
                <c:pt idx="40">
                  <c:v>3097.5955038868924</c:v>
                </c:pt>
                <c:pt idx="41">
                  <c:v>3020.824893466801</c:v>
                </c:pt>
                <c:pt idx="42">
                  <c:v>2953.459889908238</c:v>
                </c:pt>
                <c:pt idx="43">
                  <c:v>2886.9189230904535</c:v>
                </c:pt>
                <c:pt idx="44">
                  <c:v>2813.045316837157</c:v>
                </c:pt>
                <c:pt idx="45">
                  <c:v>2748.2554280935246</c:v>
                </c:pt>
                <c:pt idx="46">
                  <c:v>2684.2895760906704</c:v>
                </c:pt>
                <c:pt idx="47">
                  <c:v>2613.312974004169</c:v>
                </c:pt>
                <c:pt idx="48">
                  <c:v>2551.098200075467</c:v>
                </c:pt>
                <c:pt idx="49">
                  <c:v>2489.7074628875416</c:v>
                </c:pt>
                <c:pt idx="50">
                  <c:v>2421.627864967837</c:v>
                </c:pt>
                <c:pt idx="51">
                  <c:v>2361.988205854064</c:v>
                </c:pt>
                <c:pt idx="52">
                  <c:v>2303.172583481069</c:v>
                </c:pt>
                <c:pt idx="53">
                  <c:v>2237.989989728161</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c:v>
                </c:pt>
                <c:pt idx="62">
                  <c:v>1735.3597667890629</c:v>
                </c:pt>
                <c:pt idx="63">
                  <c:v>1686.0205669350094</c:v>
                </c:pt>
                <c:pt idx="64">
                  <c:v>1637.5054038217336</c:v>
                </c:pt>
                <c:pt idx="65">
                  <c:v>1583.910826736008</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1138.808668762441</c:v>
                </c:pt>
                <c:pt idx="76">
                  <c:v>1100.593964908884</c:v>
                </c:pt>
                <c:pt idx="77">
                  <c:v>1058.5874044903424</c:v>
                </c:pt>
                <c:pt idx="78">
                  <c:v>1022.1237787109374</c:v>
                </c:pt>
                <c:pt idx="79">
                  <c:v>986.4841896723101</c:v>
                </c:pt>
                <c:pt idx="80">
                  <c:v>947.3746334205645</c:v>
                </c:pt>
                <c:pt idx="81">
                  <c:v>913.4861224560894</c:v>
                </c:pt>
                <c:pt idx="82">
                  <c:v>880.421648232391</c:v>
                </c:pt>
                <c:pt idx="83">
                  <c:v>844.2090961474427</c:v>
                </c:pt>
                <c:pt idx="84">
                  <c:v>812.8956999978966</c:v>
                </c:pt>
                <c:pt idx="85">
                  <c:v>782.4063405891286</c:v>
                </c:pt>
                <c:pt idx="86">
                  <c:v>749.090792670975</c:v>
                </c:pt>
                <c:pt idx="87">
                  <c:v>720.3525113363593</c:v>
                </c:pt>
                <c:pt idx="88">
                  <c:v>692.4382667425209</c:v>
                </c:pt>
                <c:pt idx="89">
                  <c:v>662.0197229911632</c:v>
                </c:pt>
                <c:pt idx="90">
                  <c:v>635.8565564714773</c:v>
                </c:pt>
                <c:pt idx="91">
                  <c:v>610.5174266925688</c:v>
                </c:pt>
                <c:pt idx="92">
                  <c:v>582.9958871080072</c:v>
                </c:pt>
                <c:pt idx="93">
                  <c:v>559.4078354032508</c:v>
                </c:pt>
                <c:pt idx="94">
                  <c:v>536.6438204392722</c:v>
                </c:pt>
                <c:pt idx="95">
                  <c:v>512.0192850215063</c:v>
                </c:pt>
                <c:pt idx="96">
                  <c:v>491.00634813167994</c:v>
                </c:pt>
                <c:pt idx="97">
                  <c:v>470.8174479826305</c:v>
                </c:pt>
                <c:pt idx="98">
                  <c:v>449.08991673166133</c:v>
                </c:pt>
                <c:pt idx="99">
                  <c:v>430.6520946567642</c:v>
                </c:pt>
                <c:pt idx="100">
                  <c:v>413.03830932264486</c:v>
                </c:pt>
                <c:pt idx="101">
                  <c:v>394.2077822384711</c:v>
                </c:pt>
                <c:pt idx="102">
                  <c:v>378.345074978504</c:v>
                </c:pt>
                <c:pt idx="103">
                  <c:v>363.30640445931436</c:v>
                </c:pt>
                <c:pt idx="104">
                  <c:v>347.3728815419365</c:v>
                </c:pt>
                <c:pt idx="105">
                  <c:v>334.08528909689915</c:v>
                </c:pt>
                <c:pt idx="106">
                  <c:v>321.6217333926393</c:v>
                </c:pt>
                <c:pt idx="107">
                  <c:v>308.58521464205745</c:v>
                </c:pt>
                <c:pt idx="108">
                  <c:v>297.8727370119498</c:v>
                </c:pt>
                <c:pt idx="109">
                  <c:v>287.98429612261964</c:v>
                </c:pt>
                <c:pt idx="110">
                  <c:v>277.84478153883373</c:v>
                </c:pt>
                <c:pt idx="111">
                  <c:v>269.7074187236558</c:v>
                </c:pt>
                <c:pt idx="112">
                  <c:v>262.3940926492553</c:v>
                </c:pt>
                <c:pt idx="113">
                  <c:v>255.1515822322656</c:v>
                </c:pt>
                <c:pt idx="114">
                  <c:v>249.58933423201725</c:v>
                </c:pt>
                <c:pt idx="115">
                  <c:v>244.85112297254656</c:v>
                </c:pt>
                <c:pt idx="116">
                  <c:v>240.50561672235264</c:v>
                </c:pt>
                <c:pt idx="117">
                  <c:v>237.51848353703414</c:v>
                </c:pt>
                <c:pt idx="118">
                  <c:v>235.35538709249317</c:v>
                </c:pt>
                <c:pt idx="119">
                  <c:v>233.9068850090952</c:v>
                </c:pt>
                <c:pt idx="120">
                  <c:v>233.49486663870644</c:v>
                </c:pt>
                <c:pt idx="121">
                  <c:v>233.9068850090952</c:v>
                </c:pt>
                <c:pt idx="122">
                  <c:v>235.35538709249312</c:v>
                </c:pt>
                <c:pt idx="123">
                  <c:v>237.51848353703411</c:v>
                </c:pt>
                <c:pt idx="124">
                  <c:v>240.50561672235264</c:v>
                </c:pt>
                <c:pt idx="125">
                  <c:v>244.85112297254656</c:v>
                </c:pt>
                <c:pt idx="126">
                  <c:v>249.58933423201725</c:v>
                </c:pt>
                <c:pt idx="127">
                  <c:v>255.1515822322656</c:v>
                </c:pt>
                <c:pt idx="128">
                  <c:v>262.3940926492553</c:v>
                </c:pt>
                <c:pt idx="129">
                  <c:v>269.7074187236558</c:v>
                </c:pt>
                <c:pt idx="130">
                  <c:v>277.84478153883373</c:v>
                </c:pt>
                <c:pt idx="131">
                  <c:v>287.98429612261964</c:v>
                </c:pt>
                <c:pt idx="132">
                  <c:v>297.87273701195</c:v>
                </c:pt>
                <c:pt idx="133">
                  <c:v>308.5852146420577</c:v>
                </c:pt>
                <c:pt idx="134">
                  <c:v>321.6217333926393</c:v>
                </c:pt>
                <c:pt idx="135">
                  <c:v>334.08528909689915</c:v>
                </c:pt>
                <c:pt idx="136">
                  <c:v>347.3728815419365</c:v>
                </c:pt>
                <c:pt idx="137">
                  <c:v>363.30640445931414</c:v>
                </c:pt>
                <c:pt idx="138">
                  <c:v>378.3450749785037</c:v>
                </c:pt>
                <c:pt idx="139">
                  <c:v>394.2077822384711</c:v>
                </c:pt>
                <c:pt idx="140">
                  <c:v>413.03830932264486</c:v>
                </c:pt>
                <c:pt idx="141">
                  <c:v>430.6520946567642</c:v>
                </c:pt>
                <c:pt idx="142">
                  <c:v>449.08991673166133</c:v>
                </c:pt>
                <c:pt idx="143">
                  <c:v>470.8174479826305</c:v>
                </c:pt>
                <c:pt idx="144">
                  <c:v>491.00634813167994</c:v>
                </c:pt>
                <c:pt idx="145">
                  <c:v>512.0192850215063</c:v>
                </c:pt>
                <c:pt idx="146">
                  <c:v>536.6438204392722</c:v>
                </c:pt>
                <c:pt idx="147">
                  <c:v>559.4078354032513</c:v>
                </c:pt>
                <c:pt idx="148">
                  <c:v>582.9958871080077</c:v>
                </c:pt>
                <c:pt idx="149">
                  <c:v>610.5174266925688</c:v>
                </c:pt>
                <c:pt idx="150">
                  <c:v>635.8565564714773</c:v>
                </c:pt>
                <c:pt idx="151">
                  <c:v>662.0197229911632</c:v>
                </c:pt>
                <c:pt idx="152">
                  <c:v>692.4382667425206</c:v>
                </c:pt>
                <c:pt idx="153">
                  <c:v>720.3525113363587</c:v>
                </c:pt>
                <c:pt idx="154">
                  <c:v>749.0907926709743</c:v>
                </c:pt>
                <c:pt idx="155">
                  <c:v>782.4063405891291</c:v>
                </c:pt>
                <c:pt idx="156">
                  <c:v>812.8956999978966</c:v>
                </c:pt>
                <c:pt idx="157">
                  <c:v>844.2090961474427</c:v>
                </c:pt>
                <c:pt idx="158">
                  <c:v>880.421648232391</c:v>
                </c:pt>
                <c:pt idx="159">
                  <c:v>913.4861224560894</c:v>
                </c:pt>
                <c:pt idx="160">
                  <c:v>947.3746334205639</c:v>
                </c:pt>
                <c:pt idx="161">
                  <c:v>986.484189672311</c:v>
                </c:pt>
                <c:pt idx="162">
                  <c:v>1022.1237787109374</c:v>
                </c:pt>
                <c:pt idx="163">
                  <c:v>1058.5874044903426</c:v>
                </c:pt>
                <c:pt idx="164">
                  <c:v>1100.5939649088832</c:v>
                </c:pt>
                <c:pt idx="165">
                  <c:v>1138.808668762441</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c:v>
                </c:pt>
                <c:pt idx="186">
                  <c:v>2180.9254454293177</c:v>
                </c:pt>
                <c:pt idx="187">
                  <c:v>2237.989989728162</c:v>
                </c:pt>
                <c:pt idx="188">
                  <c:v>2303.1725834810677</c:v>
                </c:pt>
                <c:pt idx="189">
                  <c:v>2361.988205854064</c:v>
                </c:pt>
                <c:pt idx="190">
                  <c:v>2421.627864967836</c:v>
                </c:pt>
                <c:pt idx="191">
                  <c:v>2489.7074628875434</c:v>
                </c:pt>
                <c:pt idx="192">
                  <c:v>2551.098200075467</c:v>
                </c:pt>
                <c:pt idx="193">
                  <c:v>2613.31297400417</c:v>
                </c:pt>
                <c:pt idx="194">
                  <c:v>2684.289576090669</c:v>
                </c:pt>
                <c:pt idx="195">
                  <c:v>2748.2554280935246</c:v>
                </c:pt>
                <c:pt idx="196">
                  <c:v>2813.0453168371578</c:v>
                </c:pt>
                <c:pt idx="197">
                  <c:v>2886.918923090452</c:v>
                </c:pt>
                <c:pt idx="198">
                  <c:v>2953.459889908238</c:v>
                </c:pt>
                <c:pt idx="199">
                  <c:v>3020.8248934667977</c:v>
                </c:pt>
                <c:pt idx="200">
                  <c:v>3097.5955038868938</c:v>
                </c:pt>
                <c:pt idx="201">
                  <c:v>3166.7115855196066</c:v>
                </c:pt>
                <c:pt idx="202">
                  <c:v>3236.6517038930992</c:v>
                </c:pt>
                <c:pt idx="203">
                  <c:v>3316.319318479985</c:v>
                </c:pt>
                <c:pt idx="204">
                  <c:v>3388.01051492763</c:v>
                </c:pt>
                <c:pt idx="205">
                  <c:v>3460.5257481160506</c:v>
                </c:pt>
                <c:pt idx="206">
                  <c:v>3543.090366869737</c:v>
                </c:pt>
                <c:pt idx="207">
                  <c:v>3617.3566781323107</c:v>
                </c:pt>
                <c:pt idx="208">
                  <c:v>3692.4470261356614</c:v>
                </c:pt>
                <c:pt idx="209">
                  <c:v>3777.90864905614</c:v>
                </c:pt>
                <c:pt idx="210">
                  <c:v>3854.7500751336447</c:v>
                </c:pt>
                <c:pt idx="211">
                  <c:v>3932.4155379519266</c:v>
                </c:pt>
                <c:pt idx="212">
                  <c:v>4020.7741650392004</c:v>
                </c:pt>
                <c:pt idx="213">
                  <c:v>4100.190705931635</c:v>
                </c:pt>
                <c:pt idx="214">
                  <c:v>4180.4312835648425</c:v>
                </c:pt>
                <c:pt idx="215">
                  <c:v>4271.68691481892</c:v>
                </c:pt>
                <c:pt idx="216">
                  <c:v>4353.678570526281</c:v>
                </c:pt>
                <c:pt idx="217">
                  <c:v>4436.494262974422</c:v>
                </c:pt>
                <c:pt idx="218">
                  <c:v>4530.646898395288</c:v>
                </c:pt>
                <c:pt idx="219">
                  <c:v>4615.213668917581</c:v>
                </c:pt>
                <c:pt idx="220">
                  <c:v>4700.604476180651</c:v>
                </c:pt>
                <c:pt idx="221">
                  <c:v>4797.654115768319</c:v>
                </c:pt>
                <c:pt idx="222">
                  <c:v>4884.7960011055375</c:v>
                </c:pt>
                <c:pt idx="223">
                  <c:v>4972.761923183538</c:v>
                </c:pt>
                <c:pt idx="224">
                  <c:v>5072.708566937997</c:v>
                </c:pt>
                <c:pt idx="225">
                  <c:v>5162.42556709015</c:v>
                </c:pt>
                <c:pt idx="226">
                  <c:v>5252.96660398308</c:v>
                </c:pt>
                <c:pt idx="227">
                  <c:v>5355.810251904335</c:v>
                </c:pt>
                <c:pt idx="228">
                  <c:v>5448.102366871419</c:v>
                </c:pt>
                <c:pt idx="229">
                  <c:v>5541.218518579275</c:v>
                </c:pt>
                <c:pt idx="230">
                  <c:v>5646.95917066733</c:v>
                </c:pt>
                <c:pt idx="231">
                  <c:v>5741.82640044934</c:v>
                </c:pt>
                <c:pt idx="232">
                  <c:v>5837.51766697213</c:v>
                </c:pt>
                <c:pt idx="233">
                  <c:v>5946.155323226975</c:v>
                </c:pt>
                <c:pt idx="234">
                  <c:v>6043.597667823918</c:v>
                </c:pt>
                <c:pt idx="235">
                  <c:v>6141.864049161635</c:v>
                </c:pt>
                <c:pt idx="236">
                  <c:v>6253.398709583284</c:v>
                </c:pt>
                <c:pt idx="237">
                  <c:v>6353.416168995152</c:v>
                </c:pt>
                <c:pt idx="238">
                  <c:v>6454.257665147801</c:v>
                </c:pt>
                <c:pt idx="239">
                  <c:v>6568.689329736239</c:v>
                </c:pt>
                <c:pt idx="240">
                  <c:v>6671.281903963041</c:v>
                </c:pt>
              </c:numCache>
            </c:numRef>
          </c:yVal>
        </c:ser>
        <c:ser>
          <c:idx val="3"/>
          <c:order val="3"/>
          <c:tx>
            <c:v>Operating 25 km / 1600 km pass</c:v>
          </c:tx>
          <c:spPr>
            <a:ln xmlns:a="http://schemas.openxmlformats.org/drawingml/2006/main" w="19050">
              <a:solidFill>
                <a:srgbClr val="7C3AED"/>
              </a:solidFill>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Native_Chart_Data!$H$983:$H$1223</c:f>
              <c:numCache>
                <c:formatCode>General</c:formatCode>
                <c:ptCount val="241"/>
                <c:pt idx="0">
                  <c:v>6671.281903963041</c:v>
                </c:pt>
                <c:pt idx="1">
                  <c:v>6567.626194252024</c:v>
                </c:pt>
                <c:pt idx="2">
                  <c:v>6452.008709305155</c:v>
                </c:pt>
                <c:pt idx="3">
                  <c:v>6350.12222355507</c:v>
                </c:pt>
                <c:pt idx="4">
                  <c:v>6249.068313786602</c:v>
                </c:pt>
                <c:pt idx="5">
                  <c:v>6136.377853775093</c:v>
                </c:pt>
                <c:pt idx="6">
                  <c:v>6037.093167967554</c:v>
                </c:pt>
                <c:pt idx="7">
                  <c:v>5938.6410581416285</c:v>
                </c:pt>
                <c:pt idx="8">
                  <c:v>5828.87762306549</c:v>
                </c:pt>
                <c:pt idx="9">
                  <c:v>5732.194737200494</c:v>
                </c:pt>
                <c:pt idx="10">
                  <c:v>5636.344427317114</c:v>
                </c:pt>
                <c:pt idx="11">
                  <c:v>5529.508017176336</c:v>
                </c:pt>
                <c:pt idx="12">
                  <c:v>5435.426931253887</c:v>
                </c:pt>
                <c:pt idx="13">
                  <c:v>5342.178421313054</c:v>
                </c:pt>
                <c:pt idx="14">
                  <c:v>5238.269036107639</c:v>
                </c:pt>
                <c:pt idx="15">
                  <c:v>5146.789750127737</c:v>
                </c:pt>
                <c:pt idx="16">
                  <c:v>5056.143040129448</c:v>
                </c:pt>
                <c:pt idx="17">
                  <c:v>4955.1606798593975</c:v>
                </c:pt>
                <c:pt idx="18">
                  <c:v>4866.28319382204</c:v>
                </c:pt>
                <c:pt idx="19">
                  <c:v>4778.238283766299</c:v>
                </c:pt>
                <c:pt idx="20">
                  <c:v>4680.182948431611</c:v>
                </c:pt>
                <c:pt idx="21">
                  <c:v>4593.907262336798</c:v>
                </c:pt>
                <c:pt idx="22">
                  <c:v>4508.464152223602</c:v>
                </c:pt>
                <c:pt idx="23">
                  <c:v>4413.3358418242815</c:v>
                </c:pt>
                <c:pt idx="24">
                  <c:v>4329.661955672014</c:v>
                </c:pt>
                <c:pt idx="25">
                  <c:v>4246.820645501362</c:v>
                </c:pt>
                <c:pt idx="26">
                  <c:v>4154.619360037404</c:v>
                </c:pt>
                <c:pt idx="27">
                  <c:v>4073.547273827683</c:v>
                </c:pt>
                <c:pt idx="28">
                  <c:v>3993.3077635995774</c:v>
                </c:pt>
                <c:pt idx="29">
                  <c:v>3904.0335030709807</c:v>
                </c:pt>
                <c:pt idx="30">
                  <c:v>3825.5632168038064</c:v>
                </c:pt>
                <c:pt idx="31">
                  <c:v>3747.925506518246</c:v>
                </c:pt>
                <c:pt idx="32">
                  <c:v>3661.5782709250147</c:v>
                </c:pt>
                <c:pt idx="33">
                  <c:v>3585.709784600385</c:v>
                </c:pt>
                <c:pt idx="34">
                  <c:v>3510.67387425737</c:v>
                </c:pt>
                <c:pt idx="35">
                  <c:v>3427.2536635995016</c:v>
                </c:pt>
                <c:pt idx="36">
                  <c:v>3353.9869772174184</c:v>
                </c:pt>
                <c:pt idx="37">
                  <c:v>3281.552866816948</c:v>
                </c:pt>
                <c:pt idx="38">
                  <c:v>3201.059681094447</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2192.049140875986</c:v>
                </c:pt>
                <c:pt idx="54">
                  <c:v>2134.393254149176</c:v>
                </c:pt>
                <c:pt idx="55">
                  <c:v>2077.56994340398</c:v>
                </c:pt>
                <c:pt idx="56">
                  <c:v>2014.6389072936586</c:v>
                </c:pt>
                <c:pt idx="57">
                  <c:v>1959.584820509394</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963.5832800036617</c:v>
                </c:pt>
                <c:pt idx="79">
                  <c:v>927.574368798831</c:v>
                </c:pt>
                <c:pt idx="80">
                  <c:v>888.0595321714195</c:v>
                </c:pt>
                <c:pt idx="81">
                  <c:v>853.8198449275199</c:v>
                </c:pt>
                <c:pt idx="82">
                  <c:v>820.4127336652341</c:v>
                </c:pt>
                <c:pt idx="83">
                  <c:v>783.8249219731875</c:v>
                </c:pt>
                <c:pt idx="84">
                  <c:v>752.1870346718329</c:v>
                </c:pt>
                <c:pt idx="85">
                  <c:v>721.3817233520933</c:v>
                </c:pt>
                <c:pt idx="86">
                  <c:v>687.7209365954095</c:v>
                </c:pt>
                <c:pt idx="87">
                  <c:v>658.6848492366009</c:v>
                </c:pt>
                <c:pt idx="88">
                  <c:v>630.4813378594068</c:v>
                </c:pt>
                <c:pt idx="89">
                  <c:v>599.7475760380869</c:v>
                </c:pt>
                <c:pt idx="90">
                  <c:v>573.3132886218239</c:v>
                </c:pt>
                <c:pt idx="91">
                  <c:v>547.7115771871754</c:v>
                </c:pt>
                <c:pt idx="92">
                  <c:v>519.9048403012193</c:v>
                </c:pt>
                <c:pt idx="93">
                  <c:v>496.0723528275018</c:v>
                </c:pt>
                <c:pt idx="94">
                  <c:v>473.0724413353988</c:v>
                </c:pt>
                <c:pt idx="95">
                  <c:v>448.1927293848065</c:v>
                </c:pt>
                <c:pt idx="96">
                  <c:v>426.9620418536346</c:v>
                </c:pt>
                <c:pt idx="97">
                  <c:v>406.563930304077</c:v>
                </c:pt>
                <c:pt idx="98">
                  <c:v>384.6112432888491</c:v>
                </c:pt>
                <c:pt idx="99">
                  <c:v>365.98235570022246</c:v>
                </c:pt>
                <c:pt idx="100">
                  <c:v>348.1860440932107</c:v>
                </c:pt>
                <c:pt idx="101">
                  <c:v>329.160382013346</c:v>
                </c:pt>
                <c:pt idx="102">
                  <c:v>313.13329436726525</c:v>
                </c:pt>
                <c:pt idx="103">
                  <c:v>297.9387827027991</c:v>
                </c:pt>
                <c:pt idx="104">
                  <c:v>281.84014555829816</c:v>
                </c:pt>
                <c:pt idx="105">
                  <c:v>268.414857854763</c:v>
                </c:pt>
                <c:pt idx="106">
                  <c:v>255.82214613284236</c:v>
                </c:pt>
                <c:pt idx="107">
                  <c:v>242.6505339237053</c:v>
                </c:pt>
                <c:pt idx="108">
                  <c:v>231.82704616271567</c:v>
                </c:pt>
                <c:pt idx="109">
                  <c:v>221.8361343833407</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170.8473600093035</c:v>
                </c:pt>
                <c:pt idx="118">
                  <c:v>168.6618480575652</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221.8361343833407</c:v>
                </c:pt>
                <c:pt idx="132">
                  <c:v>231.82704616271587</c:v>
                </c:pt>
                <c:pt idx="133">
                  <c:v>242.65053392370547</c:v>
                </c:pt>
                <c:pt idx="134">
                  <c:v>255.82214613284236</c:v>
                </c:pt>
                <c:pt idx="135">
                  <c:v>268.414857854763</c:v>
                </c:pt>
                <c:pt idx="136">
                  <c:v>281.84014555829816</c:v>
                </c:pt>
                <c:pt idx="137">
                  <c:v>297.9387827027988</c:v>
                </c:pt>
                <c:pt idx="138">
                  <c:v>313.1332943672649</c:v>
                </c:pt>
                <c:pt idx="139">
                  <c:v>329.160382013346</c:v>
                </c:pt>
                <c:pt idx="140">
                  <c:v>348.1860440932107</c:v>
                </c:pt>
                <c:pt idx="141">
                  <c:v>365.98235570022246</c:v>
                </c:pt>
                <c:pt idx="142">
                  <c:v>384.6112432888491</c:v>
                </c:pt>
                <c:pt idx="143">
                  <c:v>406.563930304077</c:v>
                </c:pt>
                <c:pt idx="144">
                  <c:v>426.9620418536346</c:v>
                </c:pt>
                <c:pt idx="145">
                  <c:v>448.1927293848065</c:v>
                </c:pt>
                <c:pt idx="146">
                  <c:v>473.0724413353988</c:v>
                </c:pt>
                <c:pt idx="147">
                  <c:v>496.0723528275021</c:v>
                </c:pt>
                <c:pt idx="148">
                  <c:v>519.9048403012197</c:v>
                </c:pt>
                <c:pt idx="149">
                  <c:v>547.7115771871754</c:v>
                </c:pt>
                <c:pt idx="150">
                  <c:v>573.3132886218239</c:v>
                </c:pt>
                <c:pt idx="151">
                  <c:v>599.7475760380869</c:v>
                </c:pt>
                <c:pt idx="152">
                  <c:v>630.4813378594064</c:v>
                </c:pt>
                <c:pt idx="153">
                  <c:v>658.6848492366003</c:v>
                </c:pt>
                <c:pt idx="154">
                  <c:v>687.7209365954091</c:v>
                </c:pt>
                <c:pt idx="155">
                  <c:v>721.3817233520938</c:v>
                </c:pt>
                <c:pt idx="156">
                  <c:v>752.1870346718329</c:v>
                </c:pt>
                <c:pt idx="157">
                  <c:v>783.8249219731875</c:v>
                </c:pt>
                <c:pt idx="158">
                  <c:v>820.4127336652341</c:v>
                </c:pt>
                <c:pt idx="159">
                  <c:v>853.8198449275199</c:v>
                </c:pt>
                <c:pt idx="160">
                  <c:v>888.059532171419</c:v>
                </c:pt>
                <c:pt idx="161">
                  <c:v>927.5743687988318</c:v>
                </c:pt>
                <c:pt idx="162">
                  <c:v>963.5832800036617</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c:v>
                </c:pt>
                <c:pt idx="173">
                  <c:v>1437.527157537765</c:v>
                </c:pt>
                <c:pt idx="174">
                  <c:v>1483.943268512779</c:v>
                </c:pt>
                <c:pt idx="175">
                  <c:v>1531.191955469406</c:v>
                </c:pt>
                <c:pt idx="176">
                  <c:v>1585.341916773638</c:v>
                </c:pt>
                <c:pt idx="177">
                  <c:v>1634.3598276911957</c:v>
                </c:pt>
                <c:pt idx="178">
                  <c:v>1684.2103145903695</c:v>
                </c:pt>
                <c:pt idx="179">
                  <c:v>1741.2873008299623</c:v>
                </c:pt>
                <c:pt idx="180">
                  <c:v>1792.9070116900673</c:v>
                </c:pt>
                <c:pt idx="181">
                  <c:v>1845.3592985317866</c:v>
                </c:pt>
                <c:pt idx="182">
                  <c:v>1905.3633097067434</c:v>
                </c:pt>
                <c:pt idx="183">
                  <c:v>1959.584820509394</c:v>
                </c:pt>
                <c:pt idx="184">
                  <c:v>2014.638907293657</c:v>
                </c:pt>
                <c:pt idx="185">
                  <c:v>2077.5699434039807</c:v>
                </c:pt>
                <c:pt idx="186">
                  <c:v>2134.393254149176</c:v>
                </c:pt>
                <c:pt idx="187">
                  <c:v>2192.0491408759867</c:v>
                </c:pt>
                <c:pt idx="188">
                  <c:v>2257.90720192167</c:v>
                </c:pt>
                <c:pt idx="189">
                  <c:v>2317.3323126094115</c:v>
                </c:pt>
                <c:pt idx="190">
                  <c:v>2377.5899992787668</c:v>
                </c:pt>
                <c:pt idx="191">
                  <c:v>2446.3750852598187</c:v>
                </c:pt>
                <c:pt idx="192">
                  <c:v>2508.4019958901035</c:v>
                </c:pt>
                <c:pt idx="193">
                  <c:v>2571.2614825020055</c:v>
                </c:pt>
                <c:pt idx="194">
                  <c:v>2642.973593418417</c:v>
                </c:pt>
                <c:pt idx="195">
                  <c:v>2707.6023039912498</c:v>
                </c:pt>
                <c:pt idx="196">
                  <c:v>2773.0635905456975</c:v>
                </c:pt>
                <c:pt idx="197">
                  <c:v>2847.7027263974724</c:v>
                </c:pt>
                <c:pt idx="198">
                  <c:v>2914.9332369128515</c:v>
                </c:pt>
                <c:pt idx="199">
                  <c:v>2982.996323409842</c:v>
                </c:pt>
                <c:pt idx="200">
                  <c:v>3060.562484196985</c:v>
                </c:pt>
                <c:pt idx="201">
                  <c:v>3130.3947946549083</c:v>
                </c:pt>
                <c:pt idx="202">
                  <c:v>3201.059681094447</c:v>
                </c:pt>
                <c:pt idx="203">
                  <c:v>3281.552866816948</c:v>
                </c:pt>
                <c:pt idx="204">
                  <c:v>3353.9869772174184</c:v>
                </c:pt>
                <c:pt idx="205">
                  <c:v>3427.2536635995016</c:v>
                </c:pt>
                <c:pt idx="206">
                  <c:v>3510.673874257372</c:v>
                </c:pt>
                <c:pt idx="207">
                  <c:v>3585.709784600385</c:v>
                </c:pt>
                <c:pt idx="208">
                  <c:v>3661.5782709250157</c:v>
                </c:pt>
                <c:pt idx="209">
                  <c:v>3747.9255065182456</c:v>
                </c:pt>
                <c:pt idx="210">
                  <c:v>3825.5632168038064</c:v>
                </c:pt>
                <c:pt idx="211">
                  <c:v>3904.0335030709825</c:v>
                </c:pt>
                <c:pt idx="212">
                  <c:v>3993.3077635995755</c:v>
                </c:pt>
                <c:pt idx="213">
                  <c:v>4073.547273827683</c:v>
                </c:pt>
                <c:pt idx="214">
                  <c:v>4154.619360037401</c:v>
                </c:pt>
                <c:pt idx="215">
                  <c:v>4246.820645501364</c:v>
                </c:pt>
                <c:pt idx="216">
                  <c:v>4329.661955672014</c:v>
                </c:pt>
                <c:pt idx="217">
                  <c:v>4413.3358418242815</c:v>
                </c:pt>
                <c:pt idx="218">
                  <c:v>4508.464152223602</c:v>
                </c:pt>
                <c:pt idx="219">
                  <c:v>4593.907262336798</c:v>
                </c:pt>
                <c:pt idx="220">
                  <c:v>4680.1829484316095</c:v>
                </c:pt>
                <c:pt idx="221">
                  <c:v>4778.2382837663</c:v>
                </c:pt>
                <c:pt idx="222">
                  <c:v>4866.28319382204</c:v>
                </c:pt>
                <c:pt idx="223">
                  <c:v>4955.160679859399</c:v>
                </c:pt>
                <c:pt idx="224">
                  <c:v>5056.143040129447</c:v>
                </c:pt>
                <c:pt idx="225">
                  <c:v>5146.789750127737</c:v>
                </c:pt>
                <c:pt idx="226">
                  <c:v>5238.269036107641</c:v>
                </c:pt>
                <c:pt idx="227">
                  <c:v>5342.178421313052</c:v>
                </c:pt>
                <c:pt idx="228">
                  <c:v>5435.426931253887</c:v>
                </c:pt>
                <c:pt idx="229">
                  <c:v>5529.508017176334</c:v>
                </c:pt>
                <c:pt idx="230">
                  <c:v>5636.344427317115</c:v>
                </c:pt>
                <c:pt idx="231">
                  <c:v>5732.194737200494</c:v>
                </c:pt>
                <c:pt idx="232">
                  <c:v>5828.87762306549</c:v>
                </c:pt>
                <c:pt idx="233">
                  <c:v>5938.6410581416285</c:v>
                </c:pt>
                <c:pt idx="234">
                  <c:v>6037.093167967554</c:v>
                </c:pt>
                <c:pt idx="235">
                  <c:v>6136.377853775092</c:v>
                </c:pt>
                <c:pt idx="236">
                  <c:v>6249.068313786602</c:v>
                </c:pt>
                <c:pt idx="237">
                  <c:v>6350.12222355507</c:v>
                </c:pt>
                <c:pt idx="238">
                  <c:v>6452.008709305157</c:v>
                </c:pt>
                <c:pt idx="239">
                  <c:v>6567.626194252023</c:v>
                </c:pt>
                <c:pt idx="240">
                  <c:v>6671.281903963041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6.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-34.98</c:v>
                </c:pt>
                <c:pt idx="51">
                  <c:v>-34.5</c:v>
                </c:pt>
                <c:pt idx="52">
                  <c:v>-34.019999999999996</c:v>
                </c:pt>
                <c:pt idx="53">
                  <c:v>-33.480000000000004</c:v>
                </c:pt>
                <c:pt idx="54">
                  <c:v>-33</c:v>
                </c:pt>
                <c:pt idx="55">
                  <c:v>-32.52</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-1.0200000000000031</c:v>
                </c:pt>
                <c:pt idx="119">
                  <c:v>-0.480000000000004</c:v>
                </c:pt>
                <c:pt idx="120">
                  <c:v>0</c:v>
                </c:pt>
                <c:pt idx="121">
                  <c:v>0.480000000000004</c:v>
                </c:pt>
                <c:pt idx="122">
                  <c:v>1.019999999999996</c:v>
                </c:pt>
                <c:pt idx="123">
                  <c:v>1.499999999999993</c:v>
                </c:pt>
                <c:pt idx="124">
                  <c:v>1.9799999999999969</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2695.179447916347</c:v>
                </c:pt>
                <c:pt idx="1">
                  <c:v>2694.649504247689</c:v>
                </c:pt>
                <c:pt idx="2">
                  <c:v>2694.1888252313724</c:v>
                </c:pt>
                <c:pt idx="3">
                  <c:v>2693.735228565579</c:v>
                </c:pt>
                <c:pt idx="4">
                  <c:v>2693.215329991879</c:v>
                </c:pt>
                <c:pt idx="5">
                  <c:v>2692.827045062799</c:v>
                </c:pt>
                <c:pt idx="6">
                  <c:v>2692.226227498772</c:v>
                </c:pt>
                <c:pt idx="7">
                  <c:v>2691.9513345452874</c:v>
                </c:pt>
                <c:pt idx="8">
                  <c:v>2691.331788094177</c:v>
                </c:pt>
                <c:pt idx="9">
                  <c:v>2691.088402349562</c:v>
                </c:pt>
                <c:pt idx="10">
                  <c:v>2690.69544749007</c:v>
                </c:pt>
                <c:pt idx="11">
                  <c:v>2690.1320799792074</c:v>
                </c:pt>
                <c:pt idx="12">
                  <c:v>2689.8747687370624</c:v>
                </c:pt>
                <c:pt idx="13">
                  <c:v>2689.409732962194</c:v>
                </c:pt>
                <c:pt idx="14">
                  <c:v>2688.9805156608413</c:v>
                </c:pt>
                <c:pt idx="15">
                  <c:v>2688.663945378994</c:v>
                </c:pt>
                <c:pt idx="16">
                  <c:v>2688.3599201386814</c:v>
                </c:pt>
                <c:pt idx="17">
                  <c:v>2687.8899442216875</c:v>
                </c:pt>
                <c:pt idx="18">
                  <c:v>2687.531860347289</c:v>
                </c:pt>
                <c:pt idx="19">
                  <c:v>2687.2430684507012</c:v>
                </c:pt>
                <c:pt idx="20">
                  <c:v>2686.8370816958704</c:v>
                </c:pt>
                <c:pt idx="21">
                  <c:v>2686.329056234708</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2682.203202076833</c:v>
                </c:pt>
                <c:pt idx="35">
                  <c:v>2681.7900212837867</c:v>
                </c:pt>
                <c:pt idx="36">
                  <c:v>2681.646456252919</c:v>
                </c:pt>
                <c:pt idx="37">
                  <c:v>2681.401843892318</c:v>
                </c:pt>
                <c:pt idx="38">
                  <c:v>2681.004627160038</c:v>
                </c:pt>
                <c:pt idx="39">
                  <c:v>2680.7715287985948</c:v>
                </c:pt>
                <c:pt idx="40">
                  <c:v>2680.6232576705215</c:v>
                </c:pt>
                <c:pt idx="41">
                  <c:v>2680.3194831047786</c:v>
                </c:pt>
                <c:pt idx="42">
                  <c:v>2680.000843792842</c:v>
                </c:pt>
                <c:pt idx="43">
                  <c:v>2679.772265519944</c:v>
                </c:pt>
                <c:pt idx="44">
                  <c:v>2679.480044723954</c:v>
                </c:pt>
                <c:pt idx="45">
                  <c:v>2679.061348579185</c:v>
                </c:pt>
                <c:pt idx="46">
                  <c:v>2678.852471688513</c:v>
                </c:pt>
                <c:pt idx="47">
                  <c:v>2678.5467573407996</c:v>
                </c:pt>
                <c:pt idx="48">
                  <c:v>2678.134662495121</c:v>
                </c:pt>
                <c:pt idx="49">
                  <c:v>2677.8312038609492</c:v>
                </c:pt>
                <c:pt idx="50">
                  <c:v>2677.591373027257</c:v>
                </c:pt>
                <c:pt idx="51">
                  <c:v>2677.4013084133485</c:v>
                </c:pt>
                <c:pt idx="52">
                  <c:v>2677.108815515032</c:v>
                </c:pt>
                <c:pt idx="53">
                  <c:v>2676.694759763543</c:v>
                </c:pt>
                <c:pt idx="54">
                  <c:v>2676.499053404357</c:v>
                </c:pt>
                <c:pt idx="55">
                  <c:v>2676.2200621956567</c:v>
                </c:pt>
                <c:pt idx="56">
                  <c:v>2676.1391391812404</c:v>
                </c:pt>
                <c:pt idx="57">
                  <c:v>2675.80583486783</c:v>
                </c:pt>
                <c:pt idx="58">
                  <c:v>2675.702194627969</c:v>
                </c:pt>
                <c:pt idx="59">
                  <c:v>2675.4695261018783</c:v>
                </c:pt>
                <c:pt idx="60">
                  <c:v>2675.3009110978614</c:v>
                </c:pt>
                <c:pt idx="61">
                  <c:v>2675.1900720308854</c:v>
                </c:pt>
                <c:pt idx="62">
                  <c:v>2674.966604122772</c:v>
                </c:pt>
                <c:pt idx="63">
                  <c:v>2674.73193988436</c:v>
                </c:pt>
                <c:pt idx="64">
                  <c:v>2674.723922285471</c:v>
                </c:pt>
                <c:pt idx="65">
                  <c:v>2674.5566383706246</c:v>
                </c:pt>
                <c:pt idx="66">
                  <c:v>2674.381298406674</c:v>
                </c:pt>
                <c:pt idx="67">
                  <c:v>2674.3335334564645</c:v>
                </c:pt>
                <c:pt idx="68">
                  <c:v>2674.121602551275</c:v>
                </c:pt>
                <c:pt idx="69">
                  <c:v>2674.028698460582</c:v>
                </c:pt>
                <c:pt idx="70">
                  <c:v>2673.836415166981</c:v>
                </c:pt>
                <c:pt idx="71">
                  <c:v>2673.7029376385944</c:v>
                </c:pt>
                <c:pt idx="72">
                  <c:v>2673.5261534625206</c:v>
                </c:pt>
                <c:pt idx="73">
                  <c:v>2673.5228751299887</c:v>
                </c:pt>
                <c:pt idx="74">
                  <c:v>2673.292108029348</c:v>
                </c:pt>
                <c:pt idx="75">
                  <c:v>2673.18796223142</c:v>
                </c:pt>
                <c:pt idx="76">
                  <c:v>2673.1305400369843</c:v>
                </c:pt>
                <c:pt idx="77">
                  <c:v>2672.9477639052798</c:v>
                </c:pt>
                <c:pt idx="78">
                  <c:v>2672.7315331589957</c:v>
                </c:pt>
                <c:pt idx="79">
                  <c:v>2672.6976301058958</c:v>
                </c:pt>
                <c:pt idx="80">
                  <c:v>2672.4754623052013</c:v>
                </c:pt>
                <c:pt idx="81">
                  <c:v>2672.265680133479</c:v>
                </c:pt>
                <c:pt idx="82">
                  <c:v>2672.115565841893</c:v>
                </c:pt>
                <c:pt idx="83">
                  <c:v>2671.975172884264</c:v>
                </c:pt>
                <c:pt idx="84">
                  <c:v>2671.9092619653225</c:v>
                </c:pt>
                <c:pt idx="85">
                  <c:v>2671.617255107806</c:v>
                </c:pt>
                <c:pt idx="86">
                  <c:v>2671.4755777744185</c:v>
                </c:pt>
                <c:pt idx="87">
                  <c:v>2671.3571868013596</c:v>
                </c:pt>
                <c:pt idx="88">
                  <c:v>2671.224880020979</c:v>
                </c:pt>
                <c:pt idx="89">
                  <c:v>2670.893062133703</c:v>
                </c:pt>
                <c:pt idx="90">
                  <c:v>2670.784301778729</c:v>
                </c:pt>
                <c:pt idx="91">
                  <c:v>2670.71087513689</c:v>
                </c:pt>
                <c:pt idx="92">
                  <c:v>2670.5085985921796</c:v>
                </c:pt>
                <c:pt idx="93">
                  <c:v>2670.2708582144087</c:v>
                </c:pt>
                <c:pt idx="94">
                  <c:v>2670.1536854385186</c:v>
                </c:pt>
                <c:pt idx="95">
                  <c:v>2670.140214189564</c:v>
                </c:pt>
                <c:pt idx="96">
                  <c:v>2669.897439151252</c:v>
                </c:pt>
                <c:pt idx="97">
                  <c:v>2669.751857556238</c:v>
                </c:pt>
                <c:pt idx="98">
                  <c:v>2669.6399802909527</c:v>
                </c:pt>
                <c:pt idx="99">
                  <c:v>2669.6775428195497</c:v>
                </c:pt>
                <c:pt idx="100">
                  <c:v>2669.5329806107666</c:v>
                </c:pt>
                <c:pt idx="101">
                  <c:v>2669.511245132921</c:v>
                </c:pt>
                <c:pt idx="102">
                  <c:v>2669.4295389835215</c:v>
                </c:pt>
                <c:pt idx="103">
                  <c:v>2669.3804992497408</c:v>
                </c:pt>
                <c:pt idx="104">
                  <c:v>2669.298743883868</c:v>
                </c:pt>
                <c:pt idx="105">
                  <c:v>2669.218074935372</c:v>
                </c:pt>
                <c:pt idx="106">
                  <c:v>2669.21282651006</c:v>
                </c:pt>
                <c:pt idx="107">
                  <c:v>2669.153662121398</c:v>
                </c:pt>
                <c:pt idx="108">
                  <c:v>2669.1872191485263</c:v>
                </c:pt>
                <c:pt idx="109">
                  <c:v>2669.1819695313975</c:v>
                </c:pt>
                <c:pt idx="110">
                  <c:v>2669.1403160796563</c:v>
                </c:pt>
                <c:pt idx="111">
                  <c:v>2669.150465091966</c:v>
                </c:pt>
                <c:pt idx="112">
                  <c:v>2669.116445149462</c:v>
                </c:pt>
                <c:pt idx="113">
                  <c:v>2669.071127146474</c:v>
                </c:pt>
                <c:pt idx="114">
                  <c:v>2669.0309999552733</c:v>
                </c:pt>
                <c:pt idx="115">
                  <c:v>2668.8889151109515</c:v>
                </c:pt>
                <c:pt idx="116">
                  <c:v>2668.8599671350553</c:v>
                </c:pt>
                <c:pt idx="117">
                  <c:v>2668.757294422114</c:v>
                </c:pt>
                <c:pt idx="118">
                  <c:v>2668.624622707822</c:v>
                </c:pt>
                <c:pt idx="119">
                  <c:v>2668.6746994182126</c:v>
                </c:pt>
                <c:pt idx="120">
                  <c:v>2668.545771937913</c:v>
                </c:pt>
                <c:pt idx="121">
                  <c:v>2668.422832501423</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2668.112351339356</c:v>
                </c:pt>
                <c:pt idx="130">
                  <c:v>2668.024044371162</c:v>
                </c:pt>
                <c:pt idx="131">
                  <c:v>2668.1188396643256</c:v>
                </c:pt>
                <c:pt idx="132">
                  <c:v>2668.310337857269</c:v>
                </c:pt>
                <c:pt idx="133">
                  <c:v>2668.3499734017573</c:v>
                </c:pt>
                <c:pt idx="134">
                  <c:v>2668.4165060223545</c:v>
                </c:pt>
                <c:pt idx="135">
                  <c:v>2668.554777068895</c:v>
                </c:pt>
                <c:pt idx="136">
                  <c:v>2668.619160634821</c:v>
                </c:pt>
                <c:pt idx="137">
                  <c:v>2668.9381304597596</c:v>
                </c:pt>
                <c:pt idx="138">
                  <c:v>2668.91551921749</c:v>
                </c:pt>
                <c:pt idx="139">
                  <c:v>2669.0410756188267</c:v>
                </c:pt>
                <c:pt idx="140">
                  <c:v>2669.291489917243</c:v>
                </c:pt>
                <c:pt idx="141">
                  <c:v>2669.2970622335815</c:v>
                </c:pt>
                <c:pt idx="142">
                  <c:v>2669.4129477465203</c:v>
                </c:pt>
                <c:pt idx="143">
                  <c:v>2669.607567389517</c:v>
                </c:pt>
                <c:pt idx="144">
                  <c:v>2669.5329747634537</c:v>
                </c:pt>
                <c:pt idx="145">
                  <c:v>2669.7418428985843</c:v>
                </c:pt>
                <c:pt idx="146">
                  <c:v>2669.6890589274435</c:v>
                </c:pt>
                <c:pt idx="147">
                  <c:v>2669.863390884068</c:v>
                </c:pt>
                <c:pt idx="148">
                  <c:v>2669.8639965508737</c:v>
                </c:pt>
                <c:pt idx="149">
                  <c:v>2669.8958574019107</c:v>
                </c:pt>
                <c:pt idx="150">
                  <c:v>2669.877953329705</c:v>
                </c:pt>
                <c:pt idx="151">
                  <c:v>2670.016099440619</c:v>
                </c:pt>
                <c:pt idx="152">
                  <c:v>2669.9938584403485</c:v>
                </c:pt>
                <c:pt idx="153">
                  <c:v>2670.053766339852</c:v>
                </c:pt>
                <c:pt idx="154">
                  <c:v>2670.213148337437</c:v>
                </c:pt>
                <c:pt idx="155">
                  <c:v>2670.3303197350824</c:v>
                </c:pt>
                <c:pt idx="156">
                  <c:v>2670.444077775051</c:v>
                </c:pt>
                <c:pt idx="157">
                  <c:v>2670.5153353694513</c:v>
                </c:pt>
                <c:pt idx="158">
                  <c:v>2670.7374273408423</c:v>
                </c:pt>
                <c:pt idx="159">
                  <c:v>2670.797103322571</c:v>
                </c:pt>
                <c:pt idx="160">
                  <c:v>2670.9787828596327</c:v>
                </c:pt>
                <c:pt idx="161">
                  <c:v>2671.203786370632</c:v>
                </c:pt>
                <c:pt idx="162">
                  <c:v>2671.217258703795</c:v>
                </c:pt>
                <c:pt idx="163">
                  <c:v>2671.3747102286848</c:v>
                </c:pt>
                <c:pt idx="164">
                  <c:v>2671.607898305689</c:v>
                </c:pt>
                <c:pt idx="165">
                  <c:v>2671.772595292662</c:v>
                </c:pt>
                <c:pt idx="166">
                  <c:v>2671.903622796239</c:v>
                </c:pt>
                <c:pt idx="167">
                  <c:v>2672.186431982876</c:v>
                </c:pt>
                <c:pt idx="168">
                  <c:v>2672.2789126991943</c:v>
                </c:pt>
                <c:pt idx="169">
                  <c:v>2672.422684953723</c:v>
                </c:pt>
                <c:pt idx="170">
                  <c:v>2672.7507541412438</c:v>
                </c:pt>
                <c:pt idx="171">
                  <c:v>2672.8797701745452</c:v>
                </c:pt>
                <c:pt idx="172">
                  <c:v>2673.023648727582</c:v>
                </c:pt>
                <c:pt idx="173">
                  <c:v>2673.203151441436</c:v>
                </c:pt>
                <c:pt idx="174">
                  <c:v>2673.4865059902168</c:v>
                </c:pt>
                <c:pt idx="175">
                  <c:v>2673.8136935452526</c:v>
                </c:pt>
                <c:pt idx="176">
                  <c:v>2674.008990974961</c:v>
                </c:pt>
                <c:pt idx="177">
                  <c:v>2674.175165150319</c:v>
                </c:pt>
                <c:pt idx="178">
                  <c:v>2674.4235115684287</c:v>
                </c:pt>
                <c:pt idx="179">
                  <c:v>2674.858320794281</c:v>
                </c:pt>
                <c:pt idx="180">
                  <c:v>2675.1047945408004</c:v>
                </c:pt>
                <c:pt idx="181">
                  <c:v>2675.266200681919</c:v>
                </c:pt>
                <c:pt idx="182">
                  <c:v>2675.607009709583</c:v>
                </c:pt>
                <c:pt idx="183">
                  <c:v>2675.7438987522555</c:v>
                </c:pt>
                <c:pt idx="184">
                  <c:v>2676.0368656583214</c:v>
                </c:pt>
                <c:pt idx="185">
                  <c:v>2676.2888769199035</c:v>
                </c:pt>
                <c:pt idx="186">
                  <c:v>2676.60909795797</c:v>
                </c:pt>
                <c:pt idx="187">
                  <c:v>2676.761436837114</c:v>
                </c:pt>
                <c:pt idx="188">
                  <c:v>2676.9678952459385</c:v>
                </c:pt>
                <c:pt idx="189">
                  <c:v>2677.1867210166747</c:v>
                </c:pt>
                <c:pt idx="190">
                  <c:v>2677.3815092232917</c:v>
                </c:pt>
                <c:pt idx="191">
                  <c:v>2677.619339587693</c:v>
                </c:pt>
                <c:pt idx="192">
                  <c:v>2677.816380981363</c:v>
                </c:pt>
                <c:pt idx="193">
                  <c:v>2678.077818920377</c:v>
                </c:pt>
                <c:pt idx="194">
                  <c:v>2678.257267408554</c:v>
                </c:pt>
                <c:pt idx="195">
                  <c:v>2678.562506834351</c:v>
                </c:pt>
                <c:pt idx="196">
                  <c:v>2678.7296092144975</c:v>
                </c:pt>
                <c:pt idx="197">
                  <c:v>2678.9468219985015</c:v>
                </c:pt>
                <c:pt idx="198">
                  <c:v>2679.2351279428963</c:v>
                </c:pt>
                <c:pt idx="199">
                  <c:v>2679.5429217645637</c:v>
                </c:pt>
                <c:pt idx="200">
                  <c:v>2679.910579902679</c:v>
                </c:pt>
                <c:pt idx="201">
                  <c:v>2680.26988053738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c:v>
                </c:pt>
                <c:pt idx="211">
                  <c:v>2683.8975540425167</c:v>
                </c:pt>
                <c:pt idx="212">
                  <c:v>2684.276394237561</c:v>
                </c:pt>
                <c:pt idx="213">
                  <c:v>2684.622731679297</c:v>
                </c:pt>
                <c:pt idx="214">
                  <c:v>2684.9589026777235</c:v>
                </c:pt>
                <c:pt idx="215">
                  <c:v>2685.301857395654</c:v>
                </c:pt>
                <c:pt idx="216">
                  <c:v>2685.651797916337</c:v>
                </c:pt>
                <c:pt idx="217">
                  <c:v>2686.01283805853</c:v>
                </c:pt>
                <c:pt idx="218">
                  <c:v>2686.262030614748</c:v>
                </c:pt>
                <c:pt idx="219">
                  <c:v>2686.6904699144197</c:v>
                </c:pt>
                <c:pt idx="220">
                  <c:v>2687.075837528585</c:v>
                </c:pt>
                <c:pt idx="221">
                  <c:v>2687.5172186847417</c:v>
                </c:pt>
                <c:pt idx="222">
                  <c:v>2687.715878177705</c:v>
                </c:pt>
                <c:pt idx="223">
                  <c:v>2688.2272914906202</c:v>
                </c:pt>
                <c:pt idx="224">
                  <c:v>2688.510682041781</c:v>
                </c:pt>
                <c:pt idx="225">
                  <c:v>2688.899609696439</c:v>
                </c:pt>
                <c:pt idx="226">
                  <c:v>2689.409650581394</c:v>
                </c:pt>
                <c:pt idx="227">
                  <c:v>2689.777555100149</c:v>
                </c:pt>
                <c:pt idx="228">
                  <c:v>2690.180103448934</c:v>
                </c:pt>
                <c:pt idx="229">
                  <c:v>2690.433626931135</c:v>
                </c:pt>
                <c:pt idx="230">
                  <c:v>2690.9276507302575</c:v>
                </c:pt>
                <c:pt idx="231">
                  <c:v>2691.388841371587</c:v>
                </c:pt>
                <c:pt idx="232">
                  <c:v>2691.6986261121306</c:v>
                </c:pt>
                <c:pt idx="233">
                  <c:v>2692.1773075299916</c:v>
                </c:pt>
                <c:pt idx="234">
                  <c:v>2692.473247137161</c:v>
                </c:pt>
                <c:pt idx="235">
                  <c:v>2692.8575699494995</c:v>
                </c:pt>
                <c:pt idx="236">
                  <c:v>2693.24758219057</c:v>
                </c:pt>
                <c:pt idx="237">
                  <c:v>2693.6906778520884</c:v>
                </c:pt>
                <c:pt idx="238">
                  <c:v>2694.075288283185</c:v>
                </c:pt>
                <c:pt idx="239">
                  <c:v>2694.626380340303</c:v>
                </c:pt>
                <c:pt idx="240">
                  <c:v>2694.9851144626914</c:v>
                </c:pt>
              </c:numCache>
            </c:numRef>
          </c:yVal>
        </c:ser>
        <c:ser>
          <c:idx val="1"/>
          <c:order val="1"/>
          <c:tx>
            <c:v>Paper low-altitude 35 km / 800 km pass</c:v>
          </c:tx>
          <c:spPr>
            <a:ln xmlns:a="http://schemas.openxmlformats.org/drawingml/2006/main" w="19050">
              <a:solidFill>
                <a:srgbClr val="F97316"/>
              </a:solidFill>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c:v>
                </c:pt>
                <c:pt idx="74">
                  <c:v>-153.2</c:v>
                </c:pt>
                <c:pt idx="75">
                  <c:v>-150</c:v>
                </c:pt>
                <c:pt idx="76">
                  <c:v>-146.8</c:v>
                </c:pt>
                <c:pt idx="77">
                  <c:v>-143.2</c:v>
                </c:pt>
                <c:pt idx="78">
                  <c:v>-140</c:v>
                </c:pt>
                <c:pt idx="79">
                  <c:v>-136.8</c:v>
                </c:pt>
                <c:pt idx="80">
                  <c:v>-133.2</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-26.799999999999955</c:v>
                </c:pt>
                <c:pt idx="113">
                  <c:v>-23.200000000000045</c:v>
                </c:pt>
                <c:pt idx="114">
                  <c:v>-20</c:v>
                </c:pt>
                <c:pt idx="115">
                  <c:v>-16.80000000000001</c:v>
                </c:pt>
                <c:pt idx="116">
                  <c:v>-13.199999999999989</c:v>
                </c:pt>
                <c:pt idx="117">
                  <c:v>-10</c:v>
                </c:pt>
                <c:pt idx="118">
                  <c:v>-6.800000000000011</c:v>
                </c:pt>
                <c:pt idx="119">
                  <c:v>-3.1999999999999886</c:v>
                </c:pt>
                <c:pt idx="120">
                  <c:v>0</c:v>
                </c:pt>
                <c:pt idx="121">
                  <c:v>3.1999999999999886</c:v>
                </c:pt>
                <c:pt idx="122">
                  <c:v>6.7999999999999545</c:v>
                </c:pt>
                <c:pt idx="123">
                  <c:v>9.999999999999943</c:v>
                </c:pt>
                <c:pt idx="124">
                  <c:v>13.199999999999989</c:v>
                </c:pt>
                <c:pt idx="125">
                  <c:v>16.80000000000001</c:v>
                </c:pt>
                <c:pt idx="126">
                  <c:v>20</c:v>
                </c:pt>
                <c:pt idx="127">
                  <c:v>23.200000000000045</c:v>
                </c:pt>
                <c:pt idx="128">
                  <c:v>26.799999999999955</c:v>
                </c:pt>
                <c:pt idx="129">
                  <c:v>30</c:v>
                </c:pt>
                <c:pt idx="130">
                  <c:v>33.19999999999999</c:v>
                </c:pt>
                <c:pt idx="131">
                  <c:v>36.80000000000001</c:v>
                </c:pt>
                <c:pt idx="132">
                  <c:v>40.00000000000006</c:v>
                </c:pt>
                <c:pt idx="133">
                  <c:v>43.200000000000045</c:v>
                </c:pt>
                <c:pt idx="134">
                  <c:v>46.80000000000001</c:v>
                </c:pt>
                <c:pt idx="135">
                  <c:v>50</c:v>
                </c:pt>
                <c:pt idx="136">
                  <c:v>53.19999999999999</c:v>
                </c:pt>
                <c:pt idx="137">
                  <c:v>56.799999999999955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c:v>
                </c:pt>
                <c:pt idx="13">
                  <c:v>2170.5785179125855</c:v>
                </c:pt>
                <c:pt idx="14">
                  <c:v>2131.7740125261425</c:v>
                </c:pt>
                <c:pt idx="15">
                  <c:v>2097.9403231136475</c:v>
                </c:pt>
                <c:pt idx="16">
                  <c:v>2064.052827462836</c:v>
                </c:pt>
                <c:pt idx="17">
                  <c:v>2025.882453771376</c:v>
                </c:pt>
                <c:pt idx="18">
                  <c:v>1992.382127069218</c:v>
                </c:pt>
                <c:pt idx="19">
                  <c:v>1959.478663052429</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1316.381263410234</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991.5333258162572</c:v>
                </c:pt>
                <c:pt idx="54">
                  <c:v>970.1685104366036</c:v>
                </c:pt>
                <c:pt idx="55">
                  <c:v>948.7608368090656</c:v>
                </c:pt>
                <c:pt idx="56">
                  <c:v>924.7601899779155</c:v>
                </c:pt>
                <c:pt idx="57">
                  <c:v>904.2533098821133</c:v>
                </c:pt>
                <c:pt idx="58">
                  <c:v>884.1203916379087</c:v>
                </c:pt>
                <c:pt idx="59">
                  <c:v>861.7139405611678</c:v>
                </c:pt>
                <c:pt idx="60">
                  <c:v>842.0910391477134</c:v>
                </c:pt>
                <c:pt idx="61">
                  <c:v>822.5520747808995</c:v>
                </c:pt>
                <c:pt idx="62">
                  <c:v>800.788445167925</c:v>
                </c:pt>
                <c:pt idx="63">
                  <c:v>782.182758595004</c:v>
                </c:pt>
                <c:pt idx="64">
                  <c:v>764.2997508213764</c:v>
                </c:pt>
                <c:pt idx="65">
                  <c:v>744.2996706468294</c:v>
                </c:pt>
                <c:pt idx="66">
                  <c:v>726.3902763702735</c:v>
                </c:pt>
                <c:pt idx="67">
                  <c:v>708.5965223973282</c:v>
                </c:pt>
                <c:pt idx="68">
                  <c:v>689.6044707976647</c:v>
                </c:pt>
                <c:pt idx="69">
                  <c:v>673.529430210656</c:v>
                </c:pt>
                <c:pt idx="70">
                  <c:v>657.1579289089054</c:v>
                </c:pt>
                <c:pt idx="71">
                  <c:v>638.7033528513318</c:v>
                </c:pt>
                <c:pt idx="72">
                  <c:v>622.9558192945855</c:v>
                </c:pt>
                <c:pt idx="73">
                  <c:v>607.6984165072893</c:v>
                </c:pt>
                <c:pt idx="74">
                  <c:v>590.6619711076781</c:v>
                </c:pt>
                <c:pt idx="75">
                  <c:v>576.2225881312249</c:v>
                </c:pt>
                <c:pt idx="76">
                  <c:v>561.8222462323214</c:v>
                </c:pt>
                <c:pt idx="77">
                  <c:v>545.4683845610026</c:v>
                </c:pt>
                <c:pt idx="78">
                  <c:v>531.4420597563163</c:v>
                </c:pt>
                <c:pt idx="79">
                  <c:v>518.30702957058</c:v>
                </c:pt>
                <c:pt idx="80">
                  <c:v>503.5300716509127</c:v>
                </c:pt>
                <c:pt idx="81">
                  <c:v>490.6119523498117</c:v>
                </c:pt>
                <c:pt idx="82">
                  <c:v>478.15408387641</c:v>
                </c:pt>
                <c:pt idx="83">
                  <c:v>464.2648822613425</c:v>
                </c:pt>
                <c:pt idx="84">
                  <c:v>452.12513673633737</c:v>
                </c:pt>
                <c:pt idx="85">
                  <c:v>440.789520058493</c:v>
                </c:pt>
                <c:pt idx="86">
                  <c:v>428.4246828620779</c:v>
                </c:pt>
                <c:pt idx="87">
                  <c:v>417.67037608062077</c:v>
                </c:pt>
                <c:pt idx="88">
                  <c:v>406.7470273897068</c:v>
                </c:pt>
                <c:pt idx="89">
                  <c:v>395.0892701821094</c:v>
                </c:pt>
                <c:pt idx="90">
                  <c:v>385.3661380377797</c:v>
                </c:pt>
                <c:pt idx="91">
                  <c:v>376.13515915351996</c:v>
                </c:pt>
                <c:pt idx="92">
                  <c:v>365.6912781317871</c:v>
                </c:pt>
                <c:pt idx="93">
                  <c:v>356.4473590251373</c:v>
                </c:pt>
                <c:pt idx="94">
                  <c:v>347.79823047108033</c:v>
                </c:pt>
                <c:pt idx="95">
                  <c:v>338.4523662185664</c:v>
                </c:pt>
                <c:pt idx="96">
                  <c:v>330.8155353836898</c:v>
                </c:pt>
                <c:pt idx="97">
                  <c:v>323.3793377034027</c:v>
                </c:pt>
                <c:pt idx="98">
                  <c:v>314.94112454596194</c:v>
                </c:pt>
                <c:pt idx="99">
                  <c:v>307.48456938359294</c:v>
                </c:pt>
                <c:pt idx="100">
                  <c:v>300.7709446697845</c:v>
                </c:pt>
                <c:pt idx="101">
                  <c:v>294.23661277989663</c:v>
                </c:pt>
                <c:pt idx="102">
                  <c:v>288.26432799028123</c:v>
                </c:pt>
                <c:pt idx="103">
                  <c:v>282.2269644534581</c:v>
                </c:pt>
                <c:pt idx="104">
                  <c:v>276.2837891580153</c:v>
                </c:pt>
                <c:pt idx="105">
                  <c:v>271.34832444874655</c:v>
                </c:pt>
                <c:pt idx="106">
                  <c:v>266.4474931554244</c:v>
                </c:pt>
                <c:pt idx="107">
                  <c:v>261.83320614424036</c:v>
                </c:pt>
                <c:pt idx="108">
                  <c:v>258.0534011370244</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247.1125933494017</c:v>
                </c:pt>
                <c:pt idx="130">
                  <c:v>250.2681978626065</c:v>
                </c:pt>
                <c:pt idx="131">
                  <c:v>253.68974248855739</c:v>
                </c:pt>
                <c:pt idx="132">
                  <c:v>257.40296582102707</c:v>
                </c:pt>
                <c:pt idx="133">
                  <c:v>261.6567098799098</c:v>
                </c:pt>
                <c:pt idx="134">
                  <c:v>266.87097786523987</c:v>
                </c:pt>
                <c:pt idx="135">
                  <c:v>271.4874996062939</c:v>
                </c:pt>
                <c:pt idx="136">
                  <c:v>276.564594918624</c:v>
                </c:pt>
                <c:pt idx="137">
                  <c:v>282.45267503280394</c:v>
                </c:pt>
                <c:pt idx="138">
                  <c:v>288.06999454155164</c:v>
                </c:pt>
                <c:pt idx="139">
                  <c:v>294.08928666556795</c:v>
                </c:pt>
                <c:pt idx="140">
                  <c:v>301.6540717423815</c:v>
                </c:pt>
                <c:pt idx="141">
                  <c:v>308.3339924924266</c:v>
                </c:pt>
                <c:pt idx="142">
                  <c:v>314.94191553996393</c:v>
                </c:pt>
                <c:pt idx="143">
                  <c:v>322.83349393173665</c:v>
                </c:pt>
                <c:pt idx="144">
                  <c:v>330.5742921234296</c:v>
                </c:pt>
                <c:pt idx="145">
                  <c:v>339.00288066211834</c:v>
                </c:pt>
                <c:pt idx="146">
                  <c:v>348.18034109312947</c:v>
                </c:pt>
                <c:pt idx="147">
                  <c:v>356.5873635970569</c:v>
                </c:pt>
                <c:pt idx="148">
                  <c:v>365.3275433938103</c:v>
                </c:pt>
                <c:pt idx="149">
                  <c:v>375.71361777908754</c:v>
                </c:pt>
                <c:pt idx="150">
                  <c:v>385.5672746083997</c:v>
                </c:pt>
                <c:pt idx="151">
                  <c:v>395.8608639483147</c:v>
                </c:pt>
                <c:pt idx="152">
                  <c:v>407.20518284516277</c:v>
                </c:pt>
                <c:pt idx="153">
                  <c:v>417.17224369757116</c:v>
                </c:pt>
                <c:pt idx="154">
                  <c:v>428.1712603024178</c:v>
                </c:pt>
                <c:pt idx="155">
                  <c:v>441.15226021313657</c:v>
                </c:pt>
                <c:pt idx="156">
                  <c:v>452.70768115682705</c:v>
                </c:pt>
                <c:pt idx="157">
                  <c:v>464.3422104497147</c:v>
                </c:pt>
                <c:pt idx="158">
                  <c:v>477.97385498477803</c:v>
                </c:pt>
                <c:pt idx="159">
                  <c:v>490.4820935126106</c:v>
                </c:pt>
                <c:pt idx="160">
                  <c:v>503.19758645294786</c:v>
                </c:pt>
                <c:pt idx="161">
                  <c:v>518.040579966203</c:v>
                </c:pt>
                <c:pt idx="162">
                  <c:v>531.6029522158826</c:v>
                </c:pt>
                <c:pt idx="163">
                  <c:v>545.284760387259</c:v>
                </c:pt>
                <c:pt idx="164">
                  <c:v>560.983814665696</c:v>
                </c:pt>
                <c:pt idx="165">
                  <c:v>575.2592717158128</c:v>
                </c:pt>
                <c:pt idx="166">
                  <c:v>590.285607665682</c:v>
                </c:pt>
                <c:pt idx="167">
                  <c:v>607.501561535222</c:v>
                </c:pt>
                <c:pt idx="168">
                  <c:v>622.9166520341081</c:v>
                </c:pt>
                <c:pt idx="169">
                  <c:v>638.4143292101328</c:v>
                </c:pt>
                <c:pt idx="170">
                  <c:v>656.4778874083446</c:v>
                </c:pt>
                <c:pt idx="171">
                  <c:v>672.9521582471369</c:v>
                </c:pt>
                <c:pt idx="172">
                  <c:v>689.9092702737296</c:v>
                </c:pt>
                <c:pt idx="173">
                  <c:v>709.4713880484527</c:v>
                </c:pt>
                <c:pt idx="174">
                  <c:v>726.6160489398486</c:v>
                </c:pt>
                <c:pt idx="175">
                  <c:v>743.9212040900048</c:v>
                </c:pt>
                <c:pt idx="176">
                  <c:v>764.4798066752313</c:v>
                </c:pt>
                <c:pt idx="177">
                  <c:v>783.3268131486861</c:v>
                </c:pt>
                <c:pt idx="178">
                  <c:v>801.8464832007562</c:v>
                </c:pt>
                <c:pt idx="179">
                  <c:v>822.967307698896</c:v>
                </c:pt>
                <c:pt idx="180">
                  <c:v>842.2172398529525</c:v>
                </c:pt>
                <c:pt idx="181">
                  <c:v>861.7927147745436</c:v>
                </c:pt>
                <c:pt idx="182">
                  <c:v>884.3474875000023</c:v>
                </c:pt>
                <c:pt idx="183">
                  <c:v>904.8934348311757</c:v>
                </c:pt>
                <c:pt idx="184">
                  <c:v>925.2961133666385</c:v>
                </c:pt>
                <c:pt idx="185">
                  <c:v>948.5491738828646</c:v>
                </c:pt>
                <c:pt idx="186">
                  <c:v>969.7240027915016</c:v>
                </c:pt>
                <c:pt idx="187">
                  <c:v>991.3044296756244</c:v>
                </c:pt>
                <c:pt idx="188">
                  <c:v>1016.1752855742253</c:v>
                </c:pt>
                <c:pt idx="189">
                  <c:v>1038.4017236883185</c:v>
                </c:pt>
                <c:pt idx="190">
                  <c:v>1060.8081910527985</c:v>
                </c:pt>
                <c:pt idx="191">
                  <c:v>1086.4391980001599</c:v>
                </c:pt>
                <c:pt idx="192">
                  <c:v>1109.513437541667</c:v>
                </c:pt>
                <c:pt idx="193">
                  <c:v>1133.2303407408722</c:v>
                </c:pt>
                <c:pt idx="194">
                  <c:v>1160.442414389766</c:v>
                </c:pt>
                <c:pt idx="195">
                  <c:v>1184.7688552263792</c:v>
                </c:pt>
                <c:pt idx="196">
                  <c:v>1208.901125428142</c:v>
                </c:pt>
                <c:pt idx="197">
                  <c:v>1236.442375381141</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1695.927154650578</c:v>
                </c:pt>
                <c:pt idx="214">
                  <c:v>1726.1480175819888</c:v>
                </c:pt>
                <c:pt idx="215">
                  <c:v>1760.8952378153272</c:v>
                </c:pt>
                <c:pt idx="216">
                  <c:v>1792.1092244281049</c:v>
                </c:pt>
                <c:pt idx="217">
                  <c:v>1823.404853898195</c:v>
                </c:pt>
                <c:pt idx="218">
                  <c:v>1858.7218553095</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c:v>
                </c:pt>
                <c:pt idx="227">
                  <c:v>2170.966183340772</c:v>
                </c:pt>
                <c:pt idx="228">
                  <c:v>2205.507336392368</c:v>
                </c:pt>
                <c:pt idx="229">
                  <c:v>2240.251431145493</c:v>
                </c:pt>
                <c:pt idx="230">
                  <c:v>2280.4144483255877</c:v>
                </c:pt>
                <c:pt idx="231">
                  <c:v>2316.848794862289</c:v>
                </c:pt>
                <c:pt idx="232">
                  <c:v>2352.98151407561</c:v>
                </c:pt>
                <c:pt idx="233">
                  <c:v>2393.9029324782355</c:v>
                </c:pt>
                <c:pt idx="234">
                  <c:v>2430.617445290838</c:v>
                </c:pt>
                <c:pt idx="235">
                  <c:v>2467.706852886448</c:v>
                </c:pt>
                <c:pt idx="236">
                  <c:v>2510.203743788006</c:v>
                </c:pt>
                <c:pt idx="237">
                  <c:v>2548.3058851808387</c:v>
                </c:pt>
                <c:pt idx="238">
                  <c:v>2586.461687561048</c:v>
                </c:pt>
                <c:pt idx="239">
                  <c:v>2629.5885025696607</c:v>
                </c:pt>
                <c:pt idx="240">
                  <c:v>2668.3506217177705</c:v>
                </c:pt>
              </c:numCache>
            </c:numRef>
          </c:yVal>
        </c:ser>
        <c:ser>
          <c:idx val="2"/>
          <c:order val="2"/>
          <c:tx>
            <c:v>Paper ice-ocean 35 km / 1600 km pass</c:v>
          </c:tx>
          <c:spPr>
            <a:ln xmlns:a="http://schemas.openxmlformats.org/drawingml/2006/main" w="19050">
              <a:solidFill>
                <a:srgbClr val="16A34A"/>
              </a:solidFill>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Native_Chart_Data!$F$1228:$F$1468</c:f>
              <c:numCache>
                <c:formatCode>General</c:formatCode>
                <c:ptCount val="241"/>
                <c:pt idx="0">
                  <c:v>6671.247983955018</c:v>
                </c:pt>
                <c:pt idx="1">
                  <c:v>6568.698547910094</c:v>
                </c:pt>
                <c:pt idx="2">
                  <c:v>6453.945176408153</c:v>
                </c:pt>
                <c:pt idx="3">
                  <c:v>6353.46115468528</c:v>
                </c:pt>
                <c:pt idx="4">
                  <c:v>6253.070767176094</c:v>
                </c:pt>
                <c:pt idx="5">
                  <c:v>6141.373980598753</c:v>
                </c:pt>
                <c:pt idx="6">
                  <c:v>6043.3407753063475</c:v>
                </c:pt>
                <c:pt idx="7">
                  <c:v>5945.633448560878</c:v>
                </c:pt>
                <c:pt idx="8">
                  <c:v>5837.185632869482</c:v>
                </c:pt>
                <c:pt idx="9">
                  <c:v>5741.729536296609</c:v>
                </c:pt>
                <c:pt idx="10">
                  <c:v>5646.7277866164695</c:v>
                </c:pt>
                <c:pt idx="11">
                  <c:v>5541.454225810645</c:v>
                </c:pt>
                <c:pt idx="12">
                  <c:v>5448.244174117029</c:v>
                </c:pt>
                <c:pt idx="13">
                  <c:v>5355.753564055641</c:v>
                </c:pt>
                <c:pt idx="14">
                  <c:v>5253.145120344409</c:v>
                </c:pt>
                <c:pt idx="15">
                  <c:v>5162.261744423181</c:v>
                </c:pt>
                <c:pt idx="16">
                  <c:v>5072.487626142399</c:v>
                </c:pt>
                <c:pt idx="17">
                  <c:v>4972.649483978989</c:v>
                </c:pt>
                <c:pt idx="18">
                  <c:v>4884.268557637219</c:v>
                </c:pt>
                <c:pt idx="19">
                  <c:v>4797.520252737129</c:v>
                </c:pt>
                <c:pt idx="20">
                  <c:v>4700.389166127265</c:v>
                </c:pt>
                <c:pt idx="21">
                  <c:v>4614.846299685642</c:v>
                </c:pt>
                <c:pt idx="22">
                  <c:v>4530.5093392336075</c:v>
                </c:pt>
                <c:pt idx="23">
                  <c:v>4436.086416176702</c:v>
                </c:pt>
                <c:pt idx="24">
                  <c:v>4353.361880040486</c:v>
                </c:pt>
                <c:pt idx="25">
                  <c:v>4271.59923127733</c:v>
                </c:pt>
                <c:pt idx="26">
                  <c:v>4179.935267849888</c:v>
                </c:pt>
                <c:pt idx="27">
                  <c:v>4099.965897790397</c:v>
                </c:pt>
                <c:pt idx="28">
                  <c:v>4020.642850016849</c:v>
                </c:pt>
                <c:pt idx="29">
                  <c:v>3932.1224212477778</c:v>
                </c:pt>
                <c:pt idx="30">
                  <c:v>3854.83280751004</c:v>
                </c:pt>
                <c:pt idx="31">
                  <c:v>3777.7390062611744</c:v>
                </c:pt>
                <c:pt idx="32">
                  <c:v>3692.4898473144344</c:v>
                </c:pt>
                <c:pt idx="33">
                  <c:v>3617.679480762276</c:v>
                </c:pt>
                <c:pt idx="34">
                  <c:v>3542.9615560105917</c:v>
                </c:pt>
                <c:pt idx="35">
                  <c:v>3460.5582527761894</c:v>
                </c:pt>
                <c:pt idx="36">
                  <c:v>3387.9425003472197</c:v>
                </c:pt>
                <c:pt idx="37">
                  <c:v>3315.7545835019178</c:v>
                </c:pt>
                <c:pt idx="38">
                  <c:v>3236.461382160853</c:v>
                </c:pt>
                <c:pt idx="39">
                  <c:v>3166.259400612073</c:v>
                </c:pt>
                <c:pt idx="40">
                  <c:v>3096.909291927255</c:v>
                </c:pt>
                <c:pt idx="41">
                  <c:v>3020.7723219878835</c:v>
                </c:pt>
                <c:pt idx="42">
                  <c:v>2953.045400090821</c:v>
                </c:pt>
                <c:pt idx="43">
                  <c:v>2886.8093182607818</c:v>
                </c:pt>
                <c:pt idx="44">
                  <c:v>2813.2125751554345</c:v>
                </c:pt>
                <c:pt idx="45">
                  <c:v>2747.97840059239</c:v>
                </c:pt>
                <c:pt idx="46">
                  <c:v>2684.5299483671524</c:v>
                </c:pt>
                <c:pt idx="47">
                  <c:v>2613.1887828674335</c:v>
                </c:pt>
                <c:pt idx="48">
                  <c:v>2550.8882906400845</c:v>
                </c:pt>
                <c:pt idx="49">
                  <c:v>2489.739262947346</c:v>
                </c:pt>
                <c:pt idx="50">
                  <c:v>2421.203933680219</c:v>
                </c:pt>
                <c:pt idx="51">
                  <c:v>2361.778797315506</c:v>
                </c:pt>
                <c:pt idx="52">
                  <c:v>2303.344286876124</c:v>
                </c:pt>
                <c:pt idx="53">
                  <c:v>2237.6242728070965</c:v>
                </c:pt>
                <c:pt idx="54">
                  <c:v>2180.866229244237</c:v>
                </c:pt>
                <c:pt idx="55">
                  <c:v>2124.696136137851</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c:v>
                </c:pt>
                <c:pt idx="80">
                  <c:v>946.9302890193869</c:v>
                </c:pt>
                <c:pt idx="81">
                  <c:v>913.3884443529539</c:v>
                </c:pt>
                <c:pt idx="82">
                  <c:v>880.5229562915246</c:v>
                </c:pt>
                <c:pt idx="83">
                  <c:v>843.8524115089209</c:v>
                </c:pt>
                <c:pt idx="84">
                  <c:v>813.2058487052462</c:v>
                </c:pt>
                <c:pt idx="85">
                  <c:v>782.2383189807089</c:v>
                </c:pt>
                <c:pt idx="86">
                  <c:v>748.930867688338</c:v>
                </c:pt>
                <c:pt idx="87">
                  <c:v>720.4332419129369</c:v>
                </c:pt>
                <c:pt idx="88">
                  <c:v>691.9670551954491</c:v>
                </c:pt>
                <c:pt idx="89">
                  <c:v>661.6899994846148</c:v>
                </c:pt>
                <c:pt idx="90">
                  <c:v>635.6982552438569</c:v>
                </c:pt>
                <c:pt idx="91">
                  <c:v>609.849884961899</c:v>
                </c:pt>
                <c:pt idx="92">
                  <c:v>582.8251281434001</c:v>
                </c:pt>
                <c:pt idx="93">
                  <c:v>559.2121214109366</c:v>
                </c:pt>
                <c:pt idx="94">
                  <c:v>536.2003689690118</c:v>
                </c:pt>
                <c:pt idx="95">
                  <c:v>512.3169245672517</c:v>
                </c:pt>
                <c:pt idx="96">
                  <c:v>490.8644375961172</c:v>
                </c:pt>
                <c:pt idx="97">
                  <c:v>470.8262366207249</c:v>
                </c:pt>
                <c:pt idx="98">
                  <c:v>449.3851411697208</c:v>
                </c:pt>
                <c:pt idx="99">
                  <c:v>430.3095956434267</c:v>
                </c:pt>
                <c:pt idx="100">
                  <c:v>413.13501587361156</c:v>
                </c:pt>
                <c:pt idx="101">
                  <c:v>394.10574765913475</c:v>
                </c:pt>
                <c:pt idx="102">
                  <c:v>377.82373453094897</c:v>
                </c:pt>
                <c:pt idx="103">
                  <c:v>363.28651770825104</c:v>
                </c:pt>
                <c:pt idx="104">
                  <c:v>347.02160342794394</c:v>
                </c:pt>
                <c:pt idx="105">
                  <c:v>333.7679420618156</c:v>
                </c:pt>
                <c:pt idx="106">
                  <c:v>321.745419179531</c:v>
                </c:pt>
                <c:pt idx="107">
                  <c:v>308.0933863732902</c:v>
                </c:pt>
                <c:pt idx="108">
                  <c:v>297.7926899590728</c:v>
                </c:pt>
                <c:pt idx="109">
                  <c:v>287.9944488822991</c:v>
                </c:pt>
                <c:pt idx="110">
                  <c:v>277.34427520472127</c:v>
                </c:pt>
                <c:pt idx="111">
                  <c:v>269.68897743893416</c:v>
                </c:pt>
                <c:pt idx="112">
                  <c:v>262.1373262830445</c:v>
                </c:pt>
                <c:pt idx="113">
                  <c:v>254.9051987890375</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c:v>
                </c:pt>
                <c:pt idx="125">
                  <c:v>244.71146714319224</c:v>
                </c:pt>
                <c:pt idx="126">
                  <c:v>249.14725446361194</c:v>
                </c:pt>
                <c:pt idx="127">
                  <c:v>255.2187398952393</c:v>
                </c:pt>
                <c:pt idx="128">
                  <c:v>262.3743325123983</c:v>
                </c:pt>
                <c:pt idx="129">
                  <c:v>269.49464398527886</c:v>
                </c:pt>
                <c:pt idx="130">
                  <c:v>278.0034259719433</c:v>
                </c:pt>
                <c:pt idx="131">
                  <c:v>287.8679845367436</c:v>
                </c:pt>
                <c:pt idx="132">
                  <c:v>297.5514467080143</c:v>
                </c:pt>
                <c:pt idx="133">
                  <c:v>308.68111860671877</c:v>
                </c:pt>
                <c:pt idx="134">
                  <c:v>321.24889389520433</c:v>
                </c:pt>
                <c:pt idx="135">
                  <c:v>333.9690786324356</c:v>
                </c:pt>
                <c:pt idx="136">
                  <c:v>347.47422266834974</c:v>
                </c:pt>
                <c:pt idx="137">
                  <c:v>363.0011899782957</c:v>
                </c:pt>
                <c:pt idx="138">
                  <c:v>378.4062789597639</c:v>
                </c:pt>
                <c:pt idx="139">
                  <c:v>393.9604119847854</c:v>
                </c:pt>
                <c:pt idx="140">
                  <c:v>412.6730671989272</c:v>
                </c:pt>
                <c:pt idx="141">
                  <c:v>430.4704881029929</c:v>
                </c:pt>
                <c:pt idx="142">
                  <c:v>448.65774247510933</c:v>
                </c:pt>
                <c:pt idx="143">
                  <c:v>470.3583475486286</c:v>
                </c:pt>
                <c:pt idx="144">
                  <c:v>490.82527033564</c:v>
                </c:pt>
                <c:pt idx="145">
                  <c:v>511.52104458926755</c:v>
                </c:pt>
                <c:pt idx="146">
                  <c:v>536.6856283700555</c:v>
                </c:pt>
                <c:pt idx="147">
                  <c:v>559.4378939715417</c:v>
                </c:pt>
                <c:pt idx="148">
                  <c:v>582.8549827037858</c:v>
                </c:pt>
                <c:pt idx="149">
                  <c:v>610.8989509460198</c:v>
                </c:pt>
                <c:pt idx="150">
                  <c:v>635.824455949096</c:v>
                </c:pt>
                <c:pt idx="151">
                  <c:v>661.951510687387</c:v>
                </c:pt>
                <c:pt idx="152">
                  <c:v>692.4932720409962</c:v>
                </c:pt>
                <c:pt idx="153">
                  <c:v>719.9887342761264</c:v>
                </c:pt>
                <c:pt idx="154">
                  <c:v>748.8612775855725</c:v>
                </c:pt>
                <c:pt idx="155">
                  <c:v>782.0432729637544</c:v>
                </c:pt>
                <c:pt idx="156">
                  <c:v>812.3078287201135</c:v>
                </c:pt>
                <c:pt idx="157">
                  <c:v>843.9902399095372</c:v>
                </c:pt>
                <c:pt idx="158">
                  <c:v>880.1287937053022</c:v>
                </c:pt>
                <c:pt idx="159">
                  <c:v>913.151539552081</c:v>
                </c:pt>
                <c:pt idx="160">
                  <c:v>947.335274155724</c:v>
                </c:pt>
                <c:pt idx="161">
                  <c:v>986.2109894672132</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2124.427620402391</c:v>
                </c:pt>
                <c:pt idx="186">
                  <c:v>2180.714249526636</c:v>
                </c:pt>
                <c:pt idx="187">
                  <c:v>2237.9762205627935</c:v>
                </c:pt>
                <c:pt idx="188">
                  <c:v>2302.749358961962</c:v>
                </c:pt>
                <c:pt idx="189">
                  <c:v>2361.943478253394</c:v>
                </c:pt>
                <c:pt idx="190">
                  <c:v>2421.619819894157</c:v>
                </c:pt>
                <c:pt idx="191">
                  <c:v>2489.383536065449</c:v>
                </c:pt>
                <c:pt idx="192">
                  <c:v>2551.1472763301176</c:v>
                </c:pt>
                <c:pt idx="193">
                  <c:v>2612.9574942317927</c:v>
                </c:pt>
                <c:pt idx="194">
                  <c:v>2683.9185129860048</c:v>
                </c:pt>
                <c:pt idx="195">
                  <c:v>2748.1539582175906</c:v>
                </c:pt>
                <c:pt idx="196">
                  <c:v>2812.6430211949514</c:v>
                </c:pt>
                <c:pt idx="197">
                  <c:v>2886.745461194616</c:v>
                </c:pt>
                <c:pt idx="198">
                  <c:v>2953.4833326943167</c:v>
                </c:pt>
                <c:pt idx="199">
                  <c:v>3020.547672175684</c:v>
                </c:pt>
                <c:pt idx="200">
                  <c:v>3097.7527678159954</c:v>
                </c:pt>
                <c:pt idx="201">
                  <c:v>3166.735834638819</c:v>
                </c:pt>
                <c:pt idx="202">
                  <c:v>3236.5059270244437</c:v>
                </c:pt>
                <c:pt idx="203">
                  <c:v>3316.518811792081</c:v>
                </c:pt>
                <c:pt idx="204">
                  <c:v>3387.654474031865</c:v>
                </c:pt>
                <c:pt idx="205">
                  <c:v>3460.201596785361</c:v>
                </c:pt>
                <c:pt idx="206">
                  <c:v>3542.8247059020114</c:v>
                </c:pt>
                <c:pt idx="207">
                  <c:v>3616.803052164903</c:v>
                </c:pt>
                <c:pt idx="208">
                  <c:v>3692.1830494024643</c:v>
                </c:pt>
                <c:pt idx="209">
                  <c:v>3777.6203108286313</c:v>
                </c:pt>
                <c:pt idx="210">
                  <c:v>3854.309398143713</c:v>
                </c:pt>
                <c:pt idx="211">
                  <c:v>3932.4165893514773</c:v>
                </c:pt>
                <c:pt idx="212">
                  <c:v>4020.5820211383834</c:v>
                </c:pt>
                <c:pt idx="213">
                  <c:v>4100.086231470473</c:v>
                </c:pt>
                <c:pt idx="214">
                  <c:v>4180.572495711696</c:v>
                </c:pt>
                <c:pt idx="215">
                  <c:v>4271.258134863096</c:v>
                </c:pt>
                <c:pt idx="216">
                  <c:v>4353.623915424465</c:v>
                </c:pt>
                <c:pt idx="217">
                  <c:v>4436.528431704854</c:v>
                </c:pt>
                <c:pt idx="218">
                  <c:v>4530.328279283201</c:v>
                </c:pt>
                <c:pt idx="219">
                  <c:v>4615.429406695019</c:v>
                </c:pt>
                <c:pt idx="220">
                  <c:v>4700.403112212438</c:v>
                </c:pt>
                <c:pt idx="221">
                  <c:v>4797.53673547179</c:v>
                </c:pt>
                <c:pt idx="222">
                  <c:v>4885.016887178556</c:v>
                </c:pt>
                <c:pt idx="223">
                  <c:v>4972.4418683291915</c:v>
                </c:pt>
                <c:pt idx="224">
                  <c:v>5072.5799317173605</c:v>
                </c:pt>
                <c:pt idx="225">
                  <c:v>5162.294064360414</c:v>
                </c:pt>
                <c:pt idx="226">
                  <c:v>5252.466158272302</c:v>
                </c:pt>
                <c:pt idx="227">
                  <c:v>5355.548700407056</c:v>
                </c:pt>
                <c:pt idx="228">
                  <c:v>5447.708509483361</c:v>
                </c:pt>
                <c:pt idx="229">
                  <c:v>5540.683579849159</c:v>
                </c:pt>
                <c:pt idx="230">
                  <c:v>5646.961536636373</c:v>
                </c:pt>
                <c:pt idx="231">
                  <c:v>5741.526745204012</c:v>
                </c:pt>
                <c:pt idx="232">
                  <c:v>5837.535406144047</c:v>
                </c:pt>
                <c:pt idx="233">
                  <c:v>5946.358306967192</c:v>
                </c:pt>
                <c:pt idx="234">
                  <c:v>6043.438309182107</c:v>
                </c:pt>
                <c:pt idx="235">
                  <c:v>6142.145466617225</c:v>
                </c:pt>
                <c:pt idx="236">
                  <c:v>6253.28384796419</c:v>
                </c:pt>
                <c:pt idx="237">
                  <c:v>6353.093574137482</c:v>
                </c:pt>
                <c:pt idx="238">
                  <c:v>6454.213123168585</c:v>
                </c:pt>
                <c:pt idx="239">
                  <c:v>6568.286774941211</c:v>
                </c:pt>
                <c:pt idx="240">
                  <c:v>6670.970351393163</c:v>
                </c:pt>
              </c:numCache>
            </c:numRef>
          </c:yVal>
        </c:ser>
        <c:ser>
          <c:idx val="3"/>
          <c:order val="3"/>
          <c:tx>
            <c:v>Operating 25 km / 1600 km pass</c:v>
          </c:tx>
          <c:spPr>
            <a:ln xmlns:a="http://schemas.openxmlformats.org/drawingml/2006/main" w="19050">
              <a:solidFill>
                <a:srgbClr val="7C3AED"/>
              </a:solidFill>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Native_Chart_Data!$H$1228:$H$1468</c:f>
              <c:numCache>
                <c:formatCode>General</c:formatCode>
                <c:ptCount val="241"/>
                <c:pt idx="0">
                  <c:v>6671.247983955018</c:v>
                </c:pt>
                <c:pt idx="1">
                  <c:v>6567.635412425879</c:v>
                </c:pt>
                <c:pt idx="2">
                  <c:v>6451.696220565506</c:v>
                </c:pt>
                <c:pt idx="3">
                  <c:v>6350.167209245199</c:v>
                </c:pt>
                <c:pt idx="4">
                  <c:v>6248.740371379414</c:v>
                </c:pt>
                <c:pt idx="5">
                  <c:v>6135.88778521221</c:v>
                </c:pt>
                <c:pt idx="6">
                  <c:v>6036.836275449983</c:v>
                </c:pt>
                <c:pt idx="7">
                  <c:v>5938.11918347553</c:v>
                </c:pt>
                <c:pt idx="8">
                  <c:v>5828.545588962841</c:v>
                </c:pt>
                <c:pt idx="9">
                  <c:v>5732.097873047763</c:v>
                </c:pt>
                <c:pt idx="10">
                  <c:v>5636.113043266255</c:v>
                </c:pt>
                <c:pt idx="11">
                  <c:v>5529.743724407704</c:v>
                </c:pt>
                <c:pt idx="12">
                  <c:v>5435.568738499499</c:v>
                </c:pt>
                <c:pt idx="13">
                  <c:v>5342.121733464359</c:v>
                </c:pt>
                <c:pt idx="14">
                  <c:v>5238.447552468971</c:v>
                </c:pt>
                <c:pt idx="15">
                  <c:v>5146.625927460767</c:v>
                </c:pt>
                <c:pt idx="16">
                  <c:v>5055.9220993338495</c:v>
                </c:pt>
                <c:pt idx="17">
                  <c:v>4955.04824065485</c:v>
                </c:pt>
                <c:pt idx="18">
                  <c:v>4865.75575035372</c:v>
                </c:pt>
                <c:pt idx="19">
                  <c:v>4778.1044207351115</c:v>
                </c:pt>
                <c:pt idx="20">
                  <c:v>4679.967638378224</c:v>
                </c:pt>
                <c:pt idx="21">
                  <c:v>4593.53989310486</c:v>
                </c:pt>
                <c:pt idx="22">
                  <c:v>4508.326593061922</c:v>
                </c:pt>
                <c:pt idx="23">
                  <c:v>4412.927995026562</c:v>
                </c:pt>
                <c:pt idx="24">
                  <c:v>4329.345265186219</c:v>
                </c:pt>
                <c:pt idx="25">
                  <c:v>4246.732961959774</c:v>
                </c:pt>
                <c:pt idx="26">
                  <c:v>4154.123344322445</c:v>
                </c:pt>
                <c:pt idx="27">
                  <c:v>4073.322465686445</c:v>
                </c:pt>
                <c:pt idx="28">
                  <c:v>3993.176448577224</c:v>
                </c:pt>
                <c:pt idx="29">
                  <c:v>3903.7403863668333</c:v>
                </c:pt>
                <c:pt idx="30">
                  <c:v>3825.645949180202</c:v>
                </c:pt>
                <c:pt idx="31">
                  <c:v>3747.7558637232796</c:v>
                </c:pt>
                <c:pt idx="32">
                  <c:v>3661.621092103788</c:v>
                </c:pt>
                <c:pt idx="33">
                  <c:v>3586.0325872303506</c:v>
                </c:pt>
                <c:pt idx="34">
                  <c:v>3510.545063398227</c:v>
                </c:pt>
                <c:pt idx="35">
                  <c:v>3427.2861682596395</c:v>
                </c:pt>
                <c:pt idx="36">
                  <c:v>3353.9189626370085</c:v>
                </c:pt>
                <c:pt idx="37">
                  <c:v>3280.988131838881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2707.325276490115</c:v>
                </c:pt>
                <c:pt idx="46">
                  <c:v>2643.2139656949</c:v>
                </c:pt>
                <c:pt idx="47">
                  <c:v>2571.137291365269</c:v>
                </c:pt>
                <c:pt idx="48">
                  <c:v>2508.192086454721</c:v>
                </c:pt>
                <c:pt idx="49">
                  <c:v>2446.406885319621</c:v>
                </c:pt>
                <c:pt idx="50">
                  <c:v>2377.1660679911497</c:v>
                </c:pt>
                <c:pt idx="51">
                  <c:v>2317.122904070853</c:v>
                </c:pt>
                <c:pt idx="52">
                  <c:v>2258.078905316726</c:v>
                </c:pt>
                <c:pt idx="53">
                  <c:v>2191.683423954921</c:v>
                </c:pt>
                <c:pt idx="54">
                  <c:v>2134.334037964095</c:v>
                </c:pt>
                <c:pt idx="55">
                  <c:v>2077.5811416705787</c:v>
                </c:pt>
                <c:pt idx="56">
                  <c:v>2014.1702395891407</c:v>
                </c:pt>
                <c:pt idx="57">
                  <c:v>1959.5086119092775</c:v>
                </c:pt>
                <c:pt idx="58">
                  <c:v>1904.9492378917314</c:v>
                </c:pt>
                <c:pt idx="59">
                  <c:v>1844.81480726674</c:v>
                </c:pt>
                <c:pt idx="60">
                  <c:v>1792.822395486895</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963.3748206259534</c:v>
                </c:pt>
                <c:pt idx="79">
                  <c:v>927.7357479552833</c:v>
                </c:pt>
                <c:pt idx="80">
                  <c:v>887.615187770242</c:v>
                </c:pt>
                <c:pt idx="81">
                  <c:v>853.7221668243844</c:v>
                </c:pt>
                <c:pt idx="82">
                  <c:v>820.5140417243678</c:v>
                </c:pt>
                <c:pt idx="83">
                  <c:v>783.468237334666</c:v>
                </c:pt>
                <c:pt idx="84">
                  <c:v>752.4971833791826</c:v>
                </c:pt>
                <c:pt idx="85">
                  <c:v>721.2137017436736</c:v>
                </c:pt>
                <c:pt idx="86">
                  <c:v>687.5610116127726</c:v>
                </c:pt>
                <c:pt idx="87">
                  <c:v>658.7655798131786</c:v>
                </c:pt>
                <c:pt idx="88">
                  <c:v>630.010126312335</c:v>
                </c:pt>
                <c:pt idx="89">
                  <c:v>599.4178525315383</c:v>
                </c:pt>
                <c:pt idx="90">
                  <c:v>573.1549873942034</c:v>
                </c:pt>
                <c:pt idx="91">
                  <c:v>547.0440354565055</c:v>
                </c:pt>
                <c:pt idx="92">
                  <c:v>519.7340813366122</c:v>
                </c:pt>
                <c:pt idx="93">
                  <c:v>495.87663883518746</c:v>
                </c:pt>
                <c:pt idx="94">
                  <c:v>472.6289898651386</c:v>
                </c:pt>
                <c:pt idx="95">
                  <c:v>448.49036893055194</c:v>
                </c:pt>
                <c:pt idx="96">
                  <c:v>426.82013131807196</c:v>
                </c:pt>
                <c:pt idx="97">
                  <c:v>406.57271894217143</c:v>
                </c:pt>
                <c:pt idx="98">
                  <c:v>384.90646772690855</c:v>
                </c:pt>
                <c:pt idx="99">
                  <c:v>365.639856686885</c:v>
                </c:pt>
                <c:pt idx="100">
                  <c:v>348.2827506441774</c:v>
                </c:pt>
                <c:pt idx="101">
                  <c:v>329.0583474340097</c:v>
                </c:pt>
                <c:pt idx="102">
                  <c:v>312.61195391971023</c:v>
                </c:pt>
                <c:pt idx="103">
                  <c:v>297.91889595173575</c:v>
                </c:pt>
                <c:pt idx="104">
                  <c:v>281.4888674443055</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c:v>
                </c:pt>
                <c:pt idx="117">
                  <c:v>171.82355682791237</c:v>
                </c:pt>
                <c:pt idx="118">
                  <c:v>169.22377297793633</c:v>
                </c:pt>
                <c:pt idx="119">
                  <c:v>167.6410264401586</c:v>
                </c:pt>
                <c:pt idx="120">
                  <c:v>166.81505795177227</c:v>
                </c:pt>
                <c:pt idx="121">
                  <c:v>166.7418251037643</c:v>
                </c:pt>
                <c:pt idx="122">
                  <c:v>168.50487663626993</c:v>
                </c:pt>
                <c:pt idx="123">
                  <c:v>170.3514724860612</c:v>
                </c:pt>
                <c:pt idx="124">
                  <c:v>173.45548128524464</c:v>
                </c:pt>
                <c:pt idx="125">
                  <c:v>178.11632951634772</c:v>
                </c:pt>
                <c:pt idx="126">
                  <c:v>182.6012174715806</c:v>
                </c:pt>
                <c:pt idx="127">
                  <c:v>188.73034277885816</c:v>
                </c:pt>
                <c:pt idx="128">
                  <c:v>195.9609873174368</c:v>
                </c:pt>
                <c:pt idx="129">
                  <c:v>203.15708455274637</c:v>
                </c:pt>
                <c:pt idx="130">
                  <c:v>211.7501915426769</c:v>
                </c:pt>
                <c:pt idx="131">
                  <c:v>221.71982279746464</c:v>
                </c:pt>
                <c:pt idx="132">
                  <c:v>231.5057558587802</c:v>
                </c:pt>
                <c:pt idx="133">
                  <c:v>242.74643788836661</c:v>
                </c:pt>
                <c:pt idx="134">
                  <c:v>255.44930663540742</c:v>
                </c:pt>
                <c:pt idx="135">
                  <c:v>268.2986473902994</c:v>
                </c:pt>
                <c:pt idx="136">
                  <c:v>281.9414866847113</c:v>
                </c:pt>
                <c:pt idx="137">
                  <c:v>297.63356822178037</c:v>
                </c:pt>
                <c:pt idx="138">
                  <c:v>313.19449834852514</c:v>
                </c:pt>
                <c:pt idx="139">
                  <c:v>328.9130117596604</c:v>
                </c:pt>
                <c:pt idx="140">
                  <c:v>347.82080196949306</c:v>
                </c:pt>
                <c:pt idx="141">
                  <c:v>365.8007491464512</c:v>
                </c:pt>
                <c:pt idx="142">
                  <c:v>384.1790690322971</c:v>
                </c:pt>
                <c:pt idx="143">
                  <c:v>406.10482987007515</c:v>
                </c:pt>
                <c:pt idx="144">
                  <c:v>426.78096405759464</c:v>
                </c:pt>
                <c:pt idx="145">
                  <c:v>447.69448895256767</c:v>
                </c:pt>
                <c:pt idx="146">
                  <c:v>473.11424926618224</c:v>
                </c:pt>
                <c:pt idx="147">
                  <c:v>496.10241139579267</c:v>
                </c:pt>
                <c:pt idx="148">
                  <c:v>519.763935896998</c:v>
                </c:pt>
                <c:pt idx="149">
                  <c:v>548.0931014406264</c:v>
                </c:pt>
                <c:pt idx="150">
                  <c:v>573.2811880994424</c:v>
                </c:pt>
                <c:pt idx="151">
                  <c:v>599.6793637343105</c:v>
                </c:pt>
                <c:pt idx="152">
                  <c:v>630.536343157882</c:v>
                </c:pt>
                <c:pt idx="153">
                  <c:v>658.3210721763679</c:v>
                </c:pt>
                <c:pt idx="154">
                  <c:v>687.4914215100071</c:v>
                </c:pt>
                <c:pt idx="155">
                  <c:v>721.0186557267192</c:v>
                </c:pt>
                <c:pt idx="156">
                  <c:v>751.5991633940498</c:v>
                </c:pt>
                <c:pt idx="157">
                  <c:v>783.6060657352823</c:v>
                </c:pt>
                <c:pt idx="158">
                  <c:v>820.1198791381454</c:v>
                </c:pt>
                <c:pt idx="159">
                  <c:v>853.4852620235116</c:v>
                </c:pt>
                <c:pt idx="160">
                  <c:v>888.0201729065793</c:v>
                </c:pt>
                <c:pt idx="161">
                  <c:v>927.3011685937341</c:v>
                </c:pt>
                <c:pt idx="162">
                  <c:v>963.4493249434615</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c:v>
                </c:pt>
                <c:pt idx="176">
                  <c:v>1585.1776312189386</c:v>
                </c:pt>
                <c:pt idx="177">
                  <c:v>1633.8787561541026</c:v>
                </c:pt>
                <c:pt idx="178">
                  <c:v>1683.9521144966598</c:v>
                </c:pt>
                <c:pt idx="179">
                  <c:v>1741.3872217845812</c:v>
                </c:pt>
                <c:pt idx="180">
                  <c:v>1792.7448718226212</c:v>
                </c:pt>
                <c:pt idx="181">
                  <c:v>1845.4504931893146</c:v>
                </c:pt>
                <c:pt idx="182">
                  <c:v>1905.37421362472</c:v>
                </c:pt>
                <c:pt idx="183">
                  <c:v>1959.4711329618194</c:v>
                </c:pt>
                <c:pt idx="184">
                  <c:v>2014.6954571478936</c:v>
                </c:pt>
                <c:pt idx="185">
                  <c:v>2077.312625935119</c:v>
                </c:pt>
                <c:pt idx="186">
                  <c:v>2134.1820582464943</c:v>
                </c:pt>
                <c:pt idx="187">
                  <c:v>2192.0353717106186</c:v>
                </c:pt>
                <c:pt idx="188">
                  <c:v>2257.4839774025636</c:v>
                </c:pt>
                <c:pt idx="189">
                  <c:v>2317.2875850087416</c:v>
                </c:pt>
                <c:pt idx="190">
                  <c:v>2377.581954205088</c:v>
                </c:pt>
                <c:pt idx="191">
                  <c:v>2446.0511584377236</c:v>
                </c:pt>
                <c:pt idx="192">
                  <c:v>2508.451072144754</c:v>
                </c:pt>
                <c:pt idx="193">
                  <c:v>2570.906002729628</c:v>
                </c:pt>
                <c:pt idx="194">
                  <c:v>2642.6025303137526</c:v>
                </c:pt>
                <c:pt idx="195">
                  <c:v>2707.5008341153157</c:v>
                </c:pt>
                <c:pt idx="196">
                  <c:v>2772.6612949034916</c:v>
                </c:pt>
                <c:pt idx="197">
                  <c:v>2847.529264501636</c:v>
                </c:pt>
                <c:pt idx="198">
                  <c:v>2914.95667969893</c:v>
                </c:pt>
                <c:pt idx="199">
                  <c:v>2982.719102118728</c:v>
                </c:pt>
                <c:pt idx="200">
                  <c:v>3060.7197481260864</c:v>
                </c:pt>
                <c:pt idx="201">
                  <c:v>3130.41904377412</c:v>
                </c:pt>
                <c:pt idx="202">
                  <c:v>3200.9139042257916</c:v>
                </c:pt>
                <c:pt idx="203">
                  <c:v>3281.7523601290445</c:v>
                </c:pt>
                <c:pt idx="204">
                  <c:v>3353.6309363216533</c:v>
                </c:pt>
                <c:pt idx="205">
                  <c:v>3426.929512268812</c:v>
                </c:pt>
                <c:pt idx="206">
                  <c:v>3510.4082132896465</c:v>
                </c:pt>
                <c:pt idx="207">
                  <c:v>3585.1561586329776</c:v>
                </c:pt>
                <c:pt idx="208">
                  <c:v>3661.3142941918177</c:v>
                </c:pt>
                <c:pt idx="209">
                  <c:v>3747.6371682907366</c:v>
                </c:pt>
                <c:pt idx="210">
                  <c:v>3825.122539813875</c:v>
                </c:pt>
                <c:pt idx="211">
                  <c:v>3904.0345544705324</c:v>
                </c:pt>
                <c:pt idx="212">
                  <c:v>3993.1156196987595</c:v>
                </c:pt>
                <c:pt idx="213">
                  <c:v>4073.44279936652</c:v>
                </c:pt>
                <c:pt idx="214">
                  <c:v>4154.760572184254</c:v>
                </c:pt>
                <c:pt idx="215">
                  <c:v>4246.39186554554</c:v>
                </c:pt>
                <c:pt idx="216">
                  <c:v>4329.607300570197</c:v>
                </c:pt>
                <c:pt idx="217">
                  <c:v>4413.370010554713</c:v>
                </c:pt>
                <c:pt idx="218">
                  <c:v>4508.145533111514</c:v>
                </c:pt>
                <c:pt idx="219">
                  <c:v>4594.123000114237</c:v>
                </c:pt>
                <c:pt idx="220">
                  <c:v>4679.981584463398</c:v>
                </c:pt>
                <c:pt idx="221">
                  <c:v>4778.120903469772</c:v>
                </c:pt>
                <c:pt idx="222">
                  <c:v>4866.504079895059</c:v>
                </c:pt>
                <c:pt idx="223">
                  <c:v>4954.840625005051</c:v>
                </c:pt>
                <c:pt idx="224">
                  <c:v>5056.01440490881</c:v>
                </c:pt>
                <c:pt idx="225">
                  <c:v>5146.658247398001</c:v>
                </c:pt>
                <c:pt idx="226">
                  <c:v>5237.768590396863</c:v>
                </c:pt>
                <c:pt idx="227">
                  <c:v>5341.916869815773</c:v>
                </c:pt>
                <c:pt idx="228">
                  <c:v>5435.03307386583</c:v>
                </c:pt>
                <c:pt idx="229">
                  <c:v>5528.973078446219</c:v>
                </c:pt>
                <c:pt idx="230">
                  <c:v>5636.346793286159</c:v>
                </c:pt>
                <c:pt idx="231">
                  <c:v>5731.895081955166</c:v>
                </c:pt>
                <c:pt idx="232">
                  <c:v>5828.8953622374065</c:v>
                </c:pt>
                <c:pt idx="233">
                  <c:v>5938.8440418818445</c:v>
                </c:pt>
                <c:pt idx="234">
                  <c:v>6036.933809325743</c:v>
                </c:pt>
                <c:pt idx="235">
                  <c:v>6136.659271230682</c:v>
                </c:pt>
                <c:pt idx="236">
                  <c:v>6248.953452167508</c:v>
                </c:pt>
                <c:pt idx="237">
                  <c:v>6349.7996286974</c:v>
                </c:pt>
                <c:pt idx="238">
                  <c:v>6451.96416732594</c:v>
                </c:pt>
                <c:pt idx="239">
                  <c:v>6567.2236394569945</c:v>
                </c:pt>
                <c:pt idx="240">
                  <c:v>6670.970351393163</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7.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Off-Nadir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-34.98</c:v>
                </c:pt>
                <c:pt idx="51">
                  <c:v>-34.5</c:v>
                </c:pt>
                <c:pt idx="52">
                  <c:v>-34.019999999999996</c:v>
                </c:pt>
                <c:pt idx="53">
                  <c:v>-33.480000000000004</c:v>
                </c:pt>
                <c:pt idx="54">
                  <c:v>-33</c:v>
                </c:pt>
                <c:pt idx="55">
                  <c:v>-32.52</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-1.0200000000000031</c:v>
                </c:pt>
                <c:pt idx="119">
                  <c:v>-0.480000000000004</c:v>
                </c:pt>
                <c:pt idx="120">
                  <c:v>0</c:v>
                </c:pt>
                <c:pt idx="121">
                  <c:v>0.480000000000004</c:v>
                </c:pt>
                <c:pt idx="122">
                  <c:v>1.019999999999996</c:v>
                </c:pt>
                <c:pt idx="123">
                  <c:v>1.499999999999993</c:v>
                </c:pt>
                <c:pt idx="124">
                  <c:v>1.9799999999999969</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2737.746224109234</c:v>
                </c:pt>
                <c:pt idx="2">
                  <c:v>2736.623084633149</c:v>
                </c:pt>
                <c:pt idx="3">
                  <c:v>2735.6330546630293</c:v>
                </c:pt>
                <c:pt idx="4">
                  <c:v>2734.650858075406</c:v>
                </c:pt>
                <c:pt idx="5">
                  <c:v>2733.555257783269</c:v>
                </c:pt>
                <c:pt idx="6">
                  <c:v>2732.589727165975</c:v>
                </c:pt>
                <c:pt idx="7">
                  <c:v>2731.632048701091</c:v>
                </c:pt>
                <c:pt idx="8">
                  <c:v>2730.5640535799016</c:v>
                </c:pt>
                <c:pt idx="9">
                  <c:v>2729.6230805624396</c:v>
                </c:pt>
                <c:pt idx="10">
                  <c:v>2728.689978080741</c:v>
                </c:pt>
                <c:pt idx="11">
                  <c:v>2727.649652758524</c:v>
                </c:pt>
                <c:pt idx="12">
                  <c:v>2726.7332943721008</c:v>
                </c:pt>
                <c:pt idx="13">
                  <c:v>2725.824824510964</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c:v>
                </c:pt>
                <c:pt idx="23">
                  <c:v>2716.763562710639</c:v>
                </c:pt>
                <c:pt idx="24">
                  <c:v>2715.9462080599938</c:v>
                </c:pt>
                <c:pt idx="25">
                  <c:v>2715.1368098124726</c:v>
                </c:pt>
                <c:pt idx="26">
                  <c:v>2714.235753570058</c:v>
                </c:pt>
                <c:pt idx="27">
                  <c:v>2713.4432796899005</c:v>
                </c:pt>
                <c:pt idx="28">
                  <c:v>2712.658778127942</c:v>
                </c:pt>
                <c:pt idx="29">
                  <c:v>2711.7857495077187</c:v>
                </c:pt>
                <c:pt idx="30">
                  <c:v>2711.018205671868</c:v>
                </c:pt>
                <c:pt idx="31">
                  <c:v>2710.258649634195</c:v>
                </c:pt>
                <c:pt idx="32">
                  <c:v>2709.41370305717</c:v>
                </c:pt>
                <c:pt idx="33">
                  <c:v>2708.6711371730257</c:v>
                </c:pt>
                <c:pt idx="34">
                  <c:v>2707.9365741255974</c:v>
                </c:pt>
                <c:pt idx="35">
                  <c:v>2707.119762460756</c:v>
                </c:pt>
                <c:pt idx="36">
                  <c:v>2706.402221049479</c:v>
                </c:pt>
                <c:pt idx="37">
                  <c:v>2705.692697065748</c:v>
                </c:pt>
                <c:pt idx="38">
                  <c:v>2704.9040716081277</c:v>
                </c:pt>
                <c:pt idx="39">
                  <c:v>2704.2115997852675</c:v>
                </c:pt>
                <c:pt idx="40">
                  <c:v>2703.527159526966</c:v>
                </c:pt>
                <c:pt idx="41">
                  <c:v>2702.766769976195</c:v>
                </c:pt>
                <c:pt idx="42">
                  <c:v>2702.0994114328023</c:v>
                </c:pt>
                <c:pt idx="43">
                  <c:v>2701.440098131209</c:v>
                </c:pt>
                <c:pt idx="44">
                  <c:v>2700.7079925706203</c:v>
                </c:pt>
                <c:pt idx="45">
                  <c:v>2700.065789554835</c:v>
                </c:pt>
                <c:pt idx="46">
                  <c:v>2699.43164499259</c:v>
                </c:pt>
                <c:pt idx="47">
                  <c:v>2698.7278698689106</c:v>
                </c:pt>
                <c:pt idx="48">
                  <c:v>2698.110863168117</c:v>
                </c:pt>
                <c:pt idx="49">
                  <c:v>2697.5019276614603</c:v>
                </c:pt>
                <c:pt idx="50">
                  <c:v>2696.8265277651735</c:v>
                </c:pt>
                <c:pt idx="51">
                  <c:v>2696.234756688648</c:v>
                </c:pt>
                <c:pt idx="52">
                  <c:v>2695.6510690703108</c:v>
                </c:pt>
                <c:pt idx="53">
                  <c:v>2695.0040875164605</c:v>
                </c:pt>
                <c:pt idx="54">
                  <c:v>2694.4375898786375</c:v>
                </c:pt>
                <c:pt idx="55">
                  <c:v>2693.8791874812646</c:v>
                </c:pt>
                <c:pt idx="56">
                  <c:v>2693.260665691084</c:v>
                </c:pt>
                <c:pt idx="57">
                  <c:v>2692.7194777953123</c:v>
                </c:pt>
                <c:pt idx="58">
                  <c:v>2692.1863964353583</c:v>
                </c:pt>
                <c:pt idx="59">
                  <c:v>2691.596374118459</c:v>
                </c:pt>
                <c:pt idx="60">
                  <c:v>2691.0805307414003</c:v>
                </c:pt>
                <c:pt idx="61">
                  <c:v>2690.572804703775</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c:v>
                </c:pt>
                <c:pt idx="75">
                  <c:v>2684.0767928598584</c:v>
                </c:pt>
                <c:pt idx="76">
                  <c:v>2683.69630309907</c:v>
                </c:pt>
                <c:pt idx="77">
                  <c:v>2683.2780136005345</c:v>
                </c:pt>
                <c:pt idx="78">
                  <c:v>2682.914880335254</c:v>
                </c:pt>
                <c:pt idx="79">
                  <c:v>2682.559918656496</c:v>
                </c:pt>
                <c:pt idx="80">
                  <c:v>2682.170357321432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2679.065914532494</c:v>
                </c:pt>
                <c:pt idx="91">
                  <c:v>2678.813280652873</c:v>
                </c:pt>
                <c:pt idx="92">
                  <c:v>2678.53886810944</c:v>
                </c:pt>
                <c:pt idx="93">
                  <c:v>2678.3036592847507</c:v>
                </c:pt>
                <c:pt idx="94">
                  <c:v>2678.0766529929315</c:v>
                </c:pt>
                <c:pt idx="95">
                  <c:v>2677.8310774067595</c:v>
                </c:pt>
                <c:pt idx="96">
                  <c:v>2677.621506506962</c:v>
                </c:pt>
                <c:pt idx="97">
                  <c:v>2677.4201427373237</c:v>
                </c:pt>
                <c:pt idx="98">
                  <c:v>2677.2034202705154</c:v>
                </c:pt>
                <c:pt idx="99">
                  <c:v>2677.019501093122</c:v>
                </c:pt>
                <c:pt idx="100">
                  <c:v>2676.843793107199</c:v>
                </c:pt>
                <c:pt idx="101">
                  <c:v>2676.655938037531</c:v>
                </c:pt>
                <c:pt idx="102">
                  <c:v>2676.4976827030932</c:v>
                </c:pt>
                <c:pt idx="103">
                  <c:v>2676.3476420836173</c:v>
                </c:pt>
                <c:pt idx="104">
                  <c:v>2676.188666798151</c:v>
                </c:pt>
                <c:pt idx="105">
                  <c:v>2676.0560857448104</c:v>
                </c:pt>
                <c:pt idx="106">
                  <c:v>2675.93172239053</c:v>
                </c:pt>
                <c:pt idx="107">
                  <c:v>2675.801637380072</c:v>
                </c:pt>
                <c:pt idx="108">
                  <c:v>2675.6947393589066</c:v>
                </c:pt>
                <c:pt idx="109">
                  <c:v>2675.596061480153</c:v>
                </c:pt>
                <c:pt idx="110">
                  <c:v>2675.494875334485</c:v>
                </c:pt>
                <c:pt idx="111">
                  <c:v>2675.413667405526</c:v>
                </c:pt>
                <c:pt idx="112">
                  <c:v>2675.340681520537</c:v>
                </c:pt>
                <c:pt idx="113">
                  <c:v>2675.2684009246454</c:v>
                </c:pt>
                <c:pt idx="114">
                  <c:v>2675.2128884537788</c:v>
                </c:pt>
                <c:pt idx="115">
                  <c:v>2675.165599385722</c:v>
                </c:pt>
                <c:pt idx="116">
                  <c:v>2675.122229116734</c:v>
                </c:pt>
                <c:pt idx="117">
                  <c:v>2675.092415773223</c:v>
                </c:pt>
                <c:pt idx="118">
                  <c:v>2675.0708266480583</c:v>
                </c:pt>
                <c:pt idx="119">
                  <c:v>2675.0563695731153</c:v>
                </c:pt>
                <c:pt idx="120">
                  <c:v>2675.0522573279914</c:v>
                </c:pt>
                <c:pt idx="121">
                  <c:v>2675.0563695731153</c:v>
                </c:pt>
                <c:pt idx="122">
                  <c:v>2675.0708266480583</c:v>
                </c:pt>
                <c:pt idx="123">
                  <c:v>2675.092415773223</c:v>
                </c:pt>
                <c:pt idx="124">
                  <c:v>2675.122229116734</c:v>
                </c:pt>
                <c:pt idx="125">
                  <c:v>2675.165599385722</c:v>
                </c:pt>
                <c:pt idx="126">
                  <c:v>2675.2128884537788</c:v>
                </c:pt>
                <c:pt idx="127">
                  <c:v>2675.2684009246454</c:v>
                </c:pt>
                <c:pt idx="128">
                  <c:v>2675.340681520537</c:v>
                </c:pt>
                <c:pt idx="129">
                  <c:v>2675.413667405526</c:v>
                </c:pt>
                <c:pt idx="130">
                  <c:v>2675.494875334485</c:v>
                </c:pt>
                <c:pt idx="131">
                  <c:v>2675.596061480153</c:v>
                </c:pt>
                <c:pt idx="132">
                  <c:v>2675.6947393589066</c:v>
                </c:pt>
                <c:pt idx="133">
                  <c:v>2675.801637380072</c:v>
                </c:pt>
                <c:pt idx="134">
                  <c:v>2675.93172239053</c:v>
                </c:pt>
                <c:pt idx="135">
                  <c:v>2676.0560857448104</c:v>
                </c:pt>
                <c:pt idx="136">
                  <c:v>2676.188666798151</c:v>
                </c:pt>
                <c:pt idx="137">
                  <c:v>2676.3476420836173</c:v>
                </c:pt>
                <c:pt idx="138">
                  <c:v>2676.4976827030932</c:v>
                </c:pt>
                <c:pt idx="139">
                  <c:v>2676.655938037531</c:v>
                </c:pt>
                <c:pt idx="140">
                  <c:v>2676.843793107199</c:v>
                </c:pt>
                <c:pt idx="141">
                  <c:v>2677.019501093122</c:v>
                </c:pt>
                <c:pt idx="142">
                  <c:v>2677.2034202705154</c:v>
                </c:pt>
                <c:pt idx="143">
                  <c:v>2677.4201427373237</c:v>
                </c:pt>
                <c:pt idx="144">
                  <c:v>2677.621506506962</c:v>
                </c:pt>
                <c:pt idx="145">
                  <c:v>2677.8310774067595</c:v>
                </c:pt>
                <c:pt idx="146">
                  <c:v>2678.0766529929315</c:v>
                </c:pt>
                <c:pt idx="147">
                  <c:v>2678.3036592847507</c:v>
                </c:pt>
                <c:pt idx="148">
                  <c:v>2678.53886810944</c:v>
                </c:pt>
                <c:pt idx="149">
                  <c:v>2678.813280652873</c:v>
                </c:pt>
                <c:pt idx="150">
                  <c:v>2679.065914532494</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c:v>
                </c:pt>
                <c:pt idx="161">
                  <c:v>2682.559918656496</c:v>
                </c:pt>
                <c:pt idx="162">
                  <c:v>2682.914880335254</c:v>
                </c:pt>
                <c:pt idx="163">
                  <c:v>2683.2780136005345</c:v>
                </c:pt>
                <c:pt idx="164">
                  <c:v>2683.69630309907</c:v>
                </c:pt>
                <c:pt idx="165">
                  <c:v>2684.0767928598584</c:v>
                </c:pt>
                <c:pt idx="166">
                  <c:v>2684.465446445234</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c:v>
                </c:pt>
                <c:pt idx="180">
                  <c:v>2691.0805307414003</c:v>
                </c:pt>
                <c:pt idx="181">
                  <c:v>2691.596374118459</c:v>
                </c:pt>
                <c:pt idx="182">
                  <c:v>2692.1863964353583</c:v>
                </c:pt>
                <c:pt idx="183">
                  <c:v>2692.7194777953123</c:v>
                </c:pt>
                <c:pt idx="184">
                  <c:v>2693.260665691084</c:v>
                </c:pt>
                <c:pt idx="185">
                  <c:v>2693.8791874812646</c:v>
                </c:pt>
                <c:pt idx="186">
                  <c:v>2694.4375898786375</c:v>
                </c:pt>
                <c:pt idx="187">
                  <c:v>2695.0040875164605</c:v>
                </c:pt>
                <c:pt idx="188">
                  <c:v>2695.6510690703108</c:v>
                </c:pt>
                <c:pt idx="189">
                  <c:v>2696.234756688648</c:v>
                </c:pt>
                <c:pt idx="190">
                  <c:v>2696.8265277651735</c:v>
                </c:pt>
                <c:pt idx="191">
                  <c:v>2697.5019276614603</c:v>
                </c:pt>
                <c:pt idx="192">
                  <c:v>2698.110863168117</c:v>
                </c:pt>
                <c:pt idx="193">
                  <c:v>2698.7278698689106</c:v>
                </c:pt>
                <c:pt idx="194">
                  <c:v>2699.43164499259</c:v>
                </c:pt>
                <c:pt idx="195">
                  <c:v>2700.065789554835</c:v>
                </c:pt>
                <c:pt idx="196">
                  <c:v>2700.7079925706203</c:v>
                </c:pt>
                <c:pt idx="197">
                  <c:v>2701.440098131209</c:v>
                </c:pt>
                <c:pt idx="198">
                  <c:v>2702.0994114328023</c:v>
                </c:pt>
                <c:pt idx="199">
                  <c:v>2702.766769976195</c:v>
                </c:pt>
                <c:pt idx="200">
                  <c:v>2703.527159526966</c:v>
                </c:pt>
                <c:pt idx="201">
                  <c:v>2704.2115997852675</c:v>
                </c:pt>
                <c:pt idx="202">
                  <c:v>2704.9040716081277</c:v>
                </c:pt>
                <c:pt idx="203">
                  <c:v>2705.692697065748</c:v>
                </c:pt>
                <c:pt idx="204">
                  <c:v>2706.402221049479</c:v>
                </c:pt>
                <c:pt idx="205">
                  <c:v>2707.119762460756</c:v>
                </c:pt>
                <c:pt idx="206">
                  <c:v>2707.9365741255974</c:v>
                </c:pt>
                <c:pt idx="207">
                  <c:v>2708.6711371730257</c:v>
                </c:pt>
                <c:pt idx="208">
                  <c:v>2709.41370305717</c:v>
                </c:pt>
                <c:pt idx="209">
                  <c:v>2710.258649634195</c:v>
                </c:pt>
                <c:pt idx="210">
                  <c:v>2711.018205671868</c:v>
                </c:pt>
                <c:pt idx="211">
                  <c:v>2711.7857495077187</c:v>
                </c:pt>
                <c:pt idx="212">
                  <c:v>2712.658778127942</c:v>
                </c:pt>
                <c:pt idx="213">
                  <c:v>2713.4432796899005</c:v>
                </c:pt>
                <c:pt idx="214">
                  <c:v>2714.235753570058</c:v>
                </c:pt>
                <c:pt idx="215">
                  <c:v>2715.1368098124726</c:v>
                </c:pt>
                <c:pt idx="216">
                  <c:v>2715.9462080599938</c:v>
                </c:pt>
                <c:pt idx="217">
                  <c:v>2716.763562710639</c:v>
                </c:pt>
                <c:pt idx="218">
                  <c:v>2717.692590624826</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2725.824824510964</c:v>
                </c:pt>
                <c:pt idx="228">
                  <c:v>2726.7332943721008</c:v>
                </c:pt>
                <c:pt idx="229">
                  <c:v>2727.649652758524</c:v>
                </c:pt>
                <c:pt idx="230">
                  <c:v>2728.689978080741</c:v>
                </c:pt>
                <c:pt idx="231">
                  <c:v>2729.6230805624396</c:v>
                </c:pt>
                <c:pt idx="232">
                  <c:v>2730.5640535799016</c:v>
                </c:pt>
                <c:pt idx="233">
                  <c:v>2731.632048701091</c:v>
                </c:pt>
                <c:pt idx="234">
                  <c:v>2732.589727165975</c:v>
                </c:pt>
                <c:pt idx="235">
                  <c:v>2733.555257783269</c:v>
                </c:pt>
                <c:pt idx="236">
                  <c:v>2734.650858075406</c:v>
                </c:pt>
                <c:pt idx="237">
                  <c:v>2735.6330546630293</c:v>
                </c:pt>
                <c:pt idx="238">
                  <c:v>2736.623084633149</c:v>
                </c:pt>
                <c:pt idx="239">
                  <c:v>2737.746224109234</c:v>
                </c:pt>
                <c:pt idx="240">
                  <c:v>2738.7528797589603</c:v>
                </c:pt>
              </c:numCache>
            </c:numRef>
          </c:yVal>
        </c:ser>
        <c:ser>
          <c:idx val="1"/>
          <c:order val="1"/>
          <c:tx>
            <c:v>Paper low-altitude 35 km / 800 km pass</c:v>
          </c:tx>
          <c:spPr>
            <a:ln xmlns:a="http://schemas.openxmlformats.org/drawingml/2006/main" w="19050">
              <a:solidFill>
                <a:srgbClr val="F97316"/>
              </a:solidFill>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c:v>
                </c:pt>
                <c:pt idx="74">
                  <c:v>-153.2</c:v>
                </c:pt>
                <c:pt idx="75">
                  <c:v>-150</c:v>
                </c:pt>
                <c:pt idx="76">
                  <c:v>-146.8</c:v>
                </c:pt>
                <c:pt idx="77">
                  <c:v>-143.2</c:v>
                </c:pt>
                <c:pt idx="78">
                  <c:v>-140</c:v>
                </c:pt>
                <c:pt idx="79">
                  <c:v>-136.8</c:v>
                </c:pt>
                <c:pt idx="80">
                  <c:v>-133.2</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-26.799999999999955</c:v>
                </c:pt>
                <c:pt idx="113">
                  <c:v>-23.200000000000045</c:v>
                </c:pt>
                <c:pt idx="114">
                  <c:v>-20</c:v>
                </c:pt>
                <c:pt idx="115">
                  <c:v>-16.80000000000001</c:v>
                </c:pt>
                <c:pt idx="116">
                  <c:v>-13.199999999999989</c:v>
                </c:pt>
                <c:pt idx="117">
                  <c:v>-10</c:v>
                </c:pt>
                <c:pt idx="118">
                  <c:v>-6.800000000000011</c:v>
                </c:pt>
                <c:pt idx="119">
                  <c:v>-3.1999999999999886</c:v>
                </c:pt>
                <c:pt idx="120">
                  <c:v>0</c:v>
                </c:pt>
                <c:pt idx="121">
                  <c:v>3.1999999999999886</c:v>
                </c:pt>
                <c:pt idx="122">
                  <c:v>6.7999999999999545</c:v>
                </c:pt>
                <c:pt idx="123">
                  <c:v>9.999999999999943</c:v>
                </c:pt>
                <c:pt idx="124">
                  <c:v>13.199999999999989</c:v>
                </c:pt>
                <c:pt idx="125">
                  <c:v>16.80000000000001</c:v>
                </c:pt>
                <c:pt idx="126">
                  <c:v>20</c:v>
                </c:pt>
                <c:pt idx="127">
                  <c:v>23.200000000000045</c:v>
                </c:pt>
                <c:pt idx="128">
                  <c:v>26.799999999999955</c:v>
                </c:pt>
                <c:pt idx="129">
                  <c:v>30</c:v>
                </c:pt>
                <c:pt idx="130">
                  <c:v>33.19999999999999</c:v>
                </c:pt>
                <c:pt idx="131">
                  <c:v>36.80000000000001</c:v>
                </c:pt>
                <c:pt idx="132">
                  <c:v>40.00000000000006</c:v>
                </c:pt>
                <c:pt idx="133">
                  <c:v>43.200000000000045</c:v>
                </c:pt>
                <c:pt idx="134">
                  <c:v>46.80000000000001</c:v>
                </c:pt>
                <c:pt idx="135">
                  <c:v>50</c:v>
                </c:pt>
                <c:pt idx="136">
                  <c:v>53.19999999999999</c:v>
                </c:pt>
                <c:pt idx="137">
                  <c:v>56.799999999999955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c:v>
                </c:pt>
                <c:pt idx="2">
                  <c:v>3907.520143552331</c:v>
                </c:pt>
                <c:pt idx="3">
                  <c:v>3861.3869170271155</c:v>
                </c:pt>
                <c:pt idx="4">
                  <c:v>3815.557941887678</c:v>
                </c:pt>
                <c:pt idx="5">
                  <c:v>3764.3630333251954</c:v>
                </c:pt>
                <c:pt idx="6">
                  <c:v>3719.1779432130656</c:v>
                </c:pt>
                <c:pt idx="7">
                  <c:v>3674.294578654452</c:v>
                </c:pt>
                <c:pt idx="8">
                  <c:v>3624.160403492118</c:v>
                </c:pt>
                <c:pt idx="9">
                  <c:v>3579.915397473851</c:v>
                </c:pt>
                <c:pt idx="10">
                  <c:v>3535.9694398561164</c:v>
                </c:pt>
                <c:pt idx="11">
                  <c:v>3486.8865852502836</c:v>
                </c:pt>
                <c:pt idx="12">
                  <c:v>3443.5731304663896</c:v>
                </c:pt>
                <c:pt idx="13">
                  <c:v>3400.5558883978983</c:v>
                </c:pt>
                <c:pt idx="14">
                  <c:v>3352.5143841718163</c:v>
                </c:pt>
                <c:pt idx="15">
                  <c:v>3310.123444717516</c:v>
                </c:pt>
                <c:pt idx="16">
                  <c:v>3268.0257165997627</c:v>
                </c:pt>
                <c:pt idx="17">
                  <c:v>3221.015010080671</c:v>
                </c:pt>
                <c:pt idx="18">
                  <c:v>3179.537024764877</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c:v>
                </c:pt>
                <c:pt idx="27">
                  <c:v>2804.638522662561</c:v>
                </c:pt>
                <c:pt idx="28">
                  <c:v>2766.1158768793084</c:v>
                </c:pt>
                <c:pt idx="29">
                  <c:v>2723.110349333624</c:v>
                </c:pt>
                <c:pt idx="30">
                  <c:v>2685.177333423242</c:v>
                </c:pt>
                <c:pt idx="31">
                  <c:v>2647.519805513155</c:v>
                </c:pt>
                <c:pt idx="32">
                  <c:v>2605.4827634648645</c:v>
                </c:pt>
                <c:pt idx="33">
                  <c:v>2568.4063111009086</c:v>
                </c:pt>
                <c:pt idx="34">
                  <c:v>2531.601221281773</c:v>
                </c:pt>
                <c:pt idx="35">
                  <c:v>2490.518160948682</c:v>
                </c:pt>
                <c:pt idx="36">
                  <c:v>2454.285166823356</c:v>
                </c:pt>
                <c:pt idx="37">
                  <c:v>2418.3192089337513</c:v>
                </c:pt>
                <c:pt idx="38">
                  <c:v>2378.1749207105045</c:v>
                </c:pt>
                <c:pt idx="39">
                  <c:v>2342.7716518918514</c:v>
                </c:pt>
                <c:pt idx="40">
                  <c:v>2307.6308927499517</c:v>
                </c:pt>
                <c:pt idx="41">
                  <c:v>2268.409463423141</c:v>
                </c:pt>
                <c:pt idx="42">
                  <c:v>2233.821564177517</c:v>
                </c:pt>
                <c:pt idx="43">
                  <c:v>2199.4914513372773</c:v>
                </c:pt>
                <c:pt idx="44">
                  <c:v>2161.1762766414804</c:v>
                </c:pt>
                <c:pt idx="45">
                  <c:v>2127.3887833117165</c:v>
                </c:pt>
                <c:pt idx="46">
                  <c:v>2093.8541637603007</c:v>
                </c:pt>
                <c:pt idx="47">
                  <c:v>2056.427974395935</c:v>
                </c:pt>
                <c:pt idx="48">
                  <c:v>2023.4253433638573</c:v>
                </c:pt>
                <c:pt idx="49">
                  <c:v>1990.6704964522148</c:v>
                </c:pt>
                <c:pt idx="50">
                  <c:v>1954.1154016181265</c:v>
                </c:pt>
                <c:pt idx="51">
                  <c:v>1921.881554297467</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1568.18884339574</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1134.320202233334</c:v>
                </c:pt>
                <c:pt idx="78">
                  <c:v>1108.2624133501783</c:v>
                </c:pt>
                <c:pt idx="79">
                  <c:v>1082.4036420950645</c:v>
                </c:pt>
                <c:pt idx="80">
                  <c:v>1053.5497018470367</c:v>
                </c:pt>
                <c:pt idx="81">
                  <c:v>1028.1121624339564</c:v>
                </c:pt>
                <c:pt idx="82">
                  <c:v>1002.8724909144175</c:v>
                </c:pt>
                <c:pt idx="83">
                  <c:v>974.7145021127182</c:v>
                </c:pt>
                <c:pt idx="84">
                  <c:v>949.8959568514337</c:v>
                </c:pt>
                <c:pt idx="85">
                  <c:v>925.2765339546444</c:v>
                </c:pt>
                <c:pt idx="86">
                  <c:v>897.8190596262613</c:v>
                </c:pt>
                <c:pt idx="87">
                  <c:v>873.6268737519111</c:v>
                </c:pt>
                <c:pt idx="88">
                  <c:v>849.6386115770032</c:v>
                </c:pt>
                <c:pt idx="89">
                  <c:v>822.8987615597109</c:v>
                </c:pt>
                <c:pt idx="90">
                  <c:v>799.3530465257882</c:v>
                </c:pt>
                <c:pt idx="91">
                  <c:v>776.021326811133</c:v>
                </c:pt>
                <c:pt idx="92">
                  <c:v>750.0348628533561</c:v>
                </c:pt>
                <c:pt idx="93">
                  <c:v>727.1747453672517</c:v>
                </c:pt>
                <c:pt idx="94">
                  <c:v>704.5466168692386</c:v>
                </c:pt>
                <c:pt idx="95">
                  <c:v>679.3773518856626</c:v>
                </c:pt>
                <c:pt idx="96">
                  <c:v>657.2706885164247</c:v>
                </c:pt>
                <c:pt idx="97">
                  <c:v>635.426085871894</c:v>
                </c:pt>
                <c:pt idx="98">
                  <c:v>611.1806207136659</c:v>
                </c:pt>
                <c:pt idx="99">
                  <c:v>589.9393087491328</c:v>
                </c:pt>
                <c:pt idx="100">
                  <c:v>569.0088081002975</c:v>
                </c:pt>
                <c:pt idx="101">
                  <c:v>545.8599335087318</c:v>
                </c:pt>
                <c:pt idx="102">
                  <c:v>525.6642714445533</c:v>
                </c:pt>
                <c:pt idx="103">
                  <c:v>505.85734229616077</c:v>
                </c:pt>
                <c:pt idx="104">
                  <c:v>484.08118424505756</c:v>
                </c:pt>
                <c:pt idx="105">
                  <c:v>465.21831918360385</c:v>
                </c:pt>
                <c:pt idx="106">
                  <c:v>446.86749403358624</c:v>
                </c:pt>
                <c:pt idx="107">
                  <c:v>426.90066876687405</c:v>
                </c:pt>
                <c:pt idx="108">
                  <c:v>409.8223646341818</c:v>
                </c:pt>
                <c:pt idx="109">
                  <c:v>393.44746490213646</c:v>
                </c:pt>
                <c:pt idx="110">
                  <c:v>375.9660695790947</c:v>
                </c:pt>
                <c:pt idx="111">
                  <c:v>361.3628330842782</c:v>
                </c:pt>
                <c:pt idx="112">
                  <c:v>347.7451277079186</c:v>
                </c:pt>
                <c:pt idx="113">
                  <c:v>333.7408733876195</c:v>
                </c:pt>
                <c:pt idx="114">
                  <c:v>322.5932252064959</c:v>
                </c:pt>
                <c:pt idx="115">
                  <c:v>312.798084448728</c:v>
                </c:pt>
                <c:pt idx="116">
                  <c:v>303.54886988121996</c:v>
                </c:pt>
                <c:pt idx="117">
                  <c:v>297.0306183683265</c:v>
                </c:pt>
                <c:pt idx="118">
                  <c:v>292.2232293769202</c:v>
                </c:pt>
                <c:pt idx="119">
                  <c:v>288.96093772220826</c:v>
                </c:pt>
                <c:pt idx="120">
                  <c:v>288.0264897465142</c:v>
                </c:pt>
                <c:pt idx="121">
                  <c:v>288.96093772220826</c:v>
                </c:pt>
                <c:pt idx="122">
                  <c:v>292.2232293769202</c:v>
                </c:pt>
                <c:pt idx="123">
                  <c:v>297.0306183683265</c:v>
                </c:pt>
                <c:pt idx="124">
                  <c:v>303.54886988121996</c:v>
                </c:pt>
                <c:pt idx="125">
                  <c:v>312.798084448728</c:v>
                </c:pt>
                <c:pt idx="126">
                  <c:v>322.5932252064959</c:v>
                </c:pt>
                <c:pt idx="127">
                  <c:v>333.7408733876195</c:v>
                </c:pt>
                <c:pt idx="128">
                  <c:v>347.7451277079186</c:v>
                </c:pt>
                <c:pt idx="129">
                  <c:v>361.3628330842782</c:v>
                </c:pt>
                <c:pt idx="130">
                  <c:v>375.9660695790947</c:v>
                </c:pt>
                <c:pt idx="131">
                  <c:v>393.44746490213646</c:v>
                </c:pt>
                <c:pt idx="132">
                  <c:v>409.8223646341818</c:v>
                </c:pt>
                <c:pt idx="133">
                  <c:v>426.90066876687405</c:v>
                </c:pt>
                <c:pt idx="134">
                  <c:v>446.86749403358624</c:v>
                </c:pt>
                <c:pt idx="135">
                  <c:v>465.21831918360385</c:v>
                </c:pt>
                <c:pt idx="136">
                  <c:v>484.08118424505756</c:v>
                </c:pt>
                <c:pt idx="137">
                  <c:v>505.85734229616077</c:v>
                </c:pt>
                <c:pt idx="138">
                  <c:v>525.6642714445533</c:v>
                </c:pt>
                <c:pt idx="139">
                  <c:v>545.8599335087318</c:v>
                </c:pt>
                <c:pt idx="140">
                  <c:v>569.0088081002975</c:v>
                </c:pt>
                <c:pt idx="141">
                  <c:v>589.9393087491328</c:v>
                </c:pt>
                <c:pt idx="142">
                  <c:v>611.1806207136659</c:v>
                </c:pt>
                <c:pt idx="143">
                  <c:v>635.426085871894</c:v>
                </c:pt>
                <c:pt idx="144">
                  <c:v>657.2706885164247</c:v>
                </c:pt>
                <c:pt idx="145">
                  <c:v>679.3773518856626</c:v>
                </c:pt>
                <c:pt idx="146">
                  <c:v>704.5466168692386</c:v>
                </c:pt>
                <c:pt idx="147">
                  <c:v>727.1747453672517</c:v>
                </c:pt>
                <c:pt idx="148">
                  <c:v>750.0348628533561</c:v>
                </c:pt>
                <c:pt idx="149">
                  <c:v>776.021326811133</c:v>
                </c:pt>
                <c:pt idx="150">
                  <c:v>799.3530465257882</c:v>
                </c:pt>
                <c:pt idx="151">
                  <c:v>822.8987615597109</c:v>
                </c:pt>
                <c:pt idx="152">
                  <c:v>849.6386115770032</c:v>
                </c:pt>
                <c:pt idx="153">
                  <c:v>873.6268737519348</c:v>
                </c:pt>
                <c:pt idx="154">
                  <c:v>897.8190596262613</c:v>
                </c:pt>
                <c:pt idx="155">
                  <c:v>925.2765339546444</c:v>
                </c:pt>
                <c:pt idx="156">
                  <c:v>949.8959568514337</c:v>
                </c:pt>
                <c:pt idx="157">
                  <c:v>974.7145021127182</c:v>
                </c:pt>
                <c:pt idx="158">
                  <c:v>1002.8724909144175</c:v>
                </c:pt>
                <c:pt idx="159">
                  <c:v>1028.1121624339564</c:v>
                </c:pt>
                <c:pt idx="160">
                  <c:v>1053.5497018470367</c:v>
                </c:pt>
                <c:pt idx="161">
                  <c:v>1082.4036420950645</c:v>
                </c:pt>
                <c:pt idx="162">
                  <c:v>1108.2624133501783</c:v>
                </c:pt>
                <c:pt idx="163">
                  <c:v>1134.320202233334</c:v>
                </c:pt>
                <c:pt idx="164">
                  <c:v>1163.87403253476</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1921.881554297467</c:v>
                </c:pt>
                <c:pt idx="190">
                  <c:v>1954.1154016181265</c:v>
                </c:pt>
                <c:pt idx="191">
                  <c:v>1990.6704964522148</c:v>
                </c:pt>
                <c:pt idx="192">
                  <c:v>2023.4253433638573</c:v>
                </c:pt>
                <c:pt idx="193">
                  <c:v>2056.4279743959246</c:v>
                </c:pt>
                <c:pt idx="194">
                  <c:v>2093.854163760291</c:v>
                </c:pt>
                <c:pt idx="195">
                  <c:v>2127.3887833117165</c:v>
                </c:pt>
                <c:pt idx="196">
                  <c:v>2161.1762766414804</c:v>
                </c:pt>
                <c:pt idx="197">
                  <c:v>2199.4914513372773</c:v>
                </c:pt>
                <c:pt idx="198">
                  <c:v>2233.821564177517</c:v>
                </c:pt>
                <c:pt idx="199">
                  <c:v>2268.4094634231324</c:v>
                </c:pt>
                <c:pt idx="200">
                  <c:v>2307.6308927499517</c:v>
                </c:pt>
                <c:pt idx="201">
                  <c:v>2342.7716518918514</c:v>
                </c:pt>
                <c:pt idx="202">
                  <c:v>2378.1749207105045</c:v>
                </c:pt>
                <c:pt idx="203">
                  <c:v>2418.3192089337513</c:v>
                </c:pt>
                <c:pt idx="204">
                  <c:v>2454.285166823356</c:v>
                </c:pt>
                <c:pt idx="205">
                  <c:v>2490.518160948682</c:v>
                </c:pt>
                <c:pt idx="206">
                  <c:v>2531.601221281773</c:v>
                </c:pt>
                <c:pt idx="207">
                  <c:v>2568.4063111009086</c:v>
                </c:pt>
                <c:pt idx="208">
                  <c:v>2605.4827634648645</c:v>
                </c:pt>
                <c:pt idx="209">
                  <c:v>2647.519805513155</c:v>
                </c:pt>
                <c:pt idx="210">
                  <c:v>2685.177333423242</c:v>
                </c:pt>
                <c:pt idx="211">
                  <c:v>2723.110349333624</c:v>
                </c:pt>
                <c:pt idx="212">
                  <c:v>2766.1158768793084</c:v>
                </c:pt>
                <c:pt idx="213">
                  <c:v>2804.638522662561</c:v>
                </c:pt>
                <c:pt idx="214">
                  <c:v>2843.440582690019</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c:v>
                </c:pt>
                <c:pt idx="223">
                  <c:v>3221.015010080671</c:v>
                </c:pt>
                <c:pt idx="224">
                  <c:v>3268.0257165997627</c:v>
                </c:pt>
                <c:pt idx="225">
                  <c:v>3310.123444717516</c:v>
                </c:pt>
                <c:pt idx="226">
                  <c:v>3352.5143841718163</c:v>
                </c:pt>
                <c:pt idx="227">
                  <c:v>3400.5558883978983</c:v>
                </c:pt>
                <c:pt idx="228">
                  <c:v>3443.5731304663896</c:v>
                </c:pt>
                <c:pt idx="229">
                  <c:v>3486.8865852502836</c:v>
                </c:pt>
                <c:pt idx="230">
                  <c:v>3535.9694398561164</c:v>
                </c:pt>
                <c:pt idx="231">
                  <c:v>3579.915397473851</c:v>
                </c:pt>
                <c:pt idx="232">
                  <c:v>3624.160403492118</c:v>
                </c:pt>
                <c:pt idx="233">
                  <c:v>3674.294578654452</c:v>
                </c:pt>
                <c:pt idx="234">
                  <c:v>3719.1779432130656</c:v>
                </c:pt>
                <c:pt idx="235">
                  <c:v>3764.3630333251954</c:v>
                </c:pt>
                <c:pt idx="236">
                  <c:v>3815.557941887678</c:v>
                </c:pt>
                <c:pt idx="237">
                  <c:v>3861.3869170271155</c:v>
                </c:pt>
                <c:pt idx="238">
                  <c:v>3907.520143552331</c:v>
                </c:pt>
                <c:pt idx="239">
                  <c:v>3959.784666367032</c:v>
                </c:pt>
                <c:pt idx="240">
                  <c:v>4006.5669904921833</c:v>
                </c:pt>
              </c:numCache>
            </c:numRef>
          </c:yVal>
        </c:ser>
        <c:ser>
          <c:idx val="2"/>
          <c:order val="2"/>
          <c:tx>
            <c:v>Paper ice-ocean 35 km / 1600 km pass</c:v>
          </c:tx>
          <c:spPr>
            <a:ln xmlns:a="http://schemas.openxmlformats.org/drawingml/2006/main" w="19050">
              <a:solidFill>
                <a:srgbClr val="16A34A"/>
              </a:solidFill>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Native_Chart_Data!$F$1473:$F$1713</c:f>
              <c:numCache>
                <c:formatCode>General</c:formatCode>
                <c:ptCount val="241"/>
                <c:pt idx="0">
                  <c:v>9500.98992327336</c:v>
                </c:pt>
                <c:pt idx="1">
                  <c:v>9376.948806056143</c:v>
                </c:pt>
                <c:pt idx="2">
                  <c:v>9238.487402839646</c:v>
                </c:pt>
                <c:pt idx="3">
                  <c:v>9116.373900783714</c:v>
                </c:pt>
                <c:pt idx="4">
                  <c:v>8995.166044528318</c:v>
                </c:pt>
                <c:pt idx="5">
                  <c:v>8859.888506354831</c:v>
                </c:pt>
                <c:pt idx="6">
                  <c:v>8740.601827631473</c:v>
                </c:pt>
                <c:pt idx="7">
                  <c:v>8622.217592392886</c:v>
                </c:pt>
                <c:pt idx="8">
                  <c:v>8490.112657175801</c:v>
                </c:pt>
                <c:pt idx="9">
                  <c:v>8373.64240992586</c:v>
                </c:pt>
                <c:pt idx="10">
                  <c:v>8258.071035157735</c:v>
                </c:pt>
                <c:pt idx="11">
                  <c:v>8129.126144290872</c:v>
                </c:pt>
                <c:pt idx="12">
                  <c:v>8015.460751408424</c:v>
                </c:pt>
                <c:pt idx="13">
                  <c:v>7902.69025957073</c:v>
                </c:pt>
                <c:pt idx="14">
                  <c:v>7776.8914462931525</c:v>
                </c:pt>
                <c:pt idx="15">
                  <c:v>7666.018043289701</c:v>
                </c:pt>
                <c:pt idx="16">
                  <c:v>7556.035134917943</c:v>
                </c:pt>
                <c:pt idx="17">
                  <c:v>7433.366902852947</c:v>
                </c:pt>
                <c:pt idx="18">
                  <c:v>7325.2712267935</c:v>
                </c:pt>
                <c:pt idx="19">
                  <c:v>7218.061166458944</c:v>
                </c:pt>
                <c:pt idx="20">
                  <c:v>7098.506357692575</c:v>
                </c:pt>
                <c:pt idx="21">
                  <c:v>6993.172626647848</c:v>
                </c:pt>
                <c:pt idx="22">
                  <c:v>6888.7191192634255</c:v>
                </c:pt>
                <c:pt idx="23">
                  <c:v>6772.258771364358</c:v>
                </c:pt>
                <c:pt idx="24">
                  <c:v>6669.6695538641015</c:v>
                </c:pt>
                <c:pt idx="25">
                  <c:v>6567.954610839783</c:v>
                </c:pt>
                <c:pt idx="26">
                  <c:v>6454.567802288767</c:v>
                </c:pt>
                <c:pt idx="27">
                  <c:v>6354.703876330992</c:v>
                </c:pt>
                <c:pt idx="28">
                  <c:v>6255.7076711632635</c:v>
                </c:pt>
                <c:pt idx="29">
                  <c:v>6145.371354766009</c:v>
                </c:pt>
                <c:pt idx="30">
                  <c:v>6048.211556044975</c:v>
                </c:pt>
                <c:pt idx="31">
                  <c:v>5951.912269047644</c:v>
                </c:pt>
                <c:pt idx="32">
                  <c:v>5844.601093061466</c:v>
                </c:pt>
                <c:pt idx="33">
                  <c:v>5750.1221522344285</c:v>
                </c:pt>
                <c:pt idx="34">
                  <c:v>5656.495804293952</c:v>
                </c:pt>
                <c:pt idx="35">
                  <c:v>5552.181921221136</c:v>
                </c:pt>
                <c:pt idx="36">
                  <c:v>5460.3582902555545</c:v>
                </c:pt>
                <c:pt idx="37">
                  <c:v>5369.3785657395565</c:v>
                </c:pt>
                <c:pt idx="38">
                  <c:v>5268.031429047745</c:v>
                </c:pt>
                <c:pt idx="39">
                  <c:v>5178.835096993912</c:v>
                </c:pt>
                <c:pt idx="40">
                  <c:v>5090.473156276304</c:v>
                </c:pt>
                <c:pt idx="41">
                  <c:v>4992.059305723048</c:v>
                </c:pt>
                <c:pt idx="42">
                  <c:v>4905.459604666784</c:v>
                </c:pt>
                <c:pt idx="43">
                  <c:v>4819.683887182145</c:v>
                </c:pt>
                <c:pt idx="44">
                  <c:v>4724.166723978402</c:v>
                </c:pt>
                <c:pt idx="45">
                  <c:v>4640.130126474501</c:v>
                </c:pt>
                <c:pt idx="46">
                  <c:v>4556.9061458124115</c:v>
                </c:pt>
                <c:pt idx="47">
                  <c:v>4464.245699599919</c:v>
                </c:pt>
                <c:pt idx="48">
                  <c:v>4382.735609610576</c:v>
                </c:pt>
                <c:pt idx="49">
                  <c:v>4302.025742951585</c:v>
                </c:pt>
                <c:pt idx="50">
                  <c:v>4212.178433547609</c:v>
                </c:pt>
                <c:pt idx="51">
                  <c:v>4133.154973866361</c:v>
                </c:pt>
                <c:pt idx="52">
                  <c:v>4054.9182491071806</c:v>
                </c:pt>
                <c:pt idx="53">
                  <c:v>3967.8366472645534</c:v>
                </c:pt>
                <c:pt idx="54">
                  <c:v>3891.256447672386</c:v>
                </c:pt>
                <c:pt idx="55">
                  <c:v>3815.4483329742607</c:v>
                </c:pt>
                <c:pt idx="56">
                  <c:v>3731.0809261239974</c:v>
                </c:pt>
                <c:pt idx="57">
                  <c:v>3656.896918210815</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c:v>
                </c:pt>
                <c:pt idx="68">
                  <c:v>2856.707437171217</c:v>
                </c:pt>
                <c:pt idx="69">
                  <c:v>2791.557552752647</c:v>
                </c:pt>
                <c:pt idx="70">
                  <c:v>2727.0872248769224</c:v>
                </c:pt>
                <c:pt idx="71">
                  <c:v>2655.3615925812765</c:v>
                </c:pt>
                <c:pt idx="72">
                  <c:v>2592.311715433615</c:v>
                </c:pt>
                <c:pt idx="73">
                  <c:v>2529.918895127145</c:v>
                </c:pt>
                <c:pt idx="74">
                  <c:v>2460.503062399682</c:v>
                </c:pt>
                <c:pt idx="75">
                  <c:v>2399.4815554213374</c:v>
                </c:pt>
                <c:pt idx="76">
                  <c:v>2339.0933871403463</c:v>
                </c:pt>
                <c:pt idx="77">
                  <c:v>2271.9039940577863</c:v>
                </c:pt>
                <c:pt idx="78">
                  <c:v>2212.8355811384035</c:v>
                </c:pt>
                <c:pt idx="79">
                  <c:v>2154.375751929062</c:v>
                </c:pt>
                <c:pt idx="80">
                  <c:v>2089.3258107719435</c:v>
                </c:pt>
                <c:pt idx="81">
                  <c:v>2032.132269523135</c:v>
                </c:pt>
                <c:pt idx="82">
                  <c:v>1975.5218318440923</c:v>
                </c:pt>
                <c:pt idx="83">
                  <c:v>1912.5218325119242</c:v>
                </c:pt>
                <c:pt idx="84">
                  <c:v>1857.1231620816707</c:v>
                </c:pt>
                <c:pt idx="85">
                  <c:v>1802.2819043727304</c:v>
                </c:pt>
                <c:pt idx="86">
                  <c:v>1741.2416393615815</c:v>
                </c:pt>
                <c:pt idx="87">
                  <c:v>1687.557977658393</c:v>
                </c:pt>
                <c:pt idx="88">
                  <c:v>1634.406668398929</c:v>
                </c:pt>
                <c:pt idx="89">
                  <c:v>1575.2382195812656</c:v>
                </c:pt>
                <c:pt idx="90">
                  <c:v>1523.1929864371127</c:v>
                </c:pt>
                <c:pt idx="91">
                  <c:v>1471.657065923119</c:v>
                </c:pt>
                <c:pt idx="92">
                  <c:v>1414.279745381553</c:v>
                </c:pt>
                <c:pt idx="93">
                  <c:v>1363.804879466073</c:v>
                </c:pt>
                <c:pt idx="94">
                  <c:v>1313.820661862484</c:v>
                </c:pt>
                <c:pt idx="95">
                  <c:v>1258.1693986938863</c:v>
                </c:pt>
                <c:pt idx="96">
                  <c:v>1209.2143519498034</c:v>
                </c:pt>
                <c:pt idx="97">
                  <c:v>1160.7398106982935</c:v>
                </c:pt>
                <c:pt idx="98">
                  <c:v>1106.77995128393</c:v>
                </c:pt>
                <c:pt idx="99">
                  <c:v>1059.3278163208254</c:v>
                </c:pt>
                <c:pt idx="100">
                  <c:v>1012.362240937457</c:v>
                </c:pt>
                <c:pt idx="101">
                  <c:v>960.117033428206</c:v>
                </c:pt>
                <c:pt idx="102">
                  <c:v>914.2150944754102</c:v>
                </c:pt>
                <c:pt idx="103">
                  <c:v>868.8370802822063</c:v>
                </c:pt>
                <c:pt idx="104">
                  <c:v>818.4420076699244</c:v>
                </c:pt>
                <c:pt idx="105">
                  <c:v>774.2635773636083</c:v>
                </c:pt>
                <c:pt idx="106">
                  <c:v>730.7097325562099</c:v>
                </c:pt>
                <c:pt idx="107">
                  <c:v>682.5280213875686</c:v>
                </c:pt>
                <c:pt idx="108">
                  <c:v>640.5073835750494</c:v>
                </c:pt>
                <c:pt idx="109">
                  <c:v>599.3484103990154</c:v>
                </c:pt>
                <c:pt idx="110">
                  <c:v>554.2362316751039</c:v>
                </c:pt>
                <c:pt idx="111">
                  <c:v>515.385935947316</c:v>
                </c:pt>
                <c:pt idx="112">
                  <c:v>477.9486297496659</c:v>
                </c:pt>
                <c:pt idx="113">
                  <c:v>437.8992973190349</c:v>
                </c:pt>
                <c:pt idx="114">
                  <c:v>404.5820446556752</c:v>
                </c:pt>
                <c:pt idx="115">
                  <c:v>373.95808704286753</c:v>
                </c:pt>
                <c:pt idx="116">
                  <c:v>343.5612623013572</c:v>
                </c:pt>
                <c:pt idx="117">
                  <c:v>321.0492876738631</c:v>
                </c:pt>
                <c:pt idx="118">
                  <c:v>303.73346224026676</c:v>
                </c:pt>
                <c:pt idx="119">
                  <c:v>291.57635730626026</c:v>
                </c:pt>
                <c:pt idx="120">
                  <c:v>288.0264897465142</c:v>
                </c:pt>
                <c:pt idx="121">
                  <c:v>291.57635730626026</c:v>
                </c:pt>
                <c:pt idx="122">
                  <c:v>303.73346224026676</c:v>
                </c:pt>
                <c:pt idx="123">
                  <c:v>321.0492876738631</c:v>
                </c:pt>
                <c:pt idx="124">
                  <c:v>343.5612623013572</c:v>
                </c:pt>
                <c:pt idx="125">
                  <c:v>373.95808704286753</c:v>
                </c:pt>
                <c:pt idx="126">
                  <c:v>404.5820446556752</c:v>
                </c:pt>
                <c:pt idx="127">
                  <c:v>437.8992973190349</c:v>
                </c:pt>
                <c:pt idx="128">
                  <c:v>477.9486297496659</c:v>
                </c:pt>
                <c:pt idx="129">
                  <c:v>515.385935947316</c:v>
                </c:pt>
                <c:pt idx="130">
                  <c:v>554.2362316751039</c:v>
                </c:pt>
                <c:pt idx="131">
                  <c:v>599.3484103990154</c:v>
                </c:pt>
                <c:pt idx="132">
                  <c:v>640.5073835750494</c:v>
                </c:pt>
                <c:pt idx="133">
                  <c:v>682.5280213875686</c:v>
                </c:pt>
                <c:pt idx="134">
                  <c:v>730.7097325562099</c:v>
                </c:pt>
                <c:pt idx="135">
                  <c:v>774.2635773636083</c:v>
                </c:pt>
                <c:pt idx="136">
                  <c:v>818.4420076699244</c:v>
                </c:pt>
                <c:pt idx="137">
                  <c:v>868.8370802821825</c:v>
                </c:pt>
                <c:pt idx="138">
                  <c:v>914.2150944753647</c:v>
                </c:pt>
                <c:pt idx="139">
                  <c:v>960.117033428206</c:v>
                </c:pt>
                <c:pt idx="140">
                  <c:v>1012.362240937457</c:v>
                </c:pt>
                <c:pt idx="141">
                  <c:v>1059.3278163208254</c:v>
                </c:pt>
                <c:pt idx="142">
                  <c:v>1106.77995128393</c:v>
                </c:pt>
                <c:pt idx="143">
                  <c:v>1160.7398106982935</c:v>
                </c:pt>
                <c:pt idx="144">
                  <c:v>1209.2143519498034</c:v>
                </c:pt>
                <c:pt idx="145">
                  <c:v>1258.1693986938863</c:v>
                </c:pt>
                <c:pt idx="146">
                  <c:v>1313.820661862484</c:v>
                </c:pt>
                <c:pt idx="147">
                  <c:v>1363.804879466073</c:v>
                </c:pt>
                <c:pt idx="148">
                  <c:v>1414.279745381553</c:v>
                </c:pt>
                <c:pt idx="149">
                  <c:v>1471.657065923119</c:v>
                </c:pt>
                <c:pt idx="150">
                  <c:v>1523.1929864371127</c:v>
                </c:pt>
                <c:pt idx="151">
                  <c:v>1575.2382195812656</c:v>
                </c:pt>
                <c:pt idx="152">
                  <c:v>1634.406668398929</c:v>
                </c:pt>
                <c:pt idx="153">
                  <c:v>1687.557977658393</c:v>
                </c:pt>
                <c:pt idx="154">
                  <c:v>1741.2416393615815</c:v>
                </c:pt>
                <c:pt idx="155">
                  <c:v>1802.2819043727418</c:v>
                </c:pt>
                <c:pt idx="156">
                  <c:v>1857.1231620816707</c:v>
                </c:pt>
                <c:pt idx="157">
                  <c:v>1912.5218325119242</c:v>
                </c:pt>
                <c:pt idx="158">
                  <c:v>1975.5218318440923</c:v>
                </c:pt>
                <c:pt idx="159">
                  <c:v>2032.132269523135</c:v>
                </c:pt>
                <c:pt idx="160">
                  <c:v>2089.3258107719435</c:v>
                </c:pt>
                <c:pt idx="161">
                  <c:v>2154.375751929062</c:v>
                </c:pt>
                <c:pt idx="162">
                  <c:v>2212.8355811384035</c:v>
                </c:pt>
                <c:pt idx="163">
                  <c:v>2271.9039940577863</c:v>
                </c:pt>
                <c:pt idx="164">
                  <c:v>2339.0933871403463</c:v>
                </c:pt>
                <c:pt idx="165">
                  <c:v>2399.4815554213374</c:v>
                </c:pt>
                <c:pt idx="166">
                  <c:v>2460.503062399682</c:v>
                </c:pt>
                <c:pt idx="167">
                  <c:v>2529.918895127145</c:v>
                </c:pt>
                <c:pt idx="168">
                  <c:v>2592.311715433615</c:v>
                </c:pt>
                <c:pt idx="169">
                  <c:v>2655.3615925812765</c:v>
                </c:pt>
                <c:pt idx="170">
                  <c:v>2727.0872248769224</c:v>
                </c:pt>
                <c:pt idx="171">
                  <c:v>2791.557552752647</c:v>
                </c:pt>
                <c:pt idx="172">
                  <c:v>2856.707437171217</c:v>
                </c:pt>
                <c:pt idx="173">
                  <c:v>2930.821956828647</c:v>
                </c:pt>
                <c:pt idx="174">
                  <c:v>2997.4387220817075</c:v>
                </c:pt>
                <c:pt idx="175">
                  <c:v>3064.756229239328</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3656.896918210815</c:v>
                </c:pt>
                <c:pt idx="184">
                  <c:v>3731.0809261239924</c:v>
                </c:pt>
                <c:pt idx="185">
                  <c:v>3815.4483329742607</c:v>
                </c:pt>
                <c:pt idx="186">
                  <c:v>3891.256447672386</c:v>
                </c:pt>
                <c:pt idx="187">
                  <c:v>3967.8366472645534</c:v>
                </c:pt>
                <c:pt idx="188">
                  <c:v>4054.918249107175</c:v>
                </c:pt>
                <c:pt idx="189">
                  <c:v>4133.154973866361</c:v>
                </c:pt>
                <c:pt idx="190">
                  <c:v>4212.178433547609</c:v>
                </c:pt>
                <c:pt idx="191">
                  <c:v>4302.02574295159</c:v>
                </c:pt>
                <c:pt idx="192">
                  <c:v>4382.735609610576</c:v>
                </c:pt>
                <c:pt idx="193">
                  <c:v>4464.245699599919</c:v>
                </c:pt>
                <c:pt idx="194">
                  <c:v>4556.906145812415</c:v>
                </c:pt>
                <c:pt idx="195">
                  <c:v>4640.130126474501</c:v>
                </c:pt>
                <c:pt idx="196">
                  <c:v>4724.1667239784065</c:v>
                </c:pt>
                <c:pt idx="197">
                  <c:v>4819.683887182147</c:v>
                </c:pt>
                <c:pt idx="198">
                  <c:v>4905.459604666784</c:v>
                </c:pt>
                <c:pt idx="199">
                  <c:v>4992.0593057230435</c:v>
                </c:pt>
                <c:pt idx="200">
                  <c:v>5090.473156276304</c:v>
                </c:pt>
                <c:pt idx="201">
                  <c:v>5178.835096993912</c:v>
                </c:pt>
                <c:pt idx="202">
                  <c:v>5268.031429047745</c:v>
                </c:pt>
                <c:pt idx="203">
                  <c:v>5369.3785657395565</c:v>
                </c:pt>
                <c:pt idx="204">
                  <c:v>5460.3582902555545</c:v>
                </c:pt>
                <c:pt idx="205">
                  <c:v>5552.181921221128</c:v>
                </c:pt>
                <c:pt idx="206">
                  <c:v>5656.495804293952</c:v>
                </c:pt>
                <c:pt idx="207">
                  <c:v>5750.1221522344285</c:v>
                </c:pt>
                <c:pt idx="208">
                  <c:v>5844.601093061466</c:v>
                </c:pt>
                <c:pt idx="209">
                  <c:v>5951.912269047644</c:v>
                </c:pt>
                <c:pt idx="210">
                  <c:v>6048.211556044975</c:v>
                </c:pt>
                <c:pt idx="211">
                  <c:v>6145.371354766013</c:v>
                </c:pt>
                <c:pt idx="212">
                  <c:v>6255.7076711632635</c:v>
                </c:pt>
                <c:pt idx="213">
                  <c:v>6354.703876330992</c:v>
                </c:pt>
                <c:pt idx="214">
                  <c:v>6454.567802288764</c:v>
                </c:pt>
                <c:pt idx="215">
                  <c:v>6567.954610839783</c:v>
                </c:pt>
                <c:pt idx="216">
                  <c:v>6669.6695538641015</c:v>
                </c:pt>
                <c:pt idx="217">
                  <c:v>6772.258771364358</c:v>
                </c:pt>
                <c:pt idx="218">
                  <c:v>6888.7191192634255</c:v>
                </c:pt>
                <c:pt idx="219">
                  <c:v>6993.172626647848</c:v>
                </c:pt>
                <c:pt idx="220">
                  <c:v>7098.5063576925695</c:v>
                </c:pt>
                <c:pt idx="221">
                  <c:v>7218.061166458944</c:v>
                </c:pt>
                <c:pt idx="222">
                  <c:v>7325.2712267935</c:v>
                </c:pt>
                <c:pt idx="223">
                  <c:v>7433.366902852947</c:v>
                </c:pt>
                <c:pt idx="224">
                  <c:v>7556.035134917943</c:v>
                </c:pt>
                <c:pt idx="225">
                  <c:v>7666.018043289701</c:v>
                </c:pt>
                <c:pt idx="226">
                  <c:v>7776.891446293156</c:v>
                </c:pt>
                <c:pt idx="227">
                  <c:v>7902.690259570726</c:v>
                </c:pt>
                <c:pt idx="228">
                  <c:v>8015.460751408424</c:v>
                </c:pt>
                <c:pt idx="229">
                  <c:v>8129.12614429087</c:v>
                </c:pt>
                <c:pt idx="230">
                  <c:v>8258.071035157735</c:v>
                </c:pt>
                <c:pt idx="231">
                  <c:v>8373.64240992586</c:v>
                </c:pt>
                <c:pt idx="232">
                  <c:v>8490.112657175801</c:v>
                </c:pt>
                <c:pt idx="233">
                  <c:v>8622.217592392886</c:v>
                </c:pt>
                <c:pt idx="234">
                  <c:v>8740.601827631473</c:v>
                </c:pt>
                <c:pt idx="235">
                  <c:v>8859.888506354831</c:v>
                </c:pt>
                <c:pt idx="236">
                  <c:v>8995.16604452832</c:v>
                </c:pt>
                <c:pt idx="237">
                  <c:v>9116.373900783714</c:v>
                </c:pt>
                <c:pt idx="238">
                  <c:v>9238.487402839648</c:v>
                </c:pt>
                <c:pt idx="239">
                  <c:v>9376.948806056138</c:v>
                </c:pt>
                <c:pt idx="240">
                  <c:v>9500.98992327336</c:v>
                </c:pt>
              </c:numCache>
            </c:numRef>
          </c:yVal>
        </c:ser>
        <c:ser>
          <c:idx val="3"/>
          <c:order val="3"/>
          <c:tx>
            <c:v>Operating 25 km / 1600 km pass</c:v>
          </c:tx>
          <c:spPr>
            <a:ln xmlns:a="http://schemas.openxmlformats.org/drawingml/2006/main" w="19050">
              <a:solidFill>
                <a:srgbClr val="7C3AED"/>
              </a:solidFill>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Native_Chart_Data!$H$1473:$H$1713</c:f>
              <c:numCache>
                <c:formatCode>General</c:formatCode>
                <c:ptCount val="241"/>
                <c:pt idx="0">
                  <c:v>9500.98992327336</c:v>
                </c:pt>
                <c:pt idx="1">
                  <c:v>9376.054593495282</c:v>
                </c:pt>
                <c:pt idx="2">
                  <c:v>9236.601004281432</c:v>
                </c:pt>
                <c:pt idx="3">
                  <c:v>9113.617881954191</c:v>
                </c:pt>
                <c:pt idx="4">
                  <c:v>8991.55205433549</c:v>
                </c:pt>
                <c:pt idx="5">
                  <c:v>8855.323284209488</c:v>
                </c:pt>
                <c:pt idx="6">
                  <c:v>8735.203553435682</c:v>
                </c:pt>
                <c:pt idx="7">
                  <c:v>8615.998072070657</c:v>
                </c:pt>
                <c:pt idx="8">
                  <c:v>8482.983410922227</c:v>
                </c:pt>
                <c:pt idx="9">
                  <c:v>8365.717177007828</c:v>
                </c:pt>
                <c:pt idx="10">
                  <c:v>8249.361784554472</c:v>
                </c:pt>
                <c:pt idx="11">
                  <c:v>8119.549246965398</c:v>
                </c:pt>
                <c:pt idx="12">
                  <c:v>8005.125448461821</c:v>
                </c:pt>
                <c:pt idx="13">
                  <c:v>7891.608688682572</c:v>
                </c:pt>
                <c:pt idx="14">
                  <c:v>7764.984900901367</c:v>
                </c:pt>
                <c:pt idx="15">
                  <c:v>7653.39120605297</c:v>
                </c:pt>
                <c:pt idx="16">
                  <c:v>7542.700317284668</c:v>
                </c:pt>
                <c:pt idx="17">
                  <c:v>7419.25039373271</c:v>
                </c:pt>
                <c:pt idx="18">
                  <c:v>7310.473087383565</c:v>
                </c:pt>
                <c:pt idx="19">
                  <c:v>7202.593886244597</c:v>
                </c:pt>
                <c:pt idx="20">
                  <c:v>7082.301294774013</c:v>
                </c:pt>
                <c:pt idx="21">
                  <c:v>6976.325155041407</c:v>
                </c:pt>
                <c:pt idx="22">
                  <c:v>6871.241909686075</c:v>
                </c:pt>
                <c:pt idx="23">
                  <c:v>6754.08832481869</c:v>
                </c:pt>
                <c:pt idx="24">
                  <c:v>6650.89648885563</c:v>
                </c:pt>
                <c:pt idx="25">
                  <c:v>6548.591781107728</c:v>
                </c:pt>
                <c:pt idx="26">
                  <c:v>6434.556924518235</c:v>
                </c:pt>
                <c:pt idx="27">
                  <c:v>6334.130742726853</c:v>
                </c:pt>
                <c:pt idx="28">
                  <c:v>6234.585318473166</c:v>
                </c:pt>
                <c:pt idx="29">
                  <c:v>6123.646786047526</c:v>
                </c:pt>
                <c:pt idx="30">
                  <c:v>6025.965664177064</c:v>
                </c:pt>
                <c:pt idx="31">
                  <c:v>5929.158271486265</c:v>
                </c:pt>
                <c:pt idx="32">
                  <c:v>5821.291346397364</c:v>
                </c:pt>
                <c:pt idx="33">
                  <c:v>5726.332575075653</c:v>
                </c:pt>
                <c:pt idx="34">
                  <c:v>5632.239789639228</c:v>
                </c:pt>
                <c:pt idx="35">
                  <c:v>5527.417241051008</c:v>
                </c:pt>
                <c:pt idx="36">
                  <c:v>5435.1558124688245</c:v>
                </c:pt>
                <c:pt idx="37">
                  <c:v>5343.751850152343</c:v>
                </c:pt>
                <c:pt idx="38">
                  <c:v>5241.943717406506</c:v>
                </c:pt>
                <c:pt idx="39">
                  <c:v>5152.352129116699</c:v>
                </c:pt>
                <c:pt idx="40">
                  <c:v>5063.608645679319</c:v>
                </c:pt>
                <c:pt idx="41">
                  <c:v>4964.782008157169</c:v>
                </c:pt>
                <c:pt idx="42">
                  <c:v>4877.830054285296</c:v>
                </c:pt>
                <c:pt idx="43">
                  <c:v>4791.715932694854</c:v>
                </c:pt>
                <c:pt idx="44">
                  <c:v>4695.834666007484</c:v>
                </c:pt>
                <c:pt idx="45">
                  <c:v>4611.489216623593</c:v>
                </c:pt>
                <c:pt idx="46">
                  <c:v>4527.970342892101</c:v>
                </c:pt>
                <c:pt idx="47">
                  <c:v>4434.994862669753</c:v>
                </c:pt>
                <c:pt idx="48">
                  <c:v>4353.219632675859</c:v>
                </c:pt>
                <c:pt idx="49">
                  <c:v>4272.2586618025425</c:v>
                </c:pt>
                <c:pt idx="50">
                  <c:v>4182.145657173544</c:v>
                </c:pt>
                <c:pt idx="51">
                  <c:v>4102.900966862511</c:v>
                </c:pt>
                <c:pt idx="52">
                  <c:v>4024.457081346861</c:v>
                </c:pt>
                <c:pt idx="53">
                  <c:v>3937.1592412789855</c:v>
                </c:pt>
                <c:pt idx="54">
                  <c:v>3860.401771777322</c:v>
                </c:pt>
                <c:pt idx="55">
                  <c:v>3784.430436320021</c:v>
                </c:pt>
                <c:pt idx="56">
                  <c:v>3699.896173425855</c:v>
                </c:pt>
                <c:pt idx="57">
                  <c:v>3625.578721629772</c:v>
                </c:pt>
                <c:pt idx="58">
                  <c:v>3552.0314391676843</c:v>
                </c:pt>
                <c:pt idx="59">
                  <c:v>3470.2046174700768</c:v>
                </c:pt>
                <c:pt idx="60">
                  <c:v>3398.275856941299</c:v>
                </c:pt>
                <c:pt idx="61">
                  <c:v>3327.0999332019856</c:v>
                </c:pt>
                <c:pt idx="62">
                  <c:v>3247.9196088934864</c:v>
                </c:pt>
                <c:pt idx="63">
                  <c:v>3178.323865680885</c:v>
                </c:pt>
                <c:pt idx="64">
                  <c:v>3109.462192200807</c:v>
                </c:pt>
                <c:pt idx="65">
                  <c:v>3032.8623798858607</c:v>
                </c:pt>
                <c:pt idx="66">
                  <c:v>2965.539435665303</c:v>
                </c:pt>
                <c:pt idx="67">
                  <c:v>2898.930305024403</c:v>
                </c:pt>
                <c:pt idx="68">
                  <c:v>2824.8397867428093</c:v>
                </c:pt>
                <c:pt idx="69">
                  <c:v>2759.724726481357</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c:v>
                </c:pt>
                <c:pt idx="78">
                  <c:v>2181.897557099264</c:v>
                </c:pt>
                <c:pt idx="79">
                  <c:v>2123.586815394276</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c:v>
                </c:pt>
                <c:pt idx="90">
                  <c:v>1494.538848738704</c:v>
                </c:pt>
                <c:pt idx="91">
                  <c:v>1443.1960281662846</c:v>
                </c:pt>
                <c:pt idx="92">
                  <c:v>1386.0293710733336</c:v>
                </c:pt>
                <c:pt idx="93">
                  <c:v>1335.73358143176</c:v>
                </c:pt>
                <c:pt idx="94">
                  <c:v>1285.9182668026356</c:v>
                </c:pt>
                <c:pt idx="95">
                  <c:v>1230.4415066288307</c:v>
                </c:pt>
                <c:pt idx="96">
                  <c:v>1181.6244054437507</c:v>
                </c:pt>
                <c:pt idx="97">
                  <c:v>1133.2680310356866</c:v>
                </c:pt>
                <c:pt idx="98">
                  <c:v>1079.4124988914414</c:v>
                </c:pt>
                <c:pt idx="99">
                  <c:v>1032.0225937697833</c:v>
                </c:pt>
                <c:pt idx="100">
                  <c:v>985.0850258038517</c:v>
                </c:pt>
                <c:pt idx="101">
                  <c:v>932.8227451453487</c:v>
                </c:pt>
                <c:pt idx="102">
                  <c:v>886.8544947202699</c:v>
                </c:pt>
                <c:pt idx="103">
                  <c:v>841.3532788829367</c:v>
                </c:pt>
                <c:pt idx="104">
                  <c:v>790.7392217429494</c:v>
                </c:pt>
                <c:pt idx="105">
                  <c:v>746.2816902643984</c:v>
                </c:pt>
                <c:pt idx="106">
                  <c:v>702.354778608177</c:v>
                </c:pt>
                <c:pt idx="107">
                  <c:v>653.6204124325454</c:v>
                </c:pt>
                <c:pt idx="108">
                  <c:v>610.9686237412925</c:v>
                </c:pt>
                <c:pt idx="109">
                  <c:v>569.0227686817443</c:v>
                </c:pt>
                <c:pt idx="110">
                  <c:v>522.8056693168993</c:v>
                </c:pt>
                <c:pt idx="111">
                  <c:v>482.7443088432838</c:v>
                </c:pt>
                <c:pt idx="112">
                  <c:v>443.8466445893456</c:v>
                </c:pt>
                <c:pt idx="113">
                  <c:v>401.81820551497754</c:v>
                </c:pt>
                <c:pt idx="114">
                  <c:v>366.42028097133147</c:v>
                </c:pt>
                <c:pt idx="115">
                  <c:v>333.41947696346216</c:v>
                </c:pt>
                <c:pt idx="116">
                  <c:v>300.07341715264386</c:v>
                </c:pt>
                <c:pt idx="117">
                  <c:v>274.8715173653501</c:v>
                </c:pt>
                <c:pt idx="118">
                  <c:v>255.10349072494134</c:v>
                </c:pt>
                <c:pt idx="119">
                  <c:v>240.97664531965657</c:v>
                </c:pt>
                <c:pt idx="120">
                  <c:v>236.80676373491008</c:v>
                </c:pt>
                <c:pt idx="121">
                  <c:v>240.97664531965657</c:v>
                </c:pt>
                <c:pt idx="122">
                  <c:v>255.10349072494134</c:v>
                </c:pt>
                <c:pt idx="123">
                  <c:v>274.8715173653501</c:v>
                </c:pt>
                <c:pt idx="124">
                  <c:v>300.07341715264386</c:v>
                </c:pt>
                <c:pt idx="125">
                  <c:v>333.41947696346216</c:v>
                </c:pt>
                <c:pt idx="126">
                  <c:v>366.42028097133147</c:v>
                </c:pt>
                <c:pt idx="127">
                  <c:v>401.81820551497754</c:v>
                </c:pt>
                <c:pt idx="128">
                  <c:v>443.8466445893456</c:v>
                </c:pt>
                <c:pt idx="129">
                  <c:v>482.7443088432838</c:v>
                </c:pt>
                <c:pt idx="130">
                  <c:v>522.8056693168993</c:v>
                </c:pt>
                <c:pt idx="131">
                  <c:v>569.0227686817443</c:v>
                </c:pt>
                <c:pt idx="132">
                  <c:v>610.9686237412925</c:v>
                </c:pt>
                <c:pt idx="133">
                  <c:v>653.6204124325454</c:v>
                </c:pt>
                <c:pt idx="134">
                  <c:v>702.354778608177</c:v>
                </c:pt>
                <c:pt idx="135">
                  <c:v>746.2816902643984</c:v>
                </c:pt>
                <c:pt idx="136">
                  <c:v>790.7392217429494</c:v>
                </c:pt>
                <c:pt idx="137">
                  <c:v>841.3532788829613</c:v>
                </c:pt>
                <c:pt idx="138">
                  <c:v>886.8544947202699</c:v>
                </c:pt>
                <c:pt idx="139">
                  <c:v>932.8227451453487</c:v>
                </c:pt>
                <c:pt idx="140">
                  <c:v>985.0850258038517</c:v>
                </c:pt>
                <c:pt idx="141">
                  <c:v>1032.0225937697833</c:v>
                </c:pt>
                <c:pt idx="142">
                  <c:v>1079.4124988914414</c:v>
                </c:pt>
                <c:pt idx="143">
                  <c:v>1133.2680310356866</c:v>
                </c:pt>
                <c:pt idx="144">
                  <c:v>1181.6244054437507</c:v>
                </c:pt>
                <c:pt idx="145">
                  <c:v>1230.4415066288307</c:v>
                </c:pt>
                <c:pt idx="146">
                  <c:v>1285.9182668026356</c:v>
                </c:pt>
                <c:pt idx="147">
                  <c:v>1335.73358143176</c:v>
                </c:pt>
                <c:pt idx="148">
                  <c:v>1386.0293710733336</c:v>
                </c:pt>
                <c:pt idx="149">
                  <c:v>1443.1960281662846</c:v>
                </c:pt>
                <c:pt idx="150">
                  <c:v>1494.538848738704</c:v>
                </c:pt>
                <c:pt idx="151">
                  <c:v>1546.3874430517</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2181.897557099264</c:v>
                </c:pt>
                <c:pt idx="163">
                  <c:v>2240.826006094351</c:v>
                </c:pt>
                <c:pt idx="164">
                  <c:v>2307.86947732593</c:v>
                </c:pt>
                <c:pt idx="165">
                  <c:v>2368.1387047809635</c:v>
                </c:pt>
                <c:pt idx="166">
                  <c:v>2429.051843860189</c:v>
                </c:pt>
                <c:pt idx="167">
                  <c:v>2498.3588768603126</c:v>
                </c:pt>
                <c:pt idx="168">
                  <c:v>2560.6670284536167</c:v>
                </c:pt>
                <c:pt idx="169">
                  <c:v>2623.6439001292542</c:v>
                </c:pt>
                <c:pt idx="170">
                  <c:v>2695.3016989076004</c:v>
                </c:pt>
                <c:pt idx="171">
                  <c:v>2759.724726481357</c:v>
                </c:pt>
                <c:pt idx="172">
                  <c:v>2824.8397867428093</c:v>
                </c:pt>
                <c:pt idx="173">
                  <c:v>2898.93030502441</c:v>
                </c:pt>
                <c:pt idx="174">
                  <c:v>2965.539435665303</c:v>
                </c:pt>
                <c:pt idx="175">
                  <c:v>3032.8623798858607</c:v>
                </c:pt>
                <c:pt idx="176">
                  <c:v>3109.462192200807</c:v>
                </c:pt>
                <c:pt idx="177">
                  <c:v>3178.323865680885</c:v>
                </c:pt>
                <c:pt idx="178">
                  <c:v>3247.91960889348</c:v>
                </c:pt>
                <c:pt idx="179">
                  <c:v>3327.0999332019915</c:v>
                </c:pt>
                <c:pt idx="180">
                  <c:v>3398.275856941299</c:v>
                </c:pt>
                <c:pt idx="181">
                  <c:v>3470.2046174700704</c:v>
                </c:pt>
                <c:pt idx="182">
                  <c:v>3552.0314391676843</c:v>
                </c:pt>
                <c:pt idx="183">
                  <c:v>3625.578721629772</c:v>
                </c:pt>
                <c:pt idx="184">
                  <c:v>3699.896173425861</c:v>
                </c:pt>
                <c:pt idx="185">
                  <c:v>3784.430436320021</c:v>
                </c:pt>
                <c:pt idx="186">
                  <c:v>3860.401771777322</c:v>
                </c:pt>
                <c:pt idx="187">
                  <c:v>3937.159241278996</c:v>
                </c:pt>
                <c:pt idx="188">
                  <c:v>4024.457081346861</c:v>
                </c:pt>
                <c:pt idx="189">
                  <c:v>4102.900966862511</c:v>
                </c:pt>
                <c:pt idx="190">
                  <c:v>4182.145657173544</c:v>
                </c:pt>
                <c:pt idx="191">
                  <c:v>4272.258661802538</c:v>
                </c:pt>
                <c:pt idx="192">
                  <c:v>4353.219632675859</c:v>
                </c:pt>
                <c:pt idx="193">
                  <c:v>4434.994862669758</c:v>
                </c:pt>
                <c:pt idx="194">
                  <c:v>4527.970342892097</c:v>
                </c:pt>
                <c:pt idx="195">
                  <c:v>4611.489216623593</c:v>
                </c:pt>
                <c:pt idx="196">
                  <c:v>4695.8346660074885</c:v>
                </c:pt>
                <c:pt idx="197">
                  <c:v>4791.715932694854</c:v>
                </c:pt>
                <c:pt idx="198">
                  <c:v>4877.830054285296</c:v>
                </c:pt>
                <c:pt idx="199">
                  <c:v>4964.7820081571645</c:v>
                </c:pt>
                <c:pt idx="200">
                  <c:v>5063.608645679323</c:v>
                </c:pt>
                <c:pt idx="201">
                  <c:v>5152.352129116699</c:v>
                </c:pt>
                <c:pt idx="202">
                  <c:v>5241.943717406506</c:v>
                </c:pt>
                <c:pt idx="203">
                  <c:v>5343.751850152343</c:v>
                </c:pt>
                <c:pt idx="204">
                  <c:v>5435.1558124688245</c:v>
                </c:pt>
                <c:pt idx="205">
                  <c:v>5527.4172410510055</c:v>
                </c:pt>
                <c:pt idx="206">
                  <c:v>5632.239789639232</c:v>
                </c:pt>
                <c:pt idx="207">
                  <c:v>5726.332575075653</c:v>
                </c:pt>
                <c:pt idx="208">
                  <c:v>5821.291346397364</c:v>
                </c:pt>
                <c:pt idx="209">
                  <c:v>5929.1582714862625</c:v>
                </c:pt>
                <c:pt idx="210">
                  <c:v>6025.965664177064</c:v>
                </c:pt>
                <c:pt idx="211">
                  <c:v>6123.6467860475295</c:v>
                </c:pt>
                <c:pt idx="212">
                  <c:v>6234.585318473166</c:v>
                </c:pt>
                <c:pt idx="213">
                  <c:v>6334.130742726853</c:v>
                </c:pt>
                <c:pt idx="214">
                  <c:v>6434.556924518235</c:v>
                </c:pt>
                <c:pt idx="215">
                  <c:v>6548.591781107734</c:v>
                </c:pt>
                <c:pt idx="216">
                  <c:v>6650.89648885563</c:v>
                </c:pt>
                <c:pt idx="217">
                  <c:v>6754.08832481869</c:v>
                </c:pt>
                <c:pt idx="218">
                  <c:v>6871.241909686075</c:v>
                </c:pt>
                <c:pt idx="219">
                  <c:v>6976.325155041407</c:v>
                </c:pt>
                <c:pt idx="220">
                  <c:v>7082.30129477401</c:v>
                </c:pt>
                <c:pt idx="221">
                  <c:v>7202.593886244597</c:v>
                </c:pt>
                <c:pt idx="222">
                  <c:v>7310.473087383565</c:v>
                </c:pt>
                <c:pt idx="223">
                  <c:v>7419.250393732713</c:v>
                </c:pt>
                <c:pt idx="224">
                  <c:v>7542.700317284668</c:v>
                </c:pt>
                <c:pt idx="225">
                  <c:v>7653.39120605297</c:v>
                </c:pt>
                <c:pt idx="226">
                  <c:v>7764.984900901371</c:v>
                </c:pt>
                <c:pt idx="227">
                  <c:v>7891.608688682572</c:v>
                </c:pt>
                <c:pt idx="228">
                  <c:v>8005.125448461821</c:v>
                </c:pt>
                <c:pt idx="229">
                  <c:v>8119.549246965395</c:v>
                </c:pt>
                <c:pt idx="230">
                  <c:v>8249.361784554472</c:v>
                </c:pt>
                <c:pt idx="231">
                  <c:v>8365.717177007828</c:v>
                </c:pt>
                <c:pt idx="232">
                  <c:v>8482.983410922227</c:v>
                </c:pt>
                <c:pt idx="233">
                  <c:v>8615.998072070657</c:v>
                </c:pt>
                <c:pt idx="234">
                  <c:v>8735.203553435682</c:v>
                </c:pt>
                <c:pt idx="235">
                  <c:v>8855.323284209488</c:v>
                </c:pt>
                <c:pt idx="236">
                  <c:v>8991.552054335494</c:v>
                </c:pt>
                <c:pt idx="237">
                  <c:v>9113.617881954191</c:v>
                </c:pt>
                <c:pt idx="238">
                  <c:v>9236.601004281434</c:v>
                </c:pt>
                <c:pt idx="239">
                  <c:v>9376.054593495282</c:v>
                </c:pt>
                <c:pt idx="240">
                  <c:v>9500.98992327336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charts/chart8.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200" b="1"/>
              <a:t>Off-Nadir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-34.98</c:v>
                </c:pt>
                <c:pt idx="51">
                  <c:v>-34.5</c:v>
                </c:pt>
                <c:pt idx="52">
                  <c:v>-34.019999999999996</c:v>
                </c:pt>
                <c:pt idx="53">
                  <c:v>-33.480000000000004</c:v>
                </c:pt>
                <c:pt idx="54">
                  <c:v>-33</c:v>
                </c:pt>
                <c:pt idx="55">
                  <c:v>-32.52</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-1.0200000000000031</c:v>
                </c:pt>
                <c:pt idx="119">
                  <c:v>-0.480000000000004</c:v>
                </c:pt>
                <c:pt idx="120">
                  <c:v>0</c:v>
                </c:pt>
                <c:pt idx="121">
                  <c:v>0.480000000000004</c:v>
                </c:pt>
                <c:pt idx="122">
                  <c:v>1.019999999999996</c:v>
                </c:pt>
                <c:pt idx="123">
                  <c:v>1.499999999999993</c:v>
                </c:pt>
                <c:pt idx="124">
                  <c:v>1.9799999999999969</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c:v>
                </c:pt>
                <c:pt idx="2">
                  <c:v>2735.869392882246</c:v>
                </c:pt>
                <c:pt idx="3">
                  <c:v>2734.7537852754253</c:v>
                </c:pt>
                <c:pt idx="4">
                  <c:v>2733.8712853195143</c:v>
                </c:pt>
                <c:pt idx="5">
                  <c:v>2732.687149406082</c:v>
                </c:pt>
                <c:pt idx="6">
                  <c:v>2731.689576789972</c:v>
                </c:pt>
                <c:pt idx="7">
                  <c:v>2730.708831878115</c:v>
                </c:pt>
                <c:pt idx="8">
                  <c:v>2729.524186781265</c:v>
                </c:pt>
                <c:pt idx="9">
                  <c:v>2728.570750363843</c:v>
                </c:pt>
                <c:pt idx="10">
                  <c:v>2727.45681982305</c:v>
                </c:pt>
                <c:pt idx="11">
                  <c:v>2726.3354650184833</c:v>
                </c:pt>
                <c:pt idx="12">
                  <c:v>2725.4452542994177</c:v>
                </c:pt>
                <c:pt idx="13">
                  <c:v>2724.3586238461326</c:v>
                </c:pt>
                <c:pt idx="14">
                  <c:v>2723.262706168718</c:v>
                </c:pt>
                <c:pt idx="15">
                  <c:v>2722.4209257280004</c:v>
                </c:pt>
                <c:pt idx="16">
                  <c:v>2721.453798788491</c:v>
                </c:pt>
                <c:pt idx="17">
                  <c:v>2720.3789439041557</c:v>
                </c:pt>
                <c:pt idx="18">
                  <c:v>2719.530057692372</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c:v>
                </c:pt>
                <c:pt idx="28">
                  <c:v>2711.160999256946</c:v>
                </c:pt>
                <c:pt idx="29">
                  <c:v>2710.338289310354</c:v>
                </c:pt>
                <c:pt idx="30">
                  <c:v>2709.6428929865006</c:v>
                </c:pt>
                <c:pt idx="31">
                  <c:v>2708.85476109416</c:v>
                </c:pt>
                <c:pt idx="32">
                  <c:v>2708.046309396769</c:v>
                </c:pt>
                <c:pt idx="33">
                  <c:v>2707.2816005599116</c:v>
                </c:pt>
                <c:pt idx="34">
                  <c:v>2706.6595368359267</c:v>
                </c:pt>
                <c:pt idx="35">
                  <c:v>2705.8693463886</c:v>
                </c:pt>
                <c:pt idx="36">
                  <c:v>2705.27705475384</c:v>
                </c:pt>
                <c:pt idx="37">
                  <c:v>2704.5693253611653</c:v>
                </c:pt>
                <c:pt idx="38">
                  <c:v>2703.6905678073786</c:v>
                </c:pt>
                <c:pt idx="39">
                  <c:v>2702.949725274078</c:v>
                </c:pt>
                <c:pt idx="40">
                  <c:v>2702.342639134389</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c:v>
                </c:pt>
                <c:pt idx="51">
                  <c:v>2694.143153810637</c:v>
                </c:pt>
                <c:pt idx="52">
                  <c:v>2693.5887701095885</c:v>
                </c:pt>
                <c:pt idx="53">
                  <c:v>2692.757963165586</c:v>
                </c:pt>
                <c:pt idx="54">
                  <c:v>2692.1746655892334</c:v>
                </c:pt>
                <c:pt idx="55">
                  <c:v>2691.668504525569</c:v>
                </c:pt>
                <c:pt idx="56">
                  <c:v>2690.9024159206665</c:v>
                </c:pt>
                <c:pt idx="57">
                  <c:v>2690.368823941855</c:v>
                </c:pt>
                <c:pt idx="58">
                  <c:v>2689.879981187311</c:v>
                </c:pt>
                <c:pt idx="59">
                  <c:v>2689.3682686667476</c:v>
                </c:pt>
                <c:pt idx="60">
                  <c:v>2688.849181231688</c:v>
                </c:pt>
                <c:pt idx="61">
                  <c:v>2688.418530040225</c:v>
                </c:pt>
                <c:pt idx="62">
                  <c:v>2687.9354849524943</c:v>
                </c:pt>
                <c:pt idx="63">
                  <c:v>2687.4656545086355</c:v>
                </c:pt>
                <c:pt idx="64">
                  <c:v>2686.9865062165222</c:v>
                </c:pt>
                <c:pt idx="65">
                  <c:v>2686.576366733176</c:v>
                </c:pt>
                <c:pt idx="66">
                  <c:v>2686.1230281089606</c:v>
                </c:pt>
                <c:pt idx="67">
                  <c:v>2685.7641048695896</c:v>
                </c:pt>
                <c:pt idx="68">
                  <c:v>2685.2667592520247</c:v>
                </c:pt>
                <c:pt idx="69">
                  <c:v>2684.8382682822116</c:v>
                </c:pt>
                <c:pt idx="70">
                  <c:v>2684.344258811687</c:v>
                </c:pt>
                <c:pt idx="71">
                  <c:v>2684.0091118985915</c:v>
                </c:pt>
                <c:pt idx="72">
                  <c:v>2683.537186227637</c:v>
                </c:pt>
                <c:pt idx="73">
                  <c:v>2682.959399881261</c:v>
                </c:pt>
                <c:pt idx="74">
                  <c:v>2682.5936759748174</c:v>
                </c:pt>
                <c:pt idx="75">
                  <c:v>2682.174729680835</c:v>
                </c:pt>
                <c:pt idx="76">
                  <c:v>2681.633377970777</c:v>
                </c:pt>
                <c:pt idx="77">
                  <c:v>2681.074277895876</c:v>
                </c:pt>
                <c:pt idx="78">
                  <c:v>2680.805031719671</c:v>
                </c:pt>
                <c:pt idx="79">
                  <c:v>2680.307213361289</c:v>
                </c:pt>
                <c:pt idx="80">
                  <c:v>2679.910435734186</c:v>
                </c:pt>
                <c:pt idx="81">
                  <c:v>2679.4176164876385</c:v>
                </c:pt>
                <c:pt idx="82">
                  <c:v>2679.1011383607356</c:v>
                </c:pt>
                <c:pt idx="83">
                  <c:v>2678.620330554761</c:v>
                </c:pt>
                <c:pt idx="84">
                  <c:v>2678.2274086948387</c:v>
                </c:pt>
                <c:pt idx="85">
                  <c:v>2677.901102367137</c:v>
                </c:pt>
                <c:pt idx="86">
                  <c:v>2677.5923280337583</c:v>
                </c:pt>
                <c:pt idx="87">
                  <c:v>2677.336851587953</c:v>
                </c:pt>
                <c:pt idx="88">
                  <c:v>2676.8935781249206</c:v>
                </c:pt>
                <c:pt idx="89">
                  <c:v>2676.6826725277347</c:v>
                </c:pt>
                <c:pt idx="90">
                  <c:v>2676.298054911225</c:v>
                </c:pt>
                <c:pt idx="91">
                  <c:v>2676.0772755395565</c:v>
                </c:pt>
                <c:pt idx="92">
                  <c:v>2675.7482372623963</c:v>
                </c:pt>
                <c:pt idx="93">
                  <c:v>2675.521002594637</c:v>
                </c:pt>
                <c:pt idx="94">
                  <c:v>2675.243509673234</c:v>
                </c:pt>
                <c:pt idx="95">
                  <c:v>2674.8308245474545</c:v>
                </c:pt>
                <c:pt idx="96">
                  <c:v>2674.7105794245053</c:v>
                </c:pt>
                <c:pt idx="97">
                  <c:v>2674.359012410629</c:v>
                </c:pt>
                <c:pt idx="98">
                  <c:v>2674.190016568398</c:v>
                </c:pt>
                <c:pt idx="99">
                  <c:v>2673.894654942711</c:v>
                </c:pt>
                <c:pt idx="100">
                  <c:v>2673.759697209001</c:v>
                </c:pt>
                <c:pt idx="101">
                  <c:v>2673.572737760398</c:v>
                </c:pt>
                <c:pt idx="102">
                  <c:v>2673.302473071738</c:v>
                </c:pt>
                <c:pt idx="103">
                  <c:v>2673.207375269783</c:v>
                </c:pt>
                <c:pt idx="104">
                  <c:v>2673.1725556374686</c:v>
                </c:pt>
                <c:pt idx="105">
                  <c:v>2672.9293325644585</c:v>
                </c:pt>
                <c:pt idx="106">
                  <c:v>2672.888297210901</c:v>
                </c:pt>
                <c:pt idx="107">
                  <c:v>2672.8488768179254</c:v>
                </c:pt>
                <c:pt idx="108">
                  <c:v>2672.7173618544525</c:v>
                </c:pt>
                <c:pt idx="109">
                  <c:v>2672.777044222336</c:v>
                </c:pt>
                <c:pt idx="110">
                  <c:v>2672.720653805265</c:v>
                </c:pt>
                <c:pt idx="111">
                  <c:v>2672.598639611109</c:v>
                </c:pt>
                <c:pt idx="112">
                  <c:v>2672.6169862341058</c:v>
                </c:pt>
                <c:pt idx="113">
                  <c:v>2672.460019122305</c:v>
                </c:pt>
                <c:pt idx="114">
                  <c:v>2672.4187092220673</c:v>
                </c:pt>
                <c:pt idx="115">
                  <c:v>2672.3765444545224</c:v>
                </c:pt>
                <c:pt idx="116">
                  <c:v>2672.284988766312</c:v>
                </c:pt>
                <c:pt idx="117">
                  <c:v>2672.22526340349</c:v>
                </c:pt>
                <c:pt idx="118">
                  <c:v>2672.0265961152877</c:v>
                </c:pt>
                <c:pt idx="119">
                  <c:v>2671.9704462755117</c:v>
                </c:pt>
                <c:pt idx="120">
                  <c:v>2671.8569109380314</c:v>
                </c:pt>
                <c:pt idx="121">
                  <c:v>2671.734762465316</c:v>
                </c:pt>
                <c:pt idx="122">
                  <c:v>2671.6247904009706</c:v>
                </c:pt>
                <c:pt idx="123">
                  <c:v>2671.654913496507</c:v>
                </c:pt>
                <c:pt idx="124">
                  <c:v>2671.55448128243</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c:v>
                </c:pt>
                <c:pt idx="133">
                  <c:v>2672.262088376571</c:v>
                </c:pt>
                <c:pt idx="134">
                  <c:v>2672.4787069540553</c:v>
                </c:pt>
                <c:pt idx="135">
                  <c:v>2672.7084579796765</c:v>
                </c:pt>
                <c:pt idx="136">
                  <c:v>2672.811129833762</c:v>
                </c:pt>
                <c:pt idx="137">
                  <c:v>2673.0186412762982</c:v>
                </c:pt>
                <c:pt idx="138">
                  <c:v>2673.298433729452</c:v>
                </c:pt>
                <c:pt idx="139">
                  <c:v>2673.5257336157</c:v>
                </c:pt>
                <c:pt idx="140">
                  <c:v>2673.882119678937</c:v>
                </c:pt>
                <c:pt idx="141">
                  <c:v>2674.108450593098</c:v>
                </c:pt>
                <c:pt idx="142">
                  <c:v>2674.284219824957</c:v>
                </c:pt>
                <c:pt idx="143">
                  <c:v>2674.619771268388</c:v>
                </c:pt>
                <c:pt idx="144">
                  <c:v>2674.811288200135</c:v>
                </c:pt>
                <c:pt idx="145">
                  <c:v>2675.095778091706</c:v>
                </c:pt>
                <c:pt idx="146">
                  <c:v>2675.2952657628025</c:v>
                </c:pt>
                <c:pt idx="147">
                  <c:v>2675.586944487273</c:v>
                </c:pt>
                <c:pt idx="148">
                  <c:v>2675.728441597502</c:v>
                </c:pt>
                <c:pt idx="149">
                  <c:v>2676.03978450837</c:v>
                </c:pt>
                <c:pt idx="150">
                  <c:v>2676.4128817659403</c:v>
                </c:pt>
                <c:pt idx="151">
                  <c:v>2676.700779028285</c:v>
                </c:pt>
                <c:pt idx="152">
                  <c:v>2676.955320476383</c:v>
                </c:pt>
                <c:pt idx="153">
                  <c:v>2677.210266088246</c:v>
                </c:pt>
                <c:pt idx="154">
                  <c:v>2677.539889282522</c:v>
                </c:pt>
                <c:pt idx="155">
                  <c:v>2677.7716485761302</c:v>
                </c:pt>
                <c:pt idx="156">
                  <c:v>2678.0591123143704</c:v>
                </c:pt>
                <c:pt idx="157">
                  <c:v>2678.324896242484</c:v>
                </c:pt>
                <c:pt idx="158">
                  <c:v>2678.760343194256</c:v>
                </c:pt>
                <c:pt idx="159">
                  <c:v>2678.934012540692</c:v>
                </c:pt>
                <c:pt idx="160">
                  <c:v>2679.273151773947</c:v>
                </c:pt>
                <c:pt idx="161">
                  <c:v>2679.6384849074366</c:v>
                </c:pt>
                <c:pt idx="162">
                  <c:v>2679.9865256495527</c:v>
                </c:pt>
                <c:pt idx="163">
                  <c:v>2680.3628439768113</c:v>
                </c:pt>
                <c:pt idx="164">
                  <c:v>2680.656874477047</c:v>
                </c:pt>
                <c:pt idx="165">
                  <c:v>2681.141038946116</c:v>
                </c:pt>
                <c:pt idx="166">
                  <c:v>2681.4410343801505</c:v>
                </c:pt>
                <c:pt idx="167">
                  <c:v>2681.9939788953425</c:v>
                </c:pt>
                <c:pt idx="168">
                  <c:v>2682.3919407186913</c:v>
                </c:pt>
                <c:pt idx="169">
                  <c:v>2682.915880658896</c:v>
                </c:pt>
                <c:pt idx="170">
                  <c:v>2683.4438459390726</c:v>
                </c:pt>
                <c:pt idx="171">
                  <c:v>2684.0530894635986</c:v>
                </c:pt>
                <c:pt idx="172">
                  <c:v>2684.4264672966287</c:v>
                </c:pt>
                <c:pt idx="173">
                  <c:v>2685.202148008529</c:v>
                </c:pt>
                <c:pt idx="174">
                  <c:v>2685.7460339181407</c:v>
                </c:pt>
                <c:pt idx="175">
                  <c:v>2686.2420281089157</c:v>
                </c:pt>
                <c:pt idx="176">
                  <c:v>2686.848274404113</c:v>
                </c:pt>
                <c:pt idx="177">
                  <c:v>2687.4641738490877</c:v>
                </c:pt>
                <c:pt idx="178">
                  <c:v>2688.187625072262</c:v>
                </c:pt>
                <c:pt idx="179">
                  <c:v>2688.722217643149</c:v>
                </c:pt>
                <c:pt idx="180">
                  <c:v>2689.3696122533497</c:v>
                </c:pt>
                <c:pt idx="181">
                  <c:v>2689.9524090049945</c:v>
                </c:pt>
                <c:pt idx="182">
                  <c:v>2690.5667082175996</c:v>
                </c:pt>
                <c:pt idx="183">
                  <c:v>2691.286112934711</c:v>
                </c:pt>
                <c:pt idx="184">
                  <c:v>2691.7084514155754</c:v>
                </c:pt>
                <c:pt idx="185">
                  <c:v>2692.3320799684448</c:v>
                </c:pt>
                <c:pt idx="186">
                  <c:v>2692.9418963583466</c:v>
                </c:pt>
                <c:pt idx="187">
                  <c:v>2693.5471794573295</c:v>
                </c:pt>
                <c:pt idx="188">
                  <c:v>2694.1066115218923</c:v>
                </c:pt>
                <c:pt idx="189">
                  <c:v>2694.58931326976</c:v>
                </c:pt>
                <c:pt idx="190">
                  <c:v>2695.227838941296</c:v>
                </c:pt>
                <c:pt idx="191">
                  <c:v>2695.8930735840954</c:v>
                </c:pt>
                <c:pt idx="192">
                  <c:v>2696.4463864364902</c:v>
                </c:pt>
                <c:pt idx="193">
                  <c:v>2696.984703352465</c:v>
                </c:pt>
                <c:pt idx="194">
                  <c:v>2697.5027559631326</c:v>
                </c:pt>
                <c:pt idx="195">
                  <c:v>2698.211716438776</c:v>
                </c:pt>
                <c:pt idx="196">
                  <c:v>2698.7445748679534</c:v>
                </c:pt>
                <c:pt idx="197">
                  <c:v>2699.550750181976</c:v>
                </c:pt>
                <c:pt idx="198">
                  <c:v>2700.1000665260294</c:v>
                </c:pt>
                <c:pt idx="199">
                  <c:v>2700.798934050626</c:v>
                </c:pt>
                <c:pt idx="200">
                  <c:v>2701.6135071673953</c:v>
                </c:pt>
                <c:pt idx="201">
                  <c:v>2702.227556402274</c:v>
                </c:pt>
                <c:pt idx="202">
                  <c:v>2702.9347012405674</c:v>
                </c:pt>
                <c:pt idx="203">
                  <c:v>2703.810254870827</c:v>
                </c:pt>
                <c:pt idx="204">
                  <c:v>2704.614349908813</c:v>
                </c:pt>
                <c:pt idx="205">
                  <c:v>2705.349531148823</c:v>
                </c:pt>
                <c:pt idx="206">
                  <c:v>2706.4288747660044</c:v>
                </c:pt>
                <c:pt idx="207">
                  <c:v>2707.1859976785427</c:v>
                </c:pt>
                <c:pt idx="208">
                  <c:v>2708.0535136916324</c:v>
                </c:pt>
                <c:pt idx="209">
                  <c:v>2708.9759331232062</c:v>
                </c:pt>
                <c:pt idx="210">
                  <c:v>2709.9297554985205</c:v>
                </c:pt>
                <c:pt idx="211">
                  <c:v>2710.776759778393</c:v>
                </c:pt>
                <c:pt idx="212">
                  <c:v>2711.675685734151</c:v>
                </c:pt>
                <c:pt idx="213">
                  <c:v>2712.618819612096</c:v>
                </c:pt>
                <c:pt idx="214">
                  <c:v>2713.403250630905</c:v>
                </c:pt>
                <c:pt idx="215">
                  <c:v>2714.4305325830087</c:v>
                </c:pt>
                <c:pt idx="216">
                  <c:v>2715.124057836022</c:v>
                </c:pt>
                <c:pt idx="217">
                  <c:v>2716.028847901768</c:v>
                </c:pt>
                <c:pt idx="218">
                  <c:v>2717.001745421667</c:v>
                </c:pt>
                <c:pt idx="219">
                  <c:v>2717.7655816374827</c:v>
                </c:pt>
                <c:pt idx="220">
                  <c:v>2718.562423641157</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2725.542674611314</c:v>
                </c:pt>
                <c:pt idx="229">
                  <c:v>2726.4905339389343</c:v>
                </c:pt>
                <c:pt idx="230">
                  <c:v>2727.3660689754033</c:v>
                </c:pt>
                <c:pt idx="231">
                  <c:v>2728.4267562236205</c:v>
                </c:pt>
                <c:pt idx="232">
                  <c:v>2729.345802686525</c:v>
                </c:pt>
                <c:pt idx="233">
                  <c:v>2730.327377287637</c:v>
                </c:pt>
                <c:pt idx="234">
                  <c:v>2731.2756154062386</c:v>
                </c:pt>
                <c:pt idx="235">
                  <c:v>2732.410990361145</c:v>
                </c:pt>
                <c:pt idx="236">
                  <c:v>2733.3737112683802</c:v>
                </c:pt>
                <c:pt idx="237">
                  <c:v>2734.400824079456</c:v>
                </c:pt>
                <c:pt idx="238">
                  <c:v>2735.4474657815513</c:v>
                </c:pt>
                <c:pt idx="239">
                  <c:v>2736.577363887402</c:v>
                </c:pt>
                <c:pt idx="240">
                  <c:v>2737.580395373951</c:v>
                </c:pt>
              </c:numCache>
            </c:numRef>
          </c:yVal>
        </c:ser>
        <c:ser>
          <c:idx val="1"/>
          <c:order val="1"/>
          <c:tx>
            <c:v>Paper low-altitude 35 km / 800 km pass</c:v>
          </c:tx>
          <c:spPr>
            <a:ln xmlns:a="http://schemas.openxmlformats.org/drawingml/2006/main" w="19050">
              <a:solidFill>
                <a:srgbClr val="F97316"/>
              </a:solidFill>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c:v>
                </c:pt>
                <c:pt idx="74">
                  <c:v>-153.2</c:v>
                </c:pt>
                <c:pt idx="75">
                  <c:v>-150</c:v>
                </c:pt>
                <c:pt idx="76">
                  <c:v>-146.8</c:v>
                </c:pt>
                <c:pt idx="77">
                  <c:v>-143.2</c:v>
                </c:pt>
                <c:pt idx="78">
                  <c:v>-140</c:v>
                </c:pt>
                <c:pt idx="79">
                  <c:v>-136.8</c:v>
                </c:pt>
                <c:pt idx="80">
                  <c:v>-133.2</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-26.799999999999955</c:v>
                </c:pt>
                <c:pt idx="113">
                  <c:v>-23.200000000000045</c:v>
                </c:pt>
                <c:pt idx="114">
                  <c:v>-20</c:v>
                </c:pt>
                <c:pt idx="115">
                  <c:v>-16.80000000000001</c:v>
                </c:pt>
                <c:pt idx="116">
                  <c:v>-13.199999999999989</c:v>
                </c:pt>
                <c:pt idx="117">
                  <c:v>-10</c:v>
                </c:pt>
                <c:pt idx="118">
                  <c:v>-6.800000000000011</c:v>
                </c:pt>
                <c:pt idx="119">
                  <c:v>-3.1999999999999886</c:v>
                </c:pt>
                <c:pt idx="120">
                  <c:v>0</c:v>
                </c:pt>
                <c:pt idx="121">
                  <c:v>3.1999999999999886</c:v>
                </c:pt>
                <c:pt idx="122">
                  <c:v>6.7999999999999545</c:v>
                </c:pt>
                <c:pt idx="123">
                  <c:v>9.999999999999943</c:v>
                </c:pt>
                <c:pt idx="124">
                  <c:v>13.199999999999989</c:v>
                </c:pt>
                <c:pt idx="125">
                  <c:v>16.80000000000001</c:v>
                </c:pt>
                <c:pt idx="126">
                  <c:v>20</c:v>
                </c:pt>
                <c:pt idx="127">
                  <c:v>23.200000000000045</c:v>
                </c:pt>
                <c:pt idx="128">
                  <c:v>26.799999999999955</c:v>
                </c:pt>
                <c:pt idx="129">
                  <c:v>30</c:v>
                </c:pt>
                <c:pt idx="130">
                  <c:v>33.19999999999999</c:v>
                </c:pt>
                <c:pt idx="131">
                  <c:v>36.80000000000001</c:v>
                </c:pt>
                <c:pt idx="132">
                  <c:v>40.00000000000006</c:v>
                </c:pt>
                <c:pt idx="133">
                  <c:v>43.200000000000045</c:v>
                </c:pt>
                <c:pt idx="134">
                  <c:v>46.80000000000001</c:v>
                </c:pt>
                <c:pt idx="135">
                  <c:v>50</c:v>
                </c:pt>
                <c:pt idx="136">
                  <c:v>53.19999999999999</c:v>
                </c:pt>
                <c:pt idx="137">
                  <c:v>56.799999999999955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c:v>
                </c:pt>
                <c:pt idx="3">
                  <c:v>3860.6694546054136</c:v>
                </c:pt>
                <c:pt idx="4">
                  <c:v>3815.077300022674</c:v>
                </c:pt>
                <c:pt idx="5">
                  <c:v>3764.015425077756</c:v>
                </c:pt>
                <c:pt idx="6">
                  <c:v>3718.7207527081573</c:v>
                </c:pt>
                <c:pt idx="7">
                  <c:v>3673.7176119881537</c:v>
                </c:pt>
                <c:pt idx="8">
                  <c:v>3623.578456931738</c:v>
                </c:pt>
                <c:pt idx="9">
                  <c:v>3579.321968781586</c:v>
                </c:pt>
                <c:pt idx="10">
                  <c:v>3535.53973919248</c:v>
                </c:pt>
                <c:pt idx="11">
                  <c:v>3486.6311054490343</c:v>
                </c:pt>
                <c:pt idx="12">
                  <c:v>3443.2133979979462</c:v>
                </c:pt>
                <c:pt idx="13">
                  <c:v>3399.895538099978</c:v>
                </c:pt>
                <c:pt idx="14">
                  <c:v>3351.8342589880513</c:v>
                </c:pt>
                <c:pt idx="15">
                  <c:v>3309.70809101759</c:v>
                </c:pt>
                <c:pt idx="16">
                  <c:v>3267.709124542621</c:v>
                </c:pt>
                <c:pt idx="17">
                  <c:v>3220.525348840778</c:v>
                </c:pt>
                <c:pt idx="18">
                  <c:v>3178.9032534055073</c:v>
                </c:pt>
                <c:pt idx="19">
                  <c:v>3137.627690080583</c:v>
                </c:pt>
                <c:pt idx="20">
                  <c:v>3091.684937172292</c:v>
                </c:pt>
                <c:pt idx="21">
                  <c:v>3051.467490586667</c:v>
                </c:pt>
                <c:pt idx="22">
                  <c:v>3011.205038375484</c:v>
                </c:pt>
                <c:pt idx="23">
                  <c:v>2965.891539195201</c:v>
                </c:pt>
                <c:pt idx="24">
                  <c:v>2926.020997254117</c:v>
                </c:pt>
                <c:pt idx="25">
                  <c:v>2886.8217574751084</c:v>
                </c:pt>
                <c:pt idx="26">
                  <c:v>2843.1030562454516</c:v>
                </c:pt>
                <c:pt idx="27">
                  <c:v>2804.324806344102</c:v>
                </c:pt>
                <c:pt idx="28">
                  <c:v>2765.639948174607</c:v>
                </c:pt>
                <c:pt idx="29">
                  <c:v>2722.530866002271</c:v>
                </c:pt>
                <c:pt idx="30">
                  <c:v>2684.585268981876</c:v>
                </c:pt>
                <c:pt idx="31">
                  <c:v>2647.084870404392</c:v>
                </c:pt>
                <c:pt idx="32">
                  <c:v>2605.1463027637274</c:v>
                </c:pt>
                <c:pt idx="33">
                  <c:v>2568.019958311417</c:v>
                </c:pt>
                <c:pt idx="34">
                  <c:v>2531.067100407615</c:v>
                </c:pt>
                <c:pt idx="35">
                  <c:v>2489.887481598469</c:v>
                </c:pt>
                <c:pt idx="36">
                  <c:v>2453.7296576050267</c:v>
                </c:pt>
                <c:pt idx="37">
                  <c:v>2417.9520871285163</c:v>
                </c:pt>
                <c:pt idx="38">
                  <c:v>2377.718715826389</c:v>
                </c:pt>
                <c:pt idx="39">
                  <c:v>2342.268846897384</c:v>
                </c:pt>
                <c:pt idx="40">
                  <c:v>2306.9945829969192</c:v>
                </c:pt>
                <c:pt idx="41">
                  <c:v>2267.7158327632287</c:v>
                </c:pt>
                <c:pt idx="42">
                  <c:v>2233.2466648870986</c:v>
                </c:pt>
                <c:pt idx="43">
                  <c:v>2199.1466378667237</c:v>
                </c:pt>
                <c:pt idx="44">
                  <c:v>2160.851579664378</c:v>
                </c:pt>
                <c:pt idx="45">
                  <c:v>2126.7530364399495</c:v>
                </c:pt>
                <c:pt idx="46">
                  <c:v>2093.169629426536</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1419.563933171673</c:v>
                </c:pt>
                <c:pt idx="68">
                  <c:v>1387.956266731438</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1107.663476732817</c:v>
                </c:pt>
                <c:pt idx="79">
                  <c:v>1081.9289025291496</c:v>
                </c:pt>
                <c:pt idx="80">
                  <c:v>1053.2379157384207</c:v>
                </c:pt>
                <c:pt idx="81">
                  <c:v>1027.767895171937</c:v>
                </c:pt>
                <c:pt idx="82">
                  <c:v>1002.3635175983735</c:v>
                </c:pt>
                <c:pt idx="83">
                  <c:v>974.1534456502709</c:v>
                </c:pt>
                <c:pt idx="84">
                  <c:v>949.3439263517315</c:v>
                </c:pt>
                <c:pt idx="85">
                  <c:v>924.7866303079909</c:v>
                </c:pt>
                <c:pt idx="86">
                  <c:v>897.5024239250529</c:v>
                </c:pt>
                <c:pt idx="87">
                  <c:v>873.2708000463136</c:v>
                </c:pt>
                <c:pt idx="88">
                  <c:v>849.1298418746225</c:v>
                </c:pt>
                <c:pt idx="89">
                  <c:v>822.3450160213688</c:v>
                </c:pt>
                <c:pt idx="90">
                  <c:v>798.9000950122506</c:v>
                </c:pt>
                <c:pt idx="91">
                  <c:v>775.775665786726</c:v>
                </c:pt>
                <c:pt idx="92">
                  <c:v>749.72198990354</c:v>
                </c:pt>
                <c:pt idx="93">
                  <c:v>726.8407684316289</c:v>
                </c:pt>
                <c:pt idx="94">
                  <c:v>704.1134347722967</c:v>
                </c:pt>
                <c:pt idx="95">
                  <c:v>678.7707236721552</c:v>
                </c:pt>
                <c:pt idx="96">
                  <c:v>656.7701971330839</c:v>
                </c:pt>
                <c:pt idx="97">
                  <c:v>635.1547992334081</c:v>
                </c:pt>
                <c:pt idx="98">
                  <c:v>610.8510113002076</c:v>
                </c:pt>
                <c:pt idx="99">
                  <c:v>589.2813068975925</c:v>
                </c:pt>
                <c:pt idx="100">
                  <c:v>568.2671800772529</c:v>
                </c:pt>
                <c:pt idx="101">
                  <c:v>545.3235753259175</c:v>
                </c:pt>
                <c:pt idx="102">
                  <c:v>525.2418298323732</c:v>
                </c:pt>
                <c:pt idx="103">
                  <c:v>505.3303245017397</c:v>
                </c:pt>
                <c:pt idx="104">
                  <c:v>483.24555653411164</c:v>
                </c:pt>
                <c:pt idx="105">
                  <c:v>464.1818123077337</c:v>
                </c:pt>
                <c:pt idx="106">
                  <c:v>445.93034998876044</c:v>
                </c:pt>
                <c:pt idx="107">
                  <c:v>426.13145439102254</c:v>
                </c:pt>
                <c:pt idx="108">
                  <c:v>409.0096923375385</c:v>
                </c:pt>
                <c:pt idx="109">
                  <c:v>392.42990322520836</c:v>
                </c:pt>
                <c:pt idx="110">
                  <c:v>374.53187538648746</c:v>
                </c:pt>
                <c:pt idx="111">
                  <c:v>359.84961427998934</c:v>
                </c:pt>
                <c:pt idx="112">
                  <c:v>346.3884478023773</c:v>
                </c:pt>
                <c:pt idx="113">
                  <c:v>332.3135990985811</c:v>
                </c:pt>
                <c:pt idx="114">
                  <c:v>320.93709247237</c:v>
                </c:pt>
                <c:pt idx="115">
                  <c:v>310.87780289071844</c:v>
                </c:pt>
                <c:pt idx="116">
                  <c:v>301.3571579191976</c:v>
                </c:pt>
                <c:pt idx="117">
                  <c:v>294.5649510060312</c:v>
                </c:pt>
                <c:pt idx="118">
                  <c:v>289.8283648752175</c:v>
                </c:pt>
                <c:pt idx="119">
                  <c:v>286.6768082586119</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c:v>
                </c:pt>
                <c:pt idx="128">
                  <c:v>346.1259254691169</c:v>
                </c:pt>
                <c:pt idx="129">
                  <c:v>360.2018669174499</c:v>
                </c:pt>
                <c:pt idx="130">
                  <c:v>374.979174132014</c:v>
                </c:pt>
                <c:pt idx="131">
                  <c:v>392.2776829264379</c:v>
                </c:pt>
                <c:pt idx="132">
                  <c:v>408.57024154816395</c:v>
                </c:pt>
                <c:pt idx="133">
                  <c:v>425.93971816821346</c:v>
                </c:pt>
                <c:pt idx="134">
                  <c:v>446.3421213823275</c:v>
                </c:pt>
                <c:pt idx="135">
                  <c:v>464.7813525203341</c:v>
                </c:pt>
                <c:pt idx="136">
                  <c:v>483.4361058636219</c:v>
                </c:pt>
                <c:pt idx="137">
                  <c:v>505.1728402834789</c:v>
                </c:pt>
                <c:pt idx="138">
                  <c:v>525.0301956551476</c:v>
                </c:pt>
                <c:pt idx="139">
                  <c:v>545.294526979861</c:v>
                </c:pt>
                <c:pt idx="140">
                  <c:v>568.6160000021816</c:v>
                </c:pt>
                <c:pt idx="141">
                  <c:v>589.595073012865</c:v>
                </c:pt>
                <c:pt idx="142">
                  <c:v>610.6232752319127</c:v>
                </c:pt>
                <c:pt idx="143">
                  <c:v>634.7142430382997</c:v>
                </c:pt>
                <c:pt idx="144">
                  <c:v>656.7596814523544</c:v>
                </c:pt>
                <c:pt idx="145">
                  <c:v>678.934378578411</c:v>
                </c:pt>
                <c:pt idx="146">
                  <c:v>704.1449836362386</c:v>
                </c:pt>
                <c:pt idx="147">
                  <c:v>726.6812853306784</c:v>
                </c:pt>
                <c:pt idx="148">
                  <c:v>749.5015119345261</c:v>
                </c:pt>
                <c:pt idx="149">
                  <c:v>775.4018440048759</c:v>
                </c:pt>
                <c:pt idx="150">
                  <c:v>798.9128126847422</c:v>
                </c:pt>
                <c:pt idx="151">
                  <c:v>822.691392020902</c:v>
                </c:pt>
                <c:pt idx="152">
                  <c:v>849.2996394600398</c:v>
                </c:pt>
                <c:pt idx="153">
                  <c:v>873.1094978635793</c:v>
                </c:pt>
                <c:pt idx="154">
                  <c:v>897.2665212613587</c:v>
                </c:pt>
                <c:pt idx="155">
                  <c:v>924.8641481909997</c:v>
                </c:pt>
                <c:pt idx="156">
                  <c:v>949.6945154062549</c:v>
                </c:pt>
                <c:pt idx="157">
                  <c:v>974.4855341929169</c:v>
                </c:pt>
                <c:pt idx="158">
                  <c:v>1002.4378207984545</c:v>
                </c:pt>
                <c:pt idx="159">
                  <c:v>1027.5870587413654</c:v>
                </c:pt>
                <c:pt idx="160">
                  <c:v>1053.0619961686964</c:v>
                </c:pt>
                <c:pt idx="161">
                  <c:v>1082.1146416403806</c:v>
                </c:pt>
                <c:pt idx="162">
                  <c:v>1108.021307304762</c:v>
                </c:pt>
                <c:pt idx="163">
                  <c:v>1133.8978649739838</c:v>
                </c:pt>
                <c:pt idx="164">
                  <c:v>1163.204522336932</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c:v>
                </c:pt>
                <c:pt idx="177">
                  <c:v>1538.4831289843698</c:v>
                </c:pt>
                <c:pt idx="178">
                  <c:v>1567.9590204754618</c:v>
                </c:pt>
                <c:pt idx="179">
                  <c:v>1601.1205159498156</c:v>
                </c:pt>
                <c:pt idx="180">
                  <c:v>1630.7637614719622</c:v>
                </c:pt>
                <c:pt idx="181">
                  <c:v>1660.6990177446987</c:v>
                </c:pt>
                <c:pt idx="182">
                  <c:v>1694.822586614646</c:v>
                </c:pt>
                <c:pt idx="183">
                  <c:v>1725.5482605386435</c:v>
                </c:pt>
                <c:pt idx="184">
                  <c:v>1756.3205691070345</c:v>
                </c:pt>
                <c:pt idx="185">
                  <c:v>1790.9188228799637</c:v>
                </c:pt>
                <c:pt idx="186">
                  <c:v>1821.953328576106</c:v>
                </c:pt>
                <c:pt idx="187">
                  <c:v>1853.59624895787</c:v>
                </c:pt>
                <c:pt idx="188">
                  <c:v>1889.5699053140133</c:v>
                </c:pt>
                <c:pt idx="189">
                  <c:v>1921.4798302362296</c:v>
                </c:pt>
                <c:pt idx="190">
                  <c:v>1953.5879483646522</c:v>
                </c:pt>
                <c:pt idx="191">
                  <c:v>1990.0401318933384</c:v>
                </c:pt>
                <c:pt idx="192">
                  <c:v>2022.880167968336</c:v>
                </c:pt>
                <c:pt idx="193">
                  <c:v>2055.916701140966</c:v>
                </c:pt>
                <c:pt idx="194">
                  <c:v>2093.535999451713</c:v>
                </c:pt>
                <c:pt idx="195">
                  <c:v>2127.089015227387</c:v>
                </c:pt>
                <c:pt idx="196">
                  <c:v>2160.681927524224</c:v>
                </c:pt>
                <c:pt idx="197">
                  <c:v>2198.86700095953</c:v>
                </c:pt>
                <c:pt idx="198">
                  <c:v>2233.3796452003226</c:v>
                </c:pt>
                <c:pt idx="199">
                  <c:v>2268.093572924754</c:v>
                </c:pt>
                <c:pt idx="200">
                  <c:v>2307.269279658743</c:v>
                </c:pt>
                <c:pt idx="201">
                  <c:v>2342.397836711693</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c:v>
                </c:pt>
                <c:pt idx="210">
                  <c:v>2684.843917592267</c:v>
                </c:pt>
                <c:pt idx="211">
                  <c:v>2722.7356281270404</c:v>
                </c:pt>
                <c:pt idx="212">
                  <c:v>2765.514130169189</c:v>
                </c:pt>
                <c:pt idx="213">
                  <c:v>2803.976331236653</c:v>
                </c:pt>
                <c:pt idx="214">
                  <c:v>2842.8304615876677</c:v>
                </c:pt>
                <c:pt idx="215">
                  <c:v>2886.984046410364</c:v>
                </c:pt>
                <c:pt idx="216">
                  <c:v>2926.6072868304295</c:v>
                </c:pt>
                <c:pt idx="217">
                  <c:v>2966.111877040855</c:v>
                </c:pt>
                <c:pt idx="218">
                  <c:v>3010.783980478043</c:v>
                </c:pt>
                <c:pt idx="219">
                  <c:v>3051.177959160306</c:v>
                </c:pt>
                <c:pt idx="220">
                  <c:v>3091.992984294787</c:v>
                </c:pt>
                <c:pt idx="221">
                  <c:v>3137.9971314740387</c:v>
                </c:pt>
                <c:pt idx="222">
                  <c:v>3179.0930306359223</c:v>
                </c:pt>
                <c:pt idx="223">
                  <c:v>3220.474419904112</c:v>
                </c:pt>
                <c:pt idx="224">
                  <c:v>3267.386848018475</c:v>
                </c:pt>
                <c:pt idx="225">
                  <c:v>3309.459484632871</c:v>
                </c:pt>
                <c:pt idx="226">
                  <c:v>3352.0649024359104</c:v>
                </c:pt>
                <c:pt idx="227">
                  <c:v>3400.2165495983063</c:v>
                </c:pt>
                <c:pt idx="228">
                  <c:v>3443.039173659275</c:v>
                </c:pt>
                <c:pt idx="229">
                  <c:v>3486.123112704351</c:v>
                </c:pt>
                <c:pt idx="230">
                  <c:v>3535.217216361177</c:v>
                </c:pt>
                <c:pt idx="231">
                  <c:v>3579.384617384559</c:v>
                </c:pt>
                <c:pt idx="232">
                  <c:v>3623.8013398415765</c:v>
                </c:pt>
                <c:pt idx="233">
                  <c:v>3673.7926080967623</c:v>
                </c:pt>
                <c:pt idx="234">
                  <c:v>3718.47695762412</c:v>
                </c:pt>
                <c:pt idx="235">
                  <c:v>3763.561788221822</c:v>
                </c:pt>
                <c:pt idx="236">
                  <c:v>3814.9348272569846</c:v>
                </c:pt>
                <c:pt idx="237">
                  <c:v>3861.017558017563</c:v>
                </c:pt>
                <c:pt idx="238">
                  <c:v>3907.272108473731</c:v>
                </c:pt>
                <c:pt idx="239">
                  <c:v>3959.1875965265444</c:v>
                </c:pt>
                <c:pt idx="240">
                  <c:v>4005.8185439109393</c:v>
                </c:pt>
              </c:numCache>
            </c:numRef>
          </c:yVal>
        </c:ser>
        <c:ser>
          <c:idx val="2"/>
          <c:order val="2"/>
          <c:tx>
            <c:v>Paper ice-ocean 35 km / 1600 km pass</c:v>
          </c:tx>
          <c:spPr>
            <a:ln xmlns:a="http://schemas.openxmlformats.org/drawingml/2006/main" w="19050">
              <a:solidFill>
                <a:srgbClr val="16A34A"/>
              </a:solidFill>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Native_Chart_Data!$F$1718:$F$1958</c:f>
              <c:numCache>
                <c:formatCode>General</c:formatCode>
                <c:ptCount val="241"/>
                <c:pt idx="0">
                  <c:v>9500.556371343455</c:v>
                </c:pt>
                <c:pt idx="1">
                  <c:v>9376.680634893852</c:v>
                </c:pt>
                <c:pt idx="2">
                  <c:v>9237.86693657525</c:v>
                </c:pt>
                <c:pt idx="3">
                  <c:v>9116.215434885857</c:v>
                </c:pt>
                <c:pt idx="4">
                  <c:v>8994.697019798912</c:v>
                </c:pt>
                <c:pt idx="5">
                  <c:v>8859.340160987978</c:v>
                </c:pt>
                <c:pt idx="6">
                  <c:v>8740.33178886133</c:v>
                </c:pt>
                <c:pt idx="7">
                  <c:v>8621.530757474558</c:v>
                </c:pt>
                <c:pt idx="8">
                  <c:v>8489.738021557185</c:v>
                </c:pt>
                <c:pt idx="9">
                  <c:v>8373.16191725028</c:v>
                </c:pt>
                <c:pt idx="10">
                  <c:v>8257.496479709396</c:v>
                </c:pt>
                <c:pt idx="11">
                  <c:v>8128.795130995124</c:v>
                </c:pt>
                <c:pt idx="12">
                  <c:v>8015.099169643812</c:v>
                </c:pt>
                <c:pt idx="13">
                  <c:v>7902.130399222022</c:v>
                </c:pt>
                <c:pt idx="14">
                  <c:v>7776.641992156676</c:v>
                </c:pt>
                <c:pt idx="15">
                  <c:v>7665.4810009588955</c:v>
                </c:pt>
                <c:pt idx="16">
                  <c:v>7555.439677176813</c:v>
                </c:pt>
                <c:pt idx="17">
                  <c:v>7433.099881007341</c:v>
                </c:pt>
                <c:pt idx="18">
                  <c:v>7324.546168355662</c:v>
                </c:pt>
                <c:pt idx="19">
                  <c:v>7217.711125746066</c:v>
                </c:pt>
                <c:pt idx="20">
                  <c:v>7098.019488341909</c:v>
                </c:pt>
                <c:pt idx="21">
                  <c:v>6992.6479613045</c:v>
                </c:pt>
                <c:pt idx="22">
                  <c:v>6888.445538379483</c:v>
                </c:pt>
                <c:pt idx="23">
                  <c:v>6771.789850814738</c:v>
                </c:pt>
                <c:pt idx="24">
                  <c:v>6669.242000062811</c:v>
                </c:pt>
                <c:pt idx="25">
                  <c:v>6567.617122187415</c:v>
                </c:pt>
                <c:pt idx="26">
                  <c:v>6453.946736401601</c:v>
                </c:pt>
                <c:pt idx="27">
                  <c:v>6354.148628359924</c:v>
                </c:pt>
                <c:pt idx="28">
                  <c:v>6255.366172336804</c:v>
                </c:pt>
                <c:pt idx="29">
                  <c:v>6144.635133313037</c:v>
                </c:pt>
                <c:pt idx="30">
                  <c:v>6047.970949157087</c:v>
                </c:pt>
                <c:pt idx="31">
                  <c:v>5951.39951323184</c:v>
                </c:pt>
                <c:pt idx="32">
                  <c:v>5844.072163861854</c:v>
                </c:pt>
                <c:pt idx="33">
                  <c:v>5749.953698963689</c:v>
                </c:pt>
                <c:pt idx="34">
                  <c:v>5655.904045000844</c:v>
                </c:pt>
                <c:pt idx="35">
                  <c:v>5551.850758749343</c:v>
                </c:pt>
                <c:pt idx="36">
                  <c:v>5459.997895455708</c:v>
                </c:pt>
                <c:pt idx="37">
                  <c:v>5368.7858670736305</c:v>
                </c:pt>
                <c:pt idx="38">
                  <c:v>5267.622993940169</c:v>
                </c:pt>
                <c:pt idx="39">
                  <c:v>5178.40985077925</c:v>
                </c:pt>
                <c:pt idx="40">
                  <c:v>5089.837376029708</c:v>
                </c:pt>
                <c:pt idx="41">
                  <c:v>4991.755684834356</c:v>
                </c:pt>
                <c:pt idx="42">
                  <c:v>4904.952222315528</c:v>
                </c:pt>
                <c:pt idx="43">
                  <c:v>4819.191173047067</c:v>
                </c:pt>
                <c:pt idx="44">
                  <c:v>4723.98050134968</c:v>
                </c:pt>
                <c:pt idx="45">
                  <c:v>4639.4759832506</c:v>
                </c:pt>
                <c:pt idx="46">
                  <c:v>4556.60858333567</c:v>
                </c:pt>
                <c:pt idx="47">
                  <c:v>4463.78426007426</c:v>
                </c:pt>
                <c:pt idx="48">
                  <c:v>4382.161216077137</c:v>
                </c:pt>
                <c:pt idx="49">
                  <c:v>4301.685868120516</c:v>
                </c:pt>
                <c:pt idx="50">
                  <c:v>4211.604469769382</c:v>
                </c:pt>
                <c:pt idx="51">
                  <c:v>4132.672970012625</c:v>
                </c:pt>
                <c:pt idx="52">
                  <c:v>4054.616149263494</c:v>
                </c:pt>
                <c:pt idx="53">
                  <c:v>3967.3646091084047</c:v>
                </c:pt>
                <c:pt idx="54">
                  <c:v>3890.8212117810226</c:v>
                </c:pt>
                <c:pt idx="55">
                  <c:v>3815.2605376380343</c:v>
                </c:pt>
                <c:pt idx="56">
                  <c:v>3730.4741694394993</c:v>
                </c:pt>
                <c:pt idx="57">
                  <c:v>3656.657350395744</c:v>
                </c:pt>
                <c:pt idx="58">
                  <c:v>3583.025074116563</c:v>
                </c:pt>
                <c:pt idx="59">
                  <c:v>3501.228989140432</c:v>
                </c:pt>
                <c:pt idx="60">
                  <c:v>3429.6338635999455</c:v>
                </c:pt>
                <c:pt idx="61">
                  <c:v>3358.2164161547216</c:v>
                </c:pt>
                <c:pt idx="62">
                  <c:v>3279.379574445211</c:v>
                </c:pt>
                <c:pt idx="63">
                  <c:v>3209.819190900689</c:v>
                </c:pt>
                <c:pt idx="64">
                  <c:v>3140.868117715043</c:v>
                </c:pt>
                <c:pt idx="65">
                  <c:v>3064.463120167224</c:v>
                </c:pt>
                <c:pt idx="66">
                  <c:v>2997.1693225152612</c:v>
                </c:pt>
                <c:pt idx="67">
                  <c:v>2930.290863262151</c:v>
                </c:pt>
                <c:pt idx="68">
                  <c:v>2856.458663651637</c:v>
                </c:pt>
                <c:pt idx="69">
                  <c:v>2791.0833339882856</c:v>
                </c:pt>
                <c:pt idx="70">
                  <c:v>2726.5981963853515</c:v>
                </c:pt>
                <c:pt idx="71">
                  <c:v>2655.133708523069</c:v>
                </c:pt>
                <c:pt idx="72">
                  <c:v>2591.70764324169</c:v>
                </c:pt>
                <c:pt idx="73">
                  <c:v>2529.6567125397137</c:v>
                </c:pt>
                <c:pt idx="74">
                  <c:v>2460.1080312741733</c:v>
                </c:pt>
                <c:pt idx="75">
                  <c:v>2399.037857844189</c:v>
                </c:pt>
                <c:pt idx="76">
                  <c:v>2338.848545673518</c:v>
                </c:pt>
                <c:pt idx="77">
                  <c:v>2271.4757396841865</c:v>
                </c:pt>
                <c:pt idx="78">
                  <c:v>2212.418081073065</c:v>
                </c:pt>
                <c:pt idx="79">
                  <c:v>2154.069064539017</c:v>
                </c:pt>
                <c:pt idx="80">
                  <c:v>2088.853489351747</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c:v>
                </c:pt>
                <c:pt idx="97">
                  <c:v>1160.3541102258998</c:v>
                </c:pt>
                <c:pt idx="98">
                  <c:v>1106.563522654145</c:v>
                </c:pt>
                <c:pt idx="99">
                  <c:v>1058.8311599750984</c:v>
                </c:pt>
                <c:pt idx="100">
                  <c:v>1012.0645953546137</c:v>
                </c:pt>
                <c:pt idx="101">
                  <c:v>959.6992490366466</c:v>
                </c:pt>
                <c:pt idx="102">
                  <c:v>913.7430465581227</c:v>
                </c:pt>
                <c:pt idx="103">
                  <c:v>868.5395491003828</c:v>
                </c:pt>
                <c:pt idx="104">
                  <c:v>817.9688649858522</c:v>
                </c:pt>
                <c:pt idx="105">
                  <c:v>773.8625324971048</c:v>
                </c:pt>
                <c:pt idx="106">
                  <c:v>730.4506475657673</c:v>
                </c:pt>
                <c:pt idx="107">
                  <c:v>682.0960655809658</c:v>
                </c:pt>
                <c:pt idx="108">
                  <c:v>640.0475870733427</c:v>
                </c:pt>
                <c:pt idx="109">
                  <c:v>599.066176193741</c:v>
                </c:pt>
                <c:pt idx="110">
                  <c:v>553.4978964465374</c:v>
                </c:pt>
                <c:pt idx="111">
                  <c:v>514.9837762599814</c:v>
                </c:pt>
                <c:pt idx="112">
                  <c:v>477.1635303185421</c:v>
                </c:pt>
                <c:pt idx="113">
                  <c:v>437.0157822838088</c:v>
                </c:pt>
                <c:pt idx="114">
                  <c:v>403.78577502854455</c:v>
                </c:pt>
                <c:pt idx="115">
                  <c:v>372.5309517744891</c:v>
                </c:pt>
                <c:pt idx="116">
                  <c:v>342.2544609165582</c:v>
                </c:pt>
                <c:pt idx="117">
                  <c:v>319.39972411688655</c:v>
                </c:pt>
                <c:pt idx="118">
                  <c:v>301.59997247160845</c:v>
                </c:pt>
                <c:pt idx="119">
                  <c:v>289.2412791527174</c:v>
                </c:pt>
                <c:pt idx="120">
                  <c:v>285.44962589236945</c:v>
                </c:pt>
                <c:pt idx="121">
                  <c:v>288.7955768368026</c:v>
                </c:pt>
                <c:pt idx="122">
                  <c:v>301.6329876220608</c:v>
                </c:pt>
                <c:pt idx="123">
                  <c:v>318.9091927078766</c:v>
                </c:pt>
                <c:pt idx="124">
                  <c:v>341.8770920620382</c:v>
                </c:pt>
                <c:pt idx="125">
                  <c:v>372.99975846273446</c:v>
                </c:pt>
                <c:pt idx="126">
                  <c:v>403.35525783550514</c:v>
                </c:pt>
                <c:pt idx="127">
                  <c:v>437.3422960859125</c:v>
                </c:pt>
                <c:pt idx="128">
                  <c:v>477.3110002130046</c:v>
                </c:pt>
                <c:pt idx="129">
                  <c:v>514.7823373735504</c:v>
                </c:pt>
                <c:pt idx="130">
                  <c:v>553.9006055367585</c:v>
                </c:pt>
                <c:pt idx="131">
                  <c:v>598.7767662366037</c:v>
                </c:pt>
                <c:pt idx="132">
                  <c:v>640.0379285550378</c:v>
                </c:pt>
                <c:pt idx="133">
                  <c:v>682.1647345655422</c:v>
                </c:pt>
                <c:pt idx="134">
                  <c:v>730.1679277696081</c:v>
                </c:pt>
                <c:pt idx="135">
                  <c:v>773.8737899853746</c:v>
                </c:pt>
                <c:pt idx="136">
                  <c:v>818.2319444741053</c:v>
                </c:pt>
                <c:pt idx="137">
                  <c:v>868.3304441097539</c:v>
                </c:pt>
                <c:pt idx="138">
                  <c:v>914.0428007371116</c:v>
                </c:pt>
                <c:pt idx="139">
                  <c:v>959.7681106792701</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c:v>
                </c:pt>
                <c:pt idx="156">
                  <c:v>1856.7086148968674</c:v>
                </c:pt>
                <c:pt idx="157">
                  <c:v>1912.259873742373</c:v>
                </c:pt>
                <c:pt idx="158">
                  <c:v>1975.1014147397316</c:v>
                </c:pt>
                <c:pt idx="159">
                  <c:v>2031.7985558053063</c:v>
                </c:pt>
                <c:pt idx="160">
                  <c:v>2089.0735031949753</c:v>
                </c:pt>
                <c:pt idx="161">
                  <c:v>2153.951648074589</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c:v>
                </c:pt>
                <c:pt idx="170">
                  <c:v>2726.825506113058</c:v>
                </c:pt>
                <c:pt idx="171">
                  <c:v>2791.225314975836</c:v>
                </c:pt>
                <c:pt idx="172">
                  <c:v>2856.226033694012</c:v>
                </c:pt>
                <c:pt idx="173">
                  <c:v>2930.4635049360486</c:v>
                </c:pt>
                <c:pt idx="174">
                  <c:v>2997.0388676298153</c:v>
                </c:pt>
                <c:pt idx="175">
                  <c:v>3064.1595178111925</c:v>
                </c:pt>
                <c:pt idx="176">
                  <c:v>3141.0226701663896</c:v>
                </c:pt>
                <c:pt idx="177">
                  <c:v>3209.636377410934</c:v>
                </c:pt>
                <c:pt idx="178">
                  <c:v>3279.232942558983</c:v>
                </c:pt>
                <c:pt idx="179">
                  <c:v>3358.5960476551613</c:v>
                </c:pt>
                <c:pt idx="180">
                  <c:v>3429.3588510465356</c:v>
                </c:pt>
                <c:pt idx="181">
                  <c:v>3501.549494764668</c:v>
                </c:pt>
                <c:pt idx="182">
                  <c:v>3583.0738605817146</c:v>
                </c:pt>
                <c:pt idx="183">
                  <c:v>3656.40700682295</c:v>
                </c:pt>
                <c:pt idx="184">
                  <c:v>3730.743436868081</c:v>
                </c:pt>
                <c:pt idx="185">
                  <c:v>3814.9219703228828</c:v>
                </c:pt>
                <c:pt idx="186">
                  <c:v>3890.7671657116257</c:v>
                </c:pt>
                <c:pt idx="187">
                  <c:v>3967.4807487458083</c:v>
                </c:pt>
                <c:pt idx="188">
                  <c:v>4054.3706512176195</c:v>
                </c:pt>
                <c:pt idx="189">
                  <c:v>4132.747732519659</c:v>
                </c:pt>
                <c:pt idx="190">
                  <c:v>4211.941309035313</c:v>
                </c:pt>
                <c:pt idx="191">
                  <c:v>4301.463511833895</c:v>
                </c:pt>
                <c:pt idx="192">
                  <c:v>4382.539155040683</c:v>
                </c:pt>
                <c:pt idx="193">
                  <c:v>4463.734853187518</c:v>
                </c:pt>
                <c:pt idx="194">
                  <c:v>4556.388569519348</c:v>
                </c:pt>
                <c:pt idx="195">
                  <c:v>4639.808507150277</c:v>
                </c:pt>
                <c:pt idx="196">
                  <c:v>4723.475434804295</c:v>
                </c:pt>
                <c:pt idx="197">
                  <c:v>4819.254362723023</c:v>
                </c:pt>
                <c:pt idx="198">
                  <c:v>4905.006260578224</c:v>
                </c:pt>
                <c:pt idx="199">
                  <c:v>4991.48938144948</c:v>
                </c:pt>
                <c:pt idx="200">
                  <c:v>5090.147049793061</c:v>
                </c:pt>
                <c:pt idx="201">
                  <c:v>5178.508279581122</c:v>
                </c:pt>
                <c:pt idx="202">
                  <c:v>5267.481291794921</c:v>
                </c:pt>
                <c:pt idx="203">
                  <c:v>5369.156120221762</c:v>
                </c:pt>
                <c:pt idx="204">
                  <c:v>5459.8605829957</c:v>
                </c:pt>
                <c:pt idx="205">
                  <c:v>5551.638851287593</c:v>
                </c:pt>
                <c:pt idx="206">
                  <c:v>5656.251189079561</c:v>
                </c:pt>
                <c:pt idx="207">
                  <c:v>5749.357404371224</c:v>
                </c:pt>
                <c:pt idx="208">
                  <c:v>5844.274620092532</c:v>
                </c:pt>
                <c:pt idx="209">
                  <c:v>5951.428965774951</c:v>
                </c:pt>
                <c:pt idx="210">
                  <c:v>6047.702050281103</c:v>
                </c:pt>
                <c:pt idx="211">
                  <c:v>6145.111338452737</c:v>
                </c:pt>
                <c:pt idx="212">
                  <c:v>6255.2175947007745</c:v>
                </c:pt>
                <c:pt idx="213">
                  <c:v>6354.280825753113</c:v>
                </c:pt>
                <c:pt idx="214">
                  <c:v>6454.255793929251</c:v>
                </c:pt>
                <c:pt idx="215">
                  <c:v>6567.347290290034</c:v>
                </c:pt>
                <c:pt idx="216">
                  <c:v>6669.157766597426</c:v>
                </c:pt>
                <c:pt idx="217">
                  <c:v>6771.9546878484725</c:v>
                </c:pt>
                <c:pt idx="218">
                  <c:v>6888.021426206601</c:v>
                </c:pt>
                <c:pt idx="219">
                  <c:v>6992.888996566192</c:v>
                </c:pt>
                <c:pt idx="220">
                  <c:v>7098.013869852497</c:v>
                </c:pt>
                <c:pt idx="221">
                  <c:v>7217.546480079481</c:v>
                </c:pt>
                <c:pt idx="222">
                  <c:v>7325.109272184577</c:v>
                </c:pt>
                <c:pt idx="223">
                  <c:v>7432.782391212268</c:v>
                </c:pt>
                <c:pt idx="224">
                  <c:v>7555.73320099179</c:v>
                </c:pt>
                <c:pt idx="225">
                  <c:v>7665.636355141923</c:v>
                </c:pt>
                <c:pt idx="226">
                  <c:v>7776.31348402332</c:v>
                </c:pt>
                <c:pt idx="227">
                  <c:v>7902.234110027593</c:v>
                </c:pt>
                <c:pt idx="228">
                  <c:v>8014.969432881394</c:v>
                </c:pt>
                <c:pt idx="229">
                  <c:v>8128.406130195016</c:v>
                </c:pt>
                <c:pt idx="230">
                  <c:v>8257.762900264475</c:v>
                </c:pt>
                <c:pt idx="231">
                  <c:v>8373.137731591465</c:v>
                </c:pt>
                <c:pt idx="232">
                  <c:v>8489.606317132932</c:v>
                </c:pt>
                <c:pt idx="233">
                  <c:v>8622.02423942488</c:v>
                </c:pt>
                <c:pt idx="234">
                  <c:v>8739.913766874453</c:v>
                </c:pt>
                <c:pt idx="235">
                  <c:v>8859.603644488401</c:v>
                </c:pt>
                <c:pt idx="236">
                  <c:v>8994.652022373111</c:v>
                </c:pt>
                <c:pt idx="237">
                  <c:v>9115.781029913565</c:v>
                </c:pt>
                <c:pt idx="238">
                  <c:v>9238.143445583908</c:v>
                </c:pt>
                <c:pt idx="239">
                  <c:v>9376.367521334945</c:v>
                </c:pt>
                <c:pt idx="240">
                  <c:v>9500.459003101661</c:v>
                </c:pt>
              </c:numCache>
            </c:numRef>
          </c:yVal>
        </c:ser>
        <c:ser>
          <c:idx val="3"/>
          <c:order val="3"/>
          <c:tx>
            <c:v>Operating 25 km / 1600 km pass</c:v>
          </c:tx>
          <c:spPr>
            <a:ln xmlns:a="http://schemas.openxmlformats.org/drawingml/2006/main" w="19050">
              <a:solidFill>
                <a:srgbClr val="7C3AED"/>
              </a:solidFill>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-373.6000000000001</c:v>
                </c:pt>
                <c:pt idx="65">
                  <c:v>-366.4</c:v>
                </c:pt>
                <c:pt idx="66">
                  <c:v>-359.99999999999994</c:v>
                </c:pt>
                <c:pt idx="67">
                  <c:v>-353.59999999999997</c:v>
                </c:pt>
                <c:pt idx="68">
                  <c:v>-346.40000000000003</c:v>
                </c:pt>
                <c:pt idx="69">
                  <c:v>-340.00000000000006</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c:v>
                </c:pt>
                <c:pt idx="98">
                  <c:v>-146.4000000000001</c:v>
                </c:pt>
                <c:pt idx="99">
                  <c:v>-140</c:v>
                </c:pt>
                <c:pt idx="100">
                  <c:v>-133.60000000000002</c:v>
                </c:pt>
                <c:pt idx="101">
                  <c:v>-126.39999999999998</c:v>
                </c:pt>
                <c:pt idx="102">
                  <c:v>-120</c:v>
                </c:pt>
                <c:pt idx="103">
                  <c:v>-113.60000000000002</c:v>
                </c:pt>
                <c:pt idx="104">
                  <c:v>-106.39999999999998</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-26.399999999999977</c:v>
                </c:pt>
                <c:pt idx="117">
                  <c:v>-20</c:v>
                </c:pt>
                <c:pt idx="118">
                  <c:v>-13.600000000000023</c:v>
                </c:pt>
                <c:pt idx="119">
                  <c:v>-6.399999999999977</c:v>
                </c:pt>
                <c:pt idx="120">
                  <c:v>0</c:v>
                </c:pt>
                <c:pt idx="121">
                  <c:v>6.399999999999977</c:v>
                </c:pt>
                <c:pt idx="122">
                  <c:v>13.599999999999909</c:v>
                </c:pt>
                <c:pt idx="123">
                  <c:v>19.999999999999886</c:v>
                </c:pt>
                <c:pt idx="124">
                  <c:v>26.399999999999977</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106.39999999999998</c:v>
                </c:pt>
                <c:pt idx="137">
                  <c:v>113.59999999999991</c:v>
                </c:pt>
                <c:pt idx="138">
                  <c:v>119.99999999999989</c:v>
                </c:pt>
                <c:pt idx="139">
                  <c:v>126.39999999999998</c:v>
                </c:pt>
                <c:pt idx="140">
                  <c:v>133.60000000000002</c:v>
                </c:pt>
                <c:pt idx="141">
                  <c:v>140</c:v>
                </c:pt>
                <c:pt idx="142">
                  <c:v>146.4000000000001</c:v>
                </c:pt>
                <c:pt idx="143">
                  <c:v>153.5999999999999</c:v>
                </c:pt>
                <c:pt idx="144">
                  <c:v>160</c:v>
                </c:pt>
                <c:pt idx="145">
                  <c:v>166.39999999999998</c:v>
                </c:pt>
                <c:pt idx="146">
                  <c:v>173.60000000000002</c:v>
                </c:pt>
                <c:pt idx="147">
                  <c:v>180.0000000000001</c:v>
                </c:pt>
                <c:pt idx="148">
                  <c:v>186.4000000000001</c:v>
                </c:pt>
                <c:pt idx="149">
                  <c:v>193.60000000000002</c:v>
                </c:pt>
                <c:pt idx="150">
                  <c:v>200</c:v>
                </c:pt>
                <c:pt idx="151">
                  <c:v>206.39999999999998</c:v>
                </c:pt>
                <c:pt idx="152">
                  <c:v>213.5999999999999</c:v>
                </c:pt>
                <c:pt idx="153">
                  <c:v>219.9999999999999</c:v>
                </c:pt>
                <c:pt idx="154">
                  <c:v>226.39999999999986</c:v>
                </c:pt>
                <c:pt idx="155">
                  <c:v>233.60000000000014</c:v>
                </c:pt>
                <c:pt idx="156">
                  <c:v>240</c:v>
                </c:pt>
                <c:pt idx="157">
                  <c:v>246.4000000000001</c:v>
                </c:pt>
                <c:pt idx="158">
                  <c:v>253.5999999999999</c:v>
                </c:pt>
                <c:pt idx="159">
                  <c:v>260</c:v>
                </c:pt>
                <c:pt idx="160">
                  <c:v>266.39999999999986</c:v>
                </c:pt>
                <c:pt idx="161">
                  <c:v>273.60000000000014</c:v>
                </c:pt>
                <c:pt idx="162">
                  <c:v>280</c:v>
                </c:pt>
                <c:pt idx="163">
                  <c:v>286.4000000000001</c:v>
                </c:pt>
                <c:pt idx="164">
                  <c:v>293.5999999999999</c:v>
                </c:pt>
                <c:pt idx="165">
                  <c:v>300</c:v>
                </c:pt>
                <c:pt idx="166">
                  <c:v>306.4000000000001</c:v>
                </c:pt>
                <c:pt idx="167">
                  <c:v>313.5999999999999</c:v>
                </c:pt>
                <c:pt idx="168">
                  <c:v>320</c:v>
                </c:pt>
                <c:pt idx="169">
                  <c:v>326.39999999999986</c:v>
                </c:pt>
                <c:pt idx="170">
                  <c:v>333.60000000000014</c:v>
                </c:pt>
                <c:pt idx="171">
                  <c:v>340</c:v>
                </c:pt>
                <c:pt idx="172">
                  <c:v>346.4000000000001</c:v>
                </c:pt>
                <c:pt idx="173">
                  <c:v>353.5999999999999</c:v>
                </c:pt>
                <c:pt idx="174">
                  <c:v>360</c:v>
                </c:pt>
                <c:pt idx="175">
                  <c:v>366.39999999999986</c:v>
                </c:pt>
                <c:pt idx="176">
                  <c:v>373.60000000000014</c:v>
                </c:pt>
                <c:pt idx="177">
                  <c:v>380</c:v>
                </c:pt>
                <c:pt idx="178">
                  <c:v>386.4000000000001</c:v>
                </c:pt>
                <c:pt idx="179">
                  <c:v>393.5999999999999</c:v>
                </c:pt>
                <c:pt idx="180">
                  <c:v>400</c:v>
                </c:pt>
                <c:pt idx="181">
                  <c:v>406.4000000000001</c:v>
                </c:pt>
                <c:pt idx="182">
                  <c:v>413.5999999999999</c:v>
                </c:pt>
                <c:pt idx="183">
                  <c:v>420</c:v>
                </c:pt>
                <c:pt idx="184">
                  <c:v>426.39999999999986</c:v>
                </c:pt>
                <c:pt idx="185">
                  <c:v>433.60000000000014</c:v>
                </c:pt>
                <c:pt idx="186">
                  <c:v>440</c:v>
                </c:pt>
                <c:pt idx="187">
                  <c:v>446.4000000000001</c:v>
                </c:pt>
                <c:pt idx="188">
                  <c:v>453.5999999999999</c:v>
                </c:pt>
                <c:pt idx="189">
                  <c:v>460</c:v>
                </c:pt>
                <c:pt idx="190">
                  <c:v>466.39999999999986</c:v>
                </c:pt>
                <c:pt idx="191">
                  <c:v>473.60000000000014</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Native_Chart_Data!$H$1718:$H$1958</c:f>
              <c:numCache>
                <c:formatCode>General</c:formatCode>
                <c:ptCount val="241"/>
                <c:pt idx="0">
                  <c:v>9500.556371343455</c:v>
                </c:pt>
                <c:pt idx="1">
                  <c:v>9375.78645312123</c:v>
                </c:pt>
                <c:pt idx="2">
                  <c:v>9235.980691879406</c:v>
                </c:pt>
                <c:pt idx="3">
                  <c:v>9113.459474677602</c:v>
                </c:pt>
                <c:pt idx="4">
                  <c:v>8991.083262053251</c:v>
                </c:pt>
                <c:pt idx="5">
                  <c:v>8854.775290553753</c:v>
                </c:pt>
                <c:pt idx="6">
                  <c:v>8734.933723952112</c:v>
                </c:pt>
                <c:pt idx="7">
                  <c:v>8615.311864200492</c:v>
                </c:pt>
                <c:pt idx="8">
                  <c:v>8482.60917722077</c:v>
                </c:pt>
                <c:pt idx="9">
                  <c:v>8365.237270419912</c:v>
                </c:pt>
                <c:pt idx="10">
                  <c:v>8248.788016979055</c:v>
                </c:pt>
                <c:pt idx="11">
                  <c:v>8119.218745794955</c:v>
                </c:pt>
                <c:pt idx="12">
                  <c:v>8004.764484602612</c:v>
                </c:pt>
                <c:pt idx="13">
                  <c:v>7891.049878608126</c:v>
                </c:pt>
                <c:pt idx="14">
                  <c:v>7764.735963080681</c:v>
                </c:pt>
                <c:pt idx="15">
                  <c:v>7652.855371318062</c:v>
                </c:pt>
                <c:pt idx="16">
                  <c:v>7542.106308297932</c:v>
                </c:pt>
                <c:pt idx="17">
                  <c:v>7418.984078737651</c:v>
                </c:pt>
                <c:pt idx="18">
                  <c:v>7309.750091969138</c:v>
                </c:pt>
                <c:pt idx="19">
                  <c:v>7202.2449127278005</c:v>
                </c:pt>
                <c:pt idx="20">
                  <c:v>7081.816025654211</c:v>
                </c:pt>
                <c:pt idx="21">
                  <c:v>6975.80232907405</c:v>
                </c:pt>
                <c:pt idx="22">
                  <c:v>6870.9693497228955</c:v>
                </c:pt>
                <c:pt idx="23">
                  <c:v>6753.621278144666</c:v>
                </c:pt>
                <c:pt idx="24">
                  <c:v>6650.47074761406</c:v>
                </c:pt>
                <c:pt idx="25">
                  <c:v>6548.25580809364</c:v>
                </c:pt>
                <c:pt idx="26">
                  <c:v>6433.938830803955</c:v>
                </c:pt>
                <c:pt idx="27">
                  <c:v>6333.578302346319</c:v>
                </c:pt>
                <c:pt idx="28">
                  <c:v>6234.24564203876</c:v>
                </c:pt>
                <c:pt idx="29">
                  <c:v>6122.914735787467</c:v>
                </c:pt>
                <c:pt idx="30">
                  <c:v>6025.726492848604</c:v>
                </c:pt>
                <c:pt idx="31">
                  <c:v>5928.648736328782</c:v>
                </c:pt>
                <c:pt idx="32">
                  <c:v>5820.765933364904</c:v>
                </c:pt>
                <c:pt idx="33">
                  <c:v>5726.165298383326</c:v>
                </c:pt>
                <c:pt idx="34">
                  <c:v>5631.65237257585</c:v>
                </c:pt>
                <c:pt idx="35">
                  <c:v>5527.088644171126</c:v>
                </c:pt>
                <c:pt idx="36">
                  <c:v>5434.79834663666</c:v>
                </c:pt>
                <c:pt idx="37">
                  <c:v>5343.164202862709</c:v>
                </c:pt>
                <c:pt idx="38">
                  <c:v>5241.538951238175</c:v>
                </c:pt>
                <c:pt idx="39">
                  <c:v>5151.930884437782</c:v>
                </c:pt>
                <c:pt idx="40">
                  <c:v>5062.979131012552</c:v>
                </c:pt>
                <c:pt idx="41">
                  <c:v>4964.4815363743965</c:v>
                </c:pt>
                <c:pt idx="42">
                  <c:v>4877.328179359549</c:v>
                </c:pt>
                <c:pt idx="43">
                  <c:v>4791.228813085901</c:v>
                </c:pt>
                <c:pt idx="44">
                  <c:v>4695.650666460148</c:v>
                </c:pt>
                <c:pt idx="45">
                  <c:v>4610.84324098783</c:v>
                </c:pt>
                <c:pt idx="46">
                  <c:v>4527.676662769078</c:v>
                </c:pt>
                <c:pt idx="47">
                  <c:v>4434.539750557736</c:v>
                </c:pt>
                <c:pt idx="48">
                  <c:v>4352.65346960581</c:v>
                </c:pt>
                <c:pt idx="49">
                  <c:v>4271.923873594473</c:v>
                </c:pt>
                <c:pt idx="50">
                  <c:v>4181.580717076413</c:v>
                </c:pt>
                <c:pt idx="51">
                  <c:v>4102.426876759548</c:v>
                </c:pt>
                <c:pt idx="52">
                  <c:v>4024.1601603091813</c:v>
                </c:pt>
                <c:pt idx="53">
                  <c:v>3936.6957000760913</c:v>
                </c:pt>
                <c:pt idx="54">
                  <c:v>3859.974715726375</c:v>
                </c:pt>
                <c:pt idx="55">
                  <c:v>3784.2463249330663</c:v>
                </c:pt>
                <c:pt idx="56">
                  <c:v>3699.30191597568</c:v>
                </c:pt>
                <c:pt idx="57">
                  <c:v>3625.3443038047226</c:v>
                </c:pt>
                <c:pt idx="58">
                  <c:v>3551.5973602312506</c:v>
                </c:pt>
                <c:pt idx="59">
                  <c:v>3469.686028659542</c:v>
                </c:pt>
                <c:pt idx="60">
                  <c:v>3397.995470414696</c:v>
                </c:pt>
                <c:pt idx="61">
                  <c:v>3326.510290593986</c:v>
                </c:pt>
                <c:pt idx="62">
                  <c:v>3247.597471574157</c:v>
                </c:pt>
                <c:pt idx="63">
                  <c:v>3177.990618415184</c:v>
                </c:pt>
                <c:pt idx="64">
                  <c:v>3109.009887937512</c:v>
                </c:pt>
                <c:pt idx="65">
                  <c:v>3032.5783074211417</c:v>
                </c:pt>
                <c:pt idx="66">
                  <c:v>2965.278708244999</c:v>
                </c:pt>
                <c:pt idx="67">
                  <c:v>2898.417070837936</c:v>
                </c:pt>
                <c:pt idx="68">
                  <c:v>2824.5997932549617</c:v>
                </c:pt>
                <c:pt idx="69">
                  <c:v>2759.2679936296245</c:v>
                </c:pt>
                <c:pt idx="70">
                  <c:v>2694.8315049743364</c:v>
                </c:pt>
                <c:pt idx="71">
                  <c:v>2623.425230126642</c:v>
                </c:pt>
                <c:pt idx="72">
                  <c:v>2560.088488449522</c:v>
                </c:pt>
                <c:pt idx="73">
                  <c:v>2498.1082649566547</c:v>
                </c:pt>
                <c:pt idx="74">
                  <c:v>2428.67513320416</c:v>
                </c:pt>
                <c:pt idx="75">
                  <c:v>2367.7165122313922</c:v>
                </c:pt>
                <c:pt idx="76">
                  <c:v>2307.637032802526</c:v>
                </c:pt>
                <c:pt idx="77">
                  <c:v>2240.4205489602696</c:v>
                </c:pt>
                <c:pt idx="78">
                  <c:v>2181.5032877091103</c:v>
                </c:pt>
                <c:pt idx="79">
                  <c:v>2123.297962760579</c:v>
                </c:pt>
                <c:pt idx="80">
                  <c:v>2058.271372657876</c:v>
                </c:pt>
                <c:pt idx="81">
                  <c:v>2001.281475278257</c:v>
                </c:pt>
                <c:pt idx="82">
                  <c:v>1945.0061543286497</c:v>
                </c:pt>
                <c:pt idx="83">
                  <c:v>1881.9527809601716</c:v>
                </c:pt>
                <c:pt idx="84">
                  <c:v>1827.084897627734</c:v>
                </c:pt>
                <c:pt idx="85">
                  <c:v>1772.2724325966283</c:v>
                </c:pt>
                <c:pt idx="86">
                  <c:v>1711.4500227839458</c:v>
                </c:pt>
                <c:pt idx="87">
                  <c:v>1658.1549567841441</c:v>
                </c:pt>
                <c:pt idx="88">
                  <c:v>1604.932853763352</c:v>
                </c:pt>
                <c:pt idx="89">
                  <c:v>1546.1235434612527</c:v>
                </c:pt>
                <c:pt idx="90">
                  <c:v>1494.2203317731464</c:v>
                </c:pt>
                <c:pt idx="91">
                  <c:v>1442.817695131121</c:v>
                </c:pt>
                <c:pt idx="92">
                  <c:v>1385.7328673887378</c:v>
                </c:pt>
                <c:pt idx="93">
                  <c:v>1335.434839963411</c:v>
                </c:pt>
                <c:pt idx="94">
                  <c:v>1285.5045115158039</c:v>
                </c:pt>
                <c:pt idx="95">
                  <c:v>1230.251296014278</c:v>
                </c:pt>
                <c:pt idx="96">
                  <c:v>1181.3360267787766</c:v>
                </c:pt>
                <c:pt idx="97">
                  <c:v>1132.9336684812708</c:v>
                </c:pt>
                <c:pt idx="98">
                  <c:v>1079.2262262421423</c:v>
                </c:pt>
                <c:pt idx="99">
                  <c:v>1031.5980886484233</c:v>
                </c:pt>
                <c:pt idx="100">
                  <c:v>984.8323231675628</c:v>
                </c:pt>
                <c:pt idx="101">
                  <c:v>932.4708641756583</c:v>
                </c:pt>
                <c:pt idx="102">
                  <c:v>886.4597372531108</c:v>
                </c:pt>
                <c:pt idx="103">
                  <c:v>841.1061786695878</c:v>
                </c:pt>
                <c:pt idx="104">
                  <c:v>790.3494390057505</c:v>
                </c:pt>
                <c:pt idx="105">
                  <c:v>745.953527022406</c:v>
                </c:pt>
                <c:pt idx="106">
                  <c:v>702.144121054545</c:v>
                </c:pt>
                <c:pt idx="107">
                  <c:v>653.271654028491</c:v>
                </c:pt>
                <c:pt idx="108">
                  <c:v>610.5993837127407</c:v>
                </c:pt>
                <c:pt idx="109">
                  <c:v>568.797072806705</c:v>
                </c:pt>
                <c:pt idx="110">
                  <c:v>522.2177364636578</c:v>
                </c:pt>
                <c:pt idx="111">
                  <c:v>482.4244073104283</c:v>
                </c:pt>
                <c:pt idx="112">
                  <c:v>443.22219695033067</c:v>
                </c:pt>
                <c:pt idx="113">
                  <c:v>401.113136863523</c:v>
                </c:pt>
                <c:pt idx="114">
                  <c:v>365.78076718889946</c:v>
                </c:pt>
                <c:pt idx="115">
                  <c:v>332.263191455232</c:v>
                </c:pt>
                <c:pt idx="116">
                  <c:v>298.9985244554888</c:v>
                </c:pt>
                <c:pt idx="117">
                  <c:v>273.4933998987967</c:v>
                </c:pt>
                <c:pt idx="118">
                  <c:v>253.29273098341292</c:v>
                </c:pt>
                <c:pt idx="119">
                  <c:v>238.96678499620617</c:v>
                </c:pt>
                <c:pt idx="120">
                  <c:v>234.57893136334926</c:v>
                </c:pt>
                <c:pt idx="121">
                  <c:v>238.58427038631453</c:v>
                </c:pt>
                <c:pt idx="122">
                  <c:v>253.32068605780916</c:v>
                </c:pt>
                <c:pt idx="123">
                  <c:v>273.0846489801912</c:v>
                </c:pt>
                <c:pt idx="124">
                  <c:v>298.68879997180886</c:v>
                </c:pt>
                <c:pt idx="125">
                  <c:v>332.64252675411603</c:v>
                </c:pt>
                <c:pt idx="126">
                  <c:v>365.43560445237125</c:v>
                </c:pt>
                <c:pt idx="127">
                  <c:v>401.37349365440116</c:v>
                </c:pt>
                <c:pt idx="128">
                  <c:v>443.33938132861306</c:v>
                </c:pt>
                <c:pt idx="129">
                  <c:v>482.26431149858644</c:v>
                </c:pt>
                <c:pt idx="130">
                  <c:v>522.5382572247767</c:v>
                </c:pt>
                <c:pt idx="131">
                  <c:v>568.565823552878</c:v>
                </c:pt>
                <c:pt idx="132">
                  <c:v>610.5916323677442</c:v>
                </c:pt>
                <c:pt idx="133">
                  <c:v>653.3270706753955</c:v>
                </c:pt>
                <c:pt idx="134">
                  <c:v>701.9144007435814</c:v>
                </c:pt>
                <c:pt idx="135">
                  <c:v>745.9627344688287</c:v>
                </c:pt>
                <c:pt idx="136">
                  <c:v>790.5661176236786</c:v>
                </c:pt>
                <c:pt idx="137">
                  <c:v>840.9326078964309</c:v>
                </c:pt>
                <c:pt idx="138">
                  <c:v>886.7103694425493</c:v>
                </c:pt>
                <c:pt idx="139">
                  <c:v>932.5288448805254</c:v>
                </c:pt>
                <c:pt idx="140">
                  <c:v>984.7447767945712</c:v>
                </c:pt>
                <c:pt idx="141">
                  <c:v>1031.851625789072</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1494.197489623103</c:v>
                </c:pt>
                <c:pt idx="151">
                  <c:v>1546.060002257067</c:v>
                </c:pt>
                <c:pt idx="152">
                  <c:v>1605.1533049308823</c:v>
                </c:pt>
                <c:pt idx="153">
                  <c:v>1657.7559651879415</c:v>
                </c:pt>
                <c:pt idx="154">
                  <c:v>1711.5292151987778</c:v>
                </c:pt>
                <c:pt idx="155">
                  <c:v>1772.2146466917202</c:v>
                </c:pt>
                <c:pt idx="156">
                  <c:v>1826.858082720953</c:v>
                </c:pt>
                <c:pt idx="157">
                  <c:v>1882.210761089762</c:v>
                </c:pt>
                <c:pt idx="158">
                  <c:v>1944.858837742305</c:v>
                </c:pt>
                <c:pt idx="159">
                  <c:v>2001.3754442363258</c:v>
                </c:pt>
                <c:pt idx="160">
                  <c:v>2058.4779229179353</c:v>
                </c:pt>
                <c:pt idx="161">
                  <c:v>2123.187380831977</c:v>
                </c:pt>
                <c:pt idx="162">
                  <c:v>2181.5719636316157</c:v>
                </c:pt>
                <c:pt idx="163">
                  <c:v>2240.564610948291</c:v>
                </c:pt>
                <c:pt idx="164">
                  <c:v>2307.2674673048655</c:v>
                </c:pt>
                <c:pt idx="165">
                  <c:v>2367.9009230173892</c:v>
                </c:pt>
                <c:pt idx="166">
                  <c:v>2428.610657778259</c:v>
                </c:pt>
                <c:pt idx="167">
                  <c:v>2497.945375811457</c:v>
                </c:pt>
                <c:pt idx="168">
                  <c:v>2560.508645682442</c:v>
                </c:pt>
                <c:pt idx="169">
                  <c:v>2623.190626267785</c:v>
                </c:pt>
                <c:pt idx="170">
                  <c:v>2695.0500562784723</c:v>
                </c:pt>
                <c:pt idx="171">
                  <c:v>2759.4047365661204</c:v>
                </c:pt>
                <c:pt idx="172">
                  <c:v>2824.3753796888477</c:v>
                </c:pt>
                <c:pt idx="173">
                  <c:v>2898.5839038762074</c:v>
                </c:pt>
                <c:pt idx="174">
                  <c:v>2965.1524552312057</c:v>
                </c:pt>
                <c:pt idx="175">
                  <c:v>3032.284073090573</c:v>
                </c:pt>
                <c:pt idx="176">
                  <c:v>3109.1598983076765</c:v>
                </c:pt>
                <c:pt idx="177">
                  <c:v>3177.812951422256</c:v>
                </c:pt>
                <c:pt idx="178">
                  <c:v>3247.4547932261544</c:v>
                </c:pt>
                <c:pt idx="179">
                  <c:v>3326.8801699923215</c:v>
                </c:pt>
                <c:pt idx="180">
                  <c:v>3397.727225112334</c:v>
                </c:pt>
                <c:pt idx="181">
                  <c:v>3469.9989806158633</c:v>
                </c:pt>
                <c:pt idx="182">
                  <c:v>3551.645051083141</c:v>
                </c:pt>
                <c:pt idx="183">
                  <c:v>3625.099344864149</c:v>
                </c:pt>
                <c:pt idx="184">
                  <c:v>3699.5656343989554</c:v>
                </c:pt>
                <c:pt idx="185">
                  <c:v>3783.9144030090297</c:v>
                </c:pt>
                <c:pt idx="186">
                  <c:v>3859.9216859248836</c:v>
                </c:pt>
                <c:pt idx="187">
                  <c:v>3936.8097483681718</c:v>
                </c:pt>
                <c:pt idx="188">
                  <c:v>4023.918873075728</c:v>
                </c:pt>
                <c:pt idx="189">
                  <c:v>4102.500411292229</c:v>
                </c:pt>
                <c:pt idx="190">
                  <c:v>4181.912259453965</c:v>
                </c:pt>
                <c:pt idx="191">
                  <c:v>4271.704846882371</c:v>
                </c:pt>
                <c:pt idx="192">
                  <c:v>4353.025992120449</c:v>
                </c:pt>
                <c:pt idx="193">
                  <c:v>4434.491021465697</c:v>
                </c:pt>
                <c:pt idx="194">
                  <c:v>4527.459520818479</c:v>
                </c:pt>
                <c:pt idx="195">
                  <c:v>4611.171611868267</c:v>
                </c:pt>
                <c:pt idx="196">
                  <c:v>4695.15163279323</c:v>
                </c:pt>
                <c:pt idx="197">
                  <c:v>4791.291285020119</c:v>
                </c:pt>
                <c:pt idx="198">
                  <c:v>4877.38163084418</c:v>
                </c:pt>
                <c:pt idx="199">
                  <c:v>4964.217996293782</c:v>
                </c:pt>
                <c:pt idx="200">
                  <c:v>5063.28575218447</c:v>
                </c:pt>
                <c:pt idx="201">
                  <c:v>5152.028386800917</c:v>
                </c:pt>
                <c:pt idx="202">
                  <c:v>5241.398522516479</c:v>
                </c:pt>
                <c:pt idx="203">
                  <c:v>5343.531299949264</c:v>
                </c:pt>
                <c:pt idx="204">
                  <c:v>5434.662150530807</c:v>
                </c:pt>
                <c:pt idx="205">
                  <c:v>5526.87837903783</c:v>
                </c:pt>
                <c:pt idx="206">
                  <c:v>5631.996968936285</c:v>
                </c:pt>
                <c:pt idx="207">
                  <c:v>5725.573170850076</c:v>
                </c:pt>
                <c:pt idx="208">
                  <c:v>5820.9670434296495</c:v>
                </c:pt>
                <c:pt idx="209">
                  <c:v>5928.678003819094</c:v>
                </c:pt>
                <c:pt idx="210">
                  <c:v>6025.459198865906</c:v>
                </c:pt>
                <c:pt idx="211">
                  <c:v>6123.388242453002</c:v>
                </c:pt>
                <c:pt idx="212">
                  <c:v>6234.097857525002</c:v>
                </c:pt>
                <c:pt idx="213">
                  <c:v>6333.709831112805</c:v>
                </c:pt>
                <c:pt idx="214">
                  <c:v>6434.24640902367</c:v>
                </c:pt>
                <c:pt idx="215">
                  <c:v>6547.987188435635</c:v>
                </c:pt>
                <c:pt idx="216">
                  <c:v>6650.386871354116</c:v>
                </c:pt>
                <c:pt idx="217">
                  <c:v>6753.785456348162</c:v>
                </c:pt>
                <c:pt idx="218">
                  <c:v>6870.546820843919</c:v>
                </c:pt>
                <c:pt idx="219">
                  <c:v>6976.042519176204</c:v>
                </c:pt>
                <c:pt idx="220">
                  <c:v>7081.81042563662</c:v>
                </c:pt>
                <c:pt idx="221">
                  <c:v>7202.080769171898</c:v>
                </c:pt>
                <c:pt idx="222">
                  <c:v>7310.311593445844</c:v>
                </c:pt>
                <c:pt idx="223">
                  <c:v>7418.6674296546635</c:v>
                </c:pt>
                <c:pt idx="224">
                  <c:v>7542.399117852137</c:v>
                </c:pt>
                <c:pt idx="225">
                  <c:v>7653.010376100991</c:v>
                </c:pt>
                <c:pt idx="226">
                  <c:v>7764.408135091424</c:v>
                </c:pt>
                <c:pt idx="227">
                  <c:v>7891.1533948112265</c:v>
                </c:pt>
                <c:pt idx="228">
                  <c:v>8004.634969601828</c:v>
                </c:pt>
                <c:pt idx="229">
                  <c:v>8118.8303470518795</c:v>
                </c:pt>
                <c:pt idx="230">
                  <c:v>8249.054072142984</c:v>
                </c:pt>
                <c:pt idx="231">
                  <c:v>8365.213114269161</c:v>
                </c:pt>
                <c:pt idx="232">
                  <c:v>8482.477614126423</c:v>
                </c:pt>
                <c:pt idx="233">
                  <c:v>8615.80489558329</c:v>
                </c:pt>
                <c:pt idx="234">
                  <c:v>8734.516026047715</c:v>
                </c:pt>
                <c:pt idx="235">
                  <c:v>8855.038605032187</c:v>
                </c:pt>
                <c:pt idx="236">
                  <c:v>8991.03828693334</c:v>
                </c:pt>
                <c:pt idx="237">
                  <c:v>9113.025230448313</c:v>
                </c:pt>
                <c:pt idx="238">
                  <c:v>9236.257132309041</c:v>
                </c:pt>
                <c:pt idx="239">
                  <c:v>9375.473375519698</c:v>
                </c:pt>
                <c:pt idx="240">
                  <c:v>9500.459003101661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c:spPr>
</c:chartSpace>
</file>

<file path=xl/drawings/drawing1.xml><?xml version="1.0" encoding="utf-8"?>
<xdr:wsDr xmlns:xdr="http://schemas.openxmlformats.org/drawingml/2006/spreadsheetDrawing">
  <xdr:twoCellAnchor>
    <xdr:from>
      <xdr:col>0</xdr:col>
      <xdr:colOff>0</xdr:colOff>
      <xdr:row>28</xdr:row>
      <xdr:rowOff>0</xdr:rowOff>
    </xdr:from>
    <xdr:to>
      <xdr:col>9</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548bb852a94247"/>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6a960b11974479"/>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ca224f6cdf4eab"/>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4588f139e44ea5"/>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420d2509654a77"/>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6794228129499f"/>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13831d4e6944d0"/>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5ca9cf0f914534"/>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13</xdr:row>
      <xdr:rowOff>0</xdr:rowOff>
    </xdr:from>
    <xdr:ext cx="8572500" cy="5257800"/>
    <xdr:pic>
      <xdr:nvPicPr>
        <xdr:cNvPr id="1" name="a8c24185-dee0-40c3-9bf7-519f925908d8"/>
        <xdr:cNvPicPr>
          <a:picLocks xmlns:a="http://schemas.openxmlformats.org/drawingml/2006/main" noChangeAspect="1"/>
        </xdr:cNvPicPr>
      </xdr:nvPicPr>
      <xdr:blipFill>
        <a:blip xmlns:r="http://schemas.openxmlformats.org/officeDocument/2006/relationships" xmlns:a="http://schemas.openxmlformats.org/drawingml/2006/main" r:embed="Rb9f228fad21d4684"/>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13</xdr:row>
      <xdr:rowOff>0</xdr:rowOff>
    </xdr:from>
    <xdr:ext cx="8572500" cy="5143500"/>
    <xdr:pic>
      <xdr:nvPicPr>
        <xdr:cNvPr id="2" name="81bf5768-18cf-42f8-bf48-a90f374be8f2"/>
        <xdr:cNvPicPr>
          <a:picLocks xmlns:a="http://schemas.openxmlformats.org/drawingml/2006/main" noChangeAspect="1"/>
        </xdr:cNvPicPr>
      </xdr:nvPicPr>
      <xdr:blipFill>
        <a:blip xmlns:r="http://schemas.openxmlformats.org/officeDocument/2006/relationships" xmlns:a="http://schemas.openxmlformats.org/drawingml/2006/main" r:embed="Re7c3b035cbb645d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46</xdr:row>
      <xdr:rowOff>0</xdr:rowOff>
    </xdr:from>
    <xdr:ext cx="8572500" cy="6400800"/>
    <xdr:pic>
      <xdr:nvPicPr>
        <xdr:cNvPr id="3" name="d165ce7d-89fd-45d2-8138-087a7451879c"/>
        <xdr:cNvPicPr>
          <a:picLocks xmlns:a="http://schemas.openxmlformats.org/drawingml/2006/main" noChangeAspect="1"/>
        </xdr:cNvPicPr>
      </xdr:nvPicPr>
      <xdr:blipFill>
        <a:blip xmlns:r="http://schemas.openxmlformats.org/officeDocument/2006/relationships" xmlns:a="http://schemas.openxmlformats.org/drawingml/2006/main" r:embed="R71a2e8fafc04487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ModelDataTable" displayName="ModelDataTable" ref="A1:AS242">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4be71f066c74a06" /></Relationships>
</file>

<file path=xl/worksheets/_rels/sheet3.xml.rels>&#65279;<?xml version="1.0" encoding="utf-8"?><Relationships xmlns="http://schemas.openxmlformats.org/package/2006/relationships"><Relationship Type="http://schemas.openxmlformats.org/officeDocument/2006/relationships/table" Target="/xl/tables/table1.xml" Id="R15dd86ffc826470f" /></Relationships>
</file>

<file path=xl/worksheets/_rels/sheet15.xml.rels>&#65279;<?xml version="1.0" encoding="utf-8"?><Relationships xmlns="http://schemas.openxmlformats.org/package/2006/relationships"><Relationship Type="http://schemas.openxmlformats.org/officeDocument/2006/relationships/drawing" Target="/xl/drawings/drawing2.xml" Id="Re744d187d8084141" /></Relationships>
</file>

<file path=xl/worksheets/sheet1.xml><?xml version="1.0" encoding="utf-8"?>
<x:worksheet xmlns:x="http://schemas.openxmlformats.org/spreadsheetml/2006/main">
  <x:sheetViews>
    <x:sheetView showGridLines="0" workbookViewId="0"/>
  </x:sheetViews>
  <x:sheetFormatPr defaultRowHeight="13.5"/>
  <x:cols>
    <x:col min="1" max="1" width="31" customWidth="1"/>
    <x:col min="2" max="2" width="13" customWidth="1"/>
    <x:col min="3" max="3" width="9" customWidth="1"/>
    <x:col min="4" max="4" width="34" customWidth="1"/>
    <x:col min="5" max="5" width="14" customWidth="1"/>
    <x:col min="6" max="6" width="18" customWidth="1"/>
    <x:col min="7" max="8" width="14" customWidth="1"/>
    <x:col min="9" max="9" width="28" customWidth="1"/>
    <x:col min="10" max="18" width="16" customWidth="1"/>
  </x:cols>
  <x:sheetData>
    <x:row r="1" ht="21">
      <x:c r="A1" s="23" t="s">
        <x:v>0</x:v>
      </x:c>
      <x:c r="B1" s="23"/>
      <x:c r="C1" s="23"/>
      <x:c r="D1" s="23"/>
      <x:c r="E1" s="23"/>
      <x:c r="F1" s="23"/>
      <x:c r="G1" s="23"/>
      <x:c r="H1" s="23"/>
    </x:row>
    <x:row r="2" ht="13.899999618530273">
      <x:c r="A2" s="24" t="s">
        <x:v>1</x:v>
      </x:c>
      <x:c r="B2" s="24"/>
      <x:c r="C2" s="24"/>
      <x:c r="D2" s="24"/>
      <x:c r="E2" s="24"/>
      <x:c r="F2" s="24"/>
      <x:c r="G2" s="24"/>
      <x:c r="H2" s="24"/>
    </x:row>
    <x:row r="4" ht="15.75">
      <x:c r="A4" s="25" t="s">
        <x:v>2</x:v>
      </x:c>
      <x:c r="B4" s="26"/>
      <x:c r="C4" s="26"/>
      <x:c r="D4" s="27"/>
    </x:row>
    <x:row r="5">
      <x:c r="A5" s="2" t="s">
        <x:v>3</x:v>
      </x:c>
      <x:c r="B5" s="2" t="s">
        <x:v>4</x:v>
      </x:c>
      <x:c r="C5" s="2" t="s">
        <x:v>5</x:v>
      </x:c>
      <x:c r="D5" s="2" t="s">
        <x:v>6</x:v>
      </x:c>
    </x:row>
    <x:row r="6" ht="39.400001525878906">
      <x:c r="A6" s="1" t="s">
        <x:v>7</x:v>
      </x:c>
      <x:c r="B6" s="6" t="str">
        <x:f>IF(OR(Inputs!$C$27=TRUE,Inputs!$C$27="TRUE",Inputs!$C$27=1),"Topography ON","Topography OFF")</x:f>
        <x:v>Topography ON</x:v>
      </x:c>
      <x:c r="C6" s="1"/>
      <x:c r="D6" s="1" t="s">
        <x:v>8</x:v>
      </x:c>
    </x:row>
    <x:row r="7">
      <x:c r="A7" s="1" t="s">
        <x:v>9</x:v>
      </x:c>
      <x:c r="B7" s="11" t="n">
        <x:f>Model_Data!F122</x:f>
        <x:v>550.6998603390537</x:v>
      </x:c>
      <x:c r="C7" s="1" t="s">
        <x:v>10</x:v>
      </x:c>
      <x:c r="D7" s="1" t="s">
        <x:v>11</x:v>
      </x:c>
    </x:row>
    <x:row r="8" ht="26.25">
      <x:c r="A8" s="1" t="s">
        <x:v>12</x:v>
      </x:c>
      <x:c r="B8" s="11" t="n">
        <x:f>Model_Data!AC122</x:f>
        <x:v>278.8355336025972</x:v>
      </x:c>
      <x:c r="C8" s="1" t="s">
        <x:v>10</x:v>
      </x:c>
      <x:c r="D8" s="1" t="s">
        <x:v>13</x:v>
      </x:c>
    </x:row>
    <x:row r="9">
      <x:c r="A9" s="1" t="s">
        <x:v>14</x:v>
      </x:c>
      <x:c r="B9" s="11" t="n">
        <x:f>Model_Data!AI122</x:f>
        <x:v>-271.86432673645646</x:v>
      </x:c>
      <x:c r="C9" s="1" t="s">
        <x:v>10</x:v>
      </x:c>
      <x:c r="D9" s="1" t="s">
        <x:v>15</x:v>
      </x:c>
    </x:row>
    <x:row r="10">
      <x:c r="A10" s="1" t="s">
        <x:v>16</x:v>
      </x:c>
      <x:c r="B10" s="11" t="n">
        <x:f>Model_Data!AD122</x:f>
        <x:v>3.3111390001186956</x:v>
      </x:c>
      <x:c r="C10" s="1" t="s">
        <x:v>17</x:v>
      </x:c>
      <x:c r="D10" s="1" t="s">
        <x:v>18</x:v>
      </x:c>
    </x:row>
    <x:row r="11" ht="26.25">
      <x:c r="A11" s="1" t="s">
        <x:v>19</x:v>
      </x:c>
      <x:c r="B11" s="11" t="n">
        <x:f>Model_Data!AF122</x:f>
        <x:v>22.4830827575369</x:v>
      </x:c>
      <x:c r="C11" s="1" t="s">
        <x:v>20</x:v>
      </x:c>
      <x:c r="D11" s="1" t="s">
        <x:v>21</x:v>
      </x:c>
    </x:row>
    <x:row r="12" ht="26.25">
      <x:c r="A12" s="1" t="s">
        <x:v>22</x:v>
      </x:c>
      <x:c r="B12" s="11" t="n">
        <x:f>MAX(Model_Data!Y2:Y242)</x:f>
        <x:v>568.6436382247327</x:v>
      </x:c>
      <x:c r="C12" s="1" t="s">
        <x:v>10</x:v>
      </x:c>
      <x:c r="D12" s="1" t="s">
        <x:v>23</x:v>
      </x:c>
    </x:row>
    <x:row r="13" ht="26.25">
      <x:c r="A13" s="1" t="s">
        <x:v>24</x:v>
      </x:c>
      <x:c r="B13" s="11" t="n">
        <x:f>MIN(Model_Data!Y2:Y242)</x:f>
        <x:v>107.75271022723112</x:v>
      </x:c>
      <x:c r="C13" s="1" t="s">
        <x:v>10</x:v>
      </x:c>
      <x:c r="D13" s="1" t="s">
        <x:v>25</x:v>
      </x:c>
    </x:row>
    <x:row r="14" ht="26.25">
      <x:c r="A14" s="1" t="s">
        <x:v>26</x:v>
      </x:c>
      <x:c r="B14" s="11" t="n">
        <x:f>MAX(MAX(Model_Data!AI2:AI242),-MIN(Model_Data!AI2:AI242))</x:f>
        <x:v>302.98886990822893</x:v>
      </x:c>
      <x:c r="C14" s="1" t="s">
        <x:v>10</x:v>
      </x:c>
      <x:c r="D14" s="1" t="s">
        <x:v>27</x:v>
      </x:c>
    </x:row>
    <x:row r="15" ht="26.25">
      <x:c r="A15" s="1" t="s">
        <x:v>28</x:v>
      </x:c>
      <x:c r="B15" s="11" t="n">
        <x:f>MAX(Model_Data!AO2:AO242)</x:f>
        <x:v>534.0602149449296</x:v>
      </x:c>
      <x:c r="C15" s="1" t="s">
        <x:v>29</x:v>
      </x:c>
      <x:c r="D15" s="1" t="s">
        <x:v>30</x:v>
      </x:c>
    </x:row>
    <x:row r="16" ht="26.25">
      <x:c r="A16" s="1" t="s">
        <x:v>31</x:v>
      </x:c>
      <x:c r="B16" s="11" t="n">
        <x:f>2*B15</x:f>
        <x:v>1068.1204298898592</x:v>
      </x:c>
      <x:c r="C16" s="1" t="s">
        <x:v>29</x:v>
      </x:c>
      <x:c r="D16" s="1" t="s">
        <x:v>32</x:v>
      </x:c>
    </x:row>
    <x:row r="17" ht="26.25">
      <x:c r="A17" s="1" t="s">
        <x:v>33</x:v>
      </x:c>
      <x:c r="B17" s="11" t="n">
        <x:f>Model_Data!AQ122</x:f>
        <x:v>42.13483146067416</x:v>
      </x:c>
      <x:c r="C17" s="1" t="s">
        <x:v>10</x:v>
      </x:c>
      <x:c r="D17" s="1" t="s">
        <x:v>34</x:v>
      </x:c>
    </x:row>
    <x:row r="19" ht="15.75">
      <x:c r="A19" s="25" t="s">
        <x:v>35</x:v>
      </x:c>
      <x:c r="B19" s="26"/>
      <x:c r="C19" s="26"/>
      <x:c r="D19" s="26"/>
      <x:c r="E19" s="26"/>
      <x:c r="F19" s="27"/>
    </x:row>
    <x:row r="20" ht="26.25">
      <x:c r="A20" s="2" t="s">
        <x:v>36</x:v>
      </x:c>
      <x:c r="B20" s="2" t="s">
        <x:v>37</x:v>
      </x:c>
      <x:c r="C20" s="2" t="s">
        <x:v>38</x:v>
      </x:c>
      <x:c r="D20" s="2" t="s">
        <x:v>39</x:v>
      </x:c>
      <x:c r="E20" s="2" t="s">
        <x:v>40</x:v>
      </x:c>
      <x:c r="F20" s="2" t="s">
        <x:v>41</x:v>
      </x:c>
    </x:row>
    <x:row r="21" ht="26.25">
      <x:c r="A21" s="9" t="n">
        <x:f>PRF_Results!A4</x:f>
        <x:v>50</x:v>
      </x:c>
      <x:c r="B21" s="9" t="n">
        <x:f>PRF_Results!B4</x:f>
        <x:v>20</x:v>
      </x:c>
      <x:c r="C21" s="9" t="n">
        <x:f>PRF_Results!C4</x:f>
        <x:v>80</x:v>
      </x:c>
      <x:c r="D21" s="9" t="n">
        <x:f>PRF_Results!D4</x:f>
        <x:v>2997.92458</x:v>
      </x:c>
      <x:c r="E21" s="9" t="n">
        <x:f>PRF_Results!E4</x:f>
        <x:v>0.13342563807926083</x:v>
      </x:c>
      <x:c r="F21" s="1" t="str">
        <x:f>PRF_Results!F4</x:f>
        <x:v>Below simple Doppler floor</x:v>
      </x:c>
    </x:row>
    <x:row r="22" ht="26.25">
      <x:c r="A22" s="9" t="n">
        <x:f>PRF_Results!A5</x:f>
        <x:v>500</x:v>
      </x:c>
      <x:c r="B22" s="9" t="n">
        <x:f>PRF_Results!B5</x:f>
        <x:v>2</x:v>
      </x:c>
      <x:c r="C22" s="9" t="n">
        <x:f>PRF_Results!C5</x:f>
        <x:v>8</x:v>
      </x:c>
      <x:c r="D22" s="9" t="n">
        <x:f>PRF_Results!D5</x:f>
        <x:v>299.792458</x:v>
      </x:c>
      <x:c r="E22" s="9" t="n">
        <x:f>PRF_Results!E5</x:f>
        <x:v>1.3342563807926082</x:v>
      </x:c>
      <x:c r="F22" s="1" t="str">
        <x:f>PRF_Results!F5</x:f>
        <x:v>Below simple Doppler floor</x:v>
      </x:c>
    </x:row>
    <x:row r="23" ht="26.25">
      <x:c r="A23" s="9" t="n">
        <x:f>PRF_Results!A6</x:f>
        <x:v>3000</x:v>
      </x:c>
      <x:c r="B23" s="9" t="n">
        <x:f>PRF_Results!B6</x:f>
        <x:v>0.3333333333333333</x:v>
      </x:c>
      <x:c r="C23" s="9" t="n">
        <x:f>PRF_Results!C6</x:f>
        <x:v>1.3333333333333333</x:v>
      </x:c>
      <x:c r="D23" s="9" t="n">
        <x:f>PRF_Results!D6</x:f>
        <x:v>49.965409666666666</x:v>
      </x:c>
      <x:c r="E23" s="9" t="n">
        <x:f>PRF_Results!E6</x:f>
        <x:v>8.00553828475565</x:v>
      </x:c>
      <x:c r="F23" s="1" t="str">
        <x:f>PRF_Results!F6</x:f>
        <x:v>OK for modeled topo VHF Doppler</x:v>
      </x:c>
    </x:row>
    <x:row r="25" ht="15.75">
      <x:c r="A25" s="25" t="s">
        <x:v>42</x:v>
      </x:c>
      <x:c r="B25" s="26"/>
      <x:c r="C25" s="26"/>
      <x:c r="D25" s="26"/>
      <x:c r="E25" s="26"/>
      <x:c r="F25" s="26"/>
      <x:c r="G25" s="26"/>
      <x:c r="H25" s="27"/>
    </x:row>
    <x:row r="26" ht="13.899999618530273">
      <x:c r="A26" s="28" t="s">
        <x:v>43</x:v>
      </x:c>
      <x:c r="B26" s="29"/>
      <x:c r="C26" s="29"/>
      <x:c r="D26" s="29"/>
      <x:c r="E26" s="29"/>
      <x:c r="F26" s="29"/>
      <x:c r="G26" s="29"/>
      <x:c r="H26" s="30"/>
    </x:row>
    <x:row r="114" ht="15.75">
      <x:c r="A114" s="25" t="s">
        <x:v>44</x:v>
      </x:c>
      <x:c r="B114" s="26"/>
      <x:c r="C114" s="26"/>
      <x:c r="D114" s="26"/>
      <x:c r="E114" s="26"/>
      <x:c r="F114" s="26"/>
      <x:c r="G114" s="26"/>
      <x:c r="H114" s="26"/>
      <x:c r="I114" s="27"/>
    </x:row>
    <x:row r="115">
      <x:c r="A115" s="2" t="s">
        <x:v>45</x:v>
      </x:c>
      <x:c r="B115" s="2" t="s">
        <x:v>46</x:v>
      </x:c>
      <x:c r="C115" s="2" t="s">
        <x:v>47</x:v>
      </x:c>
      <x:c r="D115" s="2" t="s">
        <x:v>48</x:v>
      </x:c>
      <x:c r="E115" s="2" t="s">
        <x:v>49</x:v>
      </x:c>
      <x:c r="F115" s="2" t="s">
        <x:v>50</x:v>
      </x:c>
      <x:c r="G115" s="2" t="s">
        <x:v>51</x:v>
      </x:c>
      <x:c r="H115" s="2" t="s">
        <x:v>52</x:v>
      </x:c>
      <x:c r="I115" s="2" t="s">
        <x:v>53</x:v>
      </x:c>
    </x:row>
    <x:row r="116">
      <x:c r="A116" s="1" t="str">
        <x:f>Inputs!G6</x:f>
        <x:v>Current custom inputs</x:v>
      </x:c>
      <x:c r="B116" s="8" t="b">
        <x:f>Inputs!F6</x:f>
        <x:v>1</x:v>
      </x:c>
      <x:c r="C116" s="9" t="n">
        <x:f>Inputs!H6</x:f>
        <x:v>400</x:v>
      </x:c>
      <x:c r="D116" s="9" t="n">
        <x:f>Inputs!J6-Inputs!I6</x:f>
        <x:v>120</x:v>
      </x:c>
      <x:c r="E116" s="9" t="n">
        <x:f>Inputs!M6</x:f>
        <x:v>404</x:v>
      </x:c>
      <x:c r="F116" s="9" t="n">
        <x:f>Scenario_Data!AF122</x:f>
        <x:v>550.6998603390537</x:v>
      </x:c>
      <x:c r="G116" s="9" t="n">
        <x:f>MAX(MAX(Scenario_Data!AL2:AL242),-MIN(Scenario_Data!AL2:AL242))</x:f>
        <x:v>504.93234145565276</x:v>
      </x:c>
      <x:c r="H116" s="9" t="n">
        <x:f>2*G116</x:f>
        <x:v>1009.8646829113055</x:v>
      </x:c>
      <x:c r="I116" s="1" t="s">
        <x:v>54</x:v>
      </x:c>
    </x:row>
    <x:row r="117">
      <x:c r="A117" s="1" t="str">
        <x:f>Inputs!G7</x:f>
        <x:v>Paper low-altitude 800-km pass</x:v>
      </x:c>
      <x:c r="B117" s="8" t="b">
        <x:f>Inputs!F7</x:f>
        <x:v>1</x:v>
      </x:c>
      <x:c r="C117" s="9" t="n">
        <x:f>Inputs!H7</x:f>
        <x:v>35</x:v>
      </x:c>
      <x:c r="D117" s="9" t="n">
        <x:f>Inputs!J7-Inputs!I7</x:f>
        <x:v>800</x:v>
      </x:c>
      <x:c r="E117" s="9" t="n">
        <x:f>Inputs!M7</x:f>
        <x:v>400</x:v>
      </x:c>
      <x:c r="F117" s="9" t="n">
        <x:f>Scenario_Data!AG122</x:f>
        <x:v>4592.182396129015</x:v>
      </x:c>
      <x:c r="G117" s="9" t="n">
        <x:f>MAX(MAX(Scenario_Data!AM2:AM242),-MIN(Scenario_Data!AM2:AM242))</x:f>
        <x:v>3517.728529041067</x:v>
      </x:c>
      <x:c r="H117" s="9" t="n">
        <x:f>2*G117</x:f>
        <x:v>7035.457058082134</x:v>
      </x:c>
      <x:c r="I117" s="1" t="s">
        <x:v>55</x:v>
      </x:c>
    </x:row>
    <x:row r="118">
      <x:c r="A118" s="1" t="str">
        <x:f>Inputs!G8</x:f>
        <x:v>Paper ice-ocean 1600-km pass</x:v>
      </x:c>
      <x:c r="B118" s="8" t="b">
        <x:f>Inputs!F8</x:f>
        <x:v>1</x:v>
      </x:c>
      <x:c r="C118" s="9" t="n">
        <x:f>Inputs!H8</x:f>
        <x:v>35</x:v>
      </x:c>
      <x:c r="D118" s="9" t="n">
        <x:f>Inputs!J8-Inputs!I8</x:f>
        <x:v>1600</x:v>
      </x:c>
      <x:c r="E118" s="9" t="n">
        <x:f>Inputs!M8</x:f>
        <x:v>1000</x:v>
      </x:c>
      <x:c r="F118" s="9" t="n">
        <x:f>Scenario_Data!AH122</x:f>
        <x:v>4592.182396129015</x:v>
      </x:c>
      <x:c r="G118" s="9" t="n">
        <x:f>MAX(MAX(Scenario_Data!AN2:AN242),-MIN(Scenario_Data!AN2:AN242))</x:f>
        <x:v>4665.341278693438</x:v>
      </x:c>
      <x:c r="H118" s="9" t="n">
        <x:f>2*G118</x:f>
        <x:v>9330.682557386875</x:v>
      </x:c>
      <x:c r="I118" s="1" t="s">
        <x:v>56</x:v>
      </x:c>
    </x:row>
    <x:row r="119">
      <x:c r="A119" s="1" t="str">
        <x:f>Inputs!G9</x:f>
        <x:v>Paper operating 25-to-1000-km pass</x:v>
      </x:c>
      <x:c r="B119" s="8" t="b">
        <x:f>Inputs!F9</x:f>
        <x:v>1</x:v>
      </x:c>
      <x:c r="C119" s="9" t="n">
        <x:f>Inputs!H9</x:f>
        <x:v>25</x:v>
      </x:c>
      <x:c r="D119" s="9" t="n">
        <x:f>Inputs!J9-Inputs!I9</x:f>
        <x:v>1600</x:v>
      </x:c>
      <x:c r="E119" s="9" t="n">
        <x:f>Inputs!M9</x:f>
        <x:v>1000</x:v>
      </x:c>
      <x:c r="F119" s="9" t="n">
        <x:f>Scenario_Data!AI122</x:f>
        <x:v>5896.876901998302</x:v>
      </x:c>
      <x:c r="G119" s="9" t="n">
        <x:f>MAX(MAX(Scenario_Data!AO2:AO242),-MIN(Scenario_Data!AO2:AO242))</x:f>
        <x:v>4699.066787940814</x:v>
      </x:c>
      <x:c r="H119" s="9" t="n">
        <x:f>2*G119</x:f>
        <x:v>9398.133575881628</x:v>
      </x:c>
      <x:c r="I119" s="1" t="s">
        <x:v>57</x:v>
      </x:c>
    </x:row>
    <x:row r="120" ht="13.899999618530273">
      <x:c r="A120" s="5" t="s">
        <x:v>58</x:v>
      </x:c>
      <x:c r="B120" s="29" t="s">
        <x:v>59</x:v>
      </x:c>
      <x:c r="C120" s="29"/>
      <x:c r="D120" s="29"/>
      <x:c r="E120" s="29"/>
      <x:c r="F120" s="29"/>
      <x:c r="G120" s="29"/>
      <x:c r="H120" s="29"/>
      <x:c r="I120" s="30"/>
    </x:row>
    <x:row r="122" ht="27" customHeight="1">
      <x:c r="A122" s="31" t="s">
        <x:v>60</x:v>
      </x:c>
      <x:c r="B122" s="31"/>
      <x:c r="C122" s="31"/>
      <x:c r="D122" s="31"/>
      <x:c r="E122" s="31"/>
      <x:c r="F122" s="31"/>
      <x:c r="G122" s="31"/>
      <x:c r="H122" s="31"/>
      <x:c r="I122" s="31"/>
    </x:row>
    <x:row r="123" ht="27" customHeight="1">
      <x:c r="A123" s="14" t="s">
        <x:v>61</x:v>
      </x:c>
      <x:c r="B123" s="32" t="s">
        <x:v>62</x:v>
      </x:c>
      <x:c r="C123" s="32"/>
      <x:c r="D123" s="32"/>
      <x:c r="E123" s="32"/>
      <x:c r="F123" s="32" t="s">
        <x:v>63</x:v>
      </x:c>
      <x:c r="G123" s="32"/>
      <x:c r="H123" s="32"/>
      <x:c r="I123" s="32"/>
    </x:row>
    <x:row r="124" ht="27" customHeight="1">
      <x:c r="A124" s="16" t="s">
        <x:v>64</x:v>
      </x:c>
      <x:c r="B124" s="33" t="s">
        <x:v>65</x:v>
      </x:c>
      <x:c r="C124" s="33"/>
      <x:c r="D124" s="33"/>
      <x:c r="E124" s="33"/>
      <x:c r="F124" s="33" t="s">
        <x:v>66</x:v>
      </x:c>
      <x:c r="G124" s="33"/>
      <x:c r="H124" s="33"/>
      <x:c r="I124" s="33"/>
    </x:row>
    <x:row r="125" ht="27" customHeight="1">
      <x:c r="A125" s="16" t="s">
        <x:v>67</x:v>
      </x:c>
      <x:c r="B125" s="33" t="s">
        <x:v>68</x:v>
      </x:c>
      <x:c r="C125" s="33"/>
      <x:c r="D125" s="33"/>
      <x:c r="E125" s="33"/>
      <x:c r="F125" s="33" t="s">
        <x:v>69</x:v>
      </x:c>
      <x:c r="G125" s="33"/>
      <x:c r="H125" s="33"/>
      <x:c r="I125" s="33"/>
    </x:row>
    <x:row r="126" ht="27" customHeight="1">
      <x:c r="A126" s="16" t="s">
        <x:v>70</x:v>
      </x:c>
      <x:c r="B126" s="33" t="s">
        <x:v>71</x:v>
      </x:c>
      <x:c r="C126" s="33"/>
      <x:c r="D126" s="33"/>
      <x:c r="E126" s="33"/>
      <x:c r="F126" s="33" t="s">
        <x:v>72</x:v>
      </x:c>
      <x:c r="G126" s="33"/>
      <x:c r="H126" s="33"/>
      <x:c r="I126" s="33"/>
    </x:row>
    <x:row r="127" ht="27" customHeight="1">
      <x:c r="A127" s="16" t="s">
        <x:v>73</x:v>
      </x:c>
      <x:c r="B127" s="33" t="s">
        <x:v>74</x:v>
      </x:c>
      <x:c r="C127" s="33"/>
      <x:c r="D127" s="33"/>
      <x:c r="E127" s="33"/>
      <x:c r="F127" s="33" t="s">
        <x:v>75</x:v>
      </x:c>
      <x:c r="G127" s="33"/>
      <x:c r="H127" s="33"/>
      <x:c r="I127" s="33"/>
    </x:row>
    <x:row r="128" ht="27" customHeight="1">
      <x:c r="A128" s="16" t="s">
        <x:v>76</x:v>
      </x:c>
      <x:c r="B128" s="33" t="s">
        <x:v>77</x:v>
      </x:c>
      <x:c r="C128" s="33"/>
      <x:c r="D128" s="33"/>
      <x:c r="E128" s="33"/>
      <x:c r="F128" s="33" t="s">
        <x:v>78</x:v>
      </x:c>
      <x:c r="G128" s="33"/>
      <x:c r="H128" s="33"/>
      <x:c r="I128" s="33"/>
    </x:row>
  </x:sheetData>
  <x:mergeCells>
    <x:mergeCell ref="B127:E127"/>
    <x:mergeCell ref="F127:I127"/>
    <x:mergeCell ref="B128:E128"/>
    <x:mergeCell ref="F128:I128"/>
    <x:mergeCell ref="B124:E124"/>
    <x:mergeCell ref="F124:I124"/>
    <x:mergeCell ref="B125:E125"/>
    <x:mergeCell ref="F125:I125"/>
    <x:mergeCell ref="B126:E126"/>
    <x:mergeCell ref="F126:I126"/>
    <x:mergeCell ref="A26:H26"/>
    <x:mergeCell ref="A114:I114"/>
    <x:mergeCell ref="B120:I120"/>
    <x:mergeCell ref="A122:I122"/>
    <x:mergeCell ref="B123:E123"/>
    <x:mergeCell ref="F123:I123"/>
    <x:mergeCell ref="A1:H1"/>
    <x:mergeCell ref="A2:H2"/>
    <x:mergeCell ref="A4:D4"/>
    <x:mergeCell ref="A19:F19"/>
    <x:mergeCell ref="A25:H25"/>
  </x:mergeCells>
  <x:dataValidations count="1">
    <x:dataValidation type="list" sqref="B59:B62">
      <x:formula1>"TRUE,FALSE"</x:formula1>
    </x:dataValidation>
  </x:dataValidations>
  <x:pageMargins left="0.7" right="0.7" top="0.75" bottom="0.75" header="0.3" footer="0.3"/>
  <x:drawing xmlns:r="http://schemas.openxmlformats.org/officeDocument/2006/relationships" r:id="R84be71f066c74a06"/>
</x:worksheet>
</file>

<file path=xl/worksheets/sheet2.xml><?xml version="1.0" encoding="utf-8"?>
<x:worksheet xmlns:x="http://schemas.openxmlformats.org/spreadsheetml/2006/main">
  <x:sheetViews>
    <x:sheetView showGridLines="0" workbookViewId="0"/>
  </x:sheetViews>
  <x:sheetFormatPr defaultRowHeight="13.5"/>
  <x:cols>
    <x:col min="1" max="1" width="26" customWidth="1"/>
    <x:col min="2" max="2" width="18" customWidth="1"/>
    <x:col min="3" max="3" width="12" customWidth="1"/>
    <x:col min="4" max="4" width="10" customWidth="1"/>
    <x:col min="5" max="5" width="58" customWidth="1"/>
    <x:col min="6" max="6" width="12" customWidth="1"/>
    <x:col min="7" max="7" width="30" customWidth="1"/>
    <x:col min="8" max="10" width="10" customWidth="1"/>
    <x:col min="11" max="11" width="11" customWidth="1"/>
    <x:col min="12" max="12" width="15" customWidth="1"/>
    <x:col min="13" max="13" width="14" customWidth="1"/>
    <x:col min="14" max="14" width="72" customWidth="1"/>
  </x:cols>
  <x:sheetData>
    <x:row r="1" ht="21">
      <x:c r="A1" s="23" t="s">
        <x:v>79</x:v>
      </x:c>
      <x:c r="B1" s="23"/>
      <x:c r="C1" s="23"/>
      <x:c r="D1" s="23"/>
      <x:c r="E1" s="23"/>
      <x:c r="F1" s="23"/>
      <x:c r="G1" s="23"/>
      <x:c r="H1" s="23"/>
      <x:c r="I1" s="23"/>
      <x:c r="J1" s="23"/>
      <x:c r="K1" s="23"/>
      <x:c r="L1" s="23"/>
      <x:c r="M1" s="23"/>
      <x:c r="N1" s="23"/>
    </x:row>
    <x:row r="2" ht="13.899999618530273">
      <x:c r="A2" s="34" t="s">
        <x:v>80</x:v>
      </x:c>
      <x:c r="B2" s="34"/>
      <x:c r="C2" s="34"/>
      <x:c r="D2" s="34"/>
      <x:c r="E2" s="34"/>
      <x:c r="F2" s="34"/>
      <x:c r="G2" s="34"/>
      <x:c r="H2" s="34"/>
      <x:c r="I2" s="34"/>
      <x:c r="J2" s="34"/>
      <x:c r="K2" s="34"/>
      <x:c r="L2" s="34"/>
      <x:c r="M2" s="34"/>
      <x:c r="N2" s="34"/>
    </x:row>
    <x:row r="4" ht="15.75">
      <x:c r="A4" s="2" t="s">
        <x:v>81</x:v>
      </x:c>
      <x:c r="B4" s="2" t="s">
        <x:v>82</x:v>
      </x:c>
      <x:c r="C4" s="2" t="s">
        <x:v>4</x:v>
      </x:c>
      <x:c r="D4" s="2" t="s">
        <x:v>5</x:v>
      </x:c>
      <x:c r="E4" s="2" t="s">
        <x:v>83</x:v>
      </x:c>
      <x:c r="F4" s="25" t="s">
        <x:v>84</x:v>
      </x:c>
      <x:c r="G4" s="26"/>
      <x:c r="H4" s="26"/>
      <x:c r="I4" s="26"/>
      <x:c r="J4" s="26"/>
      <x:c r="K4" s="26"/>
      <x:c r="L4" s="26"/>
      <x:c r="M4" s="26"/>
      <x:c r="N4" s="27"/>
    </x:row>
    <x:row r="5">
      <x:c r="A5" s="1" t="s">
        <x:v>85</x:v>
      </x:c>
      <x:c r="B5" s="1" t="s">
        <x:v>86</x:v>
      </x:c>
      <x:c r="C5" s="3">
        <x:v>400</x:v>
      </x:c>
      <x:c r="D5" s="1" t="s">
        <x:v>87</x:v>
      </x:c>
      <x:c r="E5" s="1" t="s">
        <x:v>88</x:v>
      </x:c>
      <x:c r="F5" s="2" t="s">
        <x:v>46</x:v>
      </x:c>
      <x:c r="G5" s="2" t="s">
        <x:v>45</x:v>
      </x:c>
      <x:c r="H5" s="2" t="s">
        <x:v>86</x:v>
      </x:c>
      <x:c r="I5" s="2" t="s">
        <x:v>89</x:v>
      </x:c>
      <x:c r="J5" s="2" t="s">
        <x:v>90</x:v>
      </x:c>
      <x:c r="K5" s="2" t="s">
        <x:v>91</x:v>
      </x:c>
      <x:c r="L5" s="2" t="s">
        <x:v>92</x:v>
      </x:c>
      <x:c r="M5" s="2" t="s">
        <x:v>93</x:v>
      </x:c>
      <x:c r="N5" s="2" t="s">
        <x:v>94</x:v>
      </x:c>
    </x:row>
    <x:row r="6" ht="26.25">
      <x:c r="A6" s="1" t="s">
        <x:v>95</x:v>
      </x:c>
      <x:c r="B6" s="1" t="s">
        <x:v>96</x:v>
      </x:c>
      <x:c r="C6" s="3">
        <x:v>25</x:v>
      </x:c>
      <x:c r="D6" s="1" t="s">
        <x:v>87</x:v>
      </x:c>
      <x:c r="E6" s="1" t="s">
        <x:v>97</x:v>
      </x:c>
      <x:c r="F6" s="6" t="b">
        <x:v>1</x:v>
      </x:c>
      <x:c r="G6" s="1" t="s">
        <x:v>98</x:v>
      </x:c>
      <x:c r="H6" s="7" t="n">
        <x:f>C5</x:f>
        <x:v>400</x:v>
      </x:c>
      <x:c r="I6" s="7" t="n">
        <x:f>C7</x:f>
        <x:v>-60</x:v>
      </x:c>
      <x:c r="J6" s="7" t="n">
        <x:f>C8</x:f>
        <x:v>60</x:v>
      </x:c>
      <x:c r="K6" s="7" t="n">
        <x:f>C10</x:f>
        <x:v>60</x:v>
      </x:c>
      <x:c r="L6" s="7" t="n">
        <x:f>C9</x:f>
        <x:v>4</x:v>
      </x:c>
      <x:c r="M6" s="7" t="n">
        <x:f>C5+C9</x:f>
        <x:v>404</x:v>
      </x:c>
      <x:c r="N6" s="1" t="s">
        <x:v>99</x:v>
      </x:c>
    </x:row>
    <x:row r="7" ht="26.25">
      <x:c r="A7" s="1" t="s">
        <x:v>100</x:v>
      </x:c>
      <x:c r="B7" s="1" t="s">
        <x:v>89</x:v>
      </x:c>
      <x:c r="C7" s="3">
        <x:v>-60</x:v>
      </x:c>
      <x:c r="D7" s="1" t="s">
        <x:v>87</x:v>
      </x:c>
      <x:c r="E7" s="1" t="s">
        <x:v>101</x:v>
      </x:c>
      <x:c r="F7" s="6" t="b">
        <x:v>1</x:v>
      </x:c>
      <x:c r="G7" s="1" t="s">
        <x:v>102</x:v>
      </x:c>
      <x:c r="H7" s="7">
        <x:v>35</x:v>
      </x:c>
      <x:c r="I7" s="7">
        <x:v>-400</x:v>
      </x:c>
      <x:c r="J7" s="7">
        <x:v>400</x:v>
      </x:c>
      <x:c r="K7" s="7">
        <x:v>400</x:v>
      </x:c>
      <x:c r="L7" s="7">
        <x:v>365</x:v>
      </x:c>
      <x:c r="M7" s="7">
        <x:v>400</x:v>
      </x:c>
      <x:c r="N7" s="1" t="s">
        <x:v>103</x:v>
      </x:c>
    </x:row>
    <x:row r="8" ht="26.25">
      <x:c r="A8" s="1" t="s">
        <x:v>104</x:v>
      </x:c>
      <x:c r="B8" s="1" t="s">
        <x:v>90</x:v>
      </x:c>
      <x:c r="C8" s="3">
        <x:v>60</x:v>
      </x:c>
      <x:c r="D8" s="1" t="s">
        <x:v>87</x:v>
      </x:c>
      <x:c r="E8" s="1" t="s">
        <x:v>105</x:v>
      </x:c>
      <x:c r="F8" s="6" t="b">
        <x:v>1</x:v>
      </x:c>
      <x:c r="G8" s="1" t="s">
        <x:v>106</x:v>
      </x:c>
      <x:c r="H8" s="7">
        <x:v>35</x:v>
      </x:c>
      <x:c r="I8" s="7">
        <x:v>-800</x:v>
      </x:c>
      <x:c r="J8" s="7">
        <x:v>800</x:v>
      </x:c>
      <x:c r="K8" s="7">
        <x:v>800</x:v>
      </x:c>
      <x:c r="L8" s="7">
        <x:v>965</x:v>
      </x:c>
      <x:c r="M8" s="7">
        <x:v>1000</x:v>
      </x:c>
      <x:c r="N8" s="1" t="s">
        <x:v>107</x:v>
      </x:c>
    </x:row>
    <x:row r="9" ht="26.25">
      <x:c r="A9" s="1" t="s">
        <x:v>108</x:v>
      </x:c>
      <x:c r="B9" s="1" t="s">
        <x:v>92</x:v>
      </x:c>
      <x:c r="C9" s="3">
        <x:v>4</x:v>
      </x:c>
      <x:c r="D9" s="1" t="s">
        <x:v>87</x:v>
      </x:c>
      <x:c r="E9" s="1" t="s">
        <x:v>109</x:v>
      </x:c>
      <x:c r="F9" s="6" t="b">
        <x:v>1</x:v>
      </x:c>
      <x:c r="G9" s="1" t="s">
        <x:v>110</x:v>
      </x:c>
      <x:c r="H9" s="7">
        <x:v>25</x:v>
      </x:c>
      <x:c r="I9" s="7">
        <x:v>-800</x:v>
      </x:c>
      <x:c r="J9" s="7">
        <x:v>800</x:v>
      </x:c>
      <x:c r="K9" s="7">
        <x:v>800</x:v>
      </x:c>
      <x:c r="L9" s="7">
        <x:v>975</x:v>
      </x:c>
      <x:c r="M9" s="7">
        <x:v>1000</x:v>
      </x:c>
      <x:c r="N9" s="1" t="s">
        <x:v>111</x:v>
      </x:c>
    </x:row>
    <x:row r="10">
      <x:c r="A10" s="1" t="s">
        <x:v>112</x:v>
      </x:c>
      <x:c r="B10" s="1" t="s">
        <x:v>91</x:v>
      </x:c>
      <x:c r="C10" s="3">
        <x:v>60</x:v>
      </x:c>
      <x:c r="D10" s="1" t="s">
        <x:v>87</x:v>
      </x:c>
      <x:c r="E10" s="1" t="s">
        <x:v>113</x:v>
      </x:c>
    </x:row>
    <x:row r="11" ht="13.899999618530273">
      <x:c r="A11" s="1" t="s">
        <x:v>114</x:v>
      </x:c>
      <x:c r="B11" s="1" t="s">
        <x:v>115</x:v>
      </x:c>
      <x:c r="C11" s="3">
        <x:v>4</x:v>
      </x:c>
      <x:c r="D11" s="1" t="s">
        <x:v>116</x:v>
      </x:c>
      <x:c r="E11" s="1" t="s">
        <x:v>117</x:v>
      </x:c>
      <x:c r="F11" s="5" t="s">
        <x:v>58</x:v>
      </x:c>
      <x:c r="G11" s="29" t="s">
        <x:v>118</x:v>
      </x:c>
      <x:c r="H11" s="29"/>
      <x:c r="I11" s="29"/>
      <x:c r="J11" s="29"/>
      <x:c r="K11" s="29"/>
      <x:c r="L11" s="29"/>
      <x:c r="M11" s="29"/>
      <x:c r="N11" s="30"/>
    </x:row>
    <x:row r="12">
      <x:c r="A12" s="1" t="s">
        <x:v>119</x:v>
      </x:c>
      <x:c r="B12" s="1" t="s">
        <x:v>120</x:v>
      </x:c>
      <x:c r="C12" s="3">
        <x:v>1.78</x:v>
      </x:c>
      <x:c r="D12" s="1"/>
      <x:c r="E12" s="1" t="s">
        <x:v>121</x:v>
      </x:c>
    </x:row>
    <x:row r="13">
      <x:c r="A13" s="1" t="s">
        <x:v>122</x:v>
      </x:c>
      <x:c r="B13" s="1" t="s">
        <x:v>123</x:v>
      </x:c>
      <x:c r="C13" s="3">
        <x:v>5</x:v>
      </x:c>
      <x:c r="D13" s="1" t="s">
        <x:v>10</x:v>
      </x:c>
      <x:c r="E13" s="1" t="s">
        <x:v>124</x:v>
      </x:c>
    </x:row>
    <x:row r="14">
      <x:c r="A14" s="1" t="s">
        <x:v>125</x:v>
      </x:c>
      <x:c r="B14" s="1" t="s">
        <x:v>126</x:v>
      </x:c>
      <x:c r="C14" s="3">
        <x:v>33.299999999999997</x:v>
      </x:c>
      <x:c r="D14" s="1" t="s">
        <x:v>10</x:v>
      </x:c>
      <x:c r="E14" s="1" t="s">
        <x:v>127</x:v>
      </x:c>
    </x:row>
    <x:row r="15">
      <x:c r="A15" s="1" t="s">
        <x:v>128</x:v>
      </x:c>
      <x:c r="B15" s="1" t="s">
        <x:v>129</x:v>
      </x:c>
      <x:c r="C15" s="3">
        <x:v>5</x:v>
      </x:c>
      <x:c r="D15" s="1" t="s">
        <x:v>10</x:v>
      </x:c>
      <x:c r="E15" s="1" t="s">
        <x:v>130</x:v>
      </x:c>
    </x:row>
    <x:row r="16">
      <x:c r="A16" s="1" t="s">
        <x:v>131</x:v>
      </x:c>
      <x:c r="B16" s="1" t="s">
        <x:v>132</x:v>
      </x:c>
      <x:c r="C16" s="3">
        <x:v>30</x:v>
      </x:c>
      <x:c r="D16" s="1" t="s">
        <x:v>10</x:v>
      </x:c>
      <x:c r="E16" s="1" t="s">
        <x:v>133</x:v>
      </x:c>
    </x:row>
    <x:row r="17">
      <x:c r="A17" s="1" t="s">
        <x:v>134</x:v>
      </x:c>
      <x:c r="B17" s="1" t="s">
        <x:v>135</x:v>
      </x:c>
      <x:c r="C17" s="3">
        <x:v>300</x:v>
      </x:c>
      <x:c r="D17" s="1" t="s">
        <x:v>10</x:v>
      </x:c>
      <x:c r="E17" s="1" t="s">
        <x:v>136</x:v>
      </x:c>
    </x:row>
    <x:row r="18">
      <x:c r="A18" s="1" t="s">
        <x:v>137</x:v>
      </x:c>
      <x:c r="B18" s="1" t="s">
        <x:v>138</x:v>
      </x:c>
      <x:c r="C18" s="3">
        <x:v>50</x:v>
      </x:c>
      <x:c r="D18" s="1" t="s">
        <x:v>29</x:v>
      </x:c>
      <x:c r="E18" s="1" t="s">
        <x:v>139</x:v>
      </x:c>
    </x:row>
    <x:row r="19">
      <x:c r="A19" s="1" t="s">
        <x:v>140</x:v>
      </x:c>
      <x:c r="B19" s="1" t="s">
        <x:v>141</x:v>
      </x:c>
      <x:c r="C19" s="3">
        <x:v>500</x:v>
      </x:c>
      <x:c r="D19" s="1" t="s">
        <x:v>29</x:v>
      </x:c>
      <x:c r="E19" s="1" t="s">
        <x:v>142</x:v>
      </x:c>
    </x:row>
    <x:row r="20">
      <x:c r="A20" s="1" t="s">
        <x:v>143</x:v>
      </x:c>
      <x:c r="B20" s="1" t="s">
        <x:v>144</x:v>
      </x:c>
      <x:c r="C20" s="3">
        <x:v>3000</x:v>
      </x:c>
      <x:c r="D20" s="1" t="s">
        <x:v>29</x:v>
      </x:c>
      <x:c r="E20" s="1" t="s">
        <x:v>145</x:v>
      </x:c>
    </x:row>
    <x:row r="21">
      <x:c r="A21" s="1" t="s">
        <x:v>146</x:v>
      </x:c>
      <x:c r="B21" s="1" t="s">
        <x:v>147</x:v>
      </x:c>
      <x:c r="C21" s="4">
        <x:v>299792458</x:v>
      </x:c>
      <x:c r="D21" s="1" t="s">
        <x:v>148</x:v>
      </x:c>
      <x:c r="E21" s="1" t="s">
        <x:v>149</x:v>
      </x:c>
    </x:row>
    <x:row r="23" ht="13.899999618530273">
      <x:c r="A23" s="5" t="s">
        <x:v>150</x:v>
      </x:c>
      <x:c r="B23" s="29" t="s">
        <x:v>151</x:v>
      </x:c>
      <x:c r="C23" s="29"/>
      <x:c r="D23" s="29"/>
      <x:c r="E23" s="30"/>
    </x:row>
    <x:row r="25" ht="15.75">
      <x:c r="A25" s="25" t="s">
        <x:v>152</x:v>
      </x:c>
      <x:c r="B25" s="26"/>
      <x:c r="C25" s="26"/>
      <x:c r="D25" s="26"/>
      <x:c r="E25" s="27"/>
    </x:row>
    <x:row r="26">
      <x:c r="A26" s="2" t="s">
        <x:v>81</x:v>
      </x:c>
      <x:c r="B26" s="2" t="s">
        <x:v>82</x:v>
      </x:c>
      <x:c r="C26" s="2" t="s">
        <x:v>4</x:v>
      </x:c>
      <x:c r="D26" s="2" t="s">
        <x:v>5</x:v>
      </x:c>
      <x:c r="E26" s="2" t="s">
        <x:v>83</x:v>
      </x:c>
    </x:row>
    <x:row r="27" ht="26.25">
      <x:c r="A27" s="1" t="s">
        <x:v>153</x:v>
      </x:c>
      <x:c r="B27" s="1" t="s">
        <x:v>154</x:v>
      </x:c>
      <x:c r="C27" s="8" t="s">
        <x:v>155</x:v>
      </x:c>
      <x:c r="D27" s="1"/>
      <x:c r="E27" s="1" t="s">
        <x:v>156</x:v>
      </x:c>
    </x:row>
    <x:row r="28">
      <x:c r="A28" s="1" t="s">
        <x:v>157</x:v>
      </x:c>
      <x:c r="B28" s="1" t="s">
        <x:v>158</x:v>
      </x:c>
      <x:c r="C28" s="3">
        <x:v>350</x:v>
      </x:c>
      <x:c r="D28" s="1" t="s">
        <x:v>10</x:v>
      </x:c>
      <x:c r="E28" s="1" t="s">
        <x:v>159</x:v>
      </x:c>
    </x:row>
    <x:row r="29">
      <x:c r="A29" s="1" t="s">
        <x:v>160</x:v>
      </x:c>
      <x:c r="B29" s="1" t="s">
        <x:v>161</x:v>
      </x:c>
      <x:c r="C29" s="3">
        <x:v>0</x:v>
      </x:c>
      <x:c r="D29" s="1" t="s">
        <x:v>87</x:v>
      </x:c>
      <x:c r="E29" s="1" t="s">
        <x:v>162</x:v>
      </x:c>
    </x:row>
    <x:row r="30">
      <x:c r="A30" s="1" t="s">
        <x:v>163</x:v>
      </x:c>
      <x:c r="B30" s="1" t="s">
        <x:v>164</x:v>
      </x:c>
      <x:c r="C30" s="3">
        <x:v>25</x:v>
      </x:c>
      <x:c r="D30" s="1" t="s">
        <x:v>87</x:v>
      </x:c>
      <x:c r="E30" s="1" t="s">
        <x:v>165</x:v>
      </x:c>
    </x:row>
    <x:row r="31">
      <x:c r="A31" s="1" t="s">
        <x:v>166</x:v>
      </x:c>
      <x:c r="B31" s="1" t="s">
        <x:v>167</x:v>
      </x:c>
      <x:c r="C31" s="3">
        <x:v>24</x:v>
      </x:c>
      <x:c r="D31" s="1" t="s">
        <x:v>87</x:v>
      </x:c>
      <x:c r="E31" s="1" t="s">
        <x:v>168</x:v>
      </x:c>
    </x:row>
    <x:row r="32">
      <x:c r="A32" s="1" t="s">
        <x:v>169</x:v>
      </x:c>
      <x:c r="B32" s="1" t="s">
        <x:v>170</x:v>
      </x:c>
      <x:c r="C32" s="3">
        <x:v>3.5</x:v>
      </x:c>
      <x:c r="D32" s="1" t="s">
        <x:v>87</x:v>
      </x:c>
      <x:c r="E32" s="1" t="s">
        <x:v>171</x:v>
      </x:c>
    </x:row>
    <x:row r="33">
      <x:c r="A33" s="1" t="s">
        <x:v>172</x:v>
      </x:c>
      <x:c r="B33" s="1" t="s">
        <x:v>173</x:v>
      </x:c>
      <x:c r="C33" s="3">
        <x:v>180</x:v>
      </x:c>
      <x:c r="D33" s="1" t="s">
        <x:v>10</x:v>
      </x:c>
      <x:c r="E33" s="1" t="s">
        <x:v>174</x:v>
      </x:c>
    </x:row>
    <x:row r="34">
      <x:c r="A34" s="1" t="s">
        <x:v>175</x:v>
      </x:c>
      <x:c r="B34" s="1" t="s">
        <x:v>176</x:v>
      </x:c>
      <x:c r="C34" s="3">
        <x:v>-18</x:v>
      </x:c>
      <x:c r="D34" s="1" t="s">
        <x:v>87</x:v>
      </x:c>
      <x:c r="E34" s="1" t="s">
        <x:v>177</x:v>
      </x:c>
    </x:row>
    <x:row r="35">
      <x:c r="A35" s="1" t="s">
        <x:v>178</x:v>
      </x:c>
      <x:c r="B35" s="1" t="s">
        <x:v>179</x:v>
      </x:c>
      <x:c r="C35" s="3">
        <x:v>8</x:v>
      </x:c>
      <x:c r="D35" s="1" t="s">
        <x:v>87</x:v>
      </x:c>
      <x:c r="E35" s="1" t="s">
        <x:v>180</x:v>
      </x:c>
    </x:row>
    <x:row r="36">
      <x:c r="A36" s="1" t="s">
        <x:v>181</x:v>
      </x:c>
      <x:c r="B36" s="1" t="s">
        <x:v>182</x:v>
      </x:c>
      <x:c r="C36" s="3">
        <x:v>8</x:v>
      </x:c>
      <x:c r="D36" s="1" t="s">
        <x:v>87</x:v>
      </x:c>
      <x:c r="E36" s="1" t="s">
        <x:v>183</x:v>
      </x:c>
    </x:row>
    <x:row r="37">
      <x:c r="A37" s="1" t="s">
        <x:v>184</x:v>
      </x:c>
      <x:c r="B37" s="1" t="s">
        <x:v>185</x:v>
      </x:c>
      <x:c r="C37" s="3">
        <x:v>65</x:v>
      </x:c>
      <x:c r="D37" s="1" t="s">
        <x:v>10</x:v>
      </x:c>
      <x:c r="E37" s="1" t="s">
        <x:v>186</x:v>
      </x:c>
    </x:row>
    <x:row r="38">
      <x:c r="A38" s="1" t="s">
        <x:v>187</x:v>
      </x:c>
      <x:c r="B38" s="1" t="s">
        <x:v>188</x:v>
      </x:c>
      <x:c r="C38" s="3">
        <x:v>35</x:v>
      </x:c>
      <x:c r="D38" s="1" t="s">
        <x:v>10</x:v>
      </x:c>
      <x:c r="E38" s="1" t="s">
        <x:v>189</x:v>
      </x:c>
    </x:row>
    <x:row r="39">
      <x:c r="A39" s="1" t="s">
        <x:v>190</x:v>
      </x:c>
      <x:c r="B39" s="1" t="s">
        <x:v>191</x:v>
      </x:c>
      <x:c r="C39" s="3">
        <x:v>18</x:v>
      </x:c>
      <x:c r="D39" s="1" t="s">
        <x:v>87</x:v>
      </x:c>
      <x:c r="E39" s="1" t="s">
        <x:v>192</x:v>
      </x:c>
    </x:row>
    <x:row r="40">
      <x:c r="A40" s="1" t="s">
        <x:v>193</x:v>
      </x:c>
      <x:c r="B40" s="1" t="s">
        <x:v>194</x:v>
      </x:c>
      <x:c r="C40" s="3">
        <x:v>12</x:v>
      </x:c>
      <x:c r="D40" s="1" t="s">
        <x:v>87</x:v>
      </x:c>
      <x:c r="E40" s="1" t="s">
        <x:v>195</x:v>
      </x:c>
    </x:row>
    <x:row r="41">
      <x:c r="A41" s="1" t="s">
        <x:v>196</x:v>
      </x:c>
      <x:c r="B41" s="1" t="s">
        <x:v>197</x:v>
      </x:c>
      <x:c r="C41" s="3">
        <x:v>120</x:v>
      </x:c>
      <x:c r="D41" s="1" t="s">
        <x:v>10</x:v>
      </x:c>
      <x:c r="E41" s="1" t="s">
        <x:v>198</x:v>
      </x:c>
    </x:row>
    <x:row r="42">
      <x:c r="A42" s="1" t="s">
        <x:v>199</x:v>
      </x:c>
      <x:c r="B42" s="1" t="s">
        <x:v>200</x:v>
      </x:c>
      <x:c r="C42" s="3">
        <x:v>12</x:v>
      </x:c>
      <x:c r="D42" s="1" t="s">
        <x:v>87</x:v>
      </x:c>
      <x:c r="E42" s="1" t="s">
        <x:v>201</x:v>
      </x:c>
    </x:row>
    <x:row r="43">
      <x:c r="A43" s="1" t="s">
        <x:v>202</x:v>
      </x:c>
      <x:c r="B43" s="1" t="s">
        <x:v>203</x:v>
      </x:c>
      <x:c r="C43" s="3">
        <x:v>-6</x:v>
      </x:c>
      <x:c r="D43" s="1" t="s">
        <x:v>87</x:v>
      </x:c>
      <x:c r="E43" s="1" t="s">
        <x:v>204</x:v>
      </x:c>
    </x:row>
    <x:row r="44">
      <x:c r="A44" s="1" t="s">
        <x:v>205</x:v>
      </x:c>
      <x:c r="B44" s="1" t="s">
        <x:v>206</x:v>
      </x:c>
      <x:c r="C44" s="3">
        <x:v>2.5</x:v>
      </x:c>
      <x:c r="D44" s="1" t="s">
        <x:v>87</x:v>
      </x:c>
      <x:c r="E44" s="1" t="s">
        <x:v>207</x:v>
      </x:c>
    </x:row>
    <x:row r="45">
      <x:c r="A45" s="1" t="s">
        <x:v>208</x:v>
      </x:c>
      <x:c r="B45" s="1" t="s">
        <x:v>209</x:v>
      </x:c>
      <x:c r="C45" s="3">
        <x:v>38</x:v>
      </x:c>
      <x:c r="D45" s="1" t="s">
        <x:v>87</x:v>
      </x:c>
      <x:c r="E45" s="1" t="s">
        <x:v>210</x:v>
      </x:c>
    </x:row>
    <x:row r="46">
      <x:c r="A46" s="1" t="s">
        <x:v>211</x:v>
      </x:c>
      <x:c r="B46" s="1" t="s">
        <x:v>212</x:v>
      </x:c>
      <x:c r="C46" s="3">
        <x:v>75</x:v>
      </x:c>
      <x:c r="D46" s="1" t="s">
        <x:v>10</x:v>
      </x:c>
      <x:c r="E46" s="1" t="s">
        <x:v>213</x:v>
      </x:c>
    </x:row>
    <x:row r="47" ht="26.25">
      <x:c r="A47" s="1" t="s">
        <x:v>214</x:v>
      </x:c>
      <x:c r="B47" s="1" t="s">
        <x:v>215</x:v>
      </x:c>
      <x:c r="C47" s="4">
        <x:v>7</x:v>
      </x:c>
      <x:c r="D47" s="1"/>
      <x:c r="E47" s="1" t="s">
        <x:v>216</x:v>
      </x:c>
    </x:row>
    <x:row r="48">
      <x:c r="A48" s="1" t="s">
        <x:v>217</x:v>
      </x:c>
      <x:c r="B48" s="1" t="s">
        <x:v>218</x:v>
      </x:c>
      <x:c r="C48" s="3">
        <x:v>45</x:v>
      </x:c>
      <x:c r="D48" s="1" t="s">
        <x:v>10</x:v>
      </x:c>
      <x:c r="E48" s="1" t="s">
        <x:v>219</x:v>
      </x:c>
    </x:row>
    <x:row r="49">
      <x:c r="A49" s="1" t="s">
        <x:v>220</x:v>
      </x:c>
      <x:c r="B49" s="1" t="s">
        <x:v>221</x:v>
      </x:c>
      <x:c r="C49" s="3">
        <x:v>12</x:v>
      </x:c>
      <x:c r="D49" s="1" t="s">
        <x:v>87</x:v>
      </x:c>
      <x:c r="E49" s="1" t="s">
        <x:v>222</x:v>
      </x:c>
    </x:row>
    <x:row r="50">
      <x:c r="A50" s="1" t="s">
        <x:v>223</x:v>
      </x:c>
      <x:c r="B50" s="1" t="s">
        <x:v>224</x:v>
      </x:c>
      <x:c r="C50" s="3">
        <x:v>9</x:v>
      </x:c>
      <x:c r="D50" s="1" t="s">
        <x:v>87</x:v>
      </x:c>
      <x:c r="E50" s="1" t="s">
        <x:v>225</x:v>
      </x:c>
    </x:row>
    <x:row r="51">
      <x:c r="A51" s="1" t="s">
        <x:v>226</x:v>
      </x:c>
      <x:c r="B51" s="1" t="s">
        <x:v>227</x:v>
      </x:c>
      <x:c r="C51" s="3">
        <x:v>1</x:v>
      </x:c>
      <x:c r="D51" s="1"/>
      <x:c r="E51" s="1" t="s">
        <x:v>228</x:v>
      </x:c>
    </x:row>
    <x:row r="52">
      <x:c r="A52" s="1" t="s">
        <x:v>229</x:v>
      </x:c>
      <x:c r="B52" s="1" t="s">
        <x:v>230</x:v>
      </x:c>
      <x:c r="C52" s="3">
        <x:v>1560.8</x:v>
      </x:c>
      <x:c r="D52" s="1" t="s">
        <x:v>87</x:v>
      </x:c>
      <x:c r="E52" s="1" t="s">
        <x:v>231</x:v>
      </x:c>
    </x:row>
    <x:row r="54" ht="13.899999618530273">
      <x:c r="A54" s="5" t="s">
        <x:v>232</x:v>
      </x:c>
      <x:c r="B54" s="29" t="s">
        <x:v>233</x:v>
      </x:c>
      <x:c r="C54" s="29"/>
      <x:c r="D54" s="29"/>
      <x:c r="E54" s="30"/>
    </x:row>
  </x:sheetData>
  <x:mergeCells>
    <x:mergeCell ref="A25:E25"/>
    <x:mergeCell ref="B54:E54"/>
    <x:mergeCell ref="A1:N1"/>
    <x:mergeCell ref="A2:N2"/>
    <x:mergeCell ref="B23:E23"/>
    <x:mergeCell ref="F4:N4"/>
    <x:mergeCell ref="G11:N11"/>
  </x:mergeCells>
  <x:dataValidations count="1">
    <x:dataValidation type="list" sqref="C27 F6:F9">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5"/>
  <x:cols>
    <x:col min="1" max="2" width="10" customWidth="1"/>
    <x:col min="3" max="5" width="12" customWidth="1"/>
    <x:col min="6" max="6" width="16" customWidth="1"/>
    <x:col min="7" max="7" width="14" customWidth="1"/>
    <x:col min="8" max="8" width="16" customWidth="1"/>
    <x:col min="9" max="11" width="14" customWidth="1"/>
    <x:col min="12" max="12" width="11" customWidth="1"/>
    <x:col min="13" max="13" width="10" customWidth="1"/>
    <x:col min="14" max="14" width="12" customWidth="1"/>
    <x:col min="15" max="17" width="14" customWidth="1"/>
    <x:col min="18" max="21" width="13" customWidth="1"/>
    <x:col min="22" max="23" width="16" customWidth="1"/>
    <x:col min="24" max="25" width="13" customWidth="1"/>
    <x:col min="26" max="28" width="15" customWidth="1"/>
    <x:col min="29" max="30" width="18" customWidth="1"/>
    <x:col min="31" max="33" width="16" customWidth="1"/>
    <x:col min="34" max="34" width="14" customWidth="1"/>
    <x:col min="35" max="36" width="20" customWidth="1"/>
    <x:col min="37" max="43" width="18" customWidth="1"/>
    <x:col min="44" max="45" width="16" customWidth="1"/>
  </x:cols>
  <x:sheetData>
    <x:row r="1" ht="26.25">
      <x:c r="A1" s="2" t="s">
        <x:v>234</x:v>
      </x:c>
      <x:c r="B1" s="2" t="s">
        <x:v>235</x:v>
      </x:c>
      <x:c r="C1" s="2" t="s">
        <x:v>236</x:v>
      </x:c>
      <x:c r="D1" s="2" t="s">
        <x:v>237</x:v>
      </x:c>
      <x:c r="E1" s="2" t="s">
        <x:v>238</x:v>
      </x:c>
      <x:c r="F1" s="2" t="s">
        <x:v>239</x:v>
      </x:c>
      <x:c r="G1" s="2" t="s">
        <x:v>240</x:v>
      </x:c>
      <x:c r="H1" s="2" t="s">
        <x:v>241</x:v>
      </x:c>
      <x:c r="I1" s="2" t="s">
        <x:v>242</x:v>
      </x:c>
      <x:c r="J1" s="2" t="s">
        <x:v>243</x:v>
      </x:c>
      <x:c r="K1" s="2" t="s">
        <x:v>244</x:v>
      </x:c>
      <x:c r="L1" s="2" t="s">
        <x:v>245</x:v>
      </x:c>
      <x:c r="M1" s="2" t="s">
        <x:v>246</x:v>
      </x:c>
      <x:c r="N1" s="2" t="s">
        <x:v>247</x:v>
      </x:c>
      <x:c r="O1" s="2" t="s">
        <x:v>248</x:v>
      </x:c>
      <x:c r="P1" s="2" t="s">
        <x:v>249</x:v>
      </x:c>
      <x:c r="Q1" s="2" t="s">
        <x:v>250</x:v>
      </x:c>
      <x:c r="R1" s="2" t="s">
        <x:v>251</x:v>
      </x:c>
      <x:c r="S1" s="2" t="s">
        <x:v>252</x:v>
      </x:c>
      <x:c r="T1" s="2" t="s">
        <x:v>253</x:v>
      </x:c>
      <x:c r="U1" s="2" t="s">
        <x:v>254</x:v>
      </x:c>
      <x:c r="V1" s="2" t="s">
        <x:v>255</x:v>
      </x:c>
      <x:c r="W1" s="2" t="s">
        <x:v>256</x:v>
      </x:c>
      <x:c r="X1" s="2" t="s">
        <x:v>257</x:v>
      </x:c>
      <x:c r="Y1" s="2" t="s">
        <x:v>258</x:v>
      </x:c>
      <x:c r="Z1" s="2" t="s">
        <x:v>259</x:v>
      </x:c>
      <x:c r="AA1" s="2" t="s">
        <x:v>260</x:v>
      </x:c>
      <x:c r="AB1" s="2" t="s">
        <x:v>261</x:v>
      </x:c>
      <x:c r="AC1" s="2" t="s">
        <x:v>262</x:v>
      </x:c>
      <x:c r="AD1" s="2" t="s">
        <x:v>263</x:v>
      </x:c>
      <x:c r="AE1" s="2" t="s">
        <x:v>264</x:v>
      </x:c>
      <x:c r="AF1" s="2" t="s">
        <x:v>265</x:v>
      </x:c>
      <x:c r="AG1" s="2" t="s">
        <x:v>266</x:v>
      </x:c>
      <x:c r="AH1" s="2" t="s">
        <x:v>267</x:v>
      </x:c>
      <x:c r="AI1" s="2" t="s">
        <x:v>268</x:v>
      </x:c>
      <x:c r="AJ1" s="2" t="s">
        <x:v>269</x:v>
      </x:c>
      <x:c r="AK1" s="2" t="s">
        <x:v>270</x:v>
      </x:c>
      <x:c r="AL1" s="2" t="s">
        <x:v>271</x:v>
      </x:c>
      <x:c r="AM1" s="2" t="s">
        <x:v>272</x:v>
      </x:c>
      <x:c r="AN1" s="2" t="s">
        <x:v>273</x:v>
      </x:c>
      <x:c r="AO1" s="2" t="s">
        <x:v>274</x:v>
      </x:c>
      <x:c r="AP1" s="2" t="s">
        <x:v>275</x:v>
      </x:c>
      <x:c r="AQ1" s="2" t="s">
        <x:v>276</x:v>
      </x:c>
      <x:c r="AR1" s="2" t="s">
        <x:v>277</x:v>
      </x:c>
      <x:c r="AS1" s="2" t="s">
        <x:v>278</x:v>
      </x:c>
    </x:row>
    <x:row r="2">
      <x:c r="A2" s="9" t="n">
        <x:f>Inputs!$C$7+0*(Inputs!$C$8-Inputs!$C$7)/240</x:f>
        <x:v>-60</x:v>
      </x:c>
      <x:c r="B2" s="9" t="n">
        <x:f>Inputs!$C$5+Inputs!$C$9*(A2/Inputs!$C$10)^2</x:f>
        <x:v>404</x:v>
      </x:c>
      <x:c r="C2" s="9" t="n">
        <x:f t="shared" ref="C2:C65" si="0">B2</x:f>
        <x:v>404</x:v>
      </x:c>
      <x:c r="D2" s="9" t="n">
        <x:f>SQRT((Inputs!$C$52+B2)^2+Inputs!$C$52^2-2*(Inputs!$C$52+B2)*Inputs!$C$52*COS(SQRT(A2^2+Inputs!$C$6^2)/Inputs!$C$52))</x:f>
        <x:v>410.5287288387585</x:v>
      </x:c>
      <x:c r="E2" s="9" t="n">
        <x:f t="shared" ref="E2:E65" si="1">(D2-C2)*1000</x:f>
        <x:v>6528.728838758525</x:v>
      </x:c>
      <x:c r="F2" s="9" t="n">
        <x:f>E2/Inputs!$C$12</x:f>
        <x:v>3667.825190313778</x:v>
      </x:c>
      <x:c r="G2" s="9" t="n">
        <x:f>2*E2/Inputs!$C$21*1000000</x:f>
        <x:v>43.55499055789139</x:v>
      </x:c>
      <x:c r="H2" s="9" t="n">
        <x:f>SQRT(A2^2+Inputs!$C$6^2)</x:f>
        <x:v>65</x:v>
      </x:c>
      <x:c r="I2" s="9" t="n">
        <x:f t="shared" ref="I2:I65" si="2">DEGREES(ATAN(H2/B2))</x:f>
        <x:v>9.14005123413285</x:v>
      </x:c>
      <x:c r="J2" s="9" t="n">
        <x:f>DEGREES((2*PI()/Inputs!$C$13)*Inputs!$C$15*SIN(RADIANS(I2)))</x:f>
        <x:v>57.185372299425126</x:v>
      </x:c>
      <x:c r="K2" s="9" t="n">
        <x:f t="shared" ref="K2:K65" si="3">(C2/D2)^4</x:f>
        <x:v>0.9378885685446497</x:v>
      </x:c>
      <x:c r="L2" s="9" t="n">
        <x:f t="shared" ref="L2:L65" si="4">10*LOG10(K2)</x:f>
        <x:v>-0.27848757506786603</x:v>
      </x:c>
      <x:c r="M2" s="9" t="n">
        <x:f>2*(Inputs!$C$9/(Inputs!$C$10^2))*A2</x:f>
        <x:v>-0.13333333333333333</x:v>
      </x:c>
      <x:c r="N2" s="9" t="n">
        <x:f>M2*Inputs!$C$11</x:f>
        <x:v>-0.5333333333333333</x:v>
      </x:c>
      <x:c r="O2" s="9" t="n">
        <x:f>1000*(D3-D2)/(A3-A2)*Inputs!$C$11</x:f>
        <x:v>-1257.2455840172552</x:v>
      </x:c>
      <x:c r="P2" s="9" t="n">
        <x:f>-2*O2/Inputs!$C$13</x:f>
        <x:v>502.89823360690207</x:v>
      </x:c>
      <x:c r="Q2" s="9" t="n">
        <x:f>-2*O2/Inputs!$C$14</x:f>
        <x:v>75.51024528632163</x:v>
      </x:c>
      <x:c r="R2" s="9" t="n">
        <x:f>F2-Inputs!$C$16/2</x:f>
        <x:v>3652.825190313778</x:v>
      </x:c>
      <x:c r="S2" s="9" t="n">
        <x:f>F2+Inputs!$C$16/2</x:f>
        <x:v>3682.825190313778</x:v>
      </x:c>
      <x:c r="T2" s="9" t="n">
        <x:f>F2-Inputs!$C$17/2</x:f>
        <x:v>3517.825190313778</x:v>
      </x:c>
      <x:c r="U2" s="9" t="n">
        <x:f>F2+Inputs!$C$17/2</x:f>
        <x:v>3817.825190313778</x:v>
      </x:c>
      <x:c r="V2" s="9" t="n">
        <x:f t="shared" ref="V2:V65" si="5">ABS(P2)</x:f>
        <x:v>502.89823360690207</x:v>
      </x:c>
      <x:c r="W2" s="9" t="n">
        <x:f t="shared" ref="W2:W65" si="6">ABS(Q2)</x:f>
        <x:v>75.51024528632163</x:v>
      </x:c>
      <x:c r="X2" s="9"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x:f>
        <x:v>2.7642790376402013</x:v>
      </x:c>
      <x:c r="Y2" s="9"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x:f>
        <x:v>119.42638570504096</x:v>
      </x:c>
      <x:c r="Z2" s="9" t="n">
        <x:f t="shared" ref="Z2:Z65" si="7">B2-X2/1000</x:f>
        <x:v>403.99723572096235</x:v>
      </x:c>
      <x:c r="AA2" s="9" t="n">
        <x:f>SQRT((Inputs!$C$52+B2)^2+(Inputs!$C$52+Y2/1000)^2-2*(Inputs!$C$52+B2)*(Inputs!$C$52+Y2/1000)*COS(SQRT(A2^2+Inputs!$C$6^2)/Inputs!$C$52))</x:f>
        <x:v>410.41169798793055</x:v>
      </x:c>
      <x:c r="AB2" s="9" t="n">
        <x:f t="shared" ref="AB2:AB65" si="8">(AA2-Z2)*1000</x:f>
        <x:v>6414.462266968201</x:v>
      </x:c>
      <x:c r="AC2" s="9" t="n">
        <x:f>AB2/Inputs!$C$12</x:f>
        <x:v>3603.6304870607873</x:v>
      </x:c>
      <x:c r="AD2" s="9" t="n">
        <x:f>2*AB2/Inputs!$C$21*1000000</x:f>
        <x:v>42.79268604527871</x:v>
      </x:c>
      <x:c r="AE2" s="9" t="n">
        <x:f t="shared" ref="AE2:AE65" si="9">DEGREES(ATAN(H2/(B2-Y2/1000)))</x:f>
        <x:v>9.142708283534203</x:v>
      </x:c>
      <x:c r="AF2" s="9" t="n">
        <x:f>DEGREES((2*PI()/Inputs!$C$13)*Inputs!$C$15*SIN(RADIANS(AE2)))</x:f>
        <x:v>57.201854998802176</x:v>
      </x:c>
      <x:c r="AG2" s="9" t="n">
        <x:f t="shared" ref="AG2:AG65" si="10">(Z2/AA2)^4</x:f>
        <x:v>0.9389331015884215</x:v>
      </x:c>
      <x:c r="AH2" s="9" t="n">
        <x:f t="shared" ref="AH2:AH65" si="11">10*LOG10(AG2)</x:f>
        <x:v>-0.27365349848903</x:v>
      </x:c>
      <x:c r="AI2" s="9" t="n">
        <x:f t="shared" ref="AI2:AI65" si="12">AC2-F2</x:f>
        <x:v>-64.19470325299062</x:v>
      </x:c>
      <x:c r="AJ2" s="9" t="n">
        <x:f t="shared" ref="AJ2:AJ65" si="13">AD2-G2</x:f>
        <x:v>-0.7623045126126797</x:v>
      </x:c>
      <x:c r="AK2" s="9" t="n">
        <x:f t="shared" ref="AK2:AK65" si="14">Y2-X2</x:f>
        <x:v>116.66210666740075</x:v>
      </x:c>
      <x:c r="AL2" s="9" t="n">
        <x:f>1000*(AA3-AA2)/(A3-A2)*Inputs!$C$11</x:f>
        <x:v>-1189.0455786242455</x:v>
      </x:c>
      <x:c r="AM2" s="9" t="n">
        <x:f>-2*AL2/Inputs!$C$13</x:f>
        <x:v>475.6182314496982</x:v>
      </x:c>
      <x:c r="AN2" s="9" t="n">
        <x:f>-2*AL2/Inputs!$C$14</x:f>
        <x:v>71.41414886632106</x:v>
      </x:c>
      <x:c r="AO2" s="9" t="n">
        <x:f t="shared" ref="AO2:AO65" si="15">ABS(AM2)</x:f>
        <x:v>475.6182314496982</x:v>
      </x:c>
      <x:c r="AP2" s="9" t="n">
        <x:f t="shared" ref="AP2:AP65" si="16">ABS(AN2)</x:f>
        <x:v>71.41414886632106</x:v>
      </x:c>
      <x:c r="AQ2" s="9" t="n">
        <x:f>IF(OR(Inputs!$C$27=TRUE,Inputs!$C$27="TRUE",Inputs!$C$27=1),Inputs!$C$46/Inputs!$C$12,0)</x:f>
        <x:v>42.13483146067416</x:v>
      </x:c>
      <x:c r="AR2" s="9" t="n">
        <x:f t="shared" ref="AR2:AR65" si="17">AC2-AQ2</x:f>
        <x:v>3561.495655600113</x:v>
      </x:c>
      <x:c r="AS2" s="9" t="n">
        <x:f t="shared" ref="AS2:AS65" si="18">AC2+AQ2</x:f>
        <x:v>3645.7653185214617</x:v>
      </x:c>
    </x:row>
    <x:row r="3">
      <x:c r="A3" s="9" t="n">
        <x:f>Inputs!$C$7+1*(Inputs!$C$8-Inputs!$C$7)/240</x:f>
        <x:v>-59.5</x:v>
      </x:c>
      <x:c r="B3" s="9" t="n">
        <x:f>Inputs!$C$5+Inputs!$C$9*(A3/Inputs!$C$10)^2</x:f>
        <x:v>403.93361111111113</x:v>
      </x:c>
      <x:c r="C3" s="9">
        <x:f t="shared" si="0"/>
        <x:v>403.93361111111113</x:v>
      </x:c>
      <x:c r="D3" s="9" t="n">
        <x:f>SQRT((Inputs!$C$52+B3)^2+Inputs!$C$52^2-2*(Inputs!$C$52+B3)*Inputs!$C$52*COS(SQRT(A3^2+Inputs!$C$6^2)/Inputs!$C$52))</x:f>
        <x:v>410.37157314075637</x:v>
      </x:c>
      <x:c r="E3" s="9">
        <x:f t="shared" si="1"/>
        <x:v>6437.962029645234</x:v>
      </x:c>
      <x:c r="F3" s="9" t="n">
        <x:f>E3/Inputs!$C$12</x:f>
        <x:v>3616.8326009242887</x:v>
      </x:c>
      <x:c r="G3" s="9" t="n">
        <x:f>2*E3/Inputs!$C$21*1000000</x:f>
        <x:v>42.94945958677342</x:v>
      </x:c>
      <x:c r="H3" s="9" t="n">
        <x:f>SQRT(A3^2+Inputs!$C$6^2)</x:f>
        <x:v>64.53874805107394</x:v>
      </x:c>
      <x:c r="I3" s="9">
        <x:f t="shared" si="2"/>
        <x:v>9.0777420317977509</x:v>
      </x:c>
      <x:c r="J3" s="9" t="n">
        <x:f>DEGREES((2*PI()/Inputs!$C$13)*Inputs!$C$15*SIN(RADIANS(I3)))</x:f>
        <x:v>56.79880917100207</x:v>
      </x:c>
      <x:c r="K3" s="9">
        <x:f t="shared" si="3"/>
        <x:v>0.9387088058105012</x:v>
      </x:c>
      <x:c r="L3" s="9">
        <x:f t="shared" si="4"/>
        <x:v>-0.27469108098806244</x:v>
      </x:c>
      <x:c r="M3" s="9" t="n">
        <x:f>2*(Inputs!$C$9/(Inputs!$C$10^2))*A3</x:f>
        <x:v>-0.1322222222222222</x:v>
      </x:c>
      <x:c r="N3" s="9" t="n">
        <x:f>M3*Inputs!$C$11</x:f>
        <x:v>-0.5288888888888889</x:v>
      </x:c>
      <x:c r="O3" s="9" t="n">
        <x:f>1000*(D4-D2)/(A4-A2)*Inputs!$C$11</x:f>
        <x:v>-1252.157532299634</x:v>
      </x:c>
      <x:c r="P3" s="9" t="n">
        <x:f>-2*O3/Inputs!$C$13</x:f>
        <x:v>500.86301291985365</x:v>
      </x:c>
      <x:c r="Q3" s="9" t="n">
        <x:f>-2*O3/Inputs!$C$14</x:f>
        <x:v>75.20465659457263</x:v>
      </x:c>
      <x:c r="R3" s="9" t="n">
        <x:f>F3-Inputs!$C$16/2</x:f>
        <x:v>3601.8326009242887</x:v>
      </x:c>
      <x:c r="S3" s="9" t="n">
        <x:f>F3+Inputs!$C$16/2</x:f>
        <x:v>3631.8326009242887</x:v>
      </x:c>
      <x:c r="T3" s="9" t="n">
        <x:f>F3-Inputs!$C$17/2</x:f>
        <x:v>3466.8326009242887</x:v>
      </x:c>
      <x:c r="U3" s="9" t="n">
        <x:f>F3+Inputs!$C$17/2</x:f>
        <x:v>3766.8326009242887</x:v>
      </x:c>
      <x:c r="V3" s="9">
        <x:f t="shared" si="5"/>
        <x:v>500.86301291985365</x:v>
      </x:c>
      <x:c r="W3" s="9">
        <x:f t="shared" si="6"/>
        <x:v>75.204656594572626</x:v>
      </x:c>
      <x:c r="X3" s="9"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x:f>
        <x:v>19.645117006397193</x:v>
      </x:c>
      <x:c r="Y3" s="9"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x:f>
        <x:v>110.69606493723512</x:v>
      </x:c>
      <x:c r="Z3" s="9">
        <x:f t="shared" si="7"/>
        <x:v>403.91396599410473</x:v>
      </x:c>
      <x:c r="AA3" s="9" t="n">
        <x:f>SQRT((Inputs!$C$52+B3)^2+(Inputs!$C$52+Y3/1000)^2-2*(Inputs!$C$52+B3)*(Inputs!$C$52+Y3/1000)*COS(SQRT(A3^2+Inputs!$C$6^2)/Inputs!$C$52))</x:f>
        <x:v>410.2630672906025</x:v>
      </x:c>
      <x:c r="AB3" s="9">
        <x:f t="shared" si="8"/>
        <x:v>6349.1012964977926</x:v>
      </x:c>
      <x:c r="AC3" s="9" t="n">
        <x:f>AB3/Inputs!$C$12</x:f>
        <x:v>3566.910840729097</x:v>
      </x:c>
      <x:c r="AD3" s="9" t="n">
        <x:f>2*AB3/Inputs!$C$21*1000000</x:f>
        <x:v>42.356644585754005</x:v>
      </x:c>
      <x:c r="AE3" s="9">
        <x:f t="shared" si="9"/>
        <x:v>9.0801889745391939</x:v>
      </x:c>
      <x:c r="AF3" s="9" t="n">
        <x:f>DEGREES((2*PI()/Inputs!$C$13)*Inputs!$C$15*SIN(RADIANS(AE3)))</x:f>
        <x:v>56.81399114973656</x:v>
      </x:c>
      <x:c r="AG3" s="9">
        <x:f t="shared" si="10"/>
        <x:v>0.93951947931942503</x:v>
      </x:c>
      <x:c r="AH3" s="9">
        <x:f t="shared" si="11"/>
        <x:v>-0.2709421112147834</x:v>
      </x:c>
      <x:c r="AI3" s="9">
        <x:f t="shared" si="12"/>
        <x:v>-49.921760195191837</x:v>
      </x:c>
      <x:c r="AJ3" s="9">
        <x:f t="shared" si="13"/>
        <x:v>-0.59281500101941731</x:v>
      </x:c>
      <x:c r="AK3" s="9">
        <x:f t="shared" si="14"/>
        <x:v>91.050947930825657</x:v>
      </x:c>
      <x:c r="AL3" s="9" t="n">
        <x:f>1000*(AA4-AA2)/(A4-A2)*Inputs!$C$11</x:f>
        <x:v>-1227.182503017275</x:v>
      </x:c>
      <x:c r="AM3" s="9" t="n">
        <x:f>-2*AL3/Inputs!$C$13</x:f>
        <x:v>490.87300120691</x:v>
      </x:c>
      <x:c r="AN3" s="9" t="n">
        <x:f>-2*AL3/Inputs!$C$14</x:f>
        <x:v>73.70465483587238</x:v>
      </x:c>
      <x:c r="AO3" s="9">
        <x:f t="shared" si="15"/>
        <x:v>490.87300120690998</x:v>
      </x:c>
      <x:c r="AP3" s="9">
        <x:f t="shared" si="16"/>
        <x:v>73.704654835872375</x:v>
      </x:c>
      <x:c r="AQ3" s="9" t="n">
        <x:f>IF(OR(Inputs!$C$27=TRUE,Inputs!$C$27="TRUE",Inputs!$C$27=1),Inputs!$C$46/Inputs!$C$12,0)</x:f>
        <x:v>42.13483146067416</x:v>
      </x:c>
      <x:c r="AR3" s="9">
        <x:f t="shared" si="17"/>
        <x:v>3524.7760092684225</x:v>
      </x:c>
      <x:c r="AS3" s="9">
        <x:f t="shared" si="18"/>
        <x:v>3609.0456721897713</x:v>
      </x:c>
    </x:row>
    <x:row r="4">
      <x:c r="A4" s="9" t="n">
        <x:f>Inputs!$C$7+2*(Inputs!$C$8-Inputs!$C$7)/240</x:f>
        <x:v>-59</x:v>
      </x:c>
      <x:c r="B4" s="9" t="n">
        <x:f>Inputs!$C$5+Inputs!$C$9*(A4/Inputs!$C$10)^2</x:f>
        <x:v>403.8677777777778</x:v>
      </x:c>
      <x:c r="C4" s="9">
        <x:f t="shared" si="0"/>
        <x:v>403.8677777777778</x:v>
      </x:c>
      <x:c r="D4" s="9" t="n">
        <x:f>SQRT((Inputs!$C$52+B4)^2+Inputs!$C$52^2-2*(Inputs!$C$52+B4)*Inputs!$C$52*COS(SQRT(A4^2+Inputs!$C$6^2)/Inputs!$C$52))</x:f>
        <x:v>410.2156894556836</x:v>
      </x:c>
      <x:c r="E4" s="9">
        <x:f t="shared" si="1"/>
        <x:v>6347.9116779058131</x:v>
      </x:c>
      <x:c r="F4" s="9" t="n">
        <x:f>E4/Inputs!$C$12</x:f>
        <x:v>3566.242515677423</x:v>
      </x:c>
      <x:c r="G4" s="9" t="n">
        <x:f>2*E4/Inputs!$C$21*1000000</x:f>
        <x:v>42.348708304768714</x:v>
      </x:c>
      <x:c r="H4" s="9" t="n">
        <x:f>SQRT(A4^2+Inputs!$C$6^2)</x:f>
        <x:v>64.07807737440318</x:v>
      </x:c>
      <x:c r="I4" s="9">
        <x:f t="shared" si="2"/>
        <x:v>9.0154589139895744</x:v>
      </x:c>
      <x:c r="J4" s="9" t="n">
        <x:f>DEGREES((2*PI()/Inputs!$C$13)*Inputs!$C$15*SIN(RADIANS(I4)))</x:f>
        <x:v>56.41234073822082</x:v>
      </x:c>
      <x:c r="K4" s="9">
        <x:f t="shared" si="3"/>
        <x:v>0.93952372636550141</x:v>
      </x:c>
      <x:c r="L4" s="9">
        <x:f t="shared" si="4"/>
        <x:v>-0.27092247921622387</x:v>
      </x:c>
      <x:c r="M4" s="9" t="n">
        <x:f>2*(Inputs!$C$9/(Inputs!$C$10^2))*A4</x:f>
        <x:v>-0.13111111111111112</x:v>
      </x:c>
      <x:c r="N4" s="9" t="n">
        <x:f>M4*Inputs!$C$11</x:f>
        <x:v>-0.5244444444444445</x:v>
      </x:c>
      <x:c r="O4" s="9" t="n">
        <x:f>1000*(D5-D3)/(A5-A3)*Inputs!$C$11</x:f>
        <x:v>-1241.977276069747</x:v>
      </x:c>
      <x:c r="P4" s="9" t="n">
        <x:f>-2*O4/Inputs!$C$13</x:f>
        <x:v>496.7909104278988</x:v>
      </x:c>
      <x:c r="Q4" s="9" t="n">
        <x:f>-2*O4/Inputs!$C$14</x:f>
        <x:v>74.59322979397881</x:v>
      </x:c>
      <x:c r="R4" s="9" t="n">
        <x:f>F4-Inputs!$C$16/2</x:f>
        <x:v>3551.242515677423</x:v>
      </x:c>
      <x:c r="S4" s="9" t="n">
        <x:f>F4+Inputs!$C$16/2</x:f>
        <x:v>3581.242515677423</x:v>
      </x:c>
      <x:c r="T4" s="9" t="n">
        <x:f>F4-Inputs!$C$17/2</x:f>
        <x:v>3416.242515677423</x:v>
      </x:c>
      <x:c r="U4" s="9" t="n">
        <x:f>F4+Inputs!$C$17/2</x:f>
        <x:v>3716.242515677423</x:v>
      </x:c>
      <x:c r="V4" s="9">
        <x:f t="shared" si="5"/>
        <x:v>496.79091042789878</x:v>
      </x:c>
      <x:c r="W4" s="9">
        <x:f t="shared" si="6"/>
        <x:v>74.593229793978807</x:v>
      </x:c>
      <x:c r="X4" s="9"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x:f>
        <x:v>7.970448353767724</x:v>
      </x:c>
      <x:c r="Y4" s="9"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x:f>
        <x:v>112.99219424849355</x:v>
      </x:c>
      <x:c r="Z4" s="9">
        <x:f t="shared" si="7"/>
        <x:v>403.85980732942403</x:v>
      </x:c>
      <x:c r="AA4" s="9" t="n">
        <x:f>SQRT((Inputs!$C$52+B4)^2+(Inputs!$C$52+Y4/1000)^2-2*(Inputs!$C$52+B4)*(Inputs!$C$52+Y4/1000)*COS(SQRT(A4^2+Inputs!$C$6^2)/Inputs!$C$52))</x:f>
        <x:v>410.10490236217623</x:v>
      </x:c>
      <x:c r="AB4" s="9">
        <x:f t="shared" si="8"/>
        <x:v>6245.0950327522041</x:v>
      </x:c>
      <x:c r="AC4" s="9" t="n">
        <x:f>AB4/Inputs!$C$12</x:f>
        <x:v>3508.4803554787663</x:v>
      </x:c>
      <x:c r="AD4" s="9" t="n">
        <x:f>2*AB4/Inputs!$C$21*1000000</x:f>
        <x:v>41.66278948052925</x:v>
      </x:c>
      <x:c r="AE4" s="9">
        <x:f t="shared" si="9"/>
        <x:v>9.0179404659826474</x:v>
      </x:c>
      <x:c r="AF4" s="9" t="n">
        <x:f>DEGREES((2*PI()/Inputs!$C$13)*Inputs!$C$15*SIN(RADIANS(AE4)))</x:f>
        <x:v>56.42774011364456</x:v>
      </x:c>
      <x:c r="AG4" s="9">
        <x:f t="shared" si="10"/>
        <x:v>0.94046511692363144</x:v>
      </x:c>
      <x:c r="AH4" s="9">
        <x:f t="shared" si="11"/>
        <x:v>-0.26657308362972926</x:v>
      </x:c>
      <x:c r="AI4" s="9">
        <x:f t="shared" si="12"/>
        <x:v>-57.762160198656602</x:v>
      </x:c>
      <x:c r="AJ4" s="9">
        <x:f t="shared" si="13"/>
        <x:v>-0.68591882423946515</x:v>
      </x:c>
      <x:c r="AK4" s="9">
        <x:f t="shared" si="14"/>
        <x:v>105.02174589472583</x:v>
      </x:c>
      <x:c r="AL4" s="9" t="n">
        <x:f>1000*(AA5-AA3)/(A5-A3)*Inputs!$C$11</x:f>
        <x:v>-1335.150537362324</x:v>
      </x:c>
      <x:c r="AM4" s="9" t="n">
        <x:f>-2*AL4/Inputs!$C$13</x:f>
        <x:v>534.0602149449296</x:v>
      </x:c>
      <x:c r="AN4" s="9" t="n">
        <x:f>-2*AL4/Inputs!$C$14</x:f>
        <x:v>80.18922146320266</x:v>
      </x:c>
      <x:c r="AO4" s="9">
        <x:f t="shared" si="15"/>
        <x:v>534.06021494492961</x:v>
      </x:c>
      <x:c r="AP4" s="9">
        <x:f t="shared" si="16"/>
        <x:v>80.189221463202657</x:v>
      </x:c>
      <x:c r="AQ4" s="9" t="n">
        <x:f>IF(OR(Inputs!$C$27=TRUE,Inputs!$C$27="TRUE",Inputs!$C$27=1),Inputs!$C$46/Inputs!$C$12,0)</x:f>
        <x:v>42.13483146067416</x:v>
      </x:c>
      <x:c r="AR4" s="9">
        <x:f t="shared" si="17"/>
        <x:v>3466.345524018092</x:v>
      </x:c>
      <x:c r="AS4" s="9">
        <x:f t="shared" si="18"/>
        <x:v>3550.6151869394407</x:v>
      </x:c>
    </x:row>
    <x:row r="5">
      <x:c r="A5" s="9" t="n">
        <x:f>Inputs!$C$7+3*(Inputs!$C$8-Inputs!$C$7)/240</x:f>
        <x:v>-58.5</x:v>
      </x:c>
      <x:c r="B5" s="9" t="n">
        <x:f>Inputs!$C$5+Inputs!$C$9*(A5/Inputs!$C$10)^2</x:f>
        <x:v>403.8025</x:v>
      </x:c>
      <x:c r="C5" s="9">
        <x:f t="shared" si="0"/>
        <x:v>403.80250000000001</x:v>
      </x:c>
      <x:c r="D5" s="9" t="n">
        <x:f>SQRT((Inputs!$C$52+B5)^2+Inputs!$C$52^2-2*(Inputs!$C$52+B5)*Inputs!$C$52*COS(SQRT(A5^2+Inputs!$C$6^2)/Inputs!$C$52))</x:f>
        <x:v>410.06107882173893</x:v>
      </x:c>
      <x:c r="E5" s="9">
        <x:f t="shared" si="1"/>
        <x:v>6258.5788217389218</x:v>
      </x:c>
      <x:c r="F5" s="9" t="n">
        <x:f>E5/Inputs!$C$12</x:f>
        <x:v>3516.055517830855</x:v>
      </x:c>
      <x:c r="G5" s="9" t="n">
        <x:f>2*E5/Inputs!$C$21*1000000</x:f>
        <x:v>41.7527436379932</x:v>
      </x:c>
      <x:c r="H5" s="9" t="n">
        <x:f>SQRT(A5^2+Inputs!$C$6^2)</x:f>
        <x:v>63.61800059731522</x:v>
      </x:c>
      <x:c r="I5" s="9">
        <x:f t="shared" si="2"/>
        <x:v>8.9532040951491538</x:v>
      </x:c>
      <x:c r="J5" s="9" t="n">
        <x:f>DEGREES((2*PI()/Inputs!$C$13)*Inputs!$C$15*SIN(RADIANS(I5)))</x:f>
        <x:v>56.02598128601325</x:v>
      </x:c>
      <x:c r="K5" s="9">
        <x:f t="shared" si="3"/>
        <x:v>0.94033329521757236</x:v>
      </x:c>
      <x:c r="L5" s="9">
        <x:f t="shared" si="4"/>
        <x:v>-0.26718186168122815</x:v>
      </x:c>
      <x:c r="M5" s="9" t="n">
        <x:f>2*(Inputs!$C$9/(Inputs!$C$10^2))*A5</x:f>
        <x:v>-0.13</x:v>
      </x:c>
      <x:c r="N5" s="9" t="n">
        <x:f>M5*Inputs!$C$11</x:f>
        <x:v>-0.52</x:v>
      </x:c>
      <x:c r="O5" s="9" t="n">
        <x:f>1000*(D6-D4)/(A6-A4)*Inputs!$C$11</x:f>
        <x:v>-1231.7887414533288</x:v>
      </x:c>
      <x:c r="P5" s="9" t="n">
        <x:f>-2*O5/Inputs!$C$13</x:f>
        <x:v>492.71549658133154</x:v>
      </x:c>
      <x:c r="Q5" s="9" t="n">
        <x:f>-2*O5/Inputs!$C$14</x:f>
        <x:v>73.98130579299273</x:v>
      </x:c>
      <x:c r="R5" s="9" t="n">
        <x:f>F5-Inputs!$C$16/2</x:f>
        <x:v>3501.055517830855</x:v>
      </x:c>
      <x:c r="S5" s="9" t="n">
        <x:f>F5+Inputs!$C$16/2</x:f>
        <x:v>3531.055517830855</x:v>
      </x:c>
      <x:c r="T5" s="9" t="n">
        <x:f>F5-Inputs!$C$17/2</x:f>
        <x:v>3366.055517830855</x:v>
      </x:c>
      <x:c r="U5" s="9" t="n">
        <x:f>F5+Inputs!$C$17/2</x:f>
        <x:v>3666.055517830855</x:v>
      </x:c>
      <x:c r="V5" s="9">
        <x:f t="shared" si="5"/>
        <x:v>492.71549658133154</x:v>
      </x:c>
      <x:c r="W5" s="9">
        <x:f t="shared" si="6"/>
        <x:v>73.981305792992728</x:v>
      </x:c>
      <x:c r="X5" s="9"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x:f>
        <x:v>21.747313566550197</x:v>
      </x:c>
      <x:c r="Y5" s="9"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x:f>
        <x:v>134.3858310571132</x:v>
      </x:c>
      <x:c r="Z5" s="9">
        <x:f t="shared" si="7"/>
        <x:v>403.78075268643335</x:v>
      </x:c>
      <x:c r="AA5" s="9" t="n">
        <x:f>SQRT((Inputs!$C$52+B5)^2+(Inputs!$C$52+Y5/1000)^2-2*(Inputs!$C$52+B5)*(Inputs!$C$52+Y5/1000)*COS(SQRT(A5^2+Inputs!$C$6^2)/Inputs!$C$52))</x:f>
        <x:v>409.92927965626194</x:v>
      </x:c>
      <x:c r="AB5" s="9">
        <x:f t="shared" si="8"/>
        <x:v>6148.5269698285947</x:v>
      </x:c>
      <x:c r="AC5" s="9" t="n">
        <x:f>AB5/Inputs!$C$12</x:f>
        <x:v>3454.2286347351655</x:v>
      </x:c>
      <x:c r="AD5" s="9" t="n">
        <x:f>2*AB5/Inputs!$C$21*1000000</x:f>
        <x:v>41.018556709846216</x:v>
      </x:c>
      <x:c r="AE5" s="9">
        <x:f t="shared" si="9"/>
        <x:v>8.9561364133473056</x:v>
      </x:c>
      <x:c r="AF5" s="9" t="n">
        <x:f>DEGREES((2*PI()/Inputs!$C$13)*Inputs!$C$15*SIN(RADIANS(AE5)))</x:f>
        <x:v>56.0441810255035</x:v>
      </x:c>
      <x:c r="AG5" s="9">
        <x:f t="shared" si="10"/>
        <x:v>0.94134039472565945</x:v>
      </x:c>
      <x:c r="AH5" s="9">
        <x:f t="shared" si="11"/>
        <x:v>-0.26253304501136343</x:v>
      </x:c>
      <x:c r="AI5" s="9">
        <x:f t="shared" si="12"/>
        <x:v>-61.826883095689482</x:v>
      </x:c>
      <x:c r="AJ5" s="9">
        <x:f t="shared" si="13"/>
        <x:v>-0.73418692814698261</x:v>
      </x:c>
      <x:c r="AK5" s="9">
        <x:f t="shared" si="14"/>
        <x:v>112.63851749046478</x:v>
      </x:c>
      <x:c r="AL5" s="9" t="n">
        <x:f>1000*(AA6-AA4)/(A6-A4)*Inputs!$C$11</x:f>
        <x:v>-1259.8023655077668</x:v>
      </x:c>
      <x:c r="AM5" s="9" t="n">
        <x:f>-2*AL5/Inputs!$C$13</x:f>
        <x:v>503.9209462031067</x:v>
      </x:c>
      <x:c r="AN5" s="9" t="n">
        <x:f>-2*AL5/Inputs!$C$14</x:f>
        <x:v>75.66380573620222</x:v>
      </x:c>
      <x:c r="AO5" s="9">
        <x:f t="shared" si="15"/>
        <x:v>503.92094620310672</x:v>
      </x:c>
      <x:c r="AP5" s="9">
        <x:f t="shared" si="16"/>
        <x:v>75.663805736202221</x:v>
      </x:c>
      <x:c r="AQ5" s="9" t="n">
        <x:f>IF(OR(Inputs!$C$27=TRUE,Inputs!$C$27="TRUE",Inputs!$C$27=1),Inputs!$C$46/Inputs!$C$12,0)</x:f>
        <x:v>42.13483146067416</x:v>
      </x:c>
      <x:c r="AR5" s="9">
        <x:f t="shared" si="17"/>
        <x:v>3412.0938032744912</x:v>
      </x:c>
      <x:c r="AS5" s="9">
        <x:f t="shared" si="18"/>
        <x:v>3496.3634661958399</x:v>
      </x:c>
    </x:row>
    <x:row r="6">
      <x:c r="A6" s="9" t="n">
        <x:f>Inputs!$C$7+4*(Inputs!$C$8-Inputs!$C$7)/240</x:f>
        <x:v>-58</x:v>
      </x:c>
      <x:c r="B6" s="9" t="n">
        <x:f>Inputs!$C$5+Inputs!$C$9*(A6/Inputs!$C$10)^2</x:f>
        <x:v>403.73777777777775</x:v>
      </x:c>
      <x:c r="C6" s="9">
        <x:f t="shared" si="0"/>
        <x:v>403.73777777777775</x:v>
      </x:c>
      <x:c r="D6" s="9" t="n">
        <x:f>SQRT((Inputs!$C$52+B6)^2+Inputs!$C$52^2-2*(Inputs!$C$52+B6)*Inputs!$C$52*COS(SQRT(A6^2+Inputs!$C$6^2)/Inputs!$C$52))</x:f>
        <x:v>409.9077422703203</x:v>
      </x:c>
      <x:c r="E6" s="9">
        <x:f t="shared" si="1"/>
        <x:v>6169.9644925425328</x:v>
      </x:c>
      <x:c r="F6" s="9" t="n">
        <x:f>E6/Inputs!$C$12</x:f>
        <x:v>3466.2721868216477</x:v>
      </x:c>
      <x:c r="G6" s="9" t="n">
        <x:f>2*E6/Inputs!$C$21*1000000</x:f>
        <x:v>41.1615724671935</x:v>
      </x:c>
      <x:c r="H6" s="9" t="n">
        <x:f>SQRT(A6^2+Inputs!$C$6^2)</x:f>
        <x:v>63.15853069855251</x:v>
      </x:c>
      <x:c r="I6" s="9">
        <x:f t="shared" si="2"/>
        <x:v>8.8909798417046026</x:v>
      </x:c>
      <x:c r="J6" s="9" t="n">
        <x:f>DEGREES((2*PI()/Inputs!$C$13)*Inputs!$C$15*SIN(RADIANS(I6)))</x:f>
        <x:v>55.639745430303066</x:v>
      </x:c>
      <x:c r="K6" s="9">
        <x:f t="shared" si="3"/>
        <x:v>0.94113747751370336</x:v>
      </x:c>
      <x:c r="L6" s="9">
        <x:f t="shared" si="4"/>
        <x:v>-0.26346931977003785</x:v>
      </x:c>
      <x:c r="M6" s="9" t="n">
        <x:f>2*(Inputs!$C$9/(Inputs!$C$10^2))*A6</x:f>
        <x:v>-0.1288888888888889</x:v>
      </x:c>
      <x:c r="N6" s="9" t="n">
        <x:f>M6*Inputs!$C$11</x:f>
        <x:v>-0.5155555555555555</x:v>
      </x:c>
      <x:c r="O6" s="9" t="n">
        <x:f>1000*(D7-D5)/(A7-A5)*Inputs!$C$11</x:f>
        <x:v>-1221.5919830948678</x:v>
      </x:c>
      <x:c r="P6" s="9" t="n">
        <x:f>-2*O6/Inputs!$C$13</x:f>
        <x:v>488.63679323794713</x:v>
      </x:c>
      <x:c r="Q6" s="9" t="n">
        <x:f>-2*O6/Inputs!$C$14</x:f>
        <x:v>73.36888787356564</x:v>
      </x:c>
      <x:c r="R6" s="9" t="n">
        <x:f>F6-Inputs!$C$16/2</x:f>
        <x:v>3451.2721868216477</x:v>
      </x:c>
      <x:c r="S6" s="9" t="n">
        <x:f>F6+Inputs!$C$16/2</x:f>
        <x:v>3481.2721868216477</x:v>
      </x:c>
      <x:c r="T6" s="9" t="n">
        <x:f>F6-Inputs!$C$17/2</x:f>
        <x:v>3316.2721868216477</x:v>
      </x:c>
      <x:c r="U6" s="9" t="n">
        <x:f>F6+Inputs!$C$17/2</x:f>
        <x:v>3616.2721868216477</x:v>
      </x:c>
      <x:c r="V6" s="9">
        <x:f t="shared" si="5"/>
        <x:v>488.63679323794713</x:v>
      </x:c>
      <x:c r="W6" s="9">
        <x:f t="shared" si="6"/>
        <x:v>73.36888787356564</x:v>
      </x:c>
      <x:c r="X6" s="9"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x:f>
        <x:v>31.86691354901535</x:v>
      </x:c>
      <x:c r="Y6" s="9"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x:f>
        <x:v>120.06952906780961</x:v>
      </x:c>
      <x:c r="Z6" s="9">
        <x:f t="shared" si="7"/>
        <x:v>403.70591086422871</x:v>
      </x:c>
      <x:c r="AA6" s="9" t="n">
        <x:f>SQRT((Inputs!$C$52+B6)^2+(Inputs!$C$52+Y6/1000)^2-2*(Inputs!$C$52+B6)*(Inputs!$C$52+Y6/1000)*COS(SQRT(A6^2+Inputs!$C$6^2)/Inputs!$C$52))</x:f>
        <x:v>409.7899517707993</x:v>
      </x:c>
      <x:c r="AB6" s="9">
        <x:f t="shared" si="8"/>
        <x:v>6084.040906570579</x:v>
      </x:c>
      <x:c r="AC6" s="9" t="n">
        <x:f>AB6/Inputs!$C$12</x:f>
        <x:v>3418.000509309314</x:v>
      </x:c>
      <x:c r="AD6" s="9" t="n">
        <x:f>2*AB6/Inputs!$C$21*1000000</x:f>
        <x:v>40.5883520029752</x:v>
      </x:c>
      <x:c r="AE6" s="9">
        <x:f t="shared" si="9"/>
        <x:v>8.8935824857684587</x:v>
      </x:c>
      <x:c r="AF6" s="9" t="n">
        <x:f>DEGREES((2*PI()/Inputs!$C$13)*Inputs!$C$15*SIN(RADIANS(AE6)))</x:f>
        <x:v>55.65590177488106</x:v>
      </x:c>
      <x:c r="AG6" s="9">
        <x:f t="shared" si="10"/>
        <x:v>0.94192258928393213</x:v>
      </x:c>
      <x:c r="AH6" s="9">
        <x:f t="shared" si="11"/>
        <x:v>-0.25984787682982524</x:v>
      </x:c>
      <x:c r="AI6" s="9">
        <x:f t="shared" si="12"/>
        <x:v>-48.271677512333554</x:v>
      </x:c>
      <x:c r="AJ6" s="9">
        <x:f t="shared" si="13"/>
        <x:v>-0.57322046421830208</x:v>
      </x:c>
      <x:c r="AK6" s="9">
        <x:f t="shared" si="14"/>
        <x:v>88.202615518794261</x:v>
      </x:c>
      <x:c r="AL6" s="9" t="n">
        <x:f>1000*(AA7-AA5)/(A7-A5)*Inputs!$C$11</x:f>
        <x:v>-1239.6019379007157</x:v>
      </x:c>
      <x:c r="AM6" s="9" t="n">
        <x:f>-2*AL6/Inputs!$C$13</x:f>
        <x:v>495.8407751602863</x:v>
      </x:c>
      <x:c r="AN6" s="9" t="n">
        <x:f>-2*AL6/Inputs!$C$14</x:f>
        <x:v>74.45056684088384</x:v>
      </x:c>
      <x:c r="AO6" s="9">
        <x:f t="shared" si="15"/>
        <x:v>495.84077516028628</x:v>
      </x:c>
      <x:c r="AP6" s="9">
        <x:f t="shared" si="16"/>
        <x:v>74.450566840883837</x:v>
      </x:c>
      <x:c r="AQ6" s="9" t="n">
        <x:f>IF(OR(Inputs!$C$27=TRUE,Inputs!$C$27="TRUE",Inputs!$C$27=1),Inputs!$C$46/Inputs!$C$12,0)</x:f>
        <x:v>42.13483146067416</x:v>
      </x:c>
      <x:c r="AR6" s="9">
        <x:f t="shared" si="17"/>
        <x:v>3375.8656778486397</x:v>
      </x:c>
      <x:c r="AS6" s="9">
        <x:f t="shared" si="18"/>
        <x:v>3460.1353407699885</x:v>
      </x:c>
    </x:row>
    <x:row r="7">
      <x:c r="A7" s="9" t="n">
        <x:f>Inputs!$C$7+5*(Inputs!$C$8-Inputs!$C$7)/240</x:f>
        <x:v>-57.5</x:v>
      </x:c>
      <x:c r="B7" s="9" t="n">
        <x:f>Inputs!$C$5+Inputs!$C$9*(A7/Inputs!$C$10)^2</x:f>
        <x:v>403.6736111111111</x:v>
      </x:c>
      <x:c r="C7" s="9">
        <x:f t="shared" si="0"/>
        <x:v>403.67361111111109</x:v>
      </x:c>
      <x:c r="D7" s="9" t="n">
        <x:f>SQRT((Inputs!$C$52+B7)^2+Inputs!$C$52^2-2*(Inputs!$C$52+B7)*Inputs!$C$52*COS(SQRT(A7^2+Inputs!$C$6^2)/Inputs!$C$52))</x:f>
        <x:v>409.7556808259652</x:v>
      </x:c>
      <x:c r="E7" s="9">
        <x:f t="shared" si="1"/>
        <x:v>6082.0697148541285</x:v>
      </x:c>
      <x:c r="F7" s="9" t="n">
        <x:f>E7/Inputs!$C$12</x:f>
        <x:v>3416.8930982326565</x:v>
      </x:c>
      <x:c r="G7" s="9" t="n">
        <x:f>2*E7/Inputs!$C$21*1000000</x:f>
        <x:v>40.575201627348</x:v>
      </x:c>
      <x:c r="H7" s="9" t="n">
        <x:f>SQRT(A7^2+Inputs!$C$6^2)</x:f>
        <x:v>62.69968101992226</x:v>
      </x:c>
      <x:c r="I7" s="9">
        <x:f t="shared" si="2"/>
        <x:v>8.828788473728661</x:v>
      </x:c>
      <x:c r="J7" s="9" t="n">
        <x:f>DEGREES((2*PI()/Inputs!$C$13)*Inputs!$C$15*SIN(RADIANS(I7)))</x:f>
        <x:v>55.25364812839616</x:v>
      </x:c>
      <x:c r="K7" s="9">
        <x:f t="shared" si="3"/>
        <x:v>0.94193623854333131</x:v>
      </x:c>
      <x:c r="L7" s="9">
        <x:f t="shared" si="4"/>
        <x:v>-0.25978494432180854</x:v>
      </x:c>
      <x:c r="M7" s="9" t="n">
        <x:f>2*(Inputs!$C$9/(Inputs!$C$10^2))*A7</x:f>
        <x:v>-0.12777777777777777</x:v>
      </x:c>
      <x:c r="N7" s="9" t="n">
        <x:f>M7*Inputs!$C$11</x:f>
        <x:v>-0.5111111111111111</x:v>
      </x:c>
      <x:c r="O7" s="9" t="n">
        <x:f>1000*(D8-D6)/(A8-A6)*Inputs!$C$11</x:f>
        <x:v>-1211.38705600697</x:v>
      </x:c>
      <x:c r="P7" s="9" t="n">
        <x:f>-2*O7/Inputs!$C$13</x:f>
        <x:v>484.554822402788</x:v>
      </x:c>
      <x:c r="Q7" s="9" t="n">
        <x:f>-2*O7/Inputs!$C$14</x:f>
        <x:v>72.75597933975796</x:v>
      </x:c>
      <x:c r="R7" s="9" t="n">
        <x:f>F7-Inputs!$C$16/2</x:f>
        <x:v>3401.8930982326565</x:v>
      </x:c>
      <x:c r="S7" s="9" t="n">
        <x:f>F7+Inputs!$C$16/2</x:f>
        <x:v>3431.8930982326565</x:v>
      </x:c>
      <x:c r="T7" s="9" t="n">
        <x:f>F7-Inputs!$C$17/2</x:f>
        <x:v>3266.8930982326565</x:v>
      </x:c>
      <x:c r="U7" s="9" t="n">
        <x:f>F7+Inputs!$C$17/2</x:f>
        <x:v>3566.8930982326565</x:v>
      </x:c>
      <x:c r="V7" s="9">
        <x:f t="shared" si="5"/>
        <x:v>484.55482240278798</x:v>
      </x:c>
      <x:c r="W7" s="9">
        <x:f t="shared" si="6"/>
        <x:v>72.755979339757957</x:v>
      </x:c>
      <x:c r="X7" s="9"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x:f>
        <x:v>34.58634748797326</x:v>
      </x:c>
      <x:c r="Y7" s="9"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x:f>
        <x:v>138.90151425445745</x:v>
      </x:c>
      <x:c r="Z7" s="9">
        <x:f t="shared" si="7"/>
        <x:v>403.63902476362313</x:v>
      </x:c>
      <x:c r="AA7" s="9" t="n">
        <x:f>SQRT((Inputs!$C$52+B7)^2+(Inputs!$C$52+Y7/1000)^2-2*(Inputs!$C$52+B7)*(Inputs!$C$52+Y7/1000)*COS(SQRT(A7^2+Inputs!$C$6^2)/Inputs!$C$52))</x:f>
        <x:v>409.61937917178676</x:v>
      </x:c>
      <x:c r="AB7" s="9">
        <x:f t="shared" si="8"/>
        <x:v>5980.3544081636346</x:v>
      </x:c>
      <x:c r="AC7" s="9" t="n">
        <x:f>AB7/Inputs!$C$12</x:f>
        <x:v>3359.74966750766</x:v>
      </x:c>
      <x:c r="AD7" s="9" t="n">
        <x:f>2*AB7/Inputs!$C$21*1000000</x:f>
        <x:v>39.89663014246766</x:v>
      </x:c>
      <x:c r="AE7" s="9">
        <x:f t="shared" si="9"/>
        <x:v>8.8317795475849135</x:v>
      </x:c>
      <x:c r="AF7" s="9" t="n">
        <x:f>DEGREES((2*PI()/Inputs!$C$13)*Inputs!$C$15*SIN(RADIANS(AE7)))</x:f>
        <x:v>55.27221884786168</x:v>
      </x:c>
      <x:c r="AG7" s="9">
        <x:f t="shared" si="10"/>
        <x:v>0.94286738406687565</x:v>
      </x:c>
      <x:c r="AH7" s="9">
        <x:f t="shared" si="11"/>
        <x:v>-0.25549387239503391</x:v>
      </x:c>
      <x:c r="AI7" s="9">
        <x:f t="shared" si="12"/>
        <x:v>-57.143430724996506</x:v>
      </x:c>
      <x:c r="AJ7" s="9">
        <x:f t="shared" si="13"/>
        <x:v>-0.67857148488034369</x:v>
      </x:c>
      <x:c r="AK7" s="9">
        <x:f t="shared" si="14"/>
        <x:v>104.3151667664842</x:v>
      </x:c>
      <x:c r="AL7" s="9" t="n">
        <x:f>1000*(AA8-AA6)/(A8-A6)*Inputs!$C$11</x:f>
        <x:v>-1279.9416455063692</x:v>
      </x:c>
      <x:c r="AM7" s="9" t="n">
        <x:f>-2*AL7/Inputs!$C$13</x:f>
        <x:v>511.9766582025477</x:v>
      </x:c>
      <x:c r="AN7" s="9" t="n">
        <x:f>-2*AL7/Inputs!$C$14</x:f>
        <x:v>76.87337210248465</x:v>
      </x:c>
      <x:c r="AO7" s="9">
        <x:f t="shared" si="15"/>
        <x:v>511.9766582025477</x:v>
      </x:c>
      <x:c r="AP7" s="9">
        <x:f t="shared" si="16"/>
        <x:v>76.873372102484652</x:v>
      </x:c>
      <x:c r="AQ7" s="9" t="n">
        <x:f>IF(OR(Inputs!$C$27=TRUE,Inputs!$C$27="TRUE",Inputs!$C$27=1),Inputs!$C$46/Inputs!$C$12,0)</x:f>
        <x:v>42.13483146067416</x:v>
      </x:c>
      <x:c r="AR7" s="9">
        <x:f t="shared" si="17"/>
        <x:v>3317.6148360469856</x:v>
      </x:c>
      <x:c r="AS7" s="9">
        <x:f t="shared" si="18"/>
        <x:v>3401.8844989683344</x:v>
      </x:c>
    </x:row>
    <x:row r="8">
      <x:c r="A8" s="9" t="n">
        <x:f>Inputs!$C$7+6*(Inputs!$C$8-Inputs!$C$7)/240</x:f>
        <x:v>-57</x:v>
      </x:c>
      <x:c r="B8" s="9" t="n">
        <x:f>Inputs!$C$5+Inputs!$C$9*(A8/Inputs!$C$10)^2</x:f>
        <x:v>403.61</x:v>
      </x:c>
      <x:c r="C8" s="9">
        <x:f t="shared" si="0"/>
        <x:v>403.61</x:v>
      </x:c>
      <x:c r="D8" s="9" t="n">
        <x:f>SQRT((Inputs!$C$52+B8)^2+Inputs!$C$52^2-2*(Inputs!$C$52+B8)*Inputs!$C$52*COS(SQRT(A8^2+Inputs!$C$6^2)/Inputs!$C$52))</x:f>
        <x:v>409.60489550631854</x:v>
      </x:c>
      <x:c r="E8" s="9">
        <x:f t="shared" si="1"/>
        <x:v>5994.8955063185276</x:v>
      </x:c>
      <x:c r="F8" s="9" t="n">
        <x:f>E8/Inputs!$C$12</x:f>
        <x:v>3367.918823774454</x:v>
      </x:c>
      <x:c r="G8" s="9" t="n">
        <x:f>2*E8/Inputs!$C$21*1000000</x:f>
        <x:v>39.99363790745215</x:v>
      </x:c>
      <x:c r="H8" s="9" t="n">
        <x:f>SQRT(A8^2+Inputs!$C$6^2)</x:f>
        <x:v>62.24146527838174</x:v>
      </x:c>
      <x:c r="I8" s="9">
        <x:f t="shared" si="2"/>
        <x:v>8.7666323666582162</x:v>
      </x:c>
      <x:c r="J8" s="9" t="n">
        <x:f>DEGREES((2*PI()/Inputs!$C$13)*Inputs!$C$15*SIN(RADIANS(I8)))</x:f>
        <x:v>54.86770468976069</x:v>
      </x:c>
      <x:c r="K8" s="9">
        <x:f t="shared" si="3"/>
        <x:v>0.94272954374146556</x:v>
      </x:c>
      <x:c r="L8" s="9">
        <x:f t="shared" si="4"/>
        <x:v>-0.2561288256231935</x:v>
      </x:c>
      <x:c r="M8" s="9" t="n">
        <x:f>2*(Inputs!$C$9/(Inputs!$C$10^2))*A8</x:f>
        <x:v>-0.12666666666666668</x:v>
      </x:c>
      <x:c r="N8" s="9" t="n">
        <x:f>M8*Inputs!$C$11</x:f>
        <x:v>-0.5066666666666667</x:v>
      </x:c>
      <x:c r="O8" s="9" t="n">
        <x:f>1000*(D9-D7)/(A9-A7)*Inputs!$C$11</x:f>
        <x:v>-1201.1740155269308</x:v>
      </x:c>
      <x:c r="P8" s="9" t="n">
        <x:f>-2*O8/Inputs!$C$13</x:f>
        <x:v>480.4696062107723</x:v>
      </x:c>
      <x:c r="Q8" s="9" t="n">
        <x:f>-2*O8/Inputs!$C$14</x:f>
        <x:v>72.14258351513098</x:v>
      </x:c>
      <x:c r="R8" s="9" t="n">
        <x:f>F8-Inputs!$C$16/2</x:f>
        <x:v>3352.918823774454</x:v>
      </x:c>
      <x:c r="S8" s="9" t="n">
        <x:f>F8+Inputs!$C$16/2</x:f>
        <x:v>3382.918823774454</x:v>
      </x:c>
      <x:c r="T8" s="9" t="n">
        <x:f>F8-Inputs!$C$17/2</x:f>
        <x:v>3217.918823774454</x:v>
      </x:c>
      <x:c r="U8" s="9" t="n">
        <x:f>F8+Inputs!$C$17/2</x:f>
        <x:v>3517.918823774454</x:v>
      </x:c>
      <x:c r="V8" s="9">
        <x:f t="shared" si="5"/>
        <x:v>480.46960621077233</x:v>
      </x:c>
      <x:c r="W8" s="9">
        <x:f t="shared" si="6"/>
        <x:v>72.14258351513098</x:v>
      </x:c>
      <x:c r="X8" s="9"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x:f>
        <x:v>55.44088303799376</x:v>
      </x:c>
      <x:c r="Y8" s="9"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x:f>
        <x:v>137.46604725484156</x:v>
      </x:c>
      <x:c r="Z8" s="9">
        <x:f t="shared" si="7"/>
        <x:v>403.55455911696203</x:v>
      </x:c>
      <x:c r="AA8" s="9" t="n">
        <x:f>SQRT((Inputs!$C$52+B8)^2+(Inputs!$C$52+Y8/1000)^2-2*(Inputs!$C$52+B8)*(Inputs!$C$52+Y8/1000)*COS(SQRT(A8^2+Inputs!$C$6^2)/Inputs!$C$52))</x:f>
        <x:v>409.4699663594227</x:v>
      </x:c>
      <x:c r="AB8" s="9">
        <x:f t="shared" si="8"/>
        <x:v>5915.4072424606738</x:v>
      </x:c>
      <x:c r="AC8" s="9" t="n">
        <x:f>AB8/Inputs!$C$12</x:f>
        <x:v>3323.2624957644234</x:v>
      </x:c>
      <x:c r="AD8" s="9" t="n">
        <x:f>2*AB8/Inputs!$C$21*1000000</x:f>
        <x:v>39.463349291199805</x:v>
      </x:c>
      <x:c r="AE8" s="9">
        <x:f t="shared" si="9"/>
        <x:v>8.7695728001266477</x:v>
      </x:c>
      <x:c r="AF8" s="9" t="n">
        <x:f>DEGREES((2*PI()/Inputs!$C$13)*Inputs!$C$15*SIN(RADIANS(AE8)))</x:f>
        <x:v>54.885964064778655</x:v>
      </x:c>
      <x:c r="AG8" s="9">
        <x:f t="shared" si="10"/>
        <x:v>0.94345419757199211</x:v>
      </x:c>
      <x:c r="AH8" s="9">
        <x:f t="shared" si="11"/>
        <x:v>-0.25279178937928315</x:v>
      </x:c>
      <x:c r="AI8" s="9">
        <x:f t="shared" si="12"/>
        <x:v>-44.656328010030393</x:v>
      </x:c>
      <x:c r="AJ8" s="9">
        <x:f t="shared" si="13"/>
        <x:v>-0.53028861625234214</x:v>
      </x:c>
      <x:c r="AK8" s="9">
        <x:f t="shared" si="14"/>
        <x:v>82.025164216847799</x:v>
      </x:c>
      <x:c r="AL8" s="9" t="n">
        <x:f>1000*(AA9-AA7)/(A9-A7)*Inputs!$C$11</x:f>
        <x:v>-1211.4958575868968</x:v>
      </x:c>
      <x:c r="AM8" s="9" t="n">
        <x:f>-2*AL8/Inputs!$C$13</x:f>
        <x:v>484.5983430347587</x:v>
      </x:c>
      <x:c r="AN8" s="9" t="n">
        <x:f>-2*AL8/Inputs!$C$14</x:f>
        <x:v>72.762513969183</x:v>
      </x:c>
      <x:c r="AO8" s="9">
        <x:f t="shared" si="15"/>
        <x:v>484.59834303475873</x:v>
      </x:c>
      <x:c r="AP8" s="9">
        <x:f t="shared" si="16"/>
        <x:v>72.762513969183004</x:v>
      </x:c>
      <x:c r="AQ8" s="9" t="n">
        <x:f>IF(OR(Inputs!$C$27=TRUE,Inputs!$C$27="TRUE",Inputs!$C$27=1),Inputs!$C$46/Inputs!$C$12,0)</x:f>
        <x:v>42.13483146067416</x:v>
      </x:c>
      <x:c r="AR8" s="9">
        <x:f t="shared" si="17"/>
        <x:v>3281.127664303749</x:v>
      </x:c>
      <x:c r="AS8" s="9">
        <x:f t="shared" si="18"/>
        <x:v>3365.3973272250978</x:v>
      </x:c>
    </x:row>
    <x:row r="9">
      <x:c r="A9" s="9" t="n">
        <x:f>Inputs!$C$7+7*(Inputs!$C$8-Inputs!$C$7)/240</x:f>
        <x:v>-56.5</x:v>
      </x:c>
      <x:c r="B9" s="9" t="n">
        <x:f>Inputs!$C$5+Inputs!$C$9*(A9/Inputs!$C$10)^2</x:f>
        <x:v>403.5469444444444</x:v>
      </x:c>
      <x:c r="C9" s="9">
        <x:f t="shared" si="0"/>
        <x:v>403.54694444444442</x:v>
      </x:c>
      <x:c r="D9" s="9" t="n">
        <x:f>SQRT((Inputs!$C$52+B9)^2+Inputs!$C$52^2-2*(Inputs!$C$52+B9)*Inputs!$C$52*COS(SQRT(A9^2+Inputs!$C$6^2)/Inputs!$C$52))</x:f>
        <x:v>409.4553873220835</x:v>
      </x:c>
      <x:c r="E9" s="9">
        <x:f t="shared" si="1"/>
        <x:v>5908.4428776390614</x:v>
      </x:c>
      <x:c r="F9" s="9" t="n">
        <x:f>E9/Inputs!$C$12</x:f>
        <x:v>3319.3499312578997</x:v>
      </x:c>
      <x:c r="G9" s="9" t="n">
        <x:f>2*E9/Inputs!$C$21*1000000</x:f>
        <x:v>39.41688805019279</x:v>
      </x:c>
      <x:c r="H9" s="9" t="n">
        <x:f>SQRT(A9^2+Inputs!$C$6^2)</x:f>
        <x:v>61.78389757857625</x:v>
      </x:c>
      <x:c r="I9" s="9">
        <x:f t="shared" si="2"/>
        <x:v>8.7045139530783917</x:v>
      </x:c>
      <x:c r="J9" s="9" t="n">
        <x:f>DEGREES((2*PI()/Inputs!$C$13)*Inputs!$C$15*SIN(RADIANS(I9)))</x:f>
        <x:v>54.48193078721229</x:v>
      </x:c>
      <x:c r="K9" s="9">
        <x:f t="shared" si="3"/>
        <x:v>0.94351735869196784</x:v>
      </x:c>
      <x:c r="L9" s="9">
        <x:f t="shared" si="4"/>
        <x:v>-0.2525010534029461</x:v>
      </x:c>
      <x:c r="M9" s="9" t="n">
        <x:f>2*(Inputs!$C$9/(Inputs!$C$10^2))*A9</x:f>
        <x:v>-0.12555555555555556</x:v>
      </x:c>
      <x:c r="N9" s="9" t="n">
        <x:f>M9*Inputs!$C$11</x:f>
        <x:v>-0.5022222222222222</x:v>
      </x:c>
      <x:c r="O9" s="9" t="n">
        <x:f>1000*(D10-D8)/(A10-A8)*Inputs!$C$11</x:f>
        <x:v>-1190.9529173883584</x:v>
      </x:c>
      <x:c r="P9" s="9" t="n">
        <x:f>-2*O9/Inputs!$C$13</x:f>
        <x:v>476.38116695534336</x:v>
      </x:c>
      <x:c r="Q9" s="9" t="n">
        <x:f>-2*O9/Inputs!$C$14</x:f>
        <x:v>71.52870374704855</x:v>
      </x:c>
      <x:c r="R9" s="9" t="n">
        <x:f>F9-Inputs!$C$16/2</x:f>
        <x:v>3304.3499312578997</x:v>
      </x:c>
      <x:c r="S9" s="9" t="n">
        <x:f>F9+Inputs!$C$16/2</x:f>
        <x:v>3334.3499312578997</x:v>
      </x:c>
      <x:c r="T9" s="9" t="n">
        <x:f>F9-Inputs!$C$17/2</x:f>
        <x:v>3169.3499312578997</x:v>
      </x:c>
      <x:c r="U9" s="9" t="n">
        <x:f>F9+Inputs!$C$17/2</x:f>
        <x:v>3469.3499312578997</x:v>
      </x:c>
      <x:c r="V9" s="9">
        <x:f t="shared" si="5"/>
        <x:v>476.38116695534336</x:v>
      </x:c>
      <x:c r="W9" s="9">
        <x:f t="shared" si="6"/>
        <x:v>71.528703747048553</x:v>
      </x:c>
      <x:c r="X9" s="9"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x:f>
        <x:v>57.32564727891993</x:v>
      </x:c>
      <x:c r="Y9" s="9"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x:f>
        <x:v>141.4558244940569</x:v>
      </x:c>
      <x:c r="Z9" s="9">
        <x:f t="shared" si="7"/>
        <x:v>403.48961879716552</x:v>
      </x:c>
      <x:c r="AA9" s="9" t="n">
        <x:f>SQRT((Inputs!$C$52+B9)^2+(Inputs!$C$52+Y9/1000)^2-2*(Inputs!$C$52+B9)*(Inputs!$C$52+Y9/1000)*COS(SQRT(A9^2+Inputs!$C$6^2)/Inputs!$C$52))</x:f>
        <x:v>409.31650520739004</x:v>
      </x:c>
      <x:c r="AB9" s="9">
        <x:f t="shared" si="8"/>
        <x:v>5826.886410224517</x:v>
      </x:c>
      <x:c r="AC9" s="9" t="n">
        <x:f>AB9/Inputs!$C$12</x:f>
        <x:v>3273.531691137369</x:v>
      </x:c>
      <x:c r="AD9" s="9" t="n">
        <x:f>2*AB9/Inputs!$C$21*1000000</x:f>
        <x:v>38.87280186497899</x:v>
      </x:c>
      <x:c r="AE9" s="9">
        <x:f t="shared" si="9"/>
        <x:v>8.7075194543489491</x:v>
      </x:c>
      <x:c r="AF9" s="9" t="n">
        <x:f>DEGREES((2*PI()/Inputs!$C$13)*Inputs!$C$15*SIN(RADIANS(AE9)))</x:f>
        <x:v>54.50059732573532</x:v>
      </x:c>
      <x:c r="AG9" s="9">
        <x:f t="shared" si="10"/>
        <x:v>0.94426182473297038</x:v>
      </x:c>
      <x:c r="AH9" s="9">
        <x:f t="shared" si="11"/>
        <x:v>-0.24907567915185386</x:v>
      </x:c>
      <x:c r="AI9" s="9">
        <x:f t="shared" si="12"/>
        <x:v>-45.818240120530845</x:v>
      </x:c>
      <x:c r="AJ9" s="9">
        <x:f t="shared" si="13"/>
        <x:v>-0.54408618521379992</x:v>
      </x:c>
      <x:c r="AK9" s="9">
        <x:f t="shared" si="14"/>
        <x:v>84.130177215173816</x:v>
      </x:c>
      <x:c r="AL9" s="9" t="n">
        <x:f>1000*(AA10-AA8)/(A10-A8)*Inputs!$C$11</x:f>
        <x:v>-1307.7070373344668</x:v>
      </x:c>
      <x:c r="AM9" s="9" t="n">
        <x:f>-2*AL9/Inputs!$C$13</x:f>
        <x:v>523.0828149337867</x:v>
      </x:c>
      <x:c r="AN9" s="9" t="n">
        <x:f>-2*AL9/Inputs!$C$14</x:f>
        <x:v>78.54096320327129</x:v>
      </x:c>
      <x:c r="AO9" s="9">
        <x:f t="shared" si="15"/>
        <x:v>523.08281493560571</x:v>
      </x:c>
      <x:c r="AP9" s="9">
        <x:f t="shared" si="16"/>
        <x:v>78.540963203544408</x:v>
      </x:c>
      <x:c r="AQ9" s="9" t="n">
        <x:f>IF(OR(Inputs!$C$27=TRUE,Inputs!$C$27="TRUE",Inputs!$C$27=1),Inputs!$C$46/Inputs!$C$12,0)</x:f>
        <x:v>42.13483146067416</x:v>
      </x:c>
      <x:c r="AR9" s="9">
        <x:f t="shared" si="17"/>
        <x:v>3231.3968596766945</x:v>
      </x:c>
      <x:c r="AS9" s="9">
        <x:f t="shared" si="18"/>
        <x:v>3315.6665225980432</x:v>
      </x:c>
    </x:row>
    <x:row r="10">
      <x:c r="A10" s="9" t="n">
        <x:f>Inputs!$C$7+8*(Inputs!$C$8-Inputs!$C$7)/240</x:f>
        <x:v>-56</x:v>
      </x:c>
      <x:c r="B10" s="9" t="n">
        <x:f>Inputs!$C$5+Inputs!$C$9*(A10/Inputs!$C$10)^2</x:f>
        <x:v>403.4844444444444</x:v>
      </x:c>
      <x:c r="C10" s="9">
        <x:f t="shared" si="0"/>
        <x:v>403.48444444444442</x:v>
      </x:c>
      <x:c r="D10" s="9" t="n">
        <x:f>SQRT((Inputs!$C$52+B10)^2+Inputs!$C$52^2-2*(Inputs!$C$52+B10)*Inputs!$C$52*COS(SQRT(A10^2+Inputs!$C$6^2)/Inputs!$C$52))</x:f>
        <x:v>409.30715727697145</x:v>
      </x:c>
      <x:c r="E10" s="9">
        <x:f t="shared" si="1"/>
        <x:v>5822.7128325270314</x:v>
      </x:c>
      <x:c r="F10" s="9" t="n">
        <x:f>E10/Inputs!$C$12</x:f>
        <x:v>3271.186984565748</x:v>
      </x:c>
      <x:c r="G10" s="9" t="n">
        <x:f>2*E10/Inputs!$C$21*1000000</x:f>
        <x:v>38.84495875161097</x:v>
      </x:c>
      <x:c r="H10" s="9" t="n">
        <x:f>SQRT(A10^2+Inputs!$C$6^2)</x:f>
        <x:v>61.326992425847855</x:v>
      </x:c>
      <x:c r="I10" s="9">
        <x:f t="shared" si="2"/>
        <x:v>8.6424357245738488</x:v>
      </x:c>
      <x:c r="J10" s="9" t="n">
        <x:f>DEGREES((2*PI()/Inputs!$C$13)*Inputs!$C$15*SIN(RADIANS(I10)))</x:f>
        <x:v>54.09634246852054</x:v>
      </x:c>
      <x:c r="K10" s="9">
        <x:f t="shared" si="3"/>
        <x:v>0.94429964913085007</x:v>
      </x:c>
      <x:c r="L10" s="9">
        <x:f t="shared" si="4"/>
        <x:v>-0.2489017168264544</x:v>
      </x:c>
      <x:c r="M10" s="9" t="n">
        <x:f>2*(Inputs!$C$9/(Inputs!$C$10^2))*A10</x:f>
        <x:v>-0.12444444444444444</x:v>
      </x:c>
      <x:c r="N10" s="9" t="n">
        <x:f>M10*Inputs!$C$11</x:f>
        <x:v>-0.49777777777777776</x:v>
      </x:c>
      <x:c r="O10" s="9" t="n">
        <x:f>1000*(D11-D9)/(A11-A9)*Inputs!$C$11</x:f>
        <x:v>-1180.7238176422743</x:v>
      </x:c>
      <x:c r="P10" s="9" t="n">
        <x:f>-2*O10/Inputs!$C$13</x:f>
        <x:v>472.2895270569097</x:v>
      </x:c>
      <x:c r="Q10" s="9" t="n">
        <x:f>-2*O10/Inputs!$C$14</x:f>
        <x:v>70.9143434019384</x:v>
      </x:c>
      <x:c r="R10" s="9" t="n">
        <x:f>F10-Inputs!$C$16/2</x:f>
        <x:v>3256.186984565748</x:v>
      </x:c>
      <x:c r="S10" s="9" t="n">
        <x:f>F10+Inputs!$C$16/2</x:f>
        <x:v>3286.186984565748</x:v>
      </x:c>
      <x:c r="T10" s="9" t="n">
        <x:f>F10-Inputs!$C$17/2</x:f>
        <x:v>3121.186984565748</x:v>
      </x:c>
      <x:c r="U10" s="9" t="n">
        <x:f>F10+Inputs!$C$17/2</x:f>
        <x:v>3421.186984565748</x:v>
      </x:c>
      <x:c r="V10" s="9">
        <x:f t="shared" si="5"/>
        <x:v>472.28952705690972</x:v>
      </x:c>
      <x:c r="W10" s="9">
        <x:f t="shared" si="6"/>
        <x:v>70.914343401938396</x:v>
      </x:c>
      <x:c r="X10" s="9"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x:f>
        <x:v>61.55956835196879</x:v>
      </x:c>
      <x:c r="Y10" s="9"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x:f>
        <x:v>167.1152389347629</x:v>
      </x:c>
      <x:c r="Z10" s="9">
        <x:f t="shared" si="7"/>
        <x:v>403.42288487609244</x:v>
      </x:c>
      <x:c r="AA10" s="9" t="n">
        <x:f>SQRT((Inputs!$C$52+B10)^2+(Inputs!$C$52+Y10/1000)^2-2*(Inputs!$C$52+B10)*(Inputs!$C$52+Y10/1000)*COS(SQRT(A10^2+Inputs!$C$6^2)/Inputs!$C$52))</x:f>
        <x:v>409.1430396000891</x:v>
      </x:c>
      <x:c r="AB10" s="9">
        <x:f t="shared" si="8"/>
        <x:v>5720.1547239955062</x:v>
      </x:c>
      <x:c r="AC10" s="9" t="n">
        <x:f>AB10/Inputs!$C$12</x:f>
        <x:v>3213.5700696603967</x:v>
      </x:c>
      <x:c r="AD10" s="9" t="n">
        <x:f>2*AB10/Inputs!$C$21*1000000</x:f>
        <x:v>38.16076469805993</x:v>
      </x:c>
      <x:c r="AE10" s="9">
        <x:f t="shared" si="9"/>
        <x:v>8.6459626288576175</x:v>
      </x:c>
      <x:c r="AF10" s="9" t="n">
        <x:f>DEGREES((2*PI()/Inputs!$C$13)*Inputs!$C$15*SIN(RADIANS(AE10)))</x:f>
        <x:v>54.11825093812237</x:v>
      </x:c>
      <x:c r="AG10" s="9">
        <x:f t="shared" si="10"/>
        <x:v>0.94523861159866429</x:v>
      </x:c>
      <x:c r="AH10" s="9">
        <x:f t="shared" si="11"/>
        <x:v>-0.24458546390343294</x:v>
      </x:c>
      <x:c r="AI10" s="9">
        <x:f t="shared" si="12"/>
        <x:v>-57.616914905351223</x:v>
      </x:c>
      <x:c r="AJ10" s="9">
        <x:f t="shared" si="13"/>
        <x:v>-0.68419405355103891</x:v>
      </x:c>
      <x:c r="AK10" s="9">
        <x:f t="shared" si="14"/>
        <x:v>105.55567058284323</x:v>
      </x:c>
      <x:c r="AL10" s="9" t="n">
        <x:f>1000*(AA11-AA9)/(A11-A9)*Inputs!$C$11</x:f>
        <x:v>-1256.1566725983084</x:v>
      </x:c>
      <x:c r="AM10" s="9" t="n">
        <x:f>-2*AL10/Inputs!$C$13</x:f>
        <x:v>502.4626690393234</x:v>
      </x:c>
      <x:c r="AN10" s="9" t="n">
        <x:f>-2*AL10/Inputs!$C$14</x:f>
        <x:v>75.44484520109961</x:v>
      </x:c>
      <x:c r="AO10" s="9">
        <x:f t="shared" si="15"/>
        <x:v>502.46266903932337</x:v>
      </x:c>
      <x:c r="AP10" s="9">
        <x:f t="shared" si="16"/>
        <x:v>75.444845201099611</x:v>
      </x:c>
      <x:c r="AQ10" s="9" t="n">
        <x:f>IF(OR(Inputs!$C$27=TRUE,Inputs!$C$27="TRUE",Inputs!$C$27=1),Inputs!$C$46/Inputs!$C$12,0)</x:f>
        <x:v>42.13483146067416</x:v>
      </x:c>
      <x:c r="AR10" s="9">
        <x:f t="shared" si="17"/>
        <x:v>3171.4352381997223</x:v>
      </x:c>
      <x:c r="AS10" s="9">
        <x:f t="shared" si="18"/>
        <x:v>3255.7049011210711</x:v>
      </x:c>
    </x:row>
    <x:row r="11">
      <x:c r="A11" s="9" t="n">
        <x:f>Inputs!$C$7+9*(Inputs!$C$8-Inputs!$C$7)/240</x:f>
        <x:v>-55.5</x:v>
      </x:c>
      <x:c r="B11" s="9" t="n">
        <x:f>Inputs!$C$5+Inputs!$C$9*(A11/Inputs!$C$10)^2</x:f>
        <x:v>403.4225</x:v>
      </x:c>
      <x:c r="C11" s="9">
        <x:f t="shared" si="0"/>
        <x:v>403.42250000000001</x:v>
      </x:c>
      <x:c r="D11" s="9" t="n">
        <x:f>SQRT((Inputs!$C$52+B11)^2+Inputs!$C$52^2-2*(Inputs!$C$52+B11)*Inputs!$C$52*COS(SQRT(A11^2+Inputs!$C$6^2)/Inputs!$C$52))</x:f>
        <x:v>409.1602063676729</x:v>
      </x:c>
      <x:c r="E11" s="9">
        <x:f t="shared" si="1"/>
        <x:v>5737.7063676728994</x:v>
      </x:c>
      <x:c r="F11" s="9" t="n">
        <x:f>E11/Inputs!$C$12</x:f>
        <x:v>3223.4305436364602</x:v>
      </x:c>
      <x:c r="G11" s="9" t="n">
        <x:f>2*E11/Inputs!$C$21*1000000</x:f>
        <x:v>38.27785666090973</x:v>
      </x:c>
      <x:c r="H11" s="9" t="n">
        <x:f>SQRT(A11^2+Inputs!$C$6^2)</x:f>
        <x:v>60.87076473973364</x:v>
      </x:c>
      <x:c r="I11" s="9">
        <x:f t="shared" si="2"/>
        <x:v>8.5804002336499341</x:v>
      </x:c>
      <x:c r="J11" s="9" t="n">
        <x:f>DEGREES((2*PI()/Inputs!$C$13)*Inputs!$C$15*SIN(RADIANS(I11)))</x:f>
        <x:v>53.71095616845376</x:v>
      </x:c>
      <x:c r="K11" s="9">
        <x:f t="shared" si="3"/>
        <x:v>0.94507638094936786</x:v>
      </x:c>
      <x:c r="L11" s="9">
        <x:f t="shared" si="4"/>
        <x:v>-0.24533090449122652</x:v>
      </x:c>
      <x:c r="M11" s="9" t="n">
        <x:f>2*(Inputs!$C$9/(Inputs!$C$10^2))*A11</x:f>
        <x:v>-0.12333333333333334</x:v>
      </x:c>
      <x:c r="N11" s="9" t="n">
        <x:f>M11*Inputs!$C$11</x:f>
        <x:v>-0.49333333333333335</x:v>
      </x:c>
      <x:c r="O11" s="9" t="n">
        <x:f>1000*(D12-D10)/(A12-A10)*Inputs!$C$11</x:f>
        <x:v>-1170.4867727003148</x:v>
      </x:c>
      <x:c r="P11" s="9" t="n">
        <x:f>-2*O11/Inputs!$C$13</x:f>
        <x:v>468.1947090801259</x:v>
      </x:c>
      <x:c r="Q11" s="9" t="n">
        <x:f>-2*O11/Inputs!$C$14</x:f>
        <x:v>70.29950586788678</x:v>
      </x:c>
      <x:c r="R11" s="9" t="n">
        <x:f>F11-Inputs!$C$16/2</x:f>
        <x:v>3208.4305436364602</x:v>
      </x:c>
      <x:c r="S11" s="9" t="n">
        <x:f>F11+Inputs!$C$16/2</x:f>
        <x:v>3238.4305436364602</x:v>
      </x:c>
      <x:c r="T11" s="9" t="n">
        <x:f>F11-Inputs!$C$17/2</x:f>
        <x:v>3073.4305436364602</x:v>
      </x:c>
      <x:c r="U11" s="9" t="n">
        <x:f>F11+Inputs!$C$17/2</x:f>
        <x:v>3373.4305436364602</x:v>
      </x:c>
      <x:c r="V11" s="9">
        <x:f t="shared" si="5"/>
        <x:v>468.1947090801259</x:v>
      </x:c>
      <x:c r="W11" s="9">
        <x:f t="shared" si="6"/>
        <x:v>70.299505867886779</x:v>
      </x:c>
      <x:c r="X11" s="9"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x:f>
        <x:v>38.49658216595124</x:v>
      </x:c>
      <x:c r="Y11" s="9"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x:f>
        <x:v>160.57943103446084</x:v>
      </x:c>
      <x:c r="Z11" s="9">
        <x:f t="shared" si="7"/>
        <x:v>403.38400341783404</x:v>
      </x:c>
      <x:c r="AA11" s="9" t="n">
        <x:f>SQRT((Inputs!$C$52+B11)^2+(Inputs!$C$52+Y11/1000)^2-2*(Inputs!$C$52+B11)*(Inputs!$C$52+Y11/1000)*COS(SQRT(A11^2+Inputs!$C$6^2)/Inputs!$C$52))</x:f>
        <x:v>409.00246603924046</x:v>
      </x:c>
      <x:c r="AB11" s="9">
        <x:f t="shared" si="8"/>
        <x:v>5618.4626214064228</x:v>
      </x:c>
      <x:c r="AC11" s="9" t="n">
        <x:f>AB11/Inputs!$C$12</x:f>
        <x:v>3156.4396749474286</x:v>
      </x:c>
      <x:c r="AD11" s="9" t="n">
        <x:f>2*AB11/Inputs!$C$21*1000000</x:f>
        <x:v>37.48234801428142</x:v>
      </x:c>
      <x:c r="AE11" s="9">
        <x:f t="shared" si="9"/>
        <x:v>8.5837660747363085</x:v>
      </x:c>
      <x:c r="AF11" s="9" t="n">
        <x:f>DEGREES((2*PI()/Inputs!$C$13)*Inputs!$C$15*SIN(RADIANS(AE11)))</x:f>
        <x:v>53.731867577258406</x:v>
      </x:c>
      <x:c r="AG11" s="9">
        <x:f t="shared" si="10"/>
        <x:v>0.94617393756998391</x:v>
      </x:c>
      <x:c r="AH11" s="9">
        <x:f t="shared" si="11"/>
        <x:v>-0.24029018795831972</x:v>
      </x:c>
      <x:c r="AI11" s="9">
        <x:f t="shared" si="12"/>
        <x:v>-66.990868689031686</x:v>
      </x:c>
      <x:c r="AJ11" s="9">
        <x:f t="shared" si="13"/>
        <x:v>-0.79550864662830634</x:v>
      </x:c>
      <x:c r="AK11" s="9">
        <x:f t="shared" si="14"/>
        <x:v>122.0828488685096</x:v>
      </x:c>
      <x:c r="AL11" s="9" t="n">
        <x:f>1000*(AA12-AA10)/(A12-A10)*Inputs!$C$11</x:f>
        <x:v>-1206.179141654502</x:v>
      </x:c>
      <x:c r="AM11" s="9" t="n">
        <x:f>-2*AL11/Inputs!$C$13</x:f>
        <x:v>482.4716566618008</x:v>
      </x:c>
      <x:c r="AN11" s="9" t="n">
        <x:f>-2*AL11/Inputs!$C$14</x:f>
        <x:v>72.44319169096109</x:v>
      </x:c>
      <x:c r="AO11" s="9">
        <x:f t="shared" si="15"/>
        <x:v>482.47165665998182</x:v>
      </x:c>
      <x:c r="AP11" s="9">
        <x:f t="shared" si="16"/>
        <x:v>72.443191690687968</x:v>
      </x:c>
      <x:c r="AQ11" s="9" t="n">
        <x:f>IF(OR(Inputs!$C$27=TRUE,Inputs!$C$27="TRUE",Inputs!$C$27=1),Inputs!$C$46/Inputs!$C$12,0)</x:f>
        <x:v>42.13483146067416</x:v>
      </x:c>
      <x:c r="AR11" s="9">
        <x:f t="shared" si="17"/>
        <x:v>3114.3048434867542</x:v>
      </x:c>
      <x:c r="AS11" s="9">
        <x:f t="shared" si="18"/>
        <x:v>3198.5745064081029</x:v>
      </x:c>
    </x:row>
    <x:row r="12">
      <x:c r="A12" s="9" t="n">
        <x:f>Inputs!$C$7+10*(Inputs!$C$8-Inputs!$C$7)/240</x:f>
        <x:v>-55</x:v>
      </x:c>
      <x:c r="B12" s="9" t="n">
        <x:f>Inputs!$C$5+Inputs!$C$9*(A12/Inputs!$C$10)^2</x:f>
        <x:v>403.3611111111111</x:v>
      </x:c>
      <x:c r="C12" s="9">
        <x:f t="shared" si="0"/>
        <x:v>403.36111111111109</x:v>
      </x:c>
      <x:c r="D12" s="9" t="n">
        <x:f>SQRT((Inputs!$C$52+B12)^2+Inputs!$C$52^2-2*(Inputs!$C$52+B12)*Inputs!$C$52*COS(SQRT(A12^2+Inputs!$C$6^2)/Inputs!$C$52))</x:f>
        <x:v>409.0145355837964</x:v>
      </x:c>
      <x:c r="E12" s="9">
        <x:f t="shared" si="1"/>
        <x:v>5653.4244726852876</x:v>
      </x:c>
      <x:c r="F12" s="9" t="n">
        <x:f>E12/Inputs!$C$12</x:f>
        <x:v>3176.081164429937</x:v>
      </x:c>
      <x:c r="G12" s="9" t="n">
        <x:f>2*E12/Inputs!$C$21*1000000</x:f>
        <x:v>37.71558838004716</x:v>
      </x:c>
      <x:c r="H12" s="9" t="n">
        <x:f>SQRT(A12^2+Inputs!$C$6^2)</x:f>
        <x:v>60.41522986797286</x:v>
      </x:c>
      <x:c r="I12" s="9">
        <x:f t="shared" si="2"/>
        <x:v>8.5184100957264786</x:v>
      </x:c>
      <x:c r="J12" s="9" t="n">
        <x:f>DEGREES((2*PI()/Inputs!$C$13)*Inputs!$C$15*SIN(RADIANS(I12)))</x:f>
        <x:v>53.32578872127919</x:v>
      </x:c>
      <x:c r="K12" s="9">
        <x:f t="shared" si="3"/>
        <x:v>0.9458475201974168</x:v>
      </x:c>
      <x:c r="L12" s="9">
        <x:f t="shared" si="4"/>
        <x:v>-0.24178870442099248</x:v>
      </x:c>
      <x:c r="M12" s="9" t="n">
        <x:f>2*(Inputs!$C$9/(Inputs!$C$10^2))*A12</x:f>
        <x:v>-0.12222222222222222</x:v>
      </x:c>
      <x:c r="N12" s="9" t="n">
        <x:f>M12*Inputs!$C$11</x:f>
        <x:v>-0.4888888888888889</x:v>
      </x:c>
      <x:c r="O12" s="9" t="n">
        <x:f>1000*(D13-D11)/(A13-A11)*Inputs!$C$11</x:f>
        <x:v>-1160.241839347691</x:v>
      </x:c>
      <x:c r="P12" s="9" t="n">
        <x:f>-2*O12/Inputs!$C$13</x:f>
        <x:v>464.0967357390764</x:v>
      </x:c>
      <x:c r="Q12" s="9" t="n">
        <x:f>-2*O12/Inputs!$C$14</x:f>
        <x:v>69.68419455541688</x:v>
      </x:c>
      <x:c r="R12" s="9" t="n">
        <x:f>F12-Inputs!$C$16/2</x:f>
        <x:v>3161.081164429937</x:v>
      </x:c>
      <x:c r="S12" s="9" t="n">
        <x:f>F12+Inputs!$C$16/2</x:f>
        <x:v>3191.081164429937</x:v>
      </x:c>
      <x:c r="T12" s="9" t="n">
        <x:f>F12-Inputs!$C$17/2</x:f>
        <x:v>3026.081164429937</x:v>
      </x:c>
      <x:c r="U12" s="9" t="n">
        <x:f>F12+Inputs!$C$17/2</x:f>
        <x:v>3326.081164429937</x:v>
      </x:c>
      <x:c r="V12" s="9">
        <x:f t="shared" si="5"/>
        <x:v>464.09673573907639</x:v>
      </x:c>
      <x:c r="W12" s="9">
        <x:f t="shared" si="6"/>
        <x:v>69.68419455541688</x:v>
      </x:c>
      <x:c r="X12" s="9"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x:f>
        <x:v>46.51195593176057</x:v>
      </x:c>
      <x:c r="Y12" s="9"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x:f>
        <x:v>176.10976359434375</x:v>
      </x:c>
      <x:c r="Z12" s="9">
        <x:f t="shared" si="7"/>
        <x:v>403.31459915517934</x:v>
      </x:c>
      <x:c r="AA12" s="9" t="n">
        <x:f>SQRT((Inputs!$C$52+B12)^2+(Inputs!$C$52+Y12/1000)^2-2*(Inputs!$C$52+B12)*(Inputs!$C$52+Y12/1000)*COS(SQRT(A12^2+Inputs!$C$6^2)/Inputs!$C$52))</x:f>
        <x:v>408.84149481467546</x:v>
      </x:c>
      <x:c r="AB12" s="9">
        <x:f t="shared" si="8"/>
        <x:v>5526.8956594961201</x:v>
      </x:c>
      <x:c r="AC12" s="9" t="n">
        <x:f>AB12/Inputs!$C$12</x:f>
        <x:v>3104.997561514674</x:v>
      </x:c>
      <x:c r="AD12" s="9" t="n">
        <x:f>2*AB12/Inputs!$C$21*1000000</x:f>
        <x:v>36.87147899828834</x:v>
      </x:c>
      <x:c r="AE12" s="9">
        <x:f t="shared" si="9"/>
        <x:v>8.5220762834771211</x:v>
      </x:c>
      <x:c r="AF12" s="9" t="n">
        <x:f>DEGREES((2*PI()/Inputs!$C$13)*Inputs!$C$15*SIN(RADIANS(AE12)))</x:f>
        <x:v>53.34856983060745</x:v>
      </x:c>
      <x:c r="AG12" s="9">
        <x:f t="shared" si="10"/>
        <x:v>0.94701291424839185</x:v>
      </x:c>
      <x:c r="AH12" s="9">
        <x:f t="shared" si="11"/>
        <x:v>-0.23644098558951843</x:v>
      </x:c>
      <x:c r="AI12" s="9">
        <x:f t="shared" si="12"/>
        <x:v>-71.083602915262873</x:v>
      </x:c>
      <x:c r="AJ12" s="9">
        <x:f t="shared" si="13"/>
        <x:v>-0.84410938175881967</x:v>
      </x:c>
      <x:c r="AK12" s="9">
        <x:f t="shared" si="14"/>
        <x:v>129.59780766258319</x:v>
      </x:c>
      <x:c r="AL12" s="9" t="n">
        <x:f>1000*(AA13-AA11)/(A13-A11)*Inputs!$C$11</x:f>
        <x:v>-1293.5627553272298</x:v>
      </x:c>
      <x:c r="AM12" s="9" t="n">
        <x:f>-2*AL12/Inputs!$C$13</x:f>
        <x:v>517.4251021308919</x:v>
      </x:c>
      <x:c r="AN12" s="9" t="n">
        <x:f>-2*AL12/Inputs!$C$14</x:f>
        <x:v>77.6914567764102</x:v>
      </x:c>
      <x:c r="AO12" s="9">
        <x:f t="shared" si="15"/>
        <x:v>517.4251021308919</x:v>
      </x:c>
      <x:c r="AP12" s="9">
        <x:f t="shared" si="16"/>
        <x:v>77.691456776410206</x:v>
      </x:c>
      <x:c r="AQ12" s="9" t="n">
        <x:f>IF(OR(Inputs!$C$27=TRUE,Inputs!$C$27="TRUE",Inputs!$C$27=1),Inputs!$C$46/Inputs!$C$12,0)</x:f>
        <x:v>42.13483146067416</x:v>
      </x:c>
      <x:c r="AR12" s="9">
        <x:f t="shared" si="17"/>
        <x:v>3062.8627300539997</x:v>
      </x:c>
      <x:c r="AS12" s="9">
        <x:f t="shared" si="18"/>
        <x:v>3147.1323929753485</x:v>
      </x:c>
    </x:row>
    <x:row r="13">
      <x:c r="A13" s="9" t="n">
        <x:f>Inputs!$C$7+11*(Inputs!$C$8-Inputs!$C$7)/240</x:f>
        <x:v>-54.5</x:v>
      </x:c>
      <x:c r="B13" s="9" t="n">
        <x:f>Inputs!$C$5+Inputs!$C$9*(A13/Inputs!$C$10)^2</x:f>
        <x:v>403.30027777777775</x:v>
      </x:c>
      <x:c r="C13" s="9">
        <x:f t="shared" si="0"/>
        <x:v>403.30027777777775</x:v>
      </x:c>
      <x:c r="D13" s="9" t="n">
        <x:f>SQRT((Inputs!$C$52+B13)^2+Inputs!$C$52^2-2*(Inputs!$C$52+B13)*Inputs!$C$52*COS(SQRT(A13^2+Inputs!$C$6^2)/Inputs!$C$52))</x:f>
        <x:v>408.870145907836</x:v>
      </x:c>
      <x:c r="E13" s="9">
        <x:f t="shared" si="1"/>
        <x:v>5569.8681300582393</x:v>
      </x:c>
      <x:c r="F13" s="9" t="n">
        <x:f>E13/Inputs!$C$12</x:f>
        <x:v>3129.139398909123</x:v>
      </x:c>
      <x:c r="G13" s="9" t="n">
        <x:f>2*E13/Inputs!$C$21*1000000</x:f>
        <x:v>37.158160463517994</x:v>
      </x:c>
      <x:c r="H13" s="9" t="n">
        <x:f>SQRT(A13^2+Inputs!$C$6^2)</x:f>
        <x:v>59.96040360104325</x:v>
      </x:c>
      <x:c r="I13" s="9">
        <x:f t="shared" si="2"/>
        <x:v>8.4564679912070897</x:v>
      </x:c>
      <x:c r="J13" s="9" t="n">
        <x:f>DEGREES((2*PI()/Inputs!$C$13)*Inputs!$C$15*SIN(RADIANS(I13)))</x:f>
        <x:v>52.94085737373685</x:v>
      </x:c>
      <x:c r="K13" s="9">
        <x:f t="shared" si="3"/>
        <x:v>0.94661303308665978</x:v>
      </x:c>
      <x:c r="L13" s="9">
        <x:f t="shared" si="4"/>
        <x:v>-0.23827520406105102</x:v>
      </x:c>
      <x:c r="M13" s="9" t="n">
        <x:f>2*(Inputs!$C$9/(Inputs!$C$10^2))*A13</x:f>
        <x:v>-0.12111111111111111</x:v>
      </x:c>
      <x:c r="N13" s="9" t="n">
        <x:f>M13*Inputs!$C$11</x:f>
        <x:v>-0.48444444444444446</x:v>
      </x:c>
      <x:c r="O13" s="9" t="n">
        <x:f>1000*(D14-D12)/(A14-A12)*Inputs!$C$11</x:f>
        <x:v>-1149.9890746863457</x:v>
      </x:c>
      <x:c r="P13" s="9" t="n">
        <x:f>-2*O13/Inputs!$C$13</x:f>
        <x:v>459.9956298745383</x:v>
      </x:c>
      <x:c r="Q13" s="9" t="n">
        <x:f>-2*O13/Inputs!$C$14</x:f>
        <x:v>69.06841289407483</x:v>
      </x:c>
      <x:c r="R13" s="9" t="n">
        <x:f>F13-Inputs!$C$16/2</x:f>
        <x:v>3114.139398909123</x:v>
      </x:c>
      <x:c r="S13" s="9" t="n">
        <x:f>F13+Inputs!$C$16/2</x:f>
        <x:v>3144.139398909123</x:v>
      </x:c>
      <x:c r="T13" s="9" t="n">
        <x:f>F13-Inputs!$C$17/2</x:f>
        <x:v>2979.139398909123</x:v>
      </x:c>
      <x:c r="U13" s="9" t="n">
        <x:f>F13+Inputs!$C$17/2</x:f>
        <x:v>3279.139398909123</x:v>
      </x:c>
      <x:c r="V13" s="9">
        <x:f t="shared" si="5"/>
        <x:v>459.99562987453828</x:v>
      </x:c>
      <x:c r="W13" s="9">
        <x:f t="shared" si="6"/>
        <x:v>69.068412894074825</x:v>
      </x:c>
      <x:c r="X13" s="9"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x:f>
        <x:v>49.77469341509185</x:v>
      </x:c>
      <x:c r="Y13" s="9"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x:f>
        <x:v>194.40953580817023</x:v>
      </x:c>
      <x:c r="Z13" s="9">
        <x:f t="shared" si="7"/>
        <x:v>403.25050308436266</x:v>
      </x:c>
      <x:c r="AA13" s="9" t="n">
        <x:f>SQRT((Inputs!$C$52+B13)^2+(Inputs!$C$52+Y13/1000)^2-2*(Inputs!$C$52+B13)*(Inputs!$C$52+Y13/1000)*COS(SQRT(A13^2+Inputs!$C$6^2)/Inputs!$C$52))</x:f>
        <x:v>408.67907535040865</x:v>
      </x:c>
      <x:c r="AB13" s="9">
        <x:f t="shared" si="8"/>
        <x:v>5428.5722660459896</x:v>
      </x:c>
      <x:c r="AC13" s="9" t="n">
        <x:f>AB13/Inputs!$C$12</x:f>
        <x:v>3049.759700025837</x:v>
      </x:c>
      <x:c r="AD13" s="9" t="n">
        <x:f>2*AB13/Inputs!$C$21*1000000</x:f>
        <x:v>36.21553592282825</x:v>
      </x:c>
      <x:c r="AE13" s="9">
        <x:f t="shared" si="9"/>
        <x:v>8.4604873563129512</x:v>
      </x:c>
      <x:c r="AF13" s="9" t="n">
        <x:f>DEGREES((2*PI()/Inputs!$C$13)*Inputs!$C$15*SIN(RADIANS(AE13)))</x:f>
        <x:v>52.965837090190604</x:v>
      </x:c>
      <x:c r="AG13" s="9">
        <x:f t="shared" si="10"/>
        <x:v>0.94791645669604851</x:v>
      </x:c>
      <x:c r="AH13" s="9">
        <x:f t="shared" si="11"/>
        <x:v>-0.23229936917955352</x:v>
      </x:c>
      <x:c r="AI13" s="9">
        <x:f t="shared" si="12"/>
        <x:v>-79.379698883285982</x:v>
      </x:c>
      <x:c r="AJ13" s="9">
        <x:f t="shared" si="13"/>
        <x:v>-0.94262454068974222</x:v>
      </x:c>
      <x:c r="AK13" s="9">
        <x:f t="shared" si="14"/>
        <x:v>144.6348423931766</x:v>
      </x:c>
      <x:c r="AL13" s="9" t="n">
        <x:f>1000*(AA14-AA12)/(A14-A12)*Inputs!$C$11</x:f>
        <x:v>-1230.1153969865481</x:v>
      </x:c>
      <x:c r="AM13" s="9" t="n">
        <x:f>-2*AL13/Inputs!$C$13</x:f>
        <x:v>492.04615879461926</x:v>
      </x:c>
      <x:c r="AN13" s="9" t="n">
        <x:f>-2*AL13/Inputs!$C$14</x:f>
        <x:v>73.88080462381672</x:v>
      </x:c>
      <x:c r="AO13" s="9">
        <x:f t="shared" si="15"/>
        <x:v>492.04615879461926</x:v>
      </x:c>
      <x:c r="AP13" s="9">
        <x:f t="shared" si="16"/>
        <x:v>73.880804623816715</x:v>
      </x:c>
      <x:c r="AQ13" s="9" t="n">
        <x:f>IF(OR(Inputs!$C$27=TRUE,Inputs!$C$27="TRUE",Inputs!$C$27=1),Inputs!$C$46/Inputs!$C$12,0)</x:f>
        <x:v>42.13483146067416</x:v>
      </x:c>
      <x:c r="AR13" s="9">
        <x:f t="shared" si="17"/>
        <x:v>3007.6248685651626</x:v>
      </x:c>
      <x:c r="AS13" s="9">
        <x:f t="shared" si="18"/>
        <x:v>3091.8945314865114</x:v>
      </x:c>
    </x:row>
    <x:row r="14">
      <x:c r="A14" s="9" t="n">
        <x:f>Inputs!$C$7+12*(Inputs!$C$8-Inputs!$C$7)/240</x:f>
        <x:v>-54</x:v>
      </x:c>
      <x:c r="B14" s="9" t="n">
        <x:f>Inputs!$C$5+Inputs!$C$9*(A14/Inputs!$C$10)^2</x:f>
        <x:v>403.24</x:v>
      </x:c>
      <x:c r="C14" s="9">
        <x:f t="shared" si="0"/>
        <x:v>403.24</x:v>
      </x:c>
      <x:c r="D14" s="9" t="n">
        <x:f>SQRT((Inputs!$C$52+B14)^2+Inputs!$C$52^2-2*(Inputs!$C$52+B14)*Inputs!$C$52*COS(SQRT(A14^2+Inputs!$C$6^2)/Inputs!$C$52))</x:f>
        <x:v>408.7270383151248</x:v>
      </x:c>
      <x:c r="E14" s="9">
        <x:f t="shared" si="1"/>
        <x:v>5487.0383151247779</x:v>
      </x:c>
      <x:c r="F14" s="9" t="n">
        <x:f>E14/Inputs!$C$12</x:f>
        <x:v>3082.60579501392</x:v>
      </x:c>
      <x:c r="G14" s="9" t="n">
        <x:f>2*E14/Inputs!$C$21*1000000</x:f>
        <x:v>36.60557941804378</x:v>
      </x:c>
      <x:c r="H14" s="9" t="n">
        <x:f>SQRT(A14^2+Inputs!$C$6^2)</x:f>
        <x:v>59.50630218724736</x:v>
      </x:c>
      <x:c r="I14" s="9">
        <x:f t="shared" si="2"/>
        <x:v>8.3945766676270033</x:v>
      </x:c>
      <x:c r="J14" s="9" t="n">
        <x:f>DEGREES((2*PI()/Inputs!$C$13)*Inputs!$C$15*SIN(RADIANS(I14)))</x:f>
        <x:v>52.55617979850606</x:v>
      </x:c>
      <x:c r="K14" s="9">
        <x:f t="shared" si="3"/>
        <x:v>0.947372885993786</x:v>
      </x:c>
      <x:c r="L14" s="9">
        <x:f t="shared" si="4"/>
        <x:v>-0.23479049027301646</x:v>
      </x:c>
      <x:c r="M14" s="9" t="n">
        <x:f>2*(Inputs!$C$9/(Inputs!$C$10^2))*A14</x:f>
        <x:v>-0.12</x:v>
      </x:c>
      <x:c r="N14" s="9" t="n">
        <x:f>M14*Inputs!$C$11</x:f>
        <x:v>-0.48</x:v>
      </x:c>
      <x:c r="O14" s="9" t="n">
        <x:f>1000*(D15-D13)/(A15-A13)*Inputs!$C$11</x:f>
        <x:v>-1139.7285361831564</x:v>
      </x:c>
      <x:c r="P14" s="9" t="n">
        <x:f>-2*O14/Inputs!$C$13</x:f>
        <x:v>455.89141447326256</x:v>
      </x:c>
      <x:c r="Q14" s="9" t="n">
        <x:f>-2*O14/Inputs!$C$14</x:f>
        <x:v>68.45216433532471</x:v>
      </x:c>
      <x:c r="R14" s="9" t="n">
        <x:f>F14-Inputs!$C$16/2</x:f>
        <x:v>3067.60579501392</x:v>
      </x:c>
      <x:c r="S14" s="9" t="n">
        <x:f>F14+Inputs!$C$16/2</x:f>
        <x:v>3097.60579501392</x:v>
      </x:c>
      <x:c r="T14" s="9" t="n">
        <x:f>F14-Inputs!$C$17/2</x:f>
        <x:v>2932.60579501392</x:v>
      </x:c>
      <x:c r="U14" s="9" t="n">
        <x:f>F14+Inputs!$C$17/2</x:f>
        <x:v>3232.60579501392</x:v>
      </x:c>
      <x:c r="V14" s="9">
        <x:f t="shared" si="5"/>
        <x:v>455.89141447326256</x:v>
      </x:c>
      <x:c r="W14" s="9">
        <x:f t="shared" si="6"/>
        <x:v>68.45216433532471</x:v>
      </x:c>
      <x:c r="X14" s="9"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x:f>
        <x:v>37.91568406723211</x:v>
      </x:c>
      <x:c r="Y14" s="9"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x:f>
        <x:v>196.39629745562698</x:v>
      </x:c>
      <x:c r="Z14" s="9">
        <x:f t="shared" si="7"/>
        <x:v>403.20208431593278</x:v>
      </x:c>
      <x:c r="AA14" s="9" t="n">
        <x:f>SQRT((Inputs!$C$52+B14)^2+(Inputs!$C$52+Y14/1000)^2-2*(Inputs!$C$52+B14)*(Inputs!$C$52+Y14/1000)*COS(SQRT(A14^2+Inputs!$C$6^2)/Inputs!$C$52))</x:f>
        <x:v>408.5339659654288</x:v>
      </x:c>
      <x:c r="AB14" s="9">
        <x:f t="shared" si="8"/>
        <x:v>5331.8816494960402</x:v>
      </x:c>
      <x:c r="AC14" s="9" t="n">
        <x:f>AB14/Inputs!$C$12</x:f>
        <x:v>2995.4391289303594</x:v>
      </x:c>
      <x:c r="AD14" s="9" t="n">
        <x:f>2*AB14/Inputs!$C$21*1000000</x:f>
        <x:v>35.57048556235554</x:v>
      </x:c>
      <x:c r="AE14" s="9">
        <x:f t="shared" si="9"/>
        <x:v>8.3986088726353145</x:v>
      </x:c>
      <x:c r="AF14" s="9" t="n">
        <x:f>DEGREES((2*PI()/Inputs!$C$13)*Inputs!$C$15*SIN(RADIANS(AE14)))</x:f>
        <x:v>52.581243323387255</x:v>
      </x:c>
      <x:c r="AG14" s="9">
        <x:f t="shared" si="10"/>
        <x:v>0.94880812176725904</x:v>
      </x:c>
      <x:c r="AH14" s="9">
        <x:f t="shared" si="11"/>
        <x:v>-0.22821606416988693</x:v>
      </x:c>
      <x:c r="AI14" s="9">
        <x:f t="shared" si="12"/>
        <x:v>-87.166666083560813</x:v>
      </x:c>
      <x:c r="AJ14" s="9">
        <x:f t="shared" si="13"/>
        <x:v>-1.0350938556882383</x:v>
      </x:c>
      <x:c r="AK14" s="9">
        <x:f t="shared" si="14"/>
        <x:v>158.48061338839489</x:v>
      </x:c>
      <x:c r="AL14" s="9" t="n">
        <x:f>1000*(AA15-AA13)/(A15-A13)*Inputs!$C$11</x:f>
        <x:v>-1221.2811372673968</x:v>
      </x:c>
      <x:c r="AM14" s="9" t="n">
        <x:f>-2*AL14/Inputs!$C$13</x:f>
        <x:v>488.51245490695874</x:v>
      </x:c>
      <x:c r="AN14" s="9" t="n">
        <x:f>-2*AL14/Inputs!$C$14</x:f>
        <x:v>73.35021845449832</x:v>
      </x:c>
      <x:c r="AO14" s="9">
        <x:f t="shared" si="15"/>
        <x:v>488.51245490695874</x:v>
      </x:c>
      <x:c r="AP14" s="9">
        <x:f t="shared" si="16"/>
        <x:v>73.350218454498318</x:v>
      </x:c>
      <x:c r="AQ14" s="9" t="n">
        <x:f>IF(OR(Inputs!$C$27=TRUE,Inputs!$C$27="TRUE",Inputs!$C$27=1),Inputs!$C$46/Inputs!$C$12,0)</x:f>
        <x:v>42.13483146067416</x:v>
      </x:c>
      <x:c r="AR14" s="9">
        <x:f t="shared" si="17"/>
        <x:v>2953.304297469685</x:v>
      </x:c>
      <x:c r="AS14" s="9">
        <x:f t="shared" si="18"/>
        <x:v>3037.5739603910338</x:v>
      </x:c>
    </x:row>
    <x:row r="15">
      <x:c r="A15" s="9" t="n">
        <x:f>Inputs!$C$7+13*(Inputs!$C$8-Inputs!$C$7)/240</x:f>
        <x:v>-53.5</x:v>
      </x:c>
      <x:c r="B15" s="9" t="n">
        <x:f>Inputs!$C$5+Inputs!$C$9*(A15/Inputs!$C$10)^2</x:f>
        <x:v>403.1802777777778</x:v>
      </x:c>
      <x:c r="C15" s="9">
        <x:f t="shared" si="0"/>
        <x:v>403.1802777777778</x:v>
      </x:c>
      <x:c r="D15" s="9" t="n">
        <x:f>SQRT((Inputs!$C$52+B15)^2+Inputs!$C$52^2-2*(Inputs!$C$52+B15)*Inputs!$C$52*COS(SQRT(A15^2+Inputs!$C$6^2)/Inputs!$C$52))</x:f>
        <x:v>408.5852137737902</x:v>
      </x:c>
      <x:c r="E15" s="9">
        <x:f t="shared" si="1"/>
        <x:v>5404.9359960123984</x:v>
      </x:c>
      <x:c r="F15" s="9" t="n">
        <x:f>E15/Inputs!$C$12</x:f>
        <x:v>3036.480896636179</x:v>
      </x:c>
      <x:c r="G15" s="9" t="n">
        <x:f>2*E15/Inputs!$C$21*1000000</x:f>
        <x:v>36.05785170227597</x:v>
      </x:c>
      <x:c r="H15" s="9" t="n">
        <x:f>SQRT(A15^2+Inputs!$C$6^2)</x:f>
        <x:v>59.052942348370756</x:v>
      </x:c>
      <x:c r="I15" s="9">
        <x:f t="shared" si="2"/>
        <x:v>8.3327389418825106</x:v>
      </x:c>
      <x:c r="J15" s="9" t="n">
        <x:f>DEGREES((2*PI()/Inputs!$C$13)*Inputs!$C$15*SIN(RADIANS(I15)))</x:f>
        <x:v>52.17177410818362</x:v>
      </x:c>
      <x:c r="K15" s="9">
        <x:f t="shared" si="3"/>
        <x:v>0.94812704546374582</x:v>
      </x:c>
      <x:c r="L15" s="9">
        <x:f t="shared" si="4"/>
        <x:v>-0.23133464932968043</x:v>
      </x:c>
      <x:c r="M15" s="9" t="n">
        <x:f>2*(Inputs!$C$9/(Inputs!$C$10^2))*A15</x:f>
        <x:v>-0.11888888888888889</x:v>
      </x:c>
      <x:c r="N15" s="9" t="n">
        <x:f>M15*Inputs!$C$11</x:f>
        <x:v>-0.47555555555555556</x:v>
      </x:c>
      <x:c r="O15" s="9" t="n">
        <x:f>1000*(D16-D14)/(A16-A14)*Inputs!$C$11</x:f>
        <x:v>-1129.4602816408315</x:v>
      </x:c>
      <x:c r="P15" s="9" t="n">
        <x:f>-2*O15/Inputs!$C$13</x:f>
        <x:v>451.7841126563326</x:v>
      </x:c>
      <x:c r="Q15" s="9" t="n">
        <x:f>-2*O15/Inputs!$C$14</x:f>
        <x:v>67.8354523508007</x:v>
      </x:c>
      <x:c r="R15" s="9" t="n">
        <x:f>F15-Inputs!$C$16/2</x:f>
        <x:v>3021.480896636179</x:v>
      </x:c>
      <x:c r="S15" s="9" t="n">
        <x:f>F15+Inputs!$C$16/2</x:f>
        <x:v>3051.480896636179</x:v>
      </x:c>
      <x:c r="T15" s="9" t="n">
        <x:f>F15-Inputs!$C$17/2</x:f>
        <x:v>2886.480896636179</x:v>
      </x:c>
      <x:c r="U15" s="9" t="n">
        <x:f>F15+Inputs!$C$17/2</x:f>
        <x:v>3186.480896636179</x:v>
      </x:c>
      <x:c r="V15" s="9">
        <x:f t="shared" si="5"/>
        <x:v>451.78411265633258</x:v>
      </x:c>
      <x:c r="W15" s="9">
        <x:f t="shared" si="6"/>
        <x:v>67.835452350800693</x:v>
      </x:c>
      <x:c r="X15" s="9"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x:f>
        <x:v>49.305692333608725</x:v>
      </x:c>
      <x:c r="Y15" s="9"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x:f>
        <x:v>215.04504497494062</x:v>
      </x:c>
      <x:c r="Z15" s="9">
        <x:f t="shared" si="7"/>
        <x:v>403.13097208544417</x:v>
      </x:c>
      <x:c r="AA15" s="9" t="n">
        <x:f>SQRT((Inputs!$C$52+B15)^2+(Inputs!$C$52+Y15/1000)^2-2*(Inputs!$C$52+B15)*(Inputs!$C$52+Y15/1000)*COS(SQRT(A15^2+Inputs!$C$6^2)/Inputs!$C$52))</x:f>
        <x:v>408.3737550660918</x:v>
      </x:c>
      <x:c r="AB15" s="9">
        <x:f t="shared" si="8"/>
        <x:v>5242.7829806476329</x:v>
      </x:c>
      <x:c r="AC15" s="9" t="n">
        <x:f>AB15/Inputs!$C$12</x:f>
        <x:v>2945.383696993052</x:v>
      </x:c>
      <x:c r="AD15" s="9" t="n">
        <x:f>2*AB15/Inputs!$C$21*1000000</x:f>
        <x:v>34.97608322519997</x:v>
      </x:c>
      <x:c r="AE15" s="9">
        <x:f t="shared" si="9"/>
        <x:v>8.3371232753007458</x:v>
      </x:c>
      <x:c r="AF15" s="9" t="n">
        <x:f>DEGREES((2*PI()/Inputs!$C$13)*Inputs!$C$15*SIN(RADIANS(AE15)))</x:f>
        <x:v>52.19903071884576</x:v>
      </x:c>
      <x:c r="AG15" s="9">
        <x:f t="shared" si="10"/>
        <x:v>0.94962768856534185</x:v>
      </x:c>
      <x:c r="AH15" s="9">
        <x:f t="shared" si="11"/>
        <x:v>-0.22446631020788241</x:v>
      </x:c>
      <x:c r="AI15" s="9">
        <x:f t="shared" si="12"/>
        <x:v>-91.097199643126714</x:v>
      </x:c>
      <x:c r="AJ15" s="9">
        <x:f t="shared" si="13"/>
        <x:v>-1.0817684770759968</x:v>
      </x:c>
      <x:c r="AK15" s="9">
        <x:f t="shared" si="14"/>
        <x:v>165.73935264133189</x:v>
      </x:c>
      <x:c r="AL15" s="9" t="n">
        <x:f>1000*(AA16-AA14)/(A16-A14)*Inputs!$C$11</x:f>
        <x:v>-1223.807754682639</x:v>
      </x:c>
      <x:c r="AM15" s="9" t="n">
        <x:f>-2*AL15/Inputs!$C$13</x:f>
        <x:v>489.52310187305557</x:v>
      </x:c>
      <x:c r="AN15" s="9" t="n">
        <x:f>-2*AL15/Inputs!$C$14</x:f>
        <x:v>73.50196724820655</x:v>
      </x:c>
      <x:c r="AO15" s="9">
        <x:f t="shared" si="15"/>
        <x:v>489.52310187305557</x:v>
      </x:c>
      <x:c r="AP15" s="9">
        <x:f t="shared" si="16"/>
        <x:v>73.501967248206554</x:v>
      </x:c>
      <x:c r="AQ15" s="9" t="n">
        <x:f>IF(OR(Inputs!$C$27=TRUE,Inputs!$C$27="TRUE",Inputs!$C$27=1),Inputs!$C$46/Inputs!$C$12,0)</x:f>
        <x:v>42.13483146067416</x:v>
      </x:c>
      <x:c r="AR15" s="9">
        <x:f t="shared" si="17"/>
        <x:v>2903.2488655323777</x:v>
      </x:c>
      <x:c r="AS15" s="9">
        <x:f t="shared" si="18"/>
        <x:v>2987.5185284537265</x:v>
      </x:c>
    </x:row>
    <x:row r="16">
      <x:c r="A16" s="9" t="n">
        <x:f>Inputs!$C$7+14*(Inputs!$C$8-Inputs!$C$7)/240</x:f>
        <x:v>-53</x:v>
      </x:c>
      <x:c r="B16" s="9" t="n">
        <x:f>Inputs!$C$5+Inputs!$C$9*(A16/Inputs!$C$10)^2</x:f>
        <x:v>403.12111111111113</x:v>
      </x:c>
      <x:c r="C16" s="9">
        <x:f t="shared" si="0"/>
        <x:v>403.12111111111113</x:v>
      </x:c>
      <x:c r="D16" s="9" t="n">
        <x:f>SQRT((Inputs!$C$52+B16)^2+Inputs!$C$52^2-2*(Inputs!$C$52+B16)*Inputs!$C$52*COS(SQRT(A16^2+Inputs!$C$6^2)/Inputs!$C$52))</x:f>
        <x:v>408.4446732447146</x:v>
      </x:c>
      <x:c r="E16" s="9">
        <x:f t="shared" si="1"/>
        <x:v>5323.5621336034455</x:v>
      </x:c>
      <x:c r="F16" s="9" t="n">
        <x:f>E16/Inputs!$C$12</x:f>
        <x:v>2990.7652435974414</x:v>
      </x:c>
      <x:c r="G16" s="9" t="n">
        <x:f>2*E16/Inputs!$C$21*1000000</x:f>
        <x:v>35.51498372653154</x:v>
      </x:c>
      <x:c r="H16" s="9" t="n">
        <x:f>SQRT(A16^2+Inputs!$C$6^2)</x:f>
        <x:v>58.60034129593445</x:v>
      </x:c>
      <x:c r="I16" s="9">
        <x:f t="shared" si="2"/>
        <x:v>8.2709577025452408</x:v>
      </x:c>
      <x:c r="J16" s="9" t="n">
        <x:f>DEGREES((2*PI()/Inputs!$C$13)*Inputs!$C$15*SIN(RADIANS(I16)))</x:f>
        <x:v>51.78765886979433</x:v>
      </x:c>
      <x:c r="K16" s="9">
        <x:f t="shared" si="3"/>
        <x:v>0.94887547821294138</x:v>
      </x:c>
      <x:c r="L16" s="9">
        <x:f t="shared" si="4"/>
        <x:v>-0.2279077669100798</x:v>
      </x:c>
      <x:c r="M16" s="9" t="n">
        <x:f>2*(Inputs!$C$9/(Inputs!$C$10^2))*A16</x:f>
        <x:v>-0.11777777777777777</x:v>
      </x:c>
      <x:c r="N16" s="9" t="n">
        <x:f>M16*Inputs!$C$11</x:f>
        <x:v>-0.4711111111111111</x:v>
      </x:c>
      <x:c r="O16" s="9" t="n">
        <x:f>1000*(D17-D15)/(A17-A15)*Inputs!$C$11</x:f>
        <x:v>-1119.1843692326984</x:v>
      </x:c>
      <x:c r="P16" s="9" t="n">
        <x:f>-2*O16/Inputs!$C$13</x:f>
        <x:v>447.67374769307935</x:v>
      </x:c>
      <x:c r="Q16" s="9" t="n">
        <x:f>-2*O16/Inputs!$C$14</x:f>
        <x:v>67.2182804343963</x:v>
      </x:c>
      <x:c r="R16" s="9" t="n">
        <x:f>F16-Inputs!$C$16/2</x:f>
        <x:v>2975.7652435974414</x:v>
      </x:c>
      <x:c r="S16" s="9" t="n">
        <x:f>F16+Inputs!$C$16/2</x:f>
        <x:v>3005.7652435974414</x:v>
      </x:c>
      <x:c r="T16" s="9" t="n">
        <x:f>F16-Inputs!$C$17/2</x:f>
        <x:v>2840.7652435974414</x:v>
      </x:c>
      <x:c r="U16" s="9" t="n">
        <x:f>F16+Inputs!$C$17/2</x:f>
        <x:v>3140.7652435974414</x:v>
      </x:c>
      <x:c r="V16" s="9">
        <x:f t="shared" si="5"/>
        <x:v>447.67374769307935</x:v>
      </x:c>
      <x:c r="W16" s="9">
        <x:f t="shared" si="6"/>
        <x:v>67.218280434396306</x:v>
      </x:c>
      <x:c r="X16" s="9"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x:f>
        <x:v>54.9618266833629</x:v>
      </x:c>
      <x:c r="Y16" s="9"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x:f>
        <x:v>220.27863667842527</x:v>
      </x:c>
      <x:c r="Z16" s="9">
        <x:f t="shared" si="7"/>
        <x:v>403.06614928442787</x:v>
      </x:c>
      <x:c r="AA16" s="9" t="n">
        <x:f>SQRT((Inputs!$C$52+B16)^2+(Inputs!$C$52+Y16/1000)^2-2*(Inputs!$C$52+B16)*(Inputs!$C$52+Y16/1000)*COS(SQRT(A16^2+Inputs!$C$6^2)/Inputs!$C$52))</x:f>
        <x:v>408.22801402675816</x:v>
      </x:c>
      <x:c r="AB16" s="9">
        <x:f t="shared" si="8"/>
        <x:v>5161.8647423302946</x:v>
      </x:c>
      <x:c r="AC16" s="9" t="n">
        <x:f>AB16/Inputs!$C$12</x:f>
        <x:v>2899.9240125451092</x:v>
      </x:c>
      <x:c r="AD16" s="9" t="n">
        <x:f>2*AB16/Inputs!$C$21*1000000</x:f>
        <x:v>34.43625484621294</x:v>
      </x:c>
      <x:c r="AE16" s="9">
        <x:f t="shared" si="9"/>
        <x:v>8.2754170866934675</x:v>
      </x:c>
      <x:c r="AF16" s="9" t="n">
        <x:f>DEGREES((2*PI()/Inputs!$C$13)*Inputs!$C$15*SIN(RADIANS(AE16)))</x:f>
        <x:v>51.81538641816805</x:v>
      </x:c>
      <x:c r="AG16" s="9">
        <x:f t="shared" si="10"/>
        <x:v>0.95037299763893812</x:v>
      </x:c>
      <x:c r="AH16" s="9">
        <x:f t="shared" si="11"/>
        <x:v>-0.2210591152849786</x:v>
      </x:c>
      <x:c r="AI16" s="9">
        <x:f t="shared" si="12"/>
        <x:v>-90.841231052332205</x:v>
      </x:c>
      <x:c r="AJ16" s="9">
        <x:f t="shared" si="13"/>
        <x:v>-1.0787288803186001</x:v>
      </x:c>
      <x:c r="AK16" s="9">
        <x:f t="shared" si="14"/>
        <x:v>165.31680999516061</x:v>
      </x:c>
      <x:c r="AL16" s="9" t="n">
        <x:f>1000*(AA17-AA15)/(A17-A15)*Inputs!$C$11</x:f>
        <x:v>-1172.4981951017526</x:v>
      </x:c>
      <x:c r="AM16" s="9" t="n">
        <x:f>-2*AL16/Inputs!$C$13</x:f>
        <x:v>468.99927804070103</x:v>
      </x:c>
      <x:c r="AN16" s="9" t="n">
        <x:f>-2*AL16/Inputs!$C$14</x:f>
        <x:v>70.42031201812328</x:v>
      </x:c>
      <x:c r="AO16" s="9">
        <x:f t="shared" si="15"/>
        <x:v>468.99927804070103</x:v>
      </x:c>
      <x:c r="AP16" s="9">
        <x:f t="shared" si="16"/>
        <x:v>70.420312018123283</x:v>
      </x:c>
      <x:c r="AQ16" s="9" t="n">
        <x:f>IF(OR(Inputs!$C$27=TRUE,Inputs!$C$27="TRUE",Inputs!$C$27=1),Inputs!$C$46/Inputs!$C$12,0)</x:f>
        <x:v>42.13483146067416</x:v>
      </x:c>
      <x:c r="AR16" s="9">
        <x:f t="shared" si="17"/>
        <x:v>2857.7891810844349</x:v>
      </x:c>
      <x:c r="AS16" s="9">
        <x:f t="shared" si="18"/>
        <x:v>2942.0588440057836</x:v>
      </x:c>
    </x:row>
    <x:row r="17">
      <x:c r="A17" s="9" t="n">
        <x:f>Inputs!$C$7+15*(Inputs!$C$8-Inputs!$C$7)/240</x:f>
        <x:v>-52.5</x:v>
      </x:c>
      <x:c r="B17" s="9" t="n">
        <x:f>Inputs!$C$5+Inputs!$C$9*(A17/Inputs!$C$10)^2</x:f>
        <x:v>403.0625</x:v>
      </x:c>
      <x:c r="C17" s="9">
        <x:f t="shared" si="0"/>
        <x:v>403.0625</x:v>
      </x:c>
      <x:c r="D17" s="9" t="n">
        <x:f>SQRT((Inputs!$C$52+B17)^2+Inputs!$C$52^2-2*(Inputs!$C$52+B17)*Inputs!$C$52*COS(SQRT(A17^2+Inputs!$C$6^2)/Inputs!$C$52))</x:f>
        <x:v>408.305417681482</x:v>
      </x:c>
      <x:c r="E17" s="9">
        <x:f t="shared" si="1"/>
        <x:v>5242.9176814820266</x:v>
      </x:c>
      <x:c r="F17" s="9" t="n">
        <x:f>E17/Inputs!$C$12</x:f>
        <x:v>2945.459371619116</x:v>
      </x:c>
      <x:c r="G17" s="9" t="n">
        <x:f>2*E17/Inputs!$C$21*1000000</x:f>
        <x:v>34.97698185243891</x:v>
      </x:c>
      <x:c r="H17" s="9" t="n">
        <x:f>SQRT(A17^2+Inputs!$C$6^2)</x:f>
        <x:v>58.148516748065035</x:v>
      </x:c>
      <x:c r="I17" s="9">
        <x:f t="shared" si="2"/>
        <x:v>8.2092359122645995</x:v>
      </x:c>
      <x:c r="J17" s="9" t="n">
        <x:f>DEGREES((2*PI()/Inputs!$C$13)*Inputs!$C$15*SIN(RADIANS(I17)))</x:f>
        <x:v>51.403853119854354</x:v>
      </x:c>
      <x:c r="K17" s="9">
        <x:f t="shared" si="3"/>
        <x:v>0.94961815113253667</x:v>
      </x:c>
      <x:c r="L17" s="9">
        <x:f t="shared" si="4"/>
        <x:v>-0.22450992809401674</x:v>
      </x:c>
      <x:c r="M17" s="9" t="n">
        <x:f>2*(Inputs!$C$9/(Inputs!$C$10^2))*A17</x:f>
        <x:v>-0.11666666666666667</x:v>
      </x:c>
      <x:c r="N17" s="9" t="n">
        <x:f>M17*Inputs!$C$11</x:f>
        <x:v>-0.4666666666666667</x:v>
      </x:c>
      <x:c r="O17" s="9" t="n">
        <x:f>1000*(D18-D16)/(A18-A16)*Inputs!$C$11</x:f>
        <x:v>-1108.9008574281252</x:v>
      </x:c>
      <x:c r="P17" s="9" t="n">
        <x:f>-2*O17/Inputs!$C$13</x:f>
        <x:v>443.56034297125007</x:v>
      </x:c>
      <x:c r="Q17" s="9" t="n">
        <x:f>-2*O17/Inputs!$C$14</x:f>
        <x:v>66.6006520977853</x:v>
      </x:c>
      <x:c r="R17" s="9" t="n">
        <x:f>F17-Inputs!$C$16/2</x:f>
        <x:v>2930.459371619116</x:v>
      </x:c>
      <x:c r="S17" s="9" t="n">
        <x:f>F17+Inputs!$C$16/2</x:f>
        <x:v>2960.459371619116</x:v>
      </x:c>
      <x:c r="T17" s="9" t="n">
        <x:f>F17-Inputs!$C$17/2</x:f>
        <x:v>2795.459371619116</x:v>
      </x:c>
      <x:c r="U17" s="9" t="n">
        <x:f>F17+Inputs!$C$17/2</x:f>
        <x:v>3095.459371619116</x:v>
      </x:c>
      <x:c r="V17" s="9">
        <x:f t="shared" si="5"/>
        <x:v>443.56034297125007</x:v>
      </x:c>
      <x:c r="W17" s="9">
        <x:f t="shared" si="6"/>
        <x:v>66.6006520977853</x:v>
      </x:c>
      <x:c r="X17" s="9"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x:f>
        <x:v>41.913539426844665</x:v>
      </x:c>
      <x:c r="Y17" s="9"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x:f>
        <x:v>228.48571186718385</x:v>
      </x:c>
      <x:c r="Z17" s="9">
        <x:f t="shared" si="7"/>
        <x:v>403.02058646057316</x:v>
      </x:c>
      <x:c r="AA17" s="9" t="n">
        <x:f>SQRT((Inputs!$C$52+B17)^2+(Inputs!$C$52+Y17/1000)^2-2*(Inputs!$C$52+B17)*(Inputs!$C$52+Y17/1000)*COS(SQRT(A17^2+Inputs!$C$6^2)/Inputs!$C$52))</x:f>
        <x:v>408.08063051731637</x:v>
      </x:c>
      <x:c r="AB17" s="9">
        <x:f t="shared" si="8"/>
        <x:v>5060.0440567432088</x:v>
      </x:c>
      <x:c r="AC17" s="9" t="n">
        <x:f>AB17/Inputs!$C$12</x:f>
        <x:v>2842.7213801928137</x:v>
      </x:c>
      <x:c r="AD17" s="9" t="n">
        <x:f>2*AB17/Inputs!$C$21*1000000</x:f>
        <x:v>33.7569803490067</x:v>
      </x:c>
      <x:c r="AE17" s="9">
        <x:f t="shared" si="9"/>
        <x:v>8.2138286391656514</x:v>
      </x:c>
      <x:c r="AF17" s="9" t="n">
        <x:f>DEGREES((2*PI()/Inputs!$C$13)*Inputs!$C$15*SIN(RADIANS(AE17)))</x:f>
        <x:v>51.43241421819657</x:v>
      </x:c>
      <x:c r="AG17" s="9">
        <x:f t="shared" si="10"/>
        <x:v>0.9513164278258599</x:v>
      </x:c>
      <x:c r="AH17" s="9">
        <x:f t="shared" si="11"/>
        <x:v>-0.21675003565958811</x:v>
      </x:c>
      <x:c r="AI17" s="9">
        <x:f t="shared" si="12"/>
        <x:v>-102.73799142630241</x:v>
      </x:c>
      <x:c r="AJ17" s="9">
        <x:f t="shared" si="13"/>
        <x:v>-1.2200015034322078</x:v>
      </x:c>
      <x:c r="AK17" s="9">
        <x:f t="shared" si="14"/>
        <x:v>186.57217244033919</x:v>
      </x:c>
      <x:c r="AL17" s="9" t="n">
        <x:f>1000*(AA18-AA16)/(A18-A16)*Inputs!$C$11</x:f>
        <x:v>-1191.8525830433282</x:v>
      </x:c>
      <x:c r="AM17" s="9" t="n">
        <x:f>-2*AL17/Inputs!$C$13</x:f>
        <x:v>476.7410332173313</x:v>
      </x:c>
      <x:c r="AN17" s="9" t="n">
        <x:f>-2*AL17/Inputs!$C$14</x:f>
        <x:v>71.58273772032001</x:v>
      </x:c>
      <x:c r="AO17" s="9">
        <x:f t="shared" si="15"/>
        <x:v>476.74103321733128</x:v>
      </x:c>
      <x:c r="AP17" s="9">
        <x:f t="shared" si="16"/>
        <x:v>71.582737720320011</x:v>
      </x:c>
      <x:c r="AQ17" s="9" t="n">
        <x:f>IF(OR(Inputs!$C$27=TRUE,Inputs!$C$27="TRUE",Inputs!$C$27=1),Inputs!$C$46/Inputs!$C$12,0)</x:f>
        <x:v>42.13483146067416</x:v>
      </x:c>
      <x:c r="AR17" s="9">
        <x:f t="shared" si="17"/>
        <x:v>2800.5865487321394</x:v>
      </x:c>
      <x:c r="AS17" s="9">
        <x:f t="shared" si="18"/>
        <x:v>2884.8562116534881</x:v>
      </x:c>
    </x:row>
    <x:row r="18">
      <x:c r="A18" s="9" t="n">
        <x:f>Inputs!$C$7+16*(Inputs!$C$8-Inputs!$C$7)/240</x:f>
        <x:v>-52</x:v>
      </x:c>
      <x:c r="B18" s="9" t="n">
        <x:f>Inputs!$C$5+Inputs!$C$9*(A18/Inputs!$C$10)^2</x:f>
        <x:v>403.00444444444446</x:v>
      </x:c>
      <x:c r="C18" s="9">
        <x:f t="shared" si="0"/>
        <x:v>403.00444444444446</x:v>
      </x:c>
      <x:c r="D18" s="9" t="n">
        <x:f>SQRT((Inputs!$C$52+B18)^2+Inputs!$C$52^2-2*(Inputs!$C$52+B18)*Inputs!$C$52*COS(SQRT(A18^2+Inputs!$C$6^2)/Inputs!$C$52))</x:f>
        <x:v>408.16744803035755</x:v>
      </x:c>
      <x:c r="E18" s="9">
        <x:f t="shared" si="1"/>
        <x:v>5163.0035859130885</x:v>
      </x:c>
      <x:c r="F18" s="9" t="n">
        <x:f>E18/Inputs!$C$12</x:f>
        <x:v>2900.5638123107237</x:v>
      </x:c>
      <x:c r="G18" s="9" t="n">
        <x:f>2*E18/Inputs!$C$21*1000000</x:f>
        <x:v>34.44385239279828</x:v>
      </x:c>
      <x:c r="H18" s="9" t="n">
        <x:f>SQRT(A18^2+Inputs!$C$6^2)</x:f>
        <x:v>57.697486947006624</x:v>
      </x:c>
      <x:c r="I18" s="9">
        <x:f t="shared" si="2"/>
        <x:v>8.1475766102618188</x:v>
      </x:c>
      <x:c r="J18" s="9" t="n">
        <x:f>DEGREES((2*PI()/Inputs!$C$13)*Inputs!$C$15*SIN(RADIANS(I18)))</x:f>
        <x:v>51.02037638000933</x:v>
      </x:c>
      <x:c r="K18" s="9">
        <x:f t="shared" si="3"/>
        <x:v>0.95035503129146714</x:v>
      </x:c>
      <x:c r="L18" s="9">
        <x:f t="shared" si="4"/>
        <x:v>-0.2211412173579535</x:v>
      </x:c>
      <x:c r="M18" s="9" t="n">
        <x:f>2*(Inputs!$C$9/(Inputs!$C$10^2))*A18</x:f>
        <x:v>-0.11555555555555555</x:v>
      </x:c>
      <x:c r="N18" s="9" t="n">
        <x:f>M18*Inputs!$C$11</x:f>
        <x:v>-0.4622222222222222</x:v>
      </x:c>
      <x:c r="O18" s="9" t="n">
        <x:f>1000*(D19-D17)/(A19-A17)*Inputs!$C$11</x:f>
        <x:v>-1098.6098050404962</x:v>
      </x:c>
      <x:c r="P18" s="9" t="n">
        <x:f>-2*O18/Inputs!$C$13</x:f>
        <x:v>439.4439220161985</x:v>
      </x:c>
      <x:c r="Q18" s="9" t="n">
        <x:f>-2*O18/Inputs!$C$14</x:f>
        <x:v>65.98257087330308</x:v>
      </x:c>
      <x:c r="R18" s="9" t="n">
        <x:f>F18-Inputs!$C$16/2</x:f>
        <x:v>2885.5638123107237</x:v>
      </x:c>
      <x:c r="S18" s="9" t="n">
        <x:f>F18+Inputs!$C$16/2</x:f>
        <x:v>2915.5638123107237</x:v>
      </x:c>
      <x:c r="T18" s="9" t="n">
        <x:f>F18-Inputs!$C$17/2</x:f>
        <x:v>2750.5638123107237</x:v>
      </x:c>
      <x:c r="U18" s="9" t="n">
        <x:f>F18+Inputs!$C$17/2</x:f>
        <x:v>3050.5638123107237</x:v>
      </x:c>
      <x:c r="V18" s="9">
        <x:f t="shared" si="5"/>
        <x:v>439.44392201619848</x:v>
      </x:c>
      <x:c r="W18" s="9">
        <x:f t="shared" si="6"/>
        <x:v>65.982570873303075</x:v>
      </x:c>
      <x:c r="X18" s="9"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x:f>
        <x:v>44.0092440465048</x:v>
      </x:c>
      <x:c r="Y18" s="9"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x:f>
        <x:v>241.24392327938918</x:v>
      </x:c>
      <x:c r="Z18" s="9">
        <x:f t="shared" si="7"/>
        <x:v>402.96043520039797</x:v>
      </x:c>
      <x:c r="AA18" s="9" t="n">
        <x:f>SQRT((Inputs!$C$52+B18)^2+(Inputs!$C$52+Y18/1000)^2-2*(Inputs!$C$52+B18)*(Inputs!$C$52+Y18/1000)*COS(SQRT(A18^2+Inputs!$C$6^2)/Inputs!$C$52))</x:f>
        <x:v>407.9300508809973</x:v>
      </x:c>
      <x:c r="AB18" s="9">
        <x:f t="shared" si="8"/>
        <x:v>4969.6156805993614</x:v>
      </x:c>
      <x:c r="AC18" s="9" t="n">
        <x:f>AB18/Inputs!$C$12</x:f>
        <x:v>2791.9189216850345</x:v>
      </x:c>
      <x:c r="AD18" s="9" t="n">
        <x:f>2*AB18/Inputs!$C$21*1000000</x:f>
        <x:v>33.15370715963349</x:v>
      </x:c>
      <x:c r="AE18" s="9">
        <x:f t="shared" si="9"/>
        <x:v>8.152391199699375</x:v>
      </x:c>
      <x:c r="AF18" s="9" t="n">
        <x:f>DEGREES((2*PI()/Inputs!$C$13)*Inputs!$C$15*SIN(RADIANS(AE18)))</x:f>
        <x:v>51.05032181386523</x:v>
      </x:c>
      <x:c r="AG18" s="9">
        <x:f t="shared" si="10"/>
        <x:v>0.95215319562345546</x:v>
      </x:c>
      <x:c r="AH18" s="9">
        <x:f t="shared" si="11"/>
        <x:v>-0.21293170668745842</x:v>
      </x:c>
      <x:c r="AI18" s="9">
        <x:f t="shared" si="12"/>
        <x:v>-108.64489062568919</x:v>
      </x:c>
      <x:c r="AJ18" s="9">
        <x:f t="shared" si="13"/>
        <x:v>-1.290145233164786</x:v>
      </x:c>
      <x:c r="AK18" s="9">
        <x:f t="shared" si="14"/>
        <x:v>197.23467923288439</x:v>
      </x:c>
      <x:c r="AL18" s="9" t="n">
        <x:f>1000*(AA19-AA17)/(A19-A17)*Inputs!$C$11</x:f>
        <x:v>-1228.6234868731754</x:v>
      </x:c>
      <x:c r="AM18" s="9" t="n">
        <x:f>-2*AL18/Inputs!$C$13</x:f>
        <x:v>491.44939474927014</x:v>
      </x:c>
      <x:c r="AN18" s="9" t="n">
        <x:f>-2*AL18/Inputs!$C$14</x:f>
        <x:v>73.79120041280333</x:v>
      </x:c>
      <x:c r="AO18" s="9">
        <x:f t="shared" si="15"/>
        <x:v>491.44939474927014</x:v>
      </x:c>
      <x:c r="AP18" s="9">
        <x:f t="shared" si="16"/>
        <x:v>73.791200412803335</x:v>
      </x:c>
      <x:c r="AQ18" s="9" t="n">
        <x:f>IF(OR(Inputs!$C$27=TRUE,Inputs!$C$27="TRUE",Inputs!$C$27=1),Inputs!$C$46/Inputs!$C$12,0)</x:f>
        <x:v>42.13483146067416</x:v>
      </x:c>
      <x:c r="AR18" s="9">
        <x:f t="shared" si="17"/>
        <x:v>2749.7840902243602</x:v>
      </x:c>
      <x:c r="AS18" s="9">
        <x:f t="shared" si="18"/>
        <x:v>2834.0537531457089</x:v>
      </x:c>
    </x:row>
    <x:row r="19">
      <x:c r="A19" s="9" t="n">
        <x:f>Inputs!$C$7+17*(Inputs!$C$8-Inputs!$C$7)/240</x:f>
        <x:v>-51.5</x:v>
      </x:c>
      <x:c r="B19" s="9" t="n">
        <x:f>Inputs!$C$5+Inputs!$C$9*(A19/Inputs!$C$10)^2</x:f>
        <x:v>402.94694444444445</x:v>
      </x:c>
      <x:c r="C19" s="9">
        <x:f t="shared" si="0"/>
        <x:v>402.94694444444445</x:v>
      </x:c>
      <x:c r="D19" s="9" t="n">
        <x:f>SQRT((Inputs!$C$52+B19)^2+Inputs!$C$52^2-2*(Inputs!$C$52+B19)*Inputs!$C$52*COS(SQRT(A19^2+Inputs!$C$6^2)/Inputs!$C$52))</x:f>
        <x:v>408.0307652302219</x:v>
      </x:c>
      <x:c r="E19" s="9">
        <x:f t="shared" si="1"/>
        <x:v>5083.8207857774478</x:v>
      </x:c>
      <x:c r="F19" s="9" t="n">
        <x:f>E19/Inputs!$C$12</x:f>
        <x:v>2856.0790931333977</x:v>
      </x:c>
      <x:c r="G19" s="9" t="n">
        <x:f>2*E19/Inputs!$C$21*1000000</x:f>
        <x:v>33.91560161114826</x:v>
      </x:c>
      <x:c r="H19" s="9" t="n">
        <x:f>SQRT(A19^2+Inputs!$C$6^2)</x:f>
        <x:v>57.24727067729954</x:v>
      </x:c>
      <x:c r="I19" s="9">
        <x:f t="shared" si="2"/>
        <x:v>8.0859829149192013</x:v>
      </x:c>
      <x:c r="J19" s="9" t="n">
        <x:f>DEGREES((2*PI()/Inputs!$C$13)*Inputs!$C$15*SIN(RADIANS(I19)))</x:f>
        <x:v>50.63724867326966</x:v>
      </x:c>
      <x:c r="K19" s="9">
        <x:f t="shared" si="3"/>
        <x:v>0.95108608593985455</x:v>
      </x:c>
      <x:c r="L19" s="9">
        <x:f t="shared" si="4"/>
        <x:v>-0.21780171856904923</x:v>
      </x:c>
      <x:c r="M19" s="9" t="n">
        <x:f>2*(Inputs!$C$9/(Inputs!$C$10^2))*A19</x:f>
        <x:v>-0.11444444444444445</x:v>
      </x:c>
      <x:c r="N19" s="9" t="n">
        <x:f>M19*Inputs!$C$11</x:f>
        <x:v>-0.4577777777777778</x:v>
      </x:c>
      <x:c r="O19" s="9" t="n">
        <x:f>1000*(D20-D18)/(A20-A18)*Inputs!$C$11</x:f>
        <x:v>-1088.3112712756429</x:v>
      </x:c>
      <x:c r="P19" s="9" t="n">
        <x:f>-2*O19/Inputs!$C$13</x:f>
        <x:v>435.32450851025715</x:v>
      </x:c>
      <x:c r="Q19" s="9" t="n">
        <x:f>-2*O19/Inputs!$C$14</x:f>
        <x:v>65.36404031685544</x:v>
      </x:c>
      <x:c r="R19" s="9" t="n">
        <x:f>F19-Inputs!$C$16/2</x:f>
        <x:v>2841.0790931333977</x:v>
      </x:c>
      <x:c r="S19" s="9" t="n">
        <x:f>F19+Inputs!$C$16/2</x:f>
        <x:v>2871.0790931333977</x:v>
      </x:c>
      <x:c r="T19" s="9" t="n">
        <x:f>F19-Inputs!$C$17/2</x:f>
        <x:v>2706.0790931333977</x:v>
      </x:c>
      <x:c r="U19" s="9" t="n">
        <x:f>F19+Inputs!$C$17/2</x:f>
        <x:v>3006.0790931333977</x:v>
      </x:c>
      <x:c r="V19" s="9">
        <x:f t="shared" si="5"/>
        <x:v>435.32450851025715</x:v>
      </x:c>
      <x:c r="W19" s="9">
        <x:f t="shared" si="6"/>
        <x:v>65.364040316855437</x:v>
      </x:c>
      <x:c r="X19" s="9"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x:f>
        <x:v>32.491619283106324</x:v>
      </x:c>
      <x:c r="Y19" s="9"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x:f>
        <x:v>261.3961473371179</x:v>
      </x:c>
      <x:c r="Z19" s="9">
        <x:f t="shared" si="7"/>
        <x:v>402.91445282516133</x:v>
      </x:c>
      <x:c r="AA19" s="9" t="n">
        <x:f>SQRT((Inputs!$C$52+B19)^2+(Inputs!$C$52+Y19/1000)^2-2*(Inputs!$C$52+B19)*(Inputs!$C$52+Y19/1000)*COS(SQRT(A19^2+Inputs!$C$6^2)/Inputs!$C$52))</x:f>
        <x:v>407.77347464559807</x:v>
      </x:c>
      <x:c r="AB19" s="9">
        <x:f t="shared" si="8"/>
        <x:v>4859.0218204367375</x:v>
      </x:c>
      <x:c r="AC19" s="9" t="n">
        <x:f>AB19/Inputs!$C$12</x:f>
        <x:v>2729.787539571201</x:v>
      </x:c>
      <x:c r="AD19" s="9" t="n">
        <x:f>2*AB19/Inputs!$C$21*1000000</x:f>
        <x:v>32.41590434164116</x:v>
      </x:c>
      <x:c r="AE19" s="9">
        <x:f t="shared" si="9"/>
        <x:v>8.0911623032348885</x:v>
      </x:c>
      <x:c r="AF19" s="9" t="n">
        <x:f>DEGREES((2*PI()/Inputs!$C$13)*Inputs!$C$15*SIN(RADIANS(AE19)))</x:f>
        <x:v>50.66946798304116</x:v>
      </x:c>
      <x:c r="AG19" s="9">
        <x:f t="shared" si="10"/>
        <x:v>0.95318126396208747</x:v>
      </x:c>
      <x:c r="AH19" s="9">
        <x:f t="shared" si="11"/>
        <x:v>-0.20824502873891348</x:v>
      </x:c>
      <x:c r="AI19" s="9">
        <x:f t="shared" si="12"/>
        <x:v>-126.2915535621969</x:v>
      </x:c>
      <x:c r="AJ19" s="9">
        <x:f t="shared" si="13"/>
        <x:v>-1.4996972695071022</x:v>
      </x:c>
      <x:c r="AK19" s="9">
        <x:f t="shared" si="14"/>
        <x:v>228.90452805401156</x:v>
      </x:c>
      <x:c r="AL19" s="9" t="n">
        <x:f>1000*(AA20-AA18)/(A20-A18)*Inputs!$C$11</x:f>
        <x:v>-1131.0023230334991</x:v>
      </x:c>
      <x:c r="AM19" s="9" t="n">
        <x:f>-2*AL19/Inputs!$C$13</x:f>
        <x:v>452.40092921339965</x:v>
      </x:c>
      <x:c r="AN19" s="9" t="n">
        <x:f>-2*AL19/Inputs!$C$14</x:f>
        <x:v>67.92806744945942</x:v>
      </x:c>
      <x:c r="AO19" s="9">
        <x:f t="shared" si="15"/>
        <x:v>452.40092921339965</x:v>
      </x:c>
      <x:c r="AP19" s="9">
        <x:f t="shared" si="16"/>
        <x:v>67.928067449459419</x:v>
      </x:c>
      <x:c r="AQ19" s="9" t="n">
        <x:f>IF(OR(Inputs!$C$27=TRUE,Inputs!$C$27="TRUE",Inputs!$C$27=1),Inputs!$C$46/Inputs!$C$12,0)</x:f>
        <x:v>42.13483146067416</x:v>
      </x:c>
      <x:c r="AR19" s="9">
        <x:f t="shared" si="17"/>
        <x:v>2687.6527081105264</x:v>
      </x:c>
      <x:c r="AS19" s="9">
        <x:f t="shared" si="18"/>
        <x:v>2771.9223710318752</x:v>
      </x:c>
    </x:row>
    <x:row r="20">
      <x:c r="A20" s="9" t="n">
        <x:f>Inputs!$C$7+18*(Inputs!$C$8-Inputs!$C$7)/240</x:f>
        <x:v>-51</x:v>
      </x:c>
      <x:c r="B20" s="9" t="n">
        <x:f>Inputs!$C$5+Inputs!$C$9*(A20/Inputs!$C$10)^2</x:f>
        <x:v>402.89</x:v>
      </x:c>
      <x:c r="C20" s="9">
        <x:f t="shared" si="0"/>
        <x:v>402.89</x:v>
      </x:c>
      <x:c r="D20" s="9" t="n">
        <x:f>SQRT((Inputs!$C$52+B20)^2+Inputs!$C$52^2-2*(Inputs!$C$52+B20)*Inputs!$C$52*COS(SQRT(A20^2+Inputs!$C$6^2)/Inputs!$C$52))</x:f>
        <x:v>407.89537021253864</x:v>
      </x:c>
      <x:c r="E20" s="9">
        <x:f t="shared" si="1"/>
        <x:v>5005.3702125386508</x:v>
      </x:c>
      <x:c r="F20" s="9" t="n">
        <x:f>E20/Inputs!$C$12</x:f>
        <x:v>2812.005737381264</x:v>
      </x:c>
      <x:c r="G20" s="9" t="n">
        <x:f>2*E20/Inputs!$C$21*1000000</x:f>
        <x:v>33.39223572154474</x:v>
      </x:c>
      <x:c r="H20" s="9" t="n">
        <x:f>SQRT(A20^2+Inputs!$C$6^2)</x:f>
        <x:v>56.79788728465171</x:v>
      </x:c>
      <x:c r="I20" s="9">
        <x:f t="shared" si="2"/>
        <x:v>8.0244580264682188</x:v>
      </x:c>
      <x:c r="J20" s="9" t="n">
        <x:f>DEGREES((2*PI()/Inputs!$C$13)*Inputs!$C$15*SIN(RADIANS(I20)))</x:f>
        <x:v>50.25449054086581</x:v>
      </x:c>
      <x:c r="K20" s="9">
        <x:f t="shared" si="3"/>
        <x:v>0.9518112825121221</x:v>
      </x:c>
      <x:c r="L20" s="9">
        <x:f t="shared" si="4"/>
        <x:v>-0.21449151498056357</x:v>
      </x:c>
      <x:c r="M20" s="9" t="n">
        <x:f>2*(Inputs!$C$9/(Inputs!$C$10^2))*A20</x:f>
        <x:v>-0.11333333333333333</x:v>
      </x:c>
      <x:c r="N20" s="9" t="n">
        <x:f>M20*Inputs!$C$11</x:f>
        <x:v>-0.4533333333333333</x:v>
      </x:c>
      <x:c r="O20" s="9" t="n">
        <x:f>1000*(D21-D19)/(A21-A19)*Inputs!$C$11</x:f>
        <x:v>-1078.0053156152007</x:v>
      </x:c>
      <x:c r="P20" s="9" t="n">
        <x:f>-2*O20/Inputs!$C$13</x:f>
        <x:v>431.2021262460803</x:v>
      </x:c>
      <x:c r="Q20" s="9" t="n">
        <x:f>-2*O20/Inputs!$C$14</x:f>
        <x:v>64.74506400091296</x:v>
      </x:c>
      <x:c r="R20" s="9" t="n">
        <x:f>F20-Inputs!$C$16/2</x:f>
        <x:v>2797.005737381264</x:v>
      </x:c>
      <x:c r="S20" s="9" t="n">
        <x:f>F20+Inputs!$C$16/2</x:f>
        <x:v>2827.005737381264</x:v>
      </x:c>
      <x:c r="T20" s="9" t="n">
        <x:f>F20-Inputs!$C$17/2</x:f>
        <x:v>2662.005737381264</x:v>
      </x:c>
      <x:c r="U20" s="9" t="n">
        <x:f>F20+Inputs!$C$17/2</x:f>
        <x:v>2962.005737381264</x:v>
      </x:c>
      <x:c r="V20" s="9">
        <x:f t="shared" si="5"/>
        <x:v>431.2021262460803</x:v>
      </x:c>
      <x:c r="W20" s="9">
        <x:f t="shared" si="6"/>
        <x:v>64.745064000912961</x:v>
      </x:c>
      <x:c r="X20" s="9"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x:f>
        <x:v>39.10881658677256</x:v>
      </x:c>
      <x:c r="Y20" s="9"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x:f>
        <x:v>251.96732827517536</x:v>
      </x:c>
      <x:c r="Z20" s="9">
        <x:f t="shared" si="7"/>
        <x:v>402.85089118341324</x:v>
      </x:c>
      <x:c r="AA20" s="9" t="n">
        <x:f>SQRT((Inputs!$C$52+B20)^2+(Inputs!$C$52+Y20/1000)^2-2*(Inputs!$C$52+B20)*(Inputs!$C$52+Y20/1000)*COS(SQRT(A20^2+Inputs!$C$6^2)/Inputs!$C$52))</x:f>
        <x:v>407.64730030023895</x:v>
      </x:c>
      <x:c r="AB20" s="9">
        <x:f t="shared" si="8"/>
        <x:v>4796.4091168257146</x:v>
      </x:c>
      <x:c r="AC20" s="9" t="n">
        <x:f>AB20/Inputs!$C$12</x:f>
        <x:v>2694.611863385233</x:v>
      </x:c>
      <x:c r="AD20" s="9" t="n">
        <x:f>2*AB20/Inputs!$C$21*1000000</x:f>
        <x:v>31.99819734508274</x:v>
      </x:c>
      <x:c r="AE20" s="9">
        <x:f t="shared" si="9"/>
        <x:v>8.029414192252009</x:v>
      </x:c>
      <x:c r="AF20" s="9" t="n">
        <x:f>DEGREES((2*PI()/Inputs!$C$13)*Inputs!$C$15*SIN(RADIANS(AE20)))</x:f>
        <x:v>50.285325950718175</x:v>
      </x:c>
      <x:c r="AG20" s="9">
        <x:f t="shared" si="10"/>
        <x:v>0.95375984282171677</x:v>
      </x:c>
      <x:c r="AH20" s="9">
        <x:f t="shared" si="11"/>
        <x:v>-0.20560967085712697</x:v>
      </x:c>
      <x:c r="AI20" s="9">
        <x:f t="shared" si="12"/>
        <x:v>-117.39387399603129</x:v>
      </x:c>
      <x:c r="AJ20" s="9">
        <x:f t="shared" si="13"/>
        <x:v>-1.394038376462003</x:v>
      </x:c>
      <x:c r="AK20" s="9">
        <x:f t="shared" si="14"/>
        <x:v>212.85851168840281</x:v>
      </x:c>
      <x:c r="AL20" s="9" t="n">
        <x:f>1000*(AA21-AA19)/(A21-A19)*Inputs!$C$11</x:f>
        <x:v>-1032.5390646050892</x:v>
      </x:c>
      <x:c r="AM20" s="9" t="n">
        <x:f>-2*AL20/Inputs!$C$13</x:f>
        <x:v>413.01562584203566</x:v>
      </x:c>
      <x:c r="AN20" s="9" t="n">
        <x:f>-2*AL20/Inputs!$C$14</x:f>
        <x:v>62.01435823453989</x:v>
      </x:c>
      <x:c r="AO20" s="9">
        <x:f t="shared" si="15"/>
        <x:v>413.01562584385465</x:v>
      </x:c>
      <x:c r="AP20" s="9">
        <x:f t="shared" si="16"/>
        <x:v>62.014358234813017</x:v>
      </x:c>
      <x:c r="AQ20" s="9" t="n">
        <x:f>IF(OR(Inputs!$C$27=TRUE,Inputs!$C$27="TRUE",Inputs!$C$27=1),Inputs!$C$46/Inputs!$C$12,0)</x:f>
        <x:v>42.13483146067416</x:v>
      </x:c>
      <x:c r="AR20" s="9">
        <x:f t="shared" si="17"/>
        <x:v>2652.4770319245586</x:v>
      </x:c>
      <x:c r="AS20" s="9">
        <x:f t="shared" si="18"/>
        <x:v>2736.7466948459073</x:v>
      </x:c>
    </x:row>
    <x:row r="21">
      <x:c r="A21" s="9" t="n">
        <x:f>Inputs!$C$7+19*(Inputs!$C$8-Inputs!$C$7)/240</x:f>
        <x:v>-50.5</x:v>
      </x:c>
      <x:c r="B21" s="9" t="n">
        <x:f>Inputs!$C$5+Inputs!$C$9*(A21/Inputs!$C$10)^2</x:f>
        <x:v>402.8336111111111</x:v>
      </x:c>
      <x:c r="C21" s="9">
        <x:f t="shared" si="0"/>
        <x:v>402.83361111111111</x:v>
      </x:c>
      <x:c r="D21" s="9" t="n">
        <x:f>SQRT((Inputs!$C$52+B21)^2+Inputs!$C$52^2-2*(Inputs!$C$52+B21)*Inputs!$C$52*COS(SQRT(A21^2+Inputs!$C$6^2)/Inputs!$C$52))</x:f>
        <x:v>407.7612639013181</x:v>
      </x:c>
      <x:c r="E21" s="9">
        <x:f t="shared" si="1"/>
        <x:v>4927.652790206992</x:v>
      </x:c>
      <x:c r="F21" s="9" t="n">
        <x:f>E21/Inputs!$C$12</x:f>
        <x:v>2768.3442641612314</x:v>
      </x:c>
      <x:c r="G21" s="9" t="n">
        <x:f>2*E21/Inputs!$C$21*1000000</x:f>
        <x:v>32.873760888320895</x:v>
      </x:c>
      <x:c r="H21" s="9" t="n">
        <x:f>SQRT(A21^2+Inputs!$C$6^2)</x:f>
        <x:v>56.349356695529366</x:v>
      </x:c>
      <x:c r="I21" s="9">
        <x:f t="shared" si="2"/>
        <x:v>7.9630052297803147</x:v>
      </x:c>
      <x:c r="J21" s="9" t="n">
        <x:f>DEGREES((2*PI()/Inputs!$C$13)*Inputs!$C$15*SIN(RADIANS(I21)))</x:f>
        <x:v>49.87212305974802</x:v>
      </x:c>
      <x:c r="K21" s="9">
        <x:f t="shared" si="3"/>
        <x:v>0.95253058863013107</x:v>
      </x:c>
      <x:c r="L21" s="9">
        <x:f t="shared" si="4"/>
        <x:v>-0.21121068922715408</x:v>
      </x:c>
      <x:c r="M21" s="9" t="n">
        <x:f>2*(Inputs!$C$9/(Inputs!$C$10^2))*A21</x:f>
        <x:v>-0.11222222222222222</x:v>
      </x:c>
      <x:c r="N21" s="9" t="n">
        <x:f>M21*Inputs!$C$11</x:f>
        <x:v>-0.4488888888888889</x:v>
      </x:c>
      <x:c r="O21" s="9" t="n">
        <x:f>1000*(D22-D20)/(A22-A20)*Inputs!$C$11</x:f>
        <x:v>-1067.691997902557</x:v>
      </x:c>
      <x:c r="P21" s="9" t="n">
        <x:f>-2*O21/Inputs!$C$13</x:f>
        <x:v>427.0767991610228</x:v>
      </x:c>
      <x:c r="Q21" s="9" t="n">
        <x:f>-2*O21/Inputs!$C$14</x:f>
        <x:v>64.1256455196731</x:v>
      </x:c>
      <x:c r="R21" s="9" t="n">
        <x:f>F21-Inputs!$C$16/2</x:f>
        <x:v>2753.3442641612314</x:v>
      </x:c>
      <x:c r="S21" s="9" t="n">
        <x:f>F21+Inputs!$C$16/2</x:f>
        <x:v>2783.3442641612314</x:v>
      </x:c>
      <x:c r="T21" s="9" t="n">
        <x:f>F21-Inputs!$C$17/2</x:f>
        <x:v>2618.3442641612314</x:v>
      </x:c>
      <x:c r="U21" s="9" t="n">
        <x:f>F21+Inputs!$C$17/2</x:f>
        <x:v>2918.3442641612314</x:v>
      </x:c>
      <x:c r="V21" s="9">
        <x:f t="shared" si="5"/>
        <x:v>427.07679916102279</x:v>
      </x:c>
      <x:c r="W21" s="9">
        <x:f t="shared" si="6"/>
        <x:v>64.1256455196731</x:v>
      </x:c>
      <x:c r="X21" s="9"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x:f>
        <x:v>47.99583170220943</x:v>
      </x:c>
      <x:c r="Y21" s="9"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x:f>
        <x:v>249.7278681272967</x:v>
      </x:c>
      <x:c r="Z21" s="9">
        <x:f t="shared" si="7"/>
        <x:v>402.78561527940889</x:v>
      </x:c>
      <x:c r="AA21" s="9" t="n">
        <x:f>SQRT((Inputs!$C$52+B21)^2+(Inputs!$C$52+Y21/1000)^2-2*(Inputs!$C$52+B21)*(Inputs!$C$52+Y21/1000)*COS(SQRT(A21^2+Inputs!$C$6^2)/Inputs!$C$52))</x:f>
        <x:v>407.5153398794468</x:v>
      </x:c>
      <x:c r="AB21" s="9">
        <x:f t="shared" si="8"/>
        <x:v>4729.724600036775</x:v>
      </x:c>
      <x:c r="AC21" s="9" t="n">
        <x:f>AB21/Inputs!$C$12</x:f>
        <x:v>2657.1486517060534</x:v>
      </x:c>
      <x:c r="AD21" s="9" t="n">
        <x:f>2*AB21/Inputs!$C$21*1000000</x:f>
        <x:v>31.55332613495417</x:v>
      </x:c>
      <x:c r="AE21" s="9">
        <x:f t="shared" si="9"/>
        <x:v>7.9678813626925553</x:v>
      </x:c>
      <x:c r="AF21" s="9" t="n">
        <x:f>DEGREES((2*PI()/Inputs!$C$13)*Inputs!$C$15*SIN(RADIANS(AE21)))</x:f>
        <x:v>49.9024651091197</x:v>
      </x:c>
      <x:c r="AG21" s="9">
        <x:f t="shared" si="10"/>
        <x:v>0.95437699766908612</x:v>
      </x:c>
      <x:c r="AH21" s="9">
        <x:f t="shared" si="11"/>
        <x:v>-0.2028003654828916</x:v>
      </x:c>
      <x:c r="AI21" s="9">
        <x:f t="shared" si="12"/>
        <x:v>-111.19561245517798</x:v>
      </x:c>
      <x:c r="AJ21" s="9">
        <x:f t="shared" si="13"/>
        <x:v>-1.320434753366726</x:v>
      </x:c>
      <x:c r="AK21" s="9">
        <x:f t="shared" si="14"/>
        <x:v>201.73203642498902</x:v>
      </x:c>
      <x:c r="AL21" s="9" t="n">
        <x:f>1000*(AA22-AA20)/(A22-A20)*Inputs!$C$11</x:f>
        <x:v>-1153.850653468453</x:v>
      </x:c>
      <x:c r="AM21" s="9" t="n">
        <x:f>-2*AL21/Inputs!$C$13</x:f>
        <x:v>461.5402613873812</x:v>
      </x:c>
      <x:c r="AN21" s="9" t="n">
        <x:f>-2*AL21/Inputs!$C$14</x:f>
        <x:v>69.30033954765484</x:v>
      </x:c>
      <x:c r="AO21" s="9">
        <x:f t="shared" si="15"/>
        <x:v>461.54026138738118</x:v>
      </x:c>
      <x:c r="AP21" s="9">
        <x:f t="shared" si="16"/>
        <x:v>69.300339547654843</x:v>
      </x:c>
      <x:c r="AQ21" s="9" t="n">
        <x:f>IF(OR(Inputs!$C$27=TRUE,Inputs!$C$27="TRUE",Inputs!$C$27=1),Inputs!$C$46/Inputs!$C$12,0)</x:f>
        <x:v>42.13483146067416</x:v>
      </x:c>
      <x:c r="AR21" s="9">
        <x:f t="shared" si="17"/>
        <x:v>2615.0138202453791</x:v>
      </x:c>
      <x:c r="AS21" s="9">
        <x:f t="shared" si="18"/>
        <x:v>2699.2834831667278</x:v>
      </x:c>
    </x:row>
    <x:row r="22">
      <x:c r="A22" s="9" t="n">
        <x:f>Inputs!$C$7+20*(Inputs!$C$8-Inputs!$C$7)/240</x:f>
        <x:v>-50</x:v>
      </x:c>
      <x:c r="B22" s="9" t="n">
        <x:f>Inputs!$C$5+Inputs!$C$9*(A22/Inputs!$C$10)^2</x:f>
        <x:v>402.77777777777777</x:v>
      </x:c>
      <x:c r="C22" s="9">
        <x:f t="shared" si="0"/>
        <x:v>402.77777777777777</x:v>
      </x:c>
      <x:c r="D22" s="9" t="n">
        <x:f>SQRT((Inputs!$C$52+B22)^2+Inputs!$C$52^2-2*(Inputs!$C$52+B22)*Inputs!$C$52*COS(SQRT(A22^2+Inputs!$C$6^2)/Inputs!$C$52))</x:f>
        <x:v>407.628447213063</x:v>
      </x:c>
      <x:c r="E22" s="9">
        <x:f t="shared" si="1"/>
        <x:v>4850.6694352852264</x:v>
      </x:c>
      <x:c r="F22" s="9" t="n">
        <x:f>E22/Inputs!$C$12</x:f>
        <x:v>2725.0951883624866</x:v>
      </x:c>
      <x:c r="G22" s="9" t="n">
        <x:f>2*E22/Inputs!$C$21*1000000</x:f>
        <x:v>32.36018322572495</x:v>
      </x:c>
      <x:c r="H22" s="9" t="n">
        <x:f>SQRT(A22^2+Inputs!$C$6^2)</x:f>
        <x:v>55.90169943749474</x:v>
      </x:c>
      <x:c r="I22" s="9">
        <x:f t="shared" si="2"/>
        <x:v>7.9016278972643068</x:v>
      </x:c>
      <x:c r="J22" s="9" t="n">
        <x:f>DEGREES((2*PI()/Inputs!$C$13)*Inputs!$C$15*SIN(RADIANS(I22)))</x:f>
        <x:v>49.490167860754674</x:v>
      </x:c>
      <x:c r="K22" s="9">
        <x:f t="shared" si="3"/>
        <x:v>0.95324397210648193</x:v>
      </x:c>
      <x:c r="L22" s="9">
        <x:f t="shared" si="4"/>
        <x:v>-0.20795932331941441</x:v>
      </x:c>
      <x:c r="M22" s="9" t="n">
        <x:f>2*(Inputs!$C$9/(Inputs!$C$10^2))*A22</x:f>
        <x:v>-0.1111111111111111</x:v>
      </x:c>
      <x:c r="N22" s="9" t="n">
        <x:f>M22*Inputs!$C$11</x:f>
        <x:v>-0.4444444444444444</x:v>
      </x:c>
      <x:c r="O22" s="9" t="n">
        <x:f>1000*(D23-D21)/(A23-A21)*Inputs!$C$11</x:f>
        <x:v>-1057.371378303742</x:v>
      </x:c>
      <x:c r="P22" s="9" t="n">
        <x:f>-2*O22/Inputs!$C$13</x:f>
        <x:v>422.9485513214968</x:v>
      </x:c>
      <x:c r="Q22" s="9" t="n">
        <x:f>-2*O22/Inputs!$C$14</x:f>
        <x:v>63.50578848671123</x:v>
      </x:c>
      <x:c r="R22" s="9" t="n">
        <x:f>F22-Inputs!$C$16/2</x:f>
        <x:v>2710.0951883624866</x:v>
      </x:c>
      <x:c r="S22" s="9" t="n">
        <x:f>F22+Inputs!$C$16/2</x:f>
        <x:v>2740.0951883624866</x:v>
      </x:c>
      <x:c r="T22" s="9" t="n">
        <x:f>F22-Inputs!$C$17/2</x:f>
        <x:v>2575.0951883624866</x:v>
      </x:c>
      <x:c r="U22" s="9" t="n">
        <x:f>F22+Inputs!$C$17/2</x:f>
        <x:v>2875.0951883624866</x:v>
      </x:c>
      <x:c r="V22" s="9">
        <x:f t="shared" si="5"/>
        <x:v>422.94855132149678</x:v>
      </x:c>
      <x:c r="W22" s="9">
        <x:f t="shared" si="6"/>
        <x:v>63.505788486711232</x:v>
      </x:c>
      <x:c r="X22" s="9"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x:f>
        <x:v>29.034419664389077</x:v>
      </x:c>
      <x:c r="Y22" s="9"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x:f>
        <x:v>273.71504099052385</x:v>
      </x:c>
      <x:c r="Z22" s="9">
        <x:f t="shared" si="7"/>
        <x:v>402.74874335811336</x:v>
      </x:c>
      <x:c r="AA22" s="9" t="n">
        <x:f>SQRT((Inputs!$C$52+B22)^2+(Inputs!$C$52+Y22/1000)^2-2*(Inputs!$C$52+B22)*(Inputs!$C$52+Y22/1000)*COS(SQRT(A22^2+Inputs!$C$6^2)/Inputs!$C$52))</x:f>
        <x:v>407.35883763687184</x:v>
      </x:c>
      <x:c r="AB22" s="9">
        <x:f t="shared" si="8"/>
        <x:v>4610.0942787584809</x:v>
      </x:c>
      <x:c r="AC22" s="9" t="n">
        <x:f>AB22/Inputs!$C$12</x:f>
        <x:v>2589.94060604409</x:v>
      </x:c>
      <x:c r="AD22" s="9" t="n">
        <x:f>2*AB22/Inputs!$C$21*1000000</x:f>
        <x:v>30.755238537445</x:v>
      </x:c>
      <x:c r="AE22" s="9">
        <x:f t="shared" si="9"/>
        <x:v>7.906933305257061</x:v>
      </x:c>
      <x:c r="AF22" s="9" t="n">
        <x:f>DEGREES((2*PI()/Inputs!$C$13)*Inputs!$C$15*SIN(RADIANS(AE22)))</x:f>
        <x:v>49.523186014169305</x:v>
      </x:c>
      <x:c r="AG22" s="9">
        <x:f t="shared" si="10"/>
        <x:v>0.95549452983244165</x:v>
      </x:c>
      <x:c r="AH22" s="9">
        <x:f t="shared" si="11"/>
        <x:v>-0.1977179492020428</x:v>
      </x:c>
      <x:c r="AI22" s="9">
        <x:f t="shared" si="12"/>
        <x:v>-135.15458231839648</x:v>
      </x:c>
      <x:c r="AJ22" s="9">
        <x:f t="shared" si="13"/>
        <x:v>-1.6049446882799536</x:v>
      </x:c>
      <x:c r="AK22" s="9">
        <x:f t="shared" si="14"/>
        <x:v>244.68062132613477</x:v>
      </x:c>
      <x:c r="AL22" s="9" t="n">
        <x:f>1000*(AA23-AA21)/(A23-A21)*Inputs!$C$11</x:f>
        <x:v>-1094.0516865593963</x:v>
      </x:c>
      <x:c r="AM22" s="9" t="n">
        <x:f>-2*AL22/Inputs!$C$13</x:f>
        <x:v>437.62067462375853</x:v>
      </x:c>
      <x:c r="AN22" s="9" t="n">
        <x:f>-2*AL22/Inputs!$C$14</x:f>
        <x:v>65.70881000356735</x:v>
      </x:c>
      <x:c r="AO22" s="9">
        <x:f t="shared" si="15"/>
        <x:v>437.62067462193954</x:v>
      </x:c>
      <x:c r="AP22" s="9">
        <x:f t="shared" si="16"/>
        <x:v>65.708810003294232</x:v>
      </x:c>
      <x:c r="AQ22" s="9" t="n">
        <x:f>IF(OR(Inputs!$C$27=TRUE,Inputs!$C$27="TRUE",Inputs!$C$27=1),Inputs!$C$46/Inputs!$C$12,0)</x:f>
        <x:v>42.13483146067416</x:v>
      </x:c>
      <x:c r="AR22" s="9">
        <x:f t="shared" si="17"/>
        <x:v>2547.8057745834158</x:v>
      </x:c>
      <x:c r="AS22" s="9">
        <x:f t="shared" si="18"/>
        <x:v>2632.0754375047645</x:v>
      </x:c>
    </x:row>
    <x:row r="23">
      <x:c r="A23" s="9" t="n">
        <x:f>Inputs!$C$7+21*(Inputs!$C$8-Inputs!$C$7)/240</x:f>
        <x:v>-49.5</x:v>
      </x:c>
      <x:c r="B23" s="9" t="n">
        <x:f>Inputs!$C$5+Inputs!$C$9*(A23/Inputs!$C$10)^2</x:f>
        <x:v>402.7225</x:v>
      </x:c>
      <x:c r="C23" s="9">
        <x:f t="shared" si="0"/>
        <x:v>402.72250000000003</x:v>
      </x:c>
      <x:c r="D23" s="9" t="n">
        <x:f>SQRT((Inputs!$C$52+B23)^2+Inputs!$C$52^2-2*(Inputs!$C$52+B23)*Inputs!$C$52*COS(SQRT(A23^2+Inputs!$C$6^2)/Inputs!$C$52))</x:f>
        <x:v>407.49692105674217</x:v>
      </x:c>
      <x:c r="E23" s="9">
        <x:f t="shared" si="1"/>
        <x:v>4774.4210567421414</x:v>
      </x:c>
      <x:c r="F23" s="9" t="n">
        <x:f>E23/Inputs!$C$12</x:f>
        <x:v>2682.2590206416526</x:v>
      </x:c>
      <x:c r="G23" s="9" t="n">
        <x:f>2*E23/Inputs!$C$21*1000000</x:f>
        <x:v>31.851508797743943</x:v>
      </x:c>
      <x:c r="H23" s="9" t="n">
        <x:f>SQRT(A23^2+Inputs!$C$6^2)</x:f>
        <x:v>55.45493666031907</x:v>
      </x:c>
      <x:c r="I23" s="9">
        <x:f t="shared" si="2"/>
        <x:v>7.8403294918744804</x:v>
      </x:c>
      <x:c r="J23" s="9" t="n">
        <x:f>DEGREES((2*PI()/Inputs!$C$13)*Inputs!$C$15*SIN(RADIANS(I23)))</x:f>
        <x:v>49.108647147475075</x:v>
      </x:c>
      <x:c r="K23" s="9">
        <x:f t="shared" si="3"/>
        <x:v>0.95395140094755182</x:v>
      </x:c>
      <x:c r="L23" s="9">
        <x:f t="shared" si="4"/>
        <x:v>-0.204737498639605</x:v>
      </x:c>
      <x:c r="M23" s="9" t="n">
        <x:f>2*(Inputs!$C$9/(Inputs!$C$10^2))*A23</x:f>
        <x:v>-0.11</x:v>
      </x:c>
      <x:c r="N23" s="9" t="n">
        <x:f>M23*Inputs!$C$11</x:f>
        <x:v>-0.44</x:v>
      </x:c>
      <x:c r="O23" s="9" t="n">
        <x:f>1000*(D24-D22)/(A24-A22)*Inputs!$C$11</x:f>
        <x:v>-1047.0435173044734</x:v>
      </x:c>
      <x:c r="P23" s="9" t="n">
        <x:f>-2*O23/Inputs!$C$13</x:f>
        <x:v>418.81740692178937</x:v>
      </x:c>
      <x:c r="Q23" s="9" t="n">
        <x:f>-2*O23/Inputs!$C$14</x:f>
        <x:v>62.88549653480322</x:v>
      </x:c>
      <x:c r="R23" s="9" t="n">
        <x:f>F23-Inputs!$C$16/2</x:f>
        <x:v>2667.2590206416526</x:v>
      </x:c>
      <x:c r="S23" s="9" t="n">
        <x:f>F23+Inputs!$C$16/2</x:f>
        <x:v>2697.2590206416526</x:v>
      </x:c>
      <x:c r="T23" s="9" t="n">
        <x:f>F23-Inputs!$C$17/2</x:f>
        <x:v>2532.2590206416526</x:v>
      </x:c>
      <x:c r="U23" s="9" t="n">
        <x:f>F23+Inputs!$C$17/2</x:f>
        <x:v>2832.2590206416526</x:v>
      </x:c>
      <x:c r="V23" s="9">
        <x:f t="shared" si="5"/>
        <x:v>418.81740692178937</x:v>
      </x:c>
      <x:c r="W23" s="9">
        <x:f t="shared" si="6"/>
        <x:v>62.885496534803217</x:v>
      </x:c>
      <x:c r="X23" s="9"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x:f>
        <x:v>51.90461728837901</x:v>
      </x:c>
      <x:c r="Y23" s="9"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x:f>
        <x:v>258.91748425644914</x:v>
      </x:c>
      <x:c r="Z23" s="9">
        <x:f t="shared" si="7"/>
        <x:v>402.67059538271167</x:v>
      </x:c>
      <x:c r="AA23" s="9" t="n">
        <x:f>SQRT((Inputs!$C$52+B23)^2+(Inputs!$C$52+Y23/1000)^2-2*(Inputs!$C$52+B23)*(Inputs!$C$52+Y23/1000)*COS(SQRT(A23^2+Inputs!$C$6^2)/Inputs!$C$52))</x:f>
        <x:v>407.24182695780695</x:v>
      </x:c>
      <x:c r="AB23" s="9">
        <x:f t="shared" si="8"/>
        <x:v>4571.2315750952821</x:v>
      </x:c>
      <x:c r="AC23" s="9" t="n">
        <x:f>AB23/Inputs!$C$12</x:f>
        <x:v>2568.107626458024</x:v>
      </x:c>
      <x:c r="AD23" s="9" t="n">
        <x:f>2*AB23/Inputs!$C$21*1000000</x:f>
        <x:v>30.495974485757625</x:v>
      </x:c>
      <x:c r="AE23" s="9">
        <x:f t="shared" si="9"/>
        <x:v>7.8453106329473909</x:v>
      </x:c>
      <x:c r="AF23" s="9" t="n">
        <x:f>DEGREES((2*PI()/Inputs!$C$13)*Inputs!$C$15*SIN(RADIANS(AE23)))</x:f>
        <x:v>49.13965182796075</x:v>
      </x:c>
      <x:c r="AG23" s="9">
        <x:f t="shared" si="10"/>
        <x:v>0.95585091227378949</x:v>
      </x:c>
      <x:c r="AH23" s="9">
        <x:f t="shared" si="11"/>
        <x:v>-0.19609841014742113</x:v>
      </x:c>
      <x:c r="AI23" s="9">
        <x:f t="shared" si="12"/>
        <x:v>-114.15139418362878</x:v>
      </x:c>
      <x:c r="AJ23" s="9">
        <x:f t="shared" si="13"/>
        <x:v>-1.3555343119863181</x:v>
      </x:c>
      <x:c r="AK23" s="9">
        <x:f t="shared" si="14"/>
        <x:v>207.01286696802103</x:v>
      </x:c>
      <x:c r="AL23" s="9" t="n">
        <x:f>1000*(AA24-AA22)/(A24-A22)*Inputs!$C$11</x:f>
        <x:v>-1028.1460184489788</x:v>
      </x:c>
      <x:c r="AM23" s="9" t="n">
        <x:f>-2*AL23/Inputs!$C$13</x:f>
        <x:v>411.2584073795915</x:v>
      </x:c>
      <x:c r="AN23" s="9" t="n">
        <x:f>-2*AL23/Inputs!$C$14</x:f>
        <x:v>61.75051161855729</x:v>
      </x:c>
      <x:c r="AO23" s="9">
        <x:f t="shared" si="15"/>
        <x:v>411.25840737959152</x:v>
      </x:c>
      <x:c r="AP23" s="9">
        <x:f t="shared" si="16"/>
        <x:v>61.75051161855729</x:v>
      </x:c>
      <x:c r="AQ23" s="9" t="n">
        <x:f>IF(OR(Inputs!$C$27=TRUE,Inputs!$C$27="TRUE",Inputs!$C$27=1),Inputs!$C$46/Inputs!$C$12,0)</x:f>
        <x:v>42.13483146067416</x:v>
      </x:c>
      <x:c r="AR23" s="9">
        <x:f t="shared" si="17"/>
        <x:v>2525.9727949973494</x:v>
      </x:c>
      <x:c r="AS23" s="9">
        <x:f t="shared" si="18"/>
        <x:v>2610.2424579186982</x:v>
      </x:c>
    </x:row>
    <x:row r="24">
      <x:c r="A24" s="9" t="n">
        <x:f>Inputs!$C$7+22*(Inputs!$C$8-Inputs!$C$7)/240</x:f>
        <x:v>-49</x:v>
      </x:c>
      <x:c r="B24" s="9" t="n">
        <x:f>Inputs!$C$5+Inputs!$C$9*(A24/Inputs!$C$10)^2</x:f>
        <x:v>402.66777777777776</x:v>
      </x:c>
      <x:c r="C24" s="9">
        <x:f t="shared" si="0"/>
        <x:v>402.66777777777776</x:v>
      </x:c>
      <x:c r="D24" s="9" t="n">
        <x:f>SQRT((Inputs!$C$52+B24)^2+Inputs!$C$52^2-2*(Inputs!$C$52+B24)*Inputs!$C$52*COS(SQRT(A24^2+Inputs!$C$6^2)/Inputs!$C$52))</x:f>
        <x:v>407.3666863337369</x:v>
      </x:c>
      <x:c r="E24" s="9">
        <x:f t="shared" si="1"/>
        <x:v>4698.9085559591222</x:v>
      </x:c>
      <x:c r="F24" s="9" t="n">
        <x:f>E24/Inputs!$C$12</x:f>
        <x:v>2639.8362673927654</x:v>
      </x:c>
      <x:c r="G24" s="9" t="n">
        <x:f>2*E24/Inputs!$C$21*1000000</x:f>
        <x:v>31.347743617747195</x:v>
      </x:c>
      <x:c r="H24" s="9" t="n">
        <x:f>SQRT(A24^2+Inputs!$C$6^2)</x:f>
        <x:v>55.00909015790027</x:v>
      </x:c>
      <x:c r="I24" s="9">
        <x:f t="shared" si="2"/>
        <x:v>7.7791135702335419</x:v>
      </x:c>
      <x:c r="J24" s="9" t="n">
        <x:f>DEGREES((2*PI()/Inputs!$C$13)*Inputs!$C$15*SIN(RADIANS(I24)))</x:f>
        <x:v>48.727583715832836</x:v>
      </x:c>
      <x:c r="K24" s="9">
        <x:f t="shared" si="3"/>
        <x:v>0.95465284335677503</x:v>
      </x:c>
      <x:c r="L24" s="9">
        <x:f t="shared" si="4"/>
        <x:v>-0.20154529593626289</x:v>
      </x:c>
      <x:c r="M24" s="9" t="n">
        <x:f>2*(Inputs!$C$9/(Inputs!$C$10^2))*A24</x:f>
        <x:v>-0.10888888888888888</x:v>
      </x:c>
      <x:c r="N24" s="9" t="n">
        <x:f>M24*Inputs!$C$11</x:f>
        <x:v>-0.43555555555555553</x:v>
      </x:c>
      <x:c r="O24" s="9" t="n">
        <x:f>1000*(D25-D23)/(A25-A23)*Inputs!$C$11</x:f>
        <x:v>-1036.7084757508565</x:v>
      </x:c>
      <x:c r="P24" s="9" t="n">
        <x:f>-2*O24/Inputs!$C$13</x:f>
        <x:v>414.6833903003426</x:v>
      </x:c>
      <x:c r="Q24" s="9" t="n">
        <x:f>-2*O24/Inputs!$C$14</x:f>
        <x:v>62.26477331836976</x:v>
      </x:c>
      <x:c r="R24" s="9" t="n">
        <x:f>F24-Inputs!$C$16/2</x:f>
        <x:v>2624.8362673927654</x:v>
      </x:c>
      <x:c r="S24" s="9" t="n">
        <x:f>F24+Inputs!$C$16/2</x:f>
        <x:v>2654.8362673927654</x:v>
      </x:c>
      <x:c r="T24" s="9" t="n">
        <x:f>F24-Inputs!$C$17/2</x:f>
        <x:v>2489.8362673927654</x:v>
      </x:c>
      <x:c r="U24" s="9" t="n">
        <x:f>F24+Inputs!$C$17/2</x:f>
        <x:v>2789.8362673927654</x:v>
      </x:c>
      <x:c r="V24" s="9">
        <x:f t="shared" si="5"/>
        <x:v>414.68339030034258</x:v>
      </x:c>
      <x:c r="W24" s="9">
        <x:f t="shared" si="6"/>
        <x:v>62.264773318369762</x:v>
      </x:c>
      <x:c r="X24" s="9"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x:f>
        <x:v>39.64300304421553</x:v>
      </x:c>
      <x:c r="Y24" s="9"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x:f>
        <x:v>268.7927966209557</x:v>
      </x:c>
      <x:c r="Z24" s="9">
        <x:f t="shared" si="7"/>
        <x:v>402.62813477473355</x:v>
      </x:c>
      <x:c r="AA24" s="9" t="n">
        <x:f>SQRT((Inputs!$C$52+B24)^2+(Inputs!$C$52+Y24/1000)^2-2*(Inputs!$C$52+B24)*(Inputs!$C$52+Y24/1000)*COS(SQRT(A24^2+Inputs!$C$6^2)/Inputs!$C$52))</x:f>
        <x:v>407.1018011322596</x:v>
      </x:c>
      <x:c r="AB24" s="9">
        <x:f t="shared" si="8"/>
        <x:v>4473.6663575260427</x:v>
      </x:c>
      <x:c r="AC24" s="9" t="n">
        <x:f>AB24/Inputs!$C$12</x:f>
        <x:v>2513.295706475305</x:v>
      </x:c>
      <x:c r="AD24" s="9" t="n">
        <x:f>2*AB24/Inputs!$C$21*1000000</x:f>
        <x:v>29.84508941533174</x:v>
      </x:c>
      <x:c r="AE24" s="9">
        <x:f t="shared" si="9"/>
        <x:v>7.7842461443904618</x:v>
      </x:c>
      <x:c r="AF24" s="9" t="n">
        <x:f>DEGREES((2*PI()/Inputs!$C$13)*Inputs!$C$15*SIN(RADIANS(AE24)))</x:f>
        <x:v>48.759535656047184</x:v>
      </x:c>
      <x:c r="AG24" s="9">
        <x:f t="shared" si="10"/>
        <x:v>0.95676302082042641</x:v>
      </x:c>
      <x:c r="AH24" s="9">
        <x:f t="shared" si="11"/>
        <x:v>-0.19195618644114643</x:v>
      </x:c>
      <x:c r="AI24" s="9">
        <x:f t="shared" si="12"/>
        <x:v>-126.54056091746043</x:v>
      </x:c>
      <x:c r="AJ24" s="9">
        <x:f t="shared" si="13"/>
        <x:v>-1.5026542024154566</x:v>
      </x:c>
      <x:c r="AK24" s="9">
        <x:f t="shared" si="14"/>
        <x:v>229.14979357671101</x:v>
      </x:c>
      <x:c r="AL24" s="9" t="n">
        <x:f>1000*(AA25-AA23)/(A25-A23)*Inputs!$C$11</x:f>
        <x:v>-1063.0657247854742</x:v>
      </x:c>
      <x:c r="AM24" s="9" t="n">
        <x:f>-2*AL24/Inputs!$C$13</x:f>
        <x:v>425.2262899141897</x:v>
      </x:c>
      <x:c r="AN24" s="9" t="n">
        <x:f>-2*AL24/Inputs!$C$14</x:f>
        <x:v>63.847791278406866</x:v>
      </x:c>
      <x:c r="AO24" s="9">
        <x:f t="shared" si="15"/>
        <x:v>425.2262899123707</x:v>
      </x:c>
      <x:c r="AP24" s="9">
        <x:f t="shared" si="16"/>
        <x:v>63.847791278133748</x:v>
      </x:c>
      <x:c r="AQ24" s="9" t="n">
        <x:f>IF(OR(Inputs!$C$27=TRUE,Inputs!$C$27="TRUE",Inputs!$C$27=1),Inputs!$C$46/Inputs!$C$12,0)</x:f>
        <x:v>42.13483146067416</x:v>
      </x:c>
      <x:c r="AR24" s="9">
        <x:f t="shared" si="17"/>
        <x:v>2471.1608750146306</x:v>
      </x:c>
      <x:c r="AS24" s="9">
        <x:f t="shared" si="18"/>
        <x:v>2555.4305379359794</x:v>
      </x:c>
    </x:row>
    <x:row r="25">
      <x:c r="A25" s="9" t="n">
        <x:f>Inputs!$C$7+23*(Inputs!$C$8-Inputs!$C$7)/240</x:f>
        <x:v>-48.5</x:v>
      </x:c>
      <x:c r="B25" s="9" t="n">
        <x:f>Inputs!$C$5+Inputs!$C$9*(A25/Inputs!$C$10)^2</x:f>
        <x:v>402.6136111111111</x:v>
      </x:c>
      <x:c r="C25" s="9">
        <x:f t="shared" si="0"/>
        <x:v>402.61361111111108</x:v>
      </x:c>
      <x:c r="D25" s="9" t="n">
        <x:f>SQRT((Inputs!$C$52+B25)^2+Inputs!$C$52^2-2*(Inputs!$C$52+B25)*Inputs!$C$52*COS(SQRT(A25^2+Inputs!$C$6^2)/Inputs!$C$52))</x:f>
        <x:v>407.23774393780445</x:v>
      </x:c>
      <x:c r="E25" s="9">
        <x:f t="shared" si="1"/>
        <x:v>4624.1328266933688</x:v>
      </x:c>
      <x:c r="F25" s="9" t="n">
        <x:f>E25/Inputs!$C$12</x:f>
        <x:v>2597.8274307266115</x:v>
      </x:c>
      <x:c r="G25" s="9" t="n">
        <x:f>2*E25/Inputs!$C$21*1000000</x:f>
        <x:v>30.84889364824094</x:v>
      </x:c>
      <x:c r="H25" s="9" t="n">
        <x:f>SQRT(A25^2+Inputs!$C$6^2)</x:f>
        <x:v>54.56418239101544</x:v>
      </x:c>
      <x:c r="I25" s="9">
        <x:f t="shared" si="2"/>
        <x:v>7.7179837858747007</x:v>
      </x:c>
      <x:c r="J25" s="9" t="n">
        <x:f>DEGREES((2*PI()/Inputs!$C$13)*Inputs!$C$15*SIN(RADIANS(I25)))</x:f>
        <x:v>48.347000974416595</x:v>
      </x:c>
      <x:c r="K25" s="9">
        <x:f t="shared" si="3"/>
        <x:v>0.95534826773776638</x:v>
      </x:c>
      <x:c r="L25" s="9">
        <x:f t="shared" si="4"/>
        <x:v>-0.19838279531951419</x:v>
      </x:c>
      <x:c r="M25" s="9" t="n">
        <x:f>2*(Inputs!$C$9/(Inputs!$C$10^2))*A25</x:f>
        <x:v>-0.10777777777777778</x:v>
      </x:c>
      <x:c r="N25" s="9" t="n">
        <x:f>M25*Inputs!$C$11</x:f>
        <x:v>-0.4311111111111111</x:v>
      </x:c>
      <x:c r="O25" s="9" t="n">
        <x:f>1000*(D26-D24)/(A26-A24)*Inputs!$C$11</x:f>
        <x:v>-1026.3663147777606</x:v>
      </x:c>
      <x:c r="P25" s="9" t="n">
        <x:f>-2*O25/Inputs!$C$13</x:f>
        <x:v>410.54652591110425</x:v>
      </x:c>
      <x:c r="Q25" s="9" t="n">
        <x:f>-2*O25/Inputs!$C$14</x:f>
        <x:v>61.64362250917482</x:v>
      </x:c>
      <x:c r="R25" s="9" t="n">
        <x:f>F25-Inputs!$C$16/2</x:f>
        <x:v>2582.8274307266115</x:v>
      </x:c>
      <x:c r="S25" s="9" t="n">
        <x:f>F25+Inputs!$C$16/2</x:f>
        <x:v>2612.8274307266115</x:v>
      </x:c>
      <x:c r="T25" s="9" t="n">
        <x:f>F25-Inputs!$C$17/2</x:f>
        <x:v>2447.8274307266115</x:v>
      </x:c>
      <x:c r="U25" s="9" t="n">
        <x:f>F25+Inputs!$C$17/2</x:f>
        <x:v>2747.8274307266115</x:v>
      </x:c>
      <x:c r="V25" s="9">
        <x:f t="shared" si="5"/>
        <x:v>410.54652591110425</x:v>
      </x:c>
      <x:c r="W25" s="9">
        <x:f t="shared" si="6"/>
        <x:v>61.643622509174818</x:v>
      </x:c>
      <x:c r="X25" s="9"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x:f>
        <x:v>40.329360187280464</x:v>
      </x:c>
      <x:c r="Y25" s="9"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x:f>
        <x:v>265.4824606971943</x:v>
      </x:c>
      <x:c r="Z25" s="9">
        <x:f t="shared" si="7"/>
        <x:v>402.5732817509238</x:v>
      </x:c>
      <x:c r="AA25" s="9" t="n">
        <x:f>SQRT((Inputs!$C$52+B25)^2+(Inputs!$C$52+Y25/1000)^2-2*(Inputs!$C$52+B25)*(Inputs!$C$52+Y25/1000)*COS(SQRT(A25^2+Inputs!$C$6^2)/Inputs!$C$52))</x:f>
        <x:v>406.9760605266106</x:v>
      </x:c>
      <x:c r="AB25" s="9">
        <x:f t="shared" si="8"/>
        <x:v>4402.7787756879206</x:v>
      </x:c>
      <x:c r="AC25" s="9" t="n">
        <x:f>AB25/Inputs!$C$12</x:f>
        <x:v>2473.4712222965845</x:v>
      </x:c>
      <x:c r="AD25" s="9" t="n">
        <x:f>2*AB25/Inputs!$C$21*1000000</x:f>
        <x:v>29.372178373399375</x:v>
      </x:c>
      <x:c r="AE25" s="9">
        <x:f t="shared" si="9"/>
        <x:v>7.7230149234119212</x:v>
      </x:c>
      <x:c r="AF25" s="9" t="n">
        <x:f>DEGREES((2*PI()/Inputs!$C$13)*Inputs!$C$15*SIN(RADIANS(AE25)))</x:f>
        <x:v>48.37832599125807</x:v>
      </x:c>
      <x:c r="AG25" s="9">
        <x:f t="shared" si="10"/>
        <x:v>0.9574240612450643</x:v>
      </x:c>
      <x:c r="AH25" s="9">
        <x:f t="shared" si="11"/>
        <x:v>-0.18895662362059001</x:v>
      </x:c>
      <x:c r="AI25" s="9">
        <x:f t="shared" si="12"/>
        <x:v>-124.35620843002698</x:v>
      </x:c>
      <x:c r="AJ25" s="9">
        <x:f t="shared" si="13"/>
        <x:v>-1.4767152748415633</x:v>
      </x:c>
      <x:c r="AK25" s="9">
        <x:f t="shared" si="14"/>
        <x:v>225.15310050986474</x:v>
      </x:c>
      <x:c r="AL25" s="9" t="n">
        <x:f>1000*(AA26-AA24)/(A26-A24)*Inputs!$C$11</x:f>
        <x:v>-967.0844764020785</x:v>
      </x:c>
      <x:c r="AM25" s="9" t="n">
        <x:f>-2*AL25/Inputs!$C$13</x:f>
        <x:v>386.8337905608314</x:v>
      </x:c>
      <x:c r="AN25" s="9" t="n">
        <x:f>-2*AL25/Inputs!$C$14</x:f>
        <x:v>58.083151735860575</x:v>
      </x:c>
      <x:c r="AO25" s="9">
        <x:f t="shared" si="15"/>
        <x:v>386.8337905608314</x:v>
      </x:c>
      <x:c r="AP25" s="9">
        <x:f t="shared" si="16"/>
        <x:v>58.083151735860575</x:v>
      </x:c>
      <x:c r="AQ25" s="9" t="n">
        <x:f>IF(OR(Inputs!$C$27=TRUE,Inputs!$C$27="TRUE",Inputs!$C$27=1),Inputs!$C$46/Inputs!$C$12,0)</x:f>
        <x:v>42.13483146067416</x:v>
      </x:c>
      <x:c r="AR25" s="9">
        <x:f t="shared" si="17"/>
        <x:v>2431.3363908359102</x:v>
      </x:c>
      <x:c r="AS25" s="9">
        <x:f t="shared" si="18"/>
        <x:v>2515.6060537572589</x:v>
      </x:c>
    </x:row>
    <x:row r="26">
      <x:c r="A26" s="9" t="n">
        <x:f>Inputs!$C$7+24*(Inputs!$C$8-Inputs!$C$7)/240</x:f>
        <x:v>-48</x:v>
      </x:c>
      <x:c r="B26" s="9" t="n">
        <x:f>Inputs!$C$5+Inputs!$C$9*(A26/Inputs!$C$10)^2</x:f>
        <x:v>402.56</x:v>
      </x:c>
      <x:c r="C26" s="9">
        <x:f t="shared" si="0"/>
        <x:v>402.56</x:v>
      </x:c>
      <x:c r="D26" s="9" t="n">
        <x:f>SQRT((Inputs!$C$52+B26)^2+Inputs!$C$52^2-2*(Inputs!$C$52+B26)*Inputs!$C$52*COS(SQRT(A26^2+Inputs!$C$6^2)/Inputs!$C$52))</x:f>
        <x:v>407.11009475504244</x:v>
      </x:c>
      <x:c r="E26" s="9">
        <x:f t="shared" si="1"/>
        <x:v>4550.0947550424371</x:v>
      </x:c>
      <x:c r="F26" s="9" t="n">
        <x:f>E26/Inputs!$C$12</x:f>
        <x:v>2556.233008450807</x:v>
      </x:c>
      <x:c r="G26" s="9" t="n">
        <x:f>2*E26/Inputs!$C$21*1000000</x:f>
        <x:v>30.354964800631755</x:v>
      </x:c>
      <x:c r="H26" s="9" t="n">
        <x:f>SQRT(A26^2+Inputs!$C$6^2)</x:f>
        <x:v>54.120236510939236</x:v>
      </x:c>
      <x:c r="I26" s="9">
        <x:f t="shared" si="2"/>
        <x:v>7.6569438926073863</x:v>
      </x:c>
      <x:c r="J26" s="9" t="n">
        <x:f>DEGREES((2*PI()/Inputs!$C$13)*Inputs!$C$15*SIN(RADIANS(I26)))</x:f>
        <x:v>47.96692296558639</x:v>
      </x:c>
      <x:c r="K26" s="9">
        <x:f t="shared" si="3"/>
        <x:v>0.9560376426974182</x:v>
      </x:c>
      <x:c r="L26" s="9">
        <x:f t="shared" si="4"/>
        <x:v>-0.19525007625649005</x:v>
      </x:c>
      <x:c r="M26" s="9" t="n">
        <x:f>2*(Inputs!$C$9/(Inputs!$C$10^2))*A26</x:f>
        <x:v>-0.10666666666666666</x:v>
      </x:c>
      <x:c r="N26" s="9" t="n">
        <x:f>M26*Inputs!$C$11</x:f>
        <x:v>-0.42666666666666664</x:v>
      </x:c>
      <x:c r="O26" s="9" t="n">
        <x:f>1000*(D27-D25)/(A27-A25)*Inputs!$C$11</x:f>
        <x:v>-1016.0170958615709</x:v>
      </x:c>
      <x:c r="P26" s="9" t="n">
        <x:f>-2*O26/Inputs!$C$13</x:f>
        <x:v>406.40683834462834</x:v>
      </x:c>
      <x:c r="Q26" s="9" t="n">
        <x:f>-2*O26/Inputs!$C$14</x:f>
        <x:v>61.02204779949375</x:v>
      </x:c>
      <x:c r="R26" s="9" t="n">
        <x:f>F26-Inputs!$C$16/2</x:f>
        <x:v>2541.233008450807</x:v>
      </x:c>
      <x:c r="S26" s="9" t="n">
        <x:f>F26+Inputs!$C$16/2</x:f>
        <x:v>2571.233008450807</x:v>
      </x:c>
      <x:c r="T26" s="9" t="n">
        <x:f>F26-Inputs!$C$17/2</x:f>
        <x:v>2406.233008450807</x:v>
      </x:c>
      <x:c r="U26" s="9" t="n">
        <x:f>F26+Inputs!$C$17/2</x:f>
        <x:v>2706.233008450807</x:v>
      </x:c>
      <x:c r="V26" s="9">
        <x:f t="shared" si="5"/>
        <x:v>406.40683834462834</x:v>
      </x:c>
      <x:c r="W26" s="9">
        <x:f t="shared" si="6"/>
        <x:v>61.022047799493748</x:v>
      </x:c>
      <x:c r="X26" s="9"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x:f>
        <x:v>55.67705400563339</x:v>
      </x:c>
      <x:c r="Y26" s="9"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x:f>
        <x:v>253.6370227527636</x:v>
      </x:c>
      <x:c r="Z26" s="9">
        <x:f t="shared" si="7"/>
        <x:v>402.50432294599437</x:v>
      </x:c>
      <x:c r="AA26" s="9" t="n">
        <x:f>SQRT((Inputs!$C$52+B26)^2+(Inputs!$C$52+Y26/1000)^2-2*(Inputs!$C$52+B26)*(Inputs!$C$52+Y26/1000)*COS(SQRT(A26^2+Inputs!$C$6^2)/Inputs!$C$52))</x:f>
        <x:v>406.8600300131591</x:v>
      </x:c>
      <x:c r="AB26" s="9">
        <x:f t="shared" si="8"/>
        <x:v>4355.7070671647016</x:v>
      </x:c>
      <x:c r="AC26" s="9" t="n">
        <x:f>AB26/Inputs!$C$12</x:f>
        <x:v>2447.0264422273603</x:v>
      </x:c>
      <x:c r="AD26" s="9" t="n">
        <x:f>2*AB26/Inputs!$C$21*1000000</x:f>
        <x:v>29.058149736139804</x:v>
      </x:c>
      <x:c r="AE26" s="9">
        <x:f t="shared" si="9"/>
        <x:v>7.661713945198251</x:v>
      </x:c>
      <x:c r="AF26" s="9" t="n">
        <x:f>DEGREES((2*PI()/Inputs!$C$13)*Inputs!$C$15*SIN(RADIANS(AE26)))</x:f>
        <x:v>47.996626689338996</x:v>
      </x:c>
      <x:c r="AG26" s="9">
        <x:f t="shared" si="10"/>
        <x:v>0.95786011385978698</x:v>
      </x:c>
      <x:c r="AH26" s="9">
        <x:f t="shared" si="11"/>
        <x:v>-0.18697910769760506</x:v>
      </x:c>
      <x:c r="AI26" s="9">
        <x:f t="shared" si="12"/>
        <x:v>-109.20656622344677</x:v>
      </x:c>
      <x:c r="AJ26" s="9">
        <x:f t="shared" si="13"/>
        <x:v>-1.2968150644919518</x:v>
      </x:c>
      <x:c r="AK26" s="9">
        <x:f t="shared" si="14"/>
        <x:v>197.95996874713023</x:v>
      </x:c>
      <x:c r="AL26" s="9" t="n">
        <x:f>1000*(AA27-AA25)/(A27-A25)*Inputs!$C$11</x:f>
        <x:v>-1005.7343116893662</x:v>
      </x:c>
      <x:c r="AM26" s="9" t="n">
        <x:f>-2*AL26/Inputs!$C$13</x:f>
        <x:v>402.2937246757465</x:v>
      </x:c>
      <x:c r="AN26" s="9" t="n">
        <x:f>-2*AL26/Inputs!$C$14</x:f>
        <x:v>60.404463164526504</x:v>
      </x:c>
      <x:c r="AO26" s="9">
        <x:f t="shared" si="15"/>
        <x:v>402.29372467574649</x:v>
      </x:c>
      <x:c r="AP26" s="9">
        <x:f t="shared" si="16"/>
        <x:v>60.404463164526504</x:v>
      </x:c>
      <x:c r="AQ26" s="9" t="n">
        <x:f>IF(OR(Inputs!$C$27=TRUE,Inputs!$C$27="TRUE",Inputs!$C$27=1),Inputs!$C$46/Inputs!$C$12,0)</x:f>
        <x:v>42.13483146067416</x:v>
      </x:c>
      <x:c r="AR26" s="9">
        <x:f t="shared" si="17"/>
        <x:v>2404.891610766686</x:v>
      </x:c>
      <x:c r="AS26" s="9">
        <x:f t="shared" si="18"/>
        <x:v>2489.1612736880347</x:v>
      </x:c>
    </x:row>
    <x:row r="27">
      <x:c r="A27" s="9" t="n">
        <x:f>Inputs!$C$7+25*(Inputs!$C$8-Inputs!$C$7)/240</x:f>
        <x:v>-47.5</x:v>
      </x:c>
      <x:c r="B27" s="9" t="n">
        <x:f>Inputs!$C$5+Inputs!$C$9*(A27/Inputs!$C$10)^2</x:f>
        <x:v>402.50694444444446</x:v>
      </x:c>
      <x:c r="C27" s="9">
        <x:f t="shared" si="0"/>
        <x:v>402.50694444444446</x:v>
      </x:c>
      <x:c r="D27" s="9" t="n">
        <x:f>SQRT((Inputs!$C$52+B27)^2+Inputs!$C$52^2-2*(Inputs!$C$52+B27)*Inputs!$C$52*COS(SQRT(A27^2+Inputs!$C$6^2)/Inputs!$C$52))</x:f>
        <x:v>406.98373966383906</x:v>
      </x:c>
      <x:c r="E27" s="9">
        <x:f t="shared" si="1"/>
        <x:v>4476.795219394603</x:v>
      </x:c>
      <x:c r="F27" s="9" t="n">
        <x:f>E27/Inputs!$C$12</x:f>
        <x:v>2515.0534940419116</x:v>
      </x:c>
      <x:c r="G27" s="9" t="n">
        <x:f>2*E27/Inputs!$C$21*1000000</x:f>
        <x:v>29.865962934895467</x:v>
      </x:c>
      <x:c r="H27" s="9" t="n">
        <x:f>SQRT(A27^2+Inputs!$C$6^2)</x:f>
        <x:v>53.67727638395972</x:v>
      </x:c>
      <x:c r="I27" s="9">
        <x:f t="shared" si="2"/>
        <x:v>7.595997748011027</x:v>
      </x:c>
      <x:c r="J27" s="9" t="n">
        <x:f>DEGREES((2*PI()/Inputs!$C$13)*Inputs!$C$15*SIN(RADIANS(I27)))</x:f>
        <x:v>47.58737438738348</x:v>
      </x:c>
      <x:c r="K27" s="9">
        <x:f t="shared" si="3"/>
        <x:v>0.95672093704912897</x:v>
      </x:c>
      <x:c r="L27" s="9">
        <x:f t="shared" si="4"/>
        <x:v>-0.19214721756612593</x:v>
      </x:c>
      <x:c r="M27" s="9" t="n">
        <x:f>2*(Inputs!$C$9/(Inputs!$C$10^2))*A27</x:f>
        <x:v>-0.10555555555555556</x:v>
      </x:c>
      <x:c r="N27" s="9" t="n">
        <x:f>M27*Inputs!$C$11</x:f>
        <x:v>-0.4222222222222222</x:v>
      </x:c>
      <x:c r="O27" s="9" t="n">
        <x:f>1000*(D28-D26)/(A28-A26)*Inputs!$C$11</x:f>
        <x:v>-1005.6608808090459</x:v>
      </x:c>
      <x:c r="P27" s="9" t="n">
        <x:f>-2*O27/Inputs!$C$13</x:f>
        <x:v>402.26435232361837</x:v>
      </x:c>
      <x:c r="Q27" s="9" t="n">
        <x:f>-2*O27/Inputs!$C$14</x:f>
        <x:v>60.400052901444205</x:v>
      </x:c>
      <x:c r="R27" s="9" t="n">
        <x:f>F27-Inputs!$C$16/2</x:f>
        <x:v>2500.0534940419116</x:v>
      </x:c>
      <x:c r="S27" s="9" t="n">
        <x:f>F27+Inputs!$C$16/2</x:f>
        <x:v>2530.0534940419116</x:v>
      </x:c>
      <x:c r="T27" s="9" t="n">
        <x:f>F27-Inputs!$C$17/2</x:f>
        <x:v>2365.0534940419116</x:v>
      </x:c>
      <x:c r="U27" s="9" t="n">
        <x:f>F27+Inputs!$C$17/2</x:f>
        <x:v>2665.0534940419116</x:v>
      </x:c>
      <x:c r="V27" s="9">
        <x:f t="shared" si="5"/>
        <x:v>402.26435232361837</x:v>
      </x:c>
      <x:c r="W27" s="9">
        <x:f t="shared" si="6"/>
        <x:v>60.400052901444205</x:v>
      </x:c>
      <x:c r="X27" s="9"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x:f>
        <x:v>53.974959185609514</x:v>
      </x:c>
      <x:c r="Y27" s="9"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x:f>
        <x:v>262.7548434853875</x:v>
      </x:c>
      <x:c r="Z27" s="9">
        <x:f t="shared" si="7"/>
        <x:v>402.45296948525885</x:v>
      </x:c>
      <x:c r="AA27" s="9" t="n">
        <x:f>SQRT((Inputs!$C$52+B27)^2+(Inputs!$C$52+Y27/1000)^2-2*(Inputs!$C$52+B27)*(Inputs!$C$52+Y27/1000)*COS(SQRT(A27^2+Inputs!$C$6^2)/Inputs!$C$52))</x:f>
        <x:v>406.72462694868824</x:v>
      </x:c>
      <x:c r="AB27" s="9">
        <x:f t="shared" si="8"/>
        <x:v>4271.6574634305289</x:v>
      </x:c>
      <x:c r="AC27" s="9" t="n">
        <x:f>AB27/Inputs!$C$12</x:f>
        <x:v>2399.8075637250163</x:v>
      </x:c>
      <x:c r="AD27" s="9" t="n">
        <x:f>2*AB27/Inputs!$C$21*1000000</x:f>
        <x:v>28.497431135712752</x:v>
      </x:c>
      <x:c r="AE27" s="9">
        <x:f t="shared" si="9"/>
        <x:v>7.6009016300725607</x:v>
      </x:c>
      <x:c r="AF27" s="9" t="n">
        <x:f>DEGREES((2*PI()/Inputs!$C$13)*Inputs!$C$15*SIN(RADIANS(AE27)))</x:f>
        <x:v>47.617915830572606</x:v>
      </x:c>
      <x:c r="AG27" s="9">
        <x:f t="shared" si="10"/>
        <x:v>0.95864688784207353</x:v>
      </x:c>
      <x:c r="AH27" s="9">
        <x:f t="shared" si="11"/>
        <x:v>-0.18341333290102094</x:v>
      </x:c>
      <x:c r="AI27" s="9">
        <x:f t="shared" si="12"/>
        <x:v>-115.24593031689528</x:v>
      </x:c>
      <x:c r="AJ27" s="9">
        <x:f t="shared" si="13"/>
        <x:v>-1.3685317991827155</x:v>
      </x:c>
      <x:c r="AK27" s="9">
        <x:f t="shared" si="14"/>
        <x:v>208.77988429967974</x:v>
      </x:c>
      <x:c r="AL27" s="9" t="n">
        <x:f>1000*(AA28-AA26)/(A28-A26)*Inputs!$C$11</x:f>
        <x:v>-1007.2076257256413</x:v>
      </x:c>
      <x:c r="AM27" s="9" t="n">
        <x:f>-2*AL27/Inputs!$C$13</x:f>
        <x:v>402.8830502902565</x:v>
      </x:c>
      <x:c r="AN27" s="9" t="n">
        <x:f>-2*AL27/Inputs!$C$14</x:f>
        <x:v>60.49295049403251</x:v>
      </x:c>
      <x:c r="AO27" s="9">
        <x:f t="shared" si="15"/>
        <x:v>402.88305029025651</x:v>
      </x:c>
      <x:c r="AP27" s="9">
        <x:f t="shared" si="16"/>
        <x:v>60.492950494032513</x:v>
      </x:c>
      <x:c r="AQ27" s="9" t="n">
        <x:f>IF(OR(Inputs!$C$27=TRUE,Inputs!$C$27="TRUE",Inputs!$C$27=1),Inputs!$C$46/Inputs!$C$12,0)</x:f>
        <x:v>42.13483146067416</x:v>
      </x:c>
      <x:c r="AR27" s="9">
        <x:f t="shared" si="17"/>
        <x:v>2357.6727322643419</x:v>
      </x:c>
      <x:c r="AS27" s="9">
        <x:f t="shared" si="18"/>
        <x:v>2441.9423951856907</x:v>
      </x:c>
    </x:row>
    <x:row r="28">
      <x:c r="A28" s="9" t="n">
        <x:f>Inputs!$C$7+26*(Inputs!$C$8-Inputs!$C$7)/240</x:f>
        <x:v>-47</x:v>
      </x:c>
      <x:c r="B28" s="9" t="n">
        <x:f>Inputs!$C$5+Inputs!$C$9*(A28/Inputs!$C$10)^2</x:f>
        <x:v>402.45444444444445</x:v>
      </x:c>
      <x:c r="C28" s="9">
        <x:f t="shared" si="0"/>
        <x:v>402.45444444444445</x:v>
      </x:c>
      <x:c r="D28" s="9" t="n">
        <x:f>SQRT((Inputs!$C$52+B28)^2+Inputs!$C$52^2-2*(Inputs!$C$52+B28)*Inputs!$C$52*COS(SQRT(A28^2+Inputs!$C$6^2)/Inputs!$C$52))</x:f>
        <x:v>406.8586795348402</x:v>
      </x:c>
      <x:c r="E28" s="9">
        <x:f t="shared" si="1"/>
        <x:v>4404.2350903957304</x:v>
      </x:c>
      <x:c r="F28" s="9" t="n">
        <x:f>E28/Inputs!$C$12</x:f>
        <x:v>2474.289376626815</x:v>
      </x:c>
      <x:c r="G28" s="9" t="n">
        <x:f>2*E28/Inputs!$C$21*1000000</x:f>
        <x:v>29.381893859356065</x:v>
      </x:c>
      <x:c r="H28" s="9" t="n">
        <x:f>SQRT(A28^2+Inputs!$C$6^2)</x:f>
        <x:v>53.23532661682466</x:v>
      </x:c>
      <x:c r="I28" s="9">
        <x:f t="shared" si="2"/>
        <x:v>7.5351493170616237</x:v>
      </x:c>
      <x:c r="J28" s="9" t="n">
        <x:f>DEGREES((2*PI()/Inputs!$C$13)*Inputs!$C$15*SIN(RADIANS(I28)))</x:f>
        <x:v>47.20838061627316</x:v>
      </x:c>
      <x:c r="K28" s="9">
        <x:f t="shared" si="3"/>
        <x:v>0.95739811981586398</x:v>
      </x:c>
      <x:c r="L28" s="9">
        <x:f t="shared" si="4"/>
        <x:v>-0.18907429741470522</x:v>
      </x:c>
      <x:c r="M28" s="9" t="n">
        <x:f>2*(Inputs!$C$9/(Inputs!$C$10^2))*A28</x:f>
        <x:v>-0.10444444444444445</x:v>
      </x:c>
      <x:c r="N28" s="9" t="n">
        <x:f>M28*Inputs!$C$11</x:f>
        <x:v>-0.4177777777777778</x:v>
      </x:c>
      <x:c r="O28" s="9" t="n">
        <x:f>1000*(D29-D27)/(A29-A27)*Inputs!$C$11</x:f>
        <x:v>-995.2977317227578</x:v>
      </x:c>
      <x:c r="P28" s="9" t="n">
        <x:f>-2*O28/Inputs!$C$13</x:f>
        <x:v>398.1190926891031</x:v>
      </x:c>
      <x:c r="Q28" s="9" t="n">
        <x:f>-2*O28/Inputs!$C$14</x:f>
        <x:v>59.77764154491039</x:v>
      </x:c>
      <x:c r="R28" s="9" t="n">
        <x:f>F28-Inputs!$C$16/2</x:f>
        <x:v>2459.289376626815</x:v>
      </x:c>
      <x:c r="S28" s="9" t="n">
        <x:f>F28+Inputs!$C$16/2</x:f>
        <x:v>2489.289376626815</x:v>
      </x:c>
      <x:c r="T28" s="9" t="n">
        <x:f>F28-Inputs!$C$17/2</x:f>
        <x:v>2324.289376626815</x:v>
      </x:c>
      <x:c r="U28" s="9" t="n">
        <x:f>F28+Inputs!$C$17/2</x:f>
        <x:v>2624.289376626815</x:v>
      </x:c>
      <x:c r="V28" s="9">
        <x:f t="shared" si="5"/>
        <x:v>398.11909268910313</x:v>
      </x:c>
      <x:c r="W28" s="9">
        <x:f t="shared" si="6"/>
        <x:v>59.777641544910388</x:v>
      </x:c>
      <x:c r="X28" s="9"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x:f>
        <x:v>61.213442747759345</x:v>
      </x:c>
      <x:c r="Y28" s="9"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x:f>
        <x:v>253.91481019774176</x:v>
      </x:c>
      <x:c r="Z28" s="9">
        <x:f t="shared" si="7"/>
        <x:v>402.39323100169668</x:v>
      </x:c>
      <x:c r="AA28" s="9" t="n">
        <x:f>SQRT((Inputs!$C$52+B28)^2+(Inputs!$C$52+Y28/1000)^2-2*(Inputs!$C$52+B28)*(Inputs!$C$52+Y28/1000)*COS(SQRT(A28^2+Inputs!$C$6^2)/Inputs!$C$52))</x:f>
        <x:v>406.60822810672767</x:v>
      </x:c>
      <x:c r="AB28" s="9">
        <x:f t="shared" si="8"/>
        <x:v>4214.9971050309887</x:v>
      </x:c>
      <x:c r="AC28" s="9" t="n">
        <x:f>AB28/Inputs!$C$12</x:f>
        <x:v>2367.9759017028027</x:v>
      </x:c>
      <x:c r="AD28" s="9" t="n">
        <x:f>2*AB28/Inputs!$C$21*1000000</x:f>
        <x:v>28.11943391204984</x:v>
      </x:c>
      <x:c r="AE28" s="9">
        <x:f t="shared" si="9"/>
        <x:v>7.5398516494136363</x:v>
      </x:c>
      <x:c r="AF28" s="9" t="n">
        <x:f>DEGREES((2*PI()/Inputs!$C$13)*Inputs!$C$15*SIN(RADIANS(AE28)))</x:f>
        <x:v>47.23767094452073</x:v>
      </x:c>
      <x:c r="AG28" s="9">
        <x:f t="shared" si="10"/>
        <x:v>0.95917536245344281</x:v>
      </x:c>
      <x:c r="AH28" s="9">
        <x:f t="shared" si="11"/>
        <x:v>-0.18101985130159204</x:v>
      </x:c>
      <x:c r="AI28" s="9">
        <x:f t="shared" si="12"/>
        <x:v>-106.3134749240121</x:v>
      </x:c>
      <x:c r="AJ28" s="9">
        <x:f t="shared" si="13"/>
        <x:v>-1.2624599473062261</x:v>
      </x:c>
      <x:c r="AK28" s="9">
        <x:f t="shared" si="14"/>
        <x:v>192.70136744978595</x:v>
      </x:c>
      <x:c r="AL28" s="9" t="n">
        <x:f>1000*(AA29-AA27)/(A29-A27)*Inputs!$C$11</x:f>
        <x:v>-960.2176124369635</x:v>
      </x:c>
      <x:c r="AM28" s="9" t="n">
        <x:f>-2*AL28/Inputs!$C$13</x:f>
        <x:v>384.0870449747854</x:v>
      </x:c>
      <x:c r="AN28" s="9" t="n">
        <x:f>-2*AL28/Inputs!$C$14</x:f>
        <x:v>57.67072747369151</x:v>
      </x:c>
      <x:c r="AO28" s="9">
        <x:f t="shared" si="15"/>
        <x:v>384.08704497660437</x:v>
      </x:c>
      <x:c r="AP28" s="9">
        <x:f t="shared" si="16"/>
        <x:v>57.670727473964625</x:v>
      </x:c>
      <x:c r="AQ28" s="9" t="n">
        <x:f>IF(OR(Inputs!$C$27=TRUE,Inputs!$C$27="TRUE",Inputs!$C$27=1),Inputs!$C$46/Inputs!$C$12,0)</x:f>
        <x:v>42.13483146067416</x:v>
      </x:c>
      <x:c r="AR28" s="9">
        <x:f t="shared" si="17"/>
        <x:v>2325.8410702421284</x:v>
      </x:c>
      <x:c r="AS28" s="9">
        <x:f t="shared" si="18"/>
        <x:v>2410.1107331634771</x:v>
      </x:c>
    </x:row>
    <x:row r="29">
      <x:c r="A29" s="9" t="n">
        <x:f>Inputs!$C$7+27*(Inputs!$C$8-Inputs!$C$7)/240</x:f>
        <x:v>-46.5</x:v>
      </x:c>
      <x:c r="B29" s="9" t="n">
        <x:f>Inputs!$C$5+Inputs!$C$9*(A29/Inputs!$C$10)^2</x:f>
        <x:v>402.4025</x:v>
      </x:c>
      <x:c r="C29" s="9">
        <x:f t="shared" si="0"/>
        <x:v>402.40249999999997</x:v>
      </x:c>
      <x:c r="D29" s="9" t="n">
        <x:f>SQRT((Inputs!$C$52+B29)^2+Inputs!$C$52^2-2*(Inputs!$C$52+B29)*Inputs!$C$52*COS(SQRT(A29^2+Inputs!$C$6^2)/Inputs!$C$52))</x:f>
        <x:v>406.73491523090837</x:v>
      </x:c>
      <x:c r="E29" s="9">
        <x:f t="shared" si="1"/>
        <x:v>4332.4152309083956</x:v>
      </x:c>
      <x:c r="F29" s="9" t="n">
        <x:f>E29/Inputs!$C$12</x:f>
        <x:v>2433.941140959773</x:v>
      </x:c>
      <x:c r="G29" s="9" t="n">
        <x:f>2*E29/Inputs!$C$21*1000000</x:f>
        <x:v>28.90276333041304</x:v>
      </x:c>
      <x:c r="H29" s="9" t="n">
        <x:f>SQRT(A29^2+Inputs!$C$6^2)</x:f>
        <x:v>52.79441258315126</x:v>
      </x:c>
      <x:c r="I29" s="9">
        <x:f t="shared" si="2"/>
        <x:v>7.4744026758958535</x:v>
      </x:c>
      <x:c r="J29" s="9" t="n">
        <x:f>DEGREES((2*PI()/Inputs!$C$13)*Inputs!$C$15*SIN(RADIANS(I29)))</x:f>
        <x:v>46.82996773075058</x:v>
      </x:c>
      <x:c r="K29" s="9">
        <x:f t="shared" si="3"/>
        <x:v>0.95806916023328526</x:v>
      </x:c>
      <x:c r="L29" s="9">
        <x:f t="shared" si="4"/>
        <x:v>-0.18603139331106608</x:v>
      </x:c>
      <x:c r="M29" s="9" t="n">
        <x:f>2*(Inputs!$C$9/(Inputs!$C$10^2))*A29</x:f>
        <x:v>-0.10333333333333333</x:v>
      </x:c>
      <x:c r="N29" s="9" t="n">
        <x:f>M29*Inputs!$C$11</x:f>
        <x:v>-0.41333333333333333</x:v>
      </x:c>
      <x:c r="O29" s="9" t="n">
        <x:f>1000*(D30-D28)/(A30-A28)*Inputs!$C$11</x:f>
        <x:v>-984.927711027467</x:v>
      </x:c>
      <x:c r="P29" s="9" t="n">
        <x:f>-2*O29/Inputs!$C$13</x:f>
        <x:v>393.9710844109868</x:v>
      </x:c>
      <x:c r="Q29" s="9" t="n">
        <x:f>-2*O29/Inputs!$C$14</x:f>
        <x:v>59.15481747912715</x:v>
      </x:c>
      <x:c r="R29" s="9" t="n">
        <x:f>F29-Inputs!$C$16/2</x:f>
        <x:v>2418.941140959773</x:v>
      </x:c>
      <x:c r="S29" s="9" t="n">
        <x:f>F29+Inputs!$C$16/2</x:f>
        <x:v>2448.941140959773</x:v>
      </x:c>
      <x:c r="T29" s="9" t="n">
        <x:f>F29-Inputs!$C$17/2</x:f>
        <x:v>2283.941140959773</x:v>
      </x:c>
      <x:c r="U29" s="9" t="n">
        <x:f>F29+Inputs!$C$17/2</x:f>
        <x:v>2583.941140959773</x:v>
      </x:c>
      <x:c r="V29" s="9">
        <x:f t="shared" si="5"/>
        <x:v>393.9710844109868</x:v>
      </x:c>
      <x:c r="W29" s="9">
        <x:f t="shared" si="6"/>
        <x:v>59.154817479127153</x:v>
      </x:c>
      <x:c r="X29" s="9"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x:f>
        <x:v>57.529820703344</x:v>
      </x:c>
      <x:c r="Y29" s="9"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x:f>
        <x:v>253.748238320312</x:v>
      </x:c>
      <x:c r="Z29" s="9">
        <x:f t="shared" si="7"/>
        <x:v>402.34497017929664</x:v>
      </x:c>
      <x:c r="AA29" s="9" t="n">
        <x:f>SQRT((Inputs!$C$52+B29)^2+(Inputs!$C$52+Y29/1000)^2-2*(Inputs!$C$52+B29)*(Inputs!$C$52+Y29/1000)*COS(SQRT(A29^2+Inputs!$C$6^2)/Inputs!$C$52))</x:f>
        <x:v>406.484572545579</x:v>
      </x:c>
      <x:c r="AB29" s="9">
        <x:f t="shared" si="8"/>
        <x:v>4139.6023662823609</x:v>
      </x:c>
      <x:c r="AC29" s="9" t="n">
        <x:f>AB29/Inputs!$C$12</x:f>
        <x:v>2325.619306900203</x:v>
      </x:c>
      <x:c r="AD29" s="9" t="n">
        <x:f>2*AB29/Inputs!$C$21*1000000</x:f>
        <x:v>27.616454355782096</x:v>
      </x:c>
      <x:c r="AE29" s="9">
        <x:f t="shared" si="9"/>
        <x:v>7.4790655074720531</x:v>
      </x:c>
      <x:c r="AF29" s="9" t="n">
        <x:f>DEGREES((2*PI()/Inputs!$C$13)*Inputs!$C$15*SIN(RADIANS(AE29)))</x:f>
        <x:v>46.859016072413276</x:v>
      </x:c>
      <x:c r="AG29" s="9">
        <x:f t="shared" si="10"/>
        <x:v>0.95988241751582659</x:v>
      </x:c>
      <x:c r="AH29" s="9">
        <x:f t="shared" si="11"/>
        <x:v>-0.17781963368339637</x:v>
      </x:c>
      <x:c r="AI29" s="9">
        <x:f t="shared" si="12"/>
        <x:v>-108.32183405956994</x:v>
      </x:c>
      <x:c r="AJ29" s="9">
        <x:f t="shared" si="13"/>
        <x:v>-1.2863089746309448</x:v>
      </x:c>
      <x:c r="AK29" s="9">
        <x:f t="shared" si="14"/>
        <x:v>196.218417616968</x:v>
      </x:c>
      <x:c r="AL29" s="9" t="n">
        <x:f>1000*(AA30-AA28)/(A30-A28)*Inputs!$C$11</x:f>
        <x:v>-920.2023249702052</x:v>
      </x:c>
      <x:c r="AM29" s="9" t="n">
        <x:f>-2*AL29/Inputs!$C$13</x:f>
        <x:v>368.08092998808206</x:v>
      </x:c>
      <x:c r="AN29" s="9" t="n">
        <x:f>-2*AL29/Inputs!$C$14</x:f>
        <x:v>55.26740690511743</x:v>
      </x:c>
      <x:c r="AO29" s="9">
        <x:f t="shared" si="15"/>
        <x:v>368.08092998808206</x:v>
      </x:c>
      <x:c r="AP29" s="9">
        <x:f t="shared" si="16"/>
        <x:v>55.267406905117433</x:v>
      </x:c>
      <x:c r="AQ29" s="9" t="n">
        <x:f>IF(OR(Inputs!$C$27=TRUE,Inputs!$C$27="TRUE",Inputs!$C$27=1),Inputs!$C$46/Inputs!$C$12,0)</x:f>
        <x:v>42.13483146067416</x:v>
      </x:c>
      <x:c r="AR29" s="9">
        <x:f t="shared" si="17"/>
        <x:v>2283.4844754395285</x:v>
      </x:c>
      <x:c r="AS29" s="9">
        <x:f t="shared" si="18"/>
        <x:v>2367.7541383608773</x:v>
      </x:c>
    </x:row>
    <x:row r="30">
      <x:c r="A30" s="9" t="n">
        <x:f>Inputs!$C$7+28*(Inputs!$C$8-Inputs!$C$7)/240</x:f>
        <x:v>-46</x:v>
      </x:c>
      <x:c r="B30" s="9" t="n">
        <x:f>Inputs!$C$5+Inputs!$C$9*(A30/Inputs!$C$10)^2</x:f>
        <x:v>402.3511111111111</x:v>
      </x:c>
      <x:c r="C30" s="9">
        <x:f t="shared" si="0"/>
        <x:v>402.35111111111109</x:v>
      </x:c>
      <x:c r="D30" s="9" t="n">
        <x:f>SQRT((Inputs!$C$52+B30)^2+Inputs!$C$52^2-2*(Inputs!$C$52+B30)*Inputs!$C$52*COS(SQRT(A30^2+Inputs!$C$6^2)/Inputs!$C$52))</x:f>
        <x:v>406.6124476070833</x:v>
      </x:c>
      <x:c r="E30" s="9">
        <x:f t="shared" si="1"/>
        <x:v>4261.3364959722167</x:v>
      </x:c>
      <x:c r="F30" s="9" t="n">
        <x:f>E30/Inputs!$C$12</x:f>
        <x:v>2394.0092674001216</x:v>
      </x:c>
      <x:c r="G30" s="9" t="n">
        <x:f>2*E30/Inputs!$C$21*1000000</x:f>
        <x:v>28.428577052276722</x:v>
      </x:c>
      <x:c r="H30" s="9" t="n">
        <x:f>SQRT(A30^2+Inputs!$C$6^2)</x:f>
        <x:v>52.354560450833695</x:v>
      </x:c>
      <x:c r="I30" s="9">
        <x:f t="shared" si="2"/>
        <x:v>7.4137620157175332</x:v>
      </x:c>
      <x:c r="J30" s="9" t="n">
        <x:f>DEGREES((2*PI()/Inputs!$C$13)*Inputs!$C$15*SIN(RADIANS(I30)))</x:f>
        <x:v>46.45216253583958</x:v>
      </x:c>
      <x:c r="K30" s="9">
        <x:f t="shared" si="3"/>
        <x:v>0.95873402775285366</x:v>
      </x:c>
      <x:c r="L30" s="9">
        <x:f t="shared" si="4"/>
        <x:v>-0.18301858210191152</x:v>
      </x:c>
      <x:c r="M30" s="9" t="n">
        <x:f>2*(Inputs!$C$9/(Inputs!$C$10^2))*A30</x:f>
        <x:v>-0.10222222222222223</x:v>
      </x:c>
      <x:c r="N30" s="9" t="n">
        <x:f>M30*Inputs!$C$11</x:f>
        <x:v>-0.4088888888888889</x:v>
      </x:c>
      <x:c r="O30" s="9" t="n">
        <x:f>1000*(D31-D29)/(A31-A29)*Inputs!$C$11</x:f>
        <x:v>-974.5508814573896</x:v>
      </x:c>
      <x:c r="P30" s="9" t="n">
        <x:f>-2*O30/Inputs!$C$13</x:f>
        <x:v>389.8203525829558</x:v>
      </x:c>
      <x:c r="Q30" s="9" t="n">
        <x:f>-2*O30/Inputs!$C$14</x:f>
        <x:v>58.531584471915295</x:v>
      </x:c>
      <x:c r="R30" s="9" t="n">
        <x:f>F30-Inputs!$C$16/2</x:f>
        <x:v>2379.0092674001216</x:v>
      </x:c>
      <x:c r="S30" s="9" t="n">
        <x:f>F30+Inputs!$C$16/2</x:f>
        <x:v>2409.0092674001216</x:v>
      </x:c>
      <x:c r="T30" s="9" t="n">
        <x:f>F30-Inputs!$C$17/2</x:f>
        <x:v>2244.0092674001216</x:v>
      </x:c>
      <x:c r="U30" s="9" t="n">
        <x:f>F30+Inputs!$C$17/2</x:f>
        <x:v>2544.0092674001216</x:v>
      </x:c>
      <x:c r="V30" s="9">
        <x:f t="shared" si="5"/>
        <x:v>389.82035258295582</x:v>
      </x:c>
      <x:c r="W30" s="9">
        <x:f t="shared" si="6"/>
        <x:v>58.531584471915295</x:v>
      </x:c>
      <x:c r="X30" s="9"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x:f>
        <x:v>49.53962065283257</x:v>
      </x:c>
      <x:c r="Y30" s="9"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x:f>
        <x:v>237.40469511010875</x:v>
      </x:c>
      <x:c r="Z30" s="9">
        <x:f t="shared" si="7"/>
        <x:v>402.30157149045829</x:v>
      </x:c>
      <x:c r="AA30" s="9" t="n">
        <x:f>SQRT((Inputs!$C$52+B30)^2+(Inputs!$C$52+Y30/1000)^2-2*(Inputs!$C$52+B30)*(Inputs!$C$52+Y30/1000)*COS(SQRT(A30^2+Inputs!$C$6^2)/Inputs!$C$52))</x:f>
        <x:v>406.3781775254851</x:v>
      </x:c>
      <x:c r="AB30" s="9">
        <x:f t="shared" si="8"/>
        <x:v>4076.6060350268276</x:v>
      </x:c>
      <x:c r="AC30" s="9" t="n">
        <x:f>AB30/Inputs!$C$12</x:f>
        <x:v>2290.2281095656335</x:v>
      </x:c>
      <x:c r="AD30" s="9" t="n">
        <x:f>2*AB30/Inputs!$C$21*1000000</x:f>
        <x:v>27.196188071061</x:v>
      </x:c>
      <x:c r="AE30" s="9">
        <x:f t="shared" si="9"/>
        <x:v>7.4180903056964445</x:v>
      </x:c>
      <x:c r="AF30" s="9" t="n">
        <x:f>DEGREES((2*PI()/Inputs!$C$13)*Inputs!$C$15*SIN(RADIANS(AE30)))</x:f>
        <x:v>46.47913050271021</x:v>
      </x:c>
      <x:c r="AG30" s="9">
        <x:f t="shared" si="10"/>
        <x:v>0.96047353520029721</x:v>
      </x:c>
      <x:c r="AH30" s="9">
        <x:f t="shared" si="11"/>
        <x:v>-0.1751459714775323</x:v>
      </x:c>
      <x:c r="AI30" s="9">
        <x:f t="shared" si="12"/>
        <x:v>-103.78115783448811</x:v>
      </x:c>
      <x:c r="AJ30" s="9">
        <x:f t="shared" si="13"/>
        <x:v>-1.232388981215724</x:v>
      </x:c>
      <x:c r="AK30" s="9">
        <x:f t="shared" si="14"/>
        <x:v>187.86507445727619</x:v>
      </x:c>
      <x:c r="AL30" s="9" t="n">
        <x:f>1000*(AA31-AA29)/(A31-A29)*Inputs!$C$11</x:f>
        <x:v>-881.3699710087803</x:v>
      </x:c>
      <x:c r="AM30" s="9" t="n">
        <x:f>-2*AL30/Inputs!$C$13</x:f>
        <x:v>352.54798840351214</x:v>
      </x:c>
      <x:c r="AN30" s="9" t="n">
        <x:f>-2*AL30/Inputs!$C$14</x:f>
        <x:v>52.935133393920744</x:v>
      </x:c>
      <x:c r="AO30" s="9">
        <x:f t="shared" si="15"/>
        <x:v>352.54798840351214</x:v>
      </x:c>
      <x:c r="AP30" s="9">
        <x:f t="shared" si="16"/>
        <x:v>52.935133393920744</x:v>
      </x:c>
      <x:c r="AQ30" s="9" t="n">
        <x:f>IF(OR(Inputs!$C$27=TRUE,Inputs!$C$27="TRUE",Inputs!$C$27=1),Inputs!$C$46/Inputs!$C$12,0)</x:f>
        <x:v>42.13483146067416</x:v>
      </x:c>
      <x:c r="AR30" s="9">
        <x:f t="shared" si="17"/>
        <x:v>2248.0932781049592</x:v>
      </x:c>
      <x:c r="AS30" s="9">
        <x:f t="shared" si="18"/>
        <x:v>2332.3629410263079</x:v>
      </x:c>
    </x:row>
    <x:row r="31">
      <x:c r="A31" s="9" t="n">
        <x:f>Inputs!$C$7+29*(Inputs!$C$8-Inputs!$C$7)/240</x:f>
        <x:v>-45.5</x:v>
      </x:c>
      <x:c r="B31" s="9" t="n">
        <x:f>Inputs!$C$5+Inputs!$C$9*(A31/Inputs!$C$10)^2</x:f>
        <x:v>402.30027777777775</x:v>
      </x:c>
      <x:c r="C31" s="9">
        <x:f t="shared" si="0"/>
        <x:v>402.30027777777775</x:v>
      </x:c>
      <x:c r="D31" s="9" t="n">
        <x:f>SQRT((Inputs!$C$52+B31)^2+Inputs!$C$52^2-2*(Inputs!$C$52+B31)*Inputs!$C$52*COS(SQRT(A31^2+Inputs!$C$6^2)/Inputs!$C$52))</x:f>
        <x:v>406.491277510544</x:v>
      </x:c>
      <x:c r="E31" s="9">
        <x:f t="shared" si="1"/>
        <x:v>4190.9997327662722</x:v>
      </x:c>
      <x:c r="F31" s="9" t="n">
        <x:f>E31/Inputs!$C$12</x:f>
        <x:v>2354.494231891164</x:v>
      </x:c>
      <x:c r="G31" s="9" t="n">
        <x:f>2*E31/Inputs!$C$21*1000000</x:f>
        <x:v>27.959340676717574</x:v>
      </x:c>
      <x:c r="H31" s="9" t="n">
        <x:f>SQRT(A31^2+Inputs!$C$6^2)</x:f>
        <x:v>51.915797210483056</x:v>
      </x:c>
      <x:c r="I31" s="9">
        <x:f t="shared" si="2"/>
        <x:v>7.3532316468514338</x:v>
      </x:c>
      <x:c r="J31" s="9" t="n">
        <x:f>DEGREES((2*PI()/Inputs!$C$13)*Inputs!$C$15*SIN(RADIANS(I31)))</x:f>
        <x:v>46.07499258851599</x:v>
      </x:c>
      <x:c r="K31" s="9">
        <x:f t="shared" si="3"/>
        <x:v>0.9593926920449114</x:v>
      </x:c>
      <x:c r="L31" s="9">
        <x:f t="shared" si="4"/>
        <x:v>-0.18003593996718301</x:v>
      </x:c>
      <x:c r="M31" s="9" t="n">
        <x:f>2*(Inputs!$C$9/(Inputs!$C$10^2))*A31</x:f>
        <x:v>-0.10111111111111111</x:v>
      </x:c>
      <x:c r="N31" s="9" t="n">
        <x:f>M31*Inputs!$C$11</x:f>
        <x:v>-0.40444444444444444</x:v>
      </x:c>
      <x:c r="O31" s="9" t="n">
        <x:f>1000*(D32-D30)/(A32-A30)*Inputs!$C$11</x:f>
        <x:v>-964.1673060955327</x:v>
      </x:c>
      <x:c r="P31" s="9" t="n">
        <x:f>-2*O31/Inputs!$C$13</x:f>
        <x:v>385.6669224382131</x:v>
      </x:c>
      <x:c r="Q31" s="9" t="n">
        <x:f>-2*O31/Inputs!$C$14</x:f>
        <x:v>57.90794631204401</x:v>
      </x:c>
      <x:c r="R31" s="9" t="n">
        <x:f>F31-Inputs!$C$16/2</x:f>
        <x:v>2339.494231891164</x:v>
      </x:c>
      <x:c r="S31" s="9" t="n">
        <x:f>F31+Inputs!$C$16/2</x:f>
        <x:v>2369.494231891164</x:v>
      </x:c>
      <x:c r="T31" s="9" t="n">
        <x:f>F31-Inputs!$C$17/2</x:f>
        <x:v>2204.494231891164</x:v>
      </x:c>
      <x:c r="U31" s="9" t="n">
        <x:f>F31+Inputs!$C$17/2</x:f>
        <x:v>2504.494231891164</x:v>
      </x:c>
      <x:c r="V31" s="9">
        <x:f t="shared" si="5"/>
        <x:v>385.66692243821308</x:v>
      </x:c>
      <x:c r="W31" s="9">
        <x:f t="shared" si="6"/>
        <x:v>57.907946312044011</x:v>
      </x:c>
      <x:c r="X31" s="9"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x:f>
        <x:v>36.8829185081177</x:v>
      </x:c>
      <x:c r="Y31" s="9"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x:f>
        <x:v>230.03534200748854</x:v>
      </x:c>
      <x:c r="Z31" s="9">
        <x:f t="shared" si="7"/>
        <x:v>402.26339485926951</x:v>
      </x:c>
      <x:c r="AA31" s="9" t="n">
        <x:f>SQRT((Inputs!$C$52+B31)^2+(Inputs!$C$52+Y31/1000)^2-2*(Inputs!$C$52+B31)*(Inputs!$C$52+Y31/1000)*COS(SQRT(A31^2+Inputs!$C$6^2)/Inputs!$C$52))</x:f>
        <x:v>406.2642300528268</x:v>
      </x:c>
      <x:c r="AB31" s="9">
        <x:f t="shared" si="8"/>
        <x:v>4000.8351935572932</x:v>
      </x:c>
      <x:c r="AC31" s="9" t="n">
        <x:f>AB31/Inputs!$C$12</x:f>
        <x:v>2247.660221099603</x:v>
      </x:c>
      <x:c r="AD31" s="9" t="n">
        <x:f>2*AB31/Inputs!$C$21*1000000</x:f>
        <x:v>26.690699427517238</x:v>
      </x:c>
      <x:c r="AE31" s="9">
        <x:f t="shared" si="9"/>
        <x:v>7.3573925494189591</x:v>
      </x:c>
      <x:c r="AF31" s="9" t="n">
        <x:f>DEGREES((2*PI()/Inputs!$C$13)*Inputs!$C$15*SIN(RADIANS(AE31)))</x:f>
        <x:v>46.10092118193517</x:v>
      </x:c>
      <x:c r="AG31" s="9">
        <x:f t="shared" si="10"/>
        <x:v>0.9611866128140687</x:v>
      </x:c>
      <x:c r="AH31" s="9">
        <x:f t="shared" si="11"/>
        <x:v>-0.17192286579608471</x:v>
      </x:c>
      <x:c r="AI31" s="9">
        <x:f t="shared" si="12"/>
        <x:v>-106.83401079156101</x:v>
      </x:c>
      <x:c r="AJ31" s="9">
        <x:f t="shared" si="13"/>
        <x:v>-1.2686412492003356</x:v>
      </x:c>
      <x:c r="AK31" s="9">
        <x:f t="shared" si="14"/>
        <x:v>193.15242349927263</x:v>
      </x:c>
      <x:c r="AL31" s="9" t="n">
        <x:f>1000*(AA32-AA30)/(A32-A30)*Inputs!$C$11</x:f>
        <x:v>-851.7037206324858</x:v>
      </x:c>
      <x:c r="AM31" s="9" t="n">
        <x:f>-2*AL31/Inputs!$C$13</x:f>
        <x:v>340.6814882529943</x:v>
      </x:c>
      <x:c r="AN31" s="9" t="n">
        <x:f>-2*AL31/Inputs!$C$14</x:f>
        <x:v>51.15337661456371</x:v>
      </x:c>
      <x:c r="AO31" s="9">
        <x:f t="shared" si="15"/>
        <x:v>340.68148825299431</x:v>
      </x:c>
      <x:c r="AP31" s="9">
        <x:f t="shared" si="16"/>
        <x:v>51.153376614563712</x:v>
      </x:c>
      <x:c r="AQ31" s="9" t="n">
        <x:f>IF(OR(Inputs!$C$27=TRUE,Inputs!$C$27="TRUE",Inputs!$C$27=1),Inputs!$C$46/Inputs!$C$12,0)</x:f>
        <x:v>42.13483146067416</x:v>
      </x:c>
      <x:c r="AR31" s="9">
        <x:f t="shared" si="17"/>
        <x:v>2205.5253896389286</x:v>
      </x:c>
      <x:c r="AS31" s="9">
        <x:f t="shared" si="18"/>
        <x:v>2289.7950525602773</x:v>
      </x:c>
    </x:row>
    <x:row r="32">
      <x:c r="A32" s="9" t="n">
        <x:f>Inputs!$C$7+30*(Inputs!$C$8-Inputs!$C$7)/240</x:f>
        <x:v>-45</x:v>
      </x:c>
      <x:c r="B32" s="9" t="n">
        <x:f>Inputs!$C$5+Inputs!$C$9*(A32/Inputs!$C$10)^2</x:f>
        <x:v>402.25</x:v>
      </x:c>
      <x:c r="C32" s="9">
        <x:f t="shared" si="0"/>
        <x:v>402.25</x:v>
      </x:c>
      <x:c r="D32" s="9" t="n">
        <x:f>SQRT((Inputs!$C$52+B32)^2+Inputs!$C$52^2-2*(Inputs!$C$52+B32)*Inputs!$C$52*COS(SQRT(A32^2+Inputs!$C$6^2)/Inputs!$C$52))</x:f>
        <x:v>406.3714057805594</x:v>
      </x:c>
      <x:c r="E32" s="9">
        <x:f t="shared" si="1"/>
        <x:v>4121.4057805594275</x:v>
      </x:c>
      <x:c r="F32" s="9" t="n">
        <x:f>E32/Inputs!$C$12</x:f>
        <x:v>2315.3965059322627</x:v>
      </x:c>
      <x:c r="G32" s="9" t="n">
        <x:f>2*E32/Inputs!$C$21*1000000</x:f>
        <x:v>27.49505980273478</x:v>
      </x:c>
      <x:c r="H32" s="9" t="n">
        <x:f>SQRT(A32^2+Inputs!$C$6^2)</x:f>
        <x:v>51.478150704935004</x:v>
      </x:c>
      <x:c r="I32" s="9">
        <x:f t="shared" si="2"/>
        <x:v>7.2928160029494338</x:v>
      </x:c>
      <x:c r="J32" s="9" t="n">
        <x:f>DEGREES((2*PI()/Inputs!$C$13)*Inputs!$C$15*SIN(RADIANS(I32)))</x:f>
        <x:v>45.69848622408668</x:v>
      </x:c>
      <x:c r="K32" s="9">
        <x:f t="shared" si="3"/>
        <x:v>0.96004512300185918</x:v>
      </x:c>
      <x:c r="L32" s="9">
        <x:f t="shared" si="4"/>
        <x:v>-0.17708354241497856</x:v>
      </x:c>
      <x:c r="M32" s="9" t="n">
        <x:f>2*(Inputs!$C$9/(Inputs!$C$10^2))*A32</x:f>
        <x:v>-0.1</x:v>
      </x:c>
      <x:c r="N32" s="9" t="n">
        <x:f>M32*Inputs!$C$11</x:f>
        <x:v>-0.4</x:v>
      </x:c>
      <x:c r="O32" s="9" t="n">
        <x:f>1000*(D33-D31)/(A33-A31)*Inputs!$C$11</x:f>
        <x:v>-953.7770482984342</x:v>
      </x:c>
      <x:c r="P32" s="9" t="n">
        <x:f>-2*O32/Inputs!$C$13</x:f>
        <x:v>381.5108193193737</x:v>
      </x:c>
      <x:c r="Q32" s="9" t="n">
        <x:f>-2*O32/Inputs!$C$14</x:f>
        <x:v>57.28390680471077</x:v>
      </x:c>
      <x:c r="R32" s="9" t="n">
        <x:f>F32-Inputs!$C$16/2</x:f>
        <x:v>2300.3965059322627</x:v>
      </x:c>
      <x:c r="S32" s="9" t="n">
        <x:f>F32+Inputs!$C$16/2</x:f>
        <x:v>2330.3965059322627</x:v>
      </x:c>
      <x:c r="T32" s="9" t="n">
        <x:f>F32-Inputs!$C$17/2</x:f>
        <x:v>2165.3965059322627</x:v>
      </x:c>
      <x:c r="U32" s="9" t="n">
        <x:f>F32+Inputs!$C$17/2</x:f>
        <x:v>2465.3965059322627</x:v>
      </x:c>
      <x:c r="V32" s="9">
        <x:f t="shared" si="5"/>
        <x:v>381.5108193193737</x:v>
      </x:c>
      <x:c r="W32" s="9">
        <x:f t="shared" si="6"/>
        <x:v>57.283906804710767</x:v>
      </x:c>
      <x:c r="X32" s="9"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x:f>
        <x:v>46.59917835352822</x:v>
      </x:c>
      <x:c r="Y32" s="9"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x:f>
        <x:v>208.8220272535724</x:v>
      </x:c>
      <x:c r="Z32" s="9">
        <x:f t="shared" si="7"/>
        <x:v>402.20340082164648</x:v>
      </x:c>
      <x:c r="AA32" s="9" t="n">
        <x:f>SQRT((Inputs!$C$52+B32)^2+(Inputs!$C$52+Y32/1000)^2-2*(Inputs!$C$52+B32)*(Inputs!$C$52+Y32/1000)*COS(SQRT(A32^2+Inputs!$C$6^2)/Inputs!$C$52))</x:f>
        <x:v>406.165251595327</x:v>
      </x:c>
      <x:c r="AB32" s="9">
        <x:f t="shared" si="8"/>
        <x:v>3961.85077368051</x:v>
      </x:c>
      <x:c r="AC32" s="9" t="n">
        <x:f>AB32/Inputs!$C$12</x:f>
        <x:v>2225.758861618264</x:v>
      </x:c>
      <x:c r="AD32" s="9" t="n">
        <x:f>2*AB32/Inputs!$C$21*1000000</x:f>
        <x:v>26.43062337265676</x:v>
      </x:c>
      <x:c r="AE32" s="9">
        <x:f t="shared" si="9"/>
        <x:v>7.296563113535691</x:v>
      </x:c>
      <x:c r="AF32" s="9" t="n">
        <x:f>DEGREES((2*PI()/Inputs!$C$13)*Inputs!$C$15*SIN(RADIANS(AE32)))</x:f>
        <x:v>45.72183945589311</x:v>
      </x:c>
      <x:c r="AG32" s="9">
        <x:f t="shared" si="10"/>
        <x:v>0.96155004128445376</x:v>
      </x:c>
      <x:c r="AH32" s="9">
        <x:f t="shared" si="11"/>
        <x:v>-0.17028109149695753</x:v>
      </x:c>
      <x:c r="AI32" s="9">
        <x:f t="shared" si="12"/>
        <x:v>-89.637644313998862</x:v>
      </x:c>
      <x:c r="AJ32" s="9">
        <x:f t="shared" si="13"/>
        <x:v>-1.0644364300780182</x:v>
      </x:c>
      <x:c r="AK32" s="9">
        <x:f t="shared" si="14"/>
        <x:v>162.2228489000442</x:v>
      </x:c>
      <x:c r="AL32" s="9" t="n">
        <x:f>1000*(AA33-AA31)/(A33-A31)*Inputs!$C$11</x:f>
        <x:v>-842.1083627717962</x:v>
      </x:c>
      <x:c r="AM32" s="9" t="n">
        <x:f>-2*AL32/Inputs!$C$13</x:f>
        <x:v>336.8433451087185</x:v>
      </x:c>
      <x:c r="AN32" s="9" t="n">
        <x:f>-2*AL32/Inputs!$C$14</x:f>
        <x:v>50.57707884515293</x:v>
      </x:c>
      <x:c r="AO32" s="9">
        <x:f t="shared" si="15"/>
        <x:v>336.84334510871849</x:v>
      </x:c>
      <x:c r="AP32" s="9">
        <x:f t="shared" si="16"/>
        <x:v>50.577078845152933</x:v>
      </x:c>
      <x:c r="AQ32" s="9" t="n">
        <x:f>IF(OR(Inputs!$C$27=TRUE,Inputs!$C$27="TRUE",Inputs!$C$27=1),Inputs!$C$46/Inputs!$C$12,0)</x:f>
        <x:v>42.13483146067416</x:v>
      </x:c>
      <x:c r="AR32" s="9">
        <x:f t="shared" si="17"/>
        <x:v>2183.6240301575895</x:v>
      </x:c>
      <x:c r="AS32" s="9">
        <x:f t="shared" si="18"/>
        <x:v>2267.8936930789382</x:v>
      </x:c>
    </x:row>
    <x:row r="33">
      <x:c r="A33" s="9" t="n">
        <x:f>Inputs!$C$7+31*(Inputs!$C$8-Inputs!$C$7)/240</x:f>
        <x:v>-44.5</x:v>
      </x:c>
      <x:c r="B33" s="9" t="n">
        <x:f>Inputs!$C$5+Inputs!$C$9*(A33/Inputs!$C$10)^2</x:f>
        <x:v>402.2002777777778</x:v>
      </x:c>
      <x:c r="C33" s="9">
        <x:f t="shared" si="0"/>
        <x:v>402.20027777777779</x:v>
      </x:c>
      <x:c r="D33" s="9" t="n">
        <x:f>SQRT((Inputs!$C$52+B33)^2+Inputs!$C$52^2-2*(Inputs!$C$52+B33)*Inputs!$C$52*COS(SQRT(A33^2+Inputs!$C$6^2)/Inputs!$C$52))</x:f>
        <x:v>406.2528332484694</x:v>
      </x:c>
      <x:c r="E33" s="9">
        <x:f t="shared" si="1"/>
        <x:v>4052.5554706916296</x:v>
      </x:c>
      <x:c r="F33" s="9" t="n">
        <x:f>E33/Inputs!$C$12</x:f>
        <x:v>2276.7165565683313</x:v>
      </x:c>
      <x:c r="G33" s="9" t="n">
        <x:f>2*E33/Inputs!$C$21*1000000</x:f>
        <x:v>27.035739976431493</x:v>
      </x:c>
      <x:c r="H33" s="9" t="n">
        <x:f>SQRT(A33^2+Inputs!$C$6^2)</x:f>
        <x:v>51.041649659861115</x:v>
      </x:c>
      <x:c r="I33" s="9">
        <x:f t="shared" si="2"/>
        <x:v>7.2325196453541665</x:v>
      </x:c>
      <x:c r="J33" s="9" t="n">
        <x:f>DEGREES((2*PI()/Inputs!$C$13)*Inputs!$C$15*SIN(RADIANS(I33)))</x:f>
        <x:v>45.32267258355667</x:v>
      </x:c>
      <x:c r="K33" s="9">
        <x:f t="shared" si="3"/>
        <x:v>0.9606912907410361</x:v>
      </x:c>
      <x:c r="L33" s="9">
        <x:f t="shared" si="4"/>
        <x:v>-0.17416146427778792</x:v>
      </x:c>
      <x:c r="M33" s="9" t="n">
        <x:f>2*(Inputs!$C$9/(Inputs!$C$10^2))*A33</x:f>
        <x:v>-0.09888888888888889</x:v>
      </x:c>
      <x:c r="N33" s="9" t="n">
        <x:f>M33*Inputs!$C$11</x:f>
        <x:v>-0.39555555555555555</x:v>
      </x:c>
      <x:c r="O33" s="9" t="n">
        <x:f>1000*(D34-D32)/(A34-A32)*Inputs!$C$11</x:f>
        <x:v>-943.3801717254937</x:v>
      </x:c>
      <x:c r="P33" s="9" t="n">
        <x:f>-2*O33/Inputs!$C$13</x:f>
        <x:v>377.3520686901975</x:v>
      </x:c>
      <x:c r="Q33" s="9" t="n">
        <x:f>-2*O33/Inputs!$C$14</x:f>
        <x:v>56.65946977330293</x:v>
      </x:c>
      <x:c r="R33" s="9" t="n">
        <x:f>F33-Inputs!$C$16/2</x:f>
        <x:v>2261.7165565683313</x:v>
      </x:c>
      <x:c r="S33" s="9" t="n">
        <x:f>F33+Inputs!$C$16/2</x:f>
        <x:v>2291.7165565683313</x:v>
      </x:c>
      <x:c r="T33" s="9" t="n">
        <x:f>F33-Inputs!$C$17/2</x:f>
        <x:v>2126.7165565683313</x:v>
      </x:c>
      <x:c r="U33" s="9" t="n">
        <x:f>F33+Inputs!$C$17/2</x:f>
        <x:v>2426.7165565683313</x:v>
      </x:c>
      <x:c r="V33" s="9">
        <x:f t="shared" si="5"/>
        <x:v>377.35206869019748</x:v>
      </x:c>
      <x:c r="W33" s="9">
        <x:f t="shared" si="6"/>
        <x:v>56.659469773302931</x:v>
      </x:c>
      <x:c r="X33" s="9"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x:f>
        <x:v>27.91531821493412</x:v>
      </x:c>
      <x:c r="Y33" s="9"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x:f>
        <x:v>201.66422960156285</x:v>
      </x:c>
      <x:c r="Z33" s="9">
        <x:f t="shared" si="7"/>
        <x:v>402.17236245956286</x:v>
      </x:c>
      <x:c r="AA33" s="9" t="n">
        <x:f>SQRT((Inputs!$C$52+B33)^2+(Inputs!$C$52+Y33/1000)^2-2*(Inputs!$C$52+B33)*(Inputs!$C$52+Y33/1000)*COS(SQRT(A33^2+Inputs!$C$6^2)/Inputs!$C$52))</x:f>
        <x:v>406.05370296213385</x:v>
      </x:c>
      <x:c r="AB33" s="9">
        <x:f t="shared" si="8"/>
        <x:v>3881.3405025709926</x:v>
      </x:c>
      <x:c r="AC33" s="9" t="n">
        <x:f>AB33/Inputs!$C$12</x:f>
        <x:v>2180.5283722308945</x:v>
      </x:c>
      <x:c r="AD33" s="9" t="n">
        <x:f>2*AB33/Inputs!$C$21*1000000</x:f>
        <x:v>25.893516657920678</x:v>
      </x:c>
      <x:c r="AE33" s="9">
        <x:f t="shared" si="9"/>
        <x:v>7.2361094199534897</x:v>
      </x:c>
      <x:c r="AF33" s="9" t="n">
        <x:f>DEGREES((2*PI()/Inputs!$C$13)*Inputs!$C$15*SIN(RADIANS(AE33)))</x:f>
        <x:v>45.34504825087364</x:v>
      </x:c>
      <x:c r="AG33" s="9">
        <x:f t="shared" si="10"/>
        <x:v>0.96230997547962005</x:v>
      </x:c>
      <x:c r="AH33" s="9">
        <x:f t="shared" si="11"/>
        <x:v>-0.16685012207236871</x:v>
      </x:c>
      <x:c r="AI33" s="9">
        <x:f t="shared" si="12"/>
        <x:v>-96.188184337436724</x:v>
      </x:c>
      <x:c r="AJ33" s="9">
        <x:f t="shared" si="13"/>
        <x:v>-1.1422233185108155</x:v>
      </x:c>
      <x:c r="AK33" s="9">
        <x:f t="shared" si="14"/>
        <x:v>173.74891138662872</x:v>
      </x:c>
      <x:c r="AL33" s="9" t="n">
        <x:f>1000*(AA34-AA32)/(A34-A32)*Inputs!$C$11</x:f>
        <x:v>-909.3389569372903</x:v>
      </x:c>
      <x:c r="AM33" s="9" t="n">
        <x:f>-2*AL33/Inputs!$C$13</x:f>
        <x:v>363.7355827749161</x:v>
      </x:c>
      <x:c r="AN33" s="9" t="n">
        <x:f>-2*AL33/Inputs!$C$14</x:f>
        <x:v>54.614952368606026</x:v>
      </x:c>
      <x:c r="AO33" s="9">
        <x:f t="shared" si="15"/>
        <x:v>363.73558277491611</x:v>
      </x:c>
      <x:c r="AP33" s="9">
        <x:f t="shared" si="16"/>
        <x:v>54.614952368606026</x:v>
      </x:c>
      <x:c r="AQ33" s="9" t="n">
        <x:f>IF(OR(Inputs!$C$27=TRUE,Inputs!$C$27="TRUE",Inputs!$C$27=1),Inputs!$C$46/Inputs!$C$12,0)</x:f>
        <x:v>42.13483146067416</x:v>
      </x:c>
      <x:c r="AR33" s="9">
        <x:f t="shared" si="17"/>
        <x:v>2138.3935407702202</x:v>
      </x:c>
      <x:c r="AS33" s="9">
        <x:f t="shared" si="18"/>
        <x:v>2222.6632036915689</x:v>
      </x:c>
    </x:row>
    <x:row r="34">
      <x:c r="A34" s="9" t="n">
        <x:f>Inputs!$C$7+32*(Inputs!$C$8-Inputs!$C$7)/240</x:f>
        <x:v>-44</x:v>
      </x:c>
      <x:c r="B34" s="9" t="n">
        <x:f>Inputs!$C$5+Inputs!$C$9*(A34/Inputs!$C$10)^2</x:f>
        <x:v>402.1511111111111</x:v>
      </x:c>
      <x:c r="C34" s="9">
        <x:f t="shared" si="0"/>
        <x:v>402.15111111111111</x:v>
      </x:c>
      <x:c r="D34" s="9" t="n">
        <x:f>SQRT((Inputs!$C$52+B34)^2+Inputs!$C$52^2-2*(Inputs!$C$52+B34)*Inputs!$C$52*COS(SQRT(A34^2+Inputs!$C$6^2)/Inputs!$C$52))</x:f>
        <x:v>406.13556073762805</x:v>
      </x:c>
      <x:c r="E34" s="9">
        <x:f t="shared" si="1"/>
        <x:v>3984.4496265169482</x:v>
      </x:c>
      <x:c r="F34" s="9" t="n">
        <x:f>E34/Inputs!$C$12</x:f>
        <x:v>2238.4548463578362</x:v>
      </x:c>
      <x:c r="G34" s="9" t="n">
        <x:f>2*E34/Inputs!$C$21*1000000</x:f>
        <x:v>26.58138669063481</x:v>
      </x:c>
      <x:c r="H34" s="9" t="n">
        <x:f>SQRT(A34^2+Inputs!$C$6^2)</x:f>
        <x:v>50.60632371551998</x:v>
      </x:c>
      <x:c r="I34" s="9">
        <x:f t="shared" si="2"/>
        <x:v>7.1723472676252644</x:v>
      </x:c>
      <x:c r="J34" s="9" t="n">
        <x:f>DEGREES((2*PI()/Inputs!$C$13)*Inputs!$C$15*SIN(RADIANS(I34)))</x:f>
        <x:v>44.947581642016374</x:v>
      </x:c>
      <x:c r="K34" s="9">
        <x:f t="shared" si="3"/>
        <x:v>0.96133116560794785</x:v>
      </x:c>
      <x:c r="L34" s="9">
        <x:f t="shared" si="4"/>
        <x:v>-0.17126977970712021</x:v>
      </x:c>
      <x:c r="M34" s="9" t="n">
        <x:f>2*(Inputs!$C$9/(Inputs!$C$10^2))*A34</x:f>
        <x:v>-0.09777777777777778</x:v>
      </x:c>
      <x:c r="N34" s="9" t="n">
        <x:f>M34*Inputs!$C$11</x:f>
        <x:v>-0.39111111111111113</x:v>
      </x:c>
      <x:c r="O34" s="9" t="n">
        <x:f>1000*(D35-D33)/(A35-A33)*Inputs!$C$11</x:f>
        <x:v>-932.9767403644382</x:v>
      </x:c>
      <x:c r="P34" s="9" t="n">
        <x:f>-2*O34/Inputs!$C$13</x:f>
        <x:v>373.1906961457753</x:v>
      </x:c>
      <x:c r="Q34" s="9" t="n">
        <x:f>-2*O34/Inputs!$C$14</x:f>
        <x:v>56.034639060927226</x:v>
      </x:c>
      <x:c r="R34" s="9" t="n">
        <x:f>F34-Inputs!$C$16/2</x:f>
        <x:v>2223.4548463578362</x:v>
      </x:c>
      <x:c r="S34" s="9" t="n">
        <x:f>F34+Inputs!$C$16/2</x:f>
        <x:v>2253.4548463578362</x:v>
      </x:c>
      <x:c r="T34" s="9" t="n">
        <x:f>F34-Inputs!$C$17/2</x:f>
        <x:v>2088.4548463578362</x:v>
      </x:c>
      <x:c r="U34" s="9" t="n">
        <x:f>F34+Inputs!$C$17/2</x:f>
        <x:v>2388.4548463578362</x:v>
      </x:c>
      <x:c r="V34" s="9">
        <x:f t="shared" si="5"/>
        <x:v>373.19069614577529</x:v>
      </x:c>
      <x:c r="W34" s="9">
        <x:f t="shared" si="6"/>
        <x:v>56.034639060927226</x:v>
      </x:c>
      <x:c r="X34" s="9"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x:f>
        <x:v>18.82539201019003</x:v>
      </x:c>
      <x:c r="Y34" s="9"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x:f>
        <x:v>200.11672258234324</x:v>
      </x:c>
      <x:c r="Z34" s="9">
        <x:f t="shared" si="7"/>
        <x:v>402.13228571910093</x:v>
      </x:c>
      <x:c r="AA34" s="9" t="n">
        <x:f>SQRT((Inputs!$C$52+B34)^2+(Inputs!$C$52+Y34/1000)^2-2*(Inputs!$C$52+B34)*(Inputs!$C$52+Y34/1000)*COS(SQRT(A34^2+Inputs!$C$6^2)/Inputs!$C$52))</x:f>
        <x:v>405.93791685609267</x:v>
      </x:c>
      <x:c r="AB34" s="9">
        <x:f t="shared" si="8"/>
        <x:v>3805.6311369917353</x:v>
      </x:c>
      <x:c r="AC34" s="9" t="n">
        <x:f>AB34/Inputs!$C$12</x:f>
        <x:v>2137.995020781874</x:v>
      </x:c>
      <x:c r="AD34" s="9" t="n">
        <x:f>2*AB34/Inputs!$C$21*1000000</x:f>
        <x:v>25.388438137371256</x:v>
      </x:c>
      <x:c r="AE34" s="9">
        <x:f t="shared" si="9"/>
        <x:v>7.1758809025413592</x:v>
      </x:c>
      <x:c r="AF34" s="9" t="n">
        <x:f>DEGREES((2*PI()/Inputs!$C$13)*Inputs!$C$15*SIN(RADIANS(AE34)))</x:f>
        <x:v>44.96961030675303</x:v>
      </x:c>
      <x:c r="AG34" s="9">
        <x:f t="shared" si="10"/>
        <x:v>0.96302440841133741</x:v>
      </x:c>
      <x:c r="AH34" s="9">
        <x:f t="shared" si="11"/>
        <x:v>-0.16362705290815846</x:v>
      </x:c>
      <x:c r="AI34" s="9">
        <x:f t="shared" si="12"/>
        <x:v>-100.45982557596244</x:v>
      </x:c>
      <x:c r="AJ34" s="9">
        <x:f t="shared" si="13"/>
        <x:v>-1.1929485532635553</x:v>
      </x:c>
      <x:c r="AK34" s="9">
        <x:f t="shared" si="14"/>
        <x:v>181.29133057215321</x:v>
      </x:c>
      <x:c r="AL34" s="9" t="n">
        <x:f>1000*(AA35-AA33)/(A35-A33)*Inputs!$C$11</x:f>
        <x:v>-969.6007884754181</x:v>
      </x:c>
      <x:c r="AM34" s="9" t="n">
        <x:f>-2*AL34/Inputs!$C$13</x:f>
        <x:v>387.84031539016723</x:v>
      </x:c>
      <x:c r="AN34" s="9" t="n">
        <x:f>-2*AL34/Inputs!$C$14</x:f>
        <x:v>58.2342815901152</x:v>
      </x:c>
      <x:c r="AO34" s="9">
        <x:f t="shared" si="15"/>
        <x:v>387.84031539016723</x:v>
      </x:c>
      <x:c r="AP34" s="9">
        <x:f t="shared" si="16"/>
        <x:v>58.234281590115202</x:v>
      </x:c>
      <x:c r="AQ34" s="9" t="n">
        <x:f>IF(OR(Inputs!$C$27=TRUE,Inputs!$C$27="TRUE",Inputs!$C$27=1),Inputs!$C$46/Inputs!$C$12,0)</x:f>
        <x:v>42.13483146067416</x:v>
      </x:c>
      <x:c r="AR34" s="9">
        <x:f t="shared" si="17"/>
        <x:v>2095.8601893211994</x:v>
      </x:c>
      <x:c r="AS34" s="9">
        <x:f t="shared" si="18"/>
        <x:v>2180.1298522425482</x:v>
      </x:c>
    </x:row>
    <x:row r="35">
      <x:c r="A35" s="9" t="n">
        <x:f>Inputs!$C$7+33*(Inputs!$C$8-Inputs!$C$7)/240</x:f>
        <x:v>-43.5</x:v>
      </x:c>
      <x:c r="B35" s="9" t="n">
        <x:f>Inputs!$C$5+Inputs!$C$9*(A35/Inputs!$C$10)^2</x:f>
        <x:v>402.1025</x:v>
      </x:c>
      <x:c r="C35" s="9">
        <x:f t="shared" si="0"/>
        <x:v>402.10250000000002</x:v>
      </x:c>
      <x:c r="D35" s="9" t="n">
        <x:f>SQRT((Inputs!$C$52+B35)^2+Inputs!$C$52^2-2*(Inputs!$C$52+B35)*Inputs!$C$52*COS(SQRT(A35^2+Inputs!$C$6^2)/Inputs!$C$52))</x:f>
        <x:v>406.0195890633783</x:v>
      </x:c>
      <x:c r="E35" s="9">
        <x:f t="shared" si="1"/>
        <x:v>3917.0890633782847</x:v>
      </x:c>
      <x:c r="F35" s="9" t="n">
        <x:f>E35/Inputs!$C$12</x:f>
        <x:v>2200.611833358587</x:v>
      </x:c>
      <x:c r="G35" s="9" t="n">
        <x:f>2*E35/Inputs!$C$21*1000000</x:f>
        <x:v>26.132005384727087</x:v>
      </x:c>
      <x:c r="H35" s="9" t="n">
        <x:f>SQRT(A35^2+Inputs!$C$6^2)</x:f>
        <x:v>50.172203459684724</x:v>
      </x:c>
      <x:c r="I35" s="9">
        <x:f t="shared" si="2"/>
        <x:v>7.1123037002334444</x:v>
      </x:c>
      <x:c r="J35" s="9" t="n">
        <x:f>DEGREES((2*PI()/Inputs!$C$13)*Inputs!$C$15*SIN(RADIANS(I35)))</x:f>
        <x:v>44.5732442380817</x:v>
      </x:c>
      <x:c r="K35" s="9">
        <x:f t="shared" si="3"/>
        <x:v>0.9619647181791855</x:v>
      </x:c>
      <x:c r="L35" s="9">
        <x:f t="shared" si="4"/>
        <x:v>-0.16840856216949901</x:v>
      </x:c>
      <x:c r="M35" s="9" t="n">
        <x:f>2*(Inputs!$C$9/(Inputs!$C$10^2))*A35</x:f>
        <x:v>-0.09666666666666666</x:v>
      </x:c>
      <x:c r="N35" s="9" t="n">
        <x:f>M35*Inputs!$C$11</x:f>
        <x:v>-0.38666666666666666</x:v>
      </x:c>
      <x:c r="O35" s="9" t="n">
        <x:f>1000*(D36-D34)/(A36-A34)*Inputs!$C$11</x:f>
        <x:v>-922.566818496307</x:v>
      </x:c>
      <x:c r="P35" s="9" t="n">
        <x:f>-2*O35/Inputs!$C$13</x:f>
        <x:v>369.0267273985228</x:v>
      </x:c>
      <x:c r="Q35" s="9" t="n">
        <x:f>-2*O35/Inputs!$C$14</x:f>
        <x:v>55.40941852830673</x:v>
      </x:c>
      <x:c r="R35" s="9" t="n">
        <x:f>F35-Inputs!$C$16/2</x:f>
        <x:v>2185.611833358587</x:v>
      </x:c>
      <x:c r="S35" s="9" t="n">
        <x:f>F35+Inputs!$C$16/2</x:f>
        <x:v>2215.611833358587</x:v>
      </x:c>
      <x:c r="T35" s="9" t="n">
        <x:f>F35-Inputs!$C$17/2</x:f>
        <x:v>2050.611833358587</x:v>
      </x:c>
      <x:c r="U35" s="9" t="n">
        <x:f>F35+Inputs!$C$17/2</x:f>
        <x:v>2350.611833358587</x:v>
      </x:c>
      <x:c r="V35" s="9">
        <x:f t="shared" si="5"/>
        <x:v>369.02672739852278</x:v>
      </x:c>
      <x:c r="W35" s="9">
        <x:f t="shared" si="6"/>
        <x:v>55.40941852830673</x:v>
      </x:c>
      <x:c r="X35" s="9"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x:f>
        <x:v>22.55480739682735</x:v>
      </x:c>
      <x:c r="Y35" s="9"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x:f>
        <x:v>210.8483953416035</x:v>
      </x:c>
      <x:c r="Z35" s="9">
        <x:f t="shared" si="7"/>
        <x:v>402.07994519260319</x:v>
      </x:c>
      <x:c r="AA35" s="9" t="n">
        <x:f>SQRT((Inputs!$C$52+B35)^2+(Inputs!$C$52+Y35/1000)^2-2*(Inputs!$C$52+B35)*(Inputs!$C$52+Y35/1000)*COS(SQRT(A35^2+Inputs!$C$6^2)/Inputs!$C$52))</x:f>
        <x:v>405.811302765015</x:v>
      </x:c>
      <x:c r="AB35" s="9">
        <x:f t="shared" si="8"/>
        <x:v>3731.3575724118095</x:v>
      </x:c>
      <x:c r="AC35" s="9" t="n">
        <x:f>AB35/Inputs!$C$12</x:f>
        <x:v>2096.268299107758</x:v>
      </x:c>
      <x:c r="AD35" s="9" t="n">
        <x:f>2*AB35/Inputs!$C$21*1000000</x:f>
        <x:v>24.892938250046367</x:v>
      </x:c>
      <x:c r="AE35" s="9">
        <x:f t="shared" si="9"/>
        <x:v>7.1159968552869222</x:v>
      </x:c>
      <x:c r="AF35" s="9" t="n">
        <x:f>DEGREES((2*PI()/Inputs!$C$13)*Inputs!$C$15*SIN(RADIANS(AE35)))</x:f>
        <x:v>44.5962703709262</x:v>
      </x:c>
      <x:c r="AG35" s="9">
        <x:f t="shared" si="10"/>
        <x:v>0.96372492726932346</x:v>
      </x:c>
      <x:c r="AH35" s="9">
        <x:f t="shared" si="11"/>
        <x:v>-0.16046907607885597</x:v>
      </x:c>
      <x:c r="AI35" s="9">
        <x:f t="shared" si="12"/>
        <x:v>-104.34353425082872</x:v>
      </x:c>
      <x:c r="AJ35" s="9">
        <x:f t="shared" si="13"/>
        <x:v>-1.2390671346807203</x:v>
      </x:c>
      <x:c r="AK35" s="9">
        <x:f t="shared" si="14"/>
        <x:v>188.29358794477614</x:v>
      </x:c>
      <x:c r="AL35" s="9" t="n">
        <x:f>1000*(AA36-AA34)/(A36-A34)*Inputs!$C$11</x:f>
        <x:v>-845.595718056984</x:v>
      </x:c>
      <x:c r="AM35" s="9" t="n">
        <x:f>-2*AL35/Inputs!$C$13</x:f>
        <x:v>338.2382872227936</x:v>
      </x:c>
      <x:c r="AN35" s="9" t="n">
        <x:f>-2*AL35/Inputs!$C$14</x:f>
        <x:v>50.78652961303207</x:v>
      </x:c>
      <x:c r="AO35" s="9">
        <x:f t="shared" si="15"/>
        <x:v>338.23828722279359</x:v>
      </x:c>
      <x:c r="AP35" s="9">
        <x:f t="shared" si="16"/>
        <x:v>50.786529613032073</x:v>
      </x:c>
      <x:c r="AQ35" s="9" t="n">
        <x:f>IF(OR(Inputs!$C$27=TRUE,Inputs!$C$27="TRUE",Inputs!$C$27=1),Inputs!$C$46/Inputs!$C$12,0)</x:f>
        <x:v>42.13483146067416</x:v>
      </x:c>
      <x:c r="AR35" s="9">
        <x:f t="shared" si="17"/>
        <x:v>2054.1334676470838</x:v>
      </x:c>
      <x:c r="AS35" s="9">
        <x:f t="shared" si="18"/>
        <x:v>2138.4031305684325</x:v>
      </x:c>
    </x:row>
    <x:row r="36">
      <x:c r="A36" s="9" t="n">
        <x:f>Inputs!$C$7+34*(Inputs!$C$8-Inputs!$C$7)/240</x:f>
        <x:v>-43</x:v>
      </x:c>
      <x:c r="B36" s="9" t="n">
        <x:f>Inputs!$C$5+Inputs!$C$9*(A36/Inputs!$C$10)^2</x:f>
        <x:v>402.05444444444447</x:v>
      </x:c>
      <x:c r="C36" s="9">
        <x:f t="shared" si="0"/>
        <x:v>402.05444444444447</x:v>
      </x:c>
      <x:c r="D36" s="9" t="n">
        <x:f>SQRT((Inputs!$C$52+B36)^2+Inputs!$C$52^2-2*(Inputs!$C$52+B36)*Inputs!$C$52*COS(SQRT(A36^2+Inputs!$C$6^2)/Inputs!$C$52))</x:f>
        <x:v>405.904919033004</x:v>
      </x:c>
      <x:c r="E36" s="9">
        <x:f t="shared" si="1"/>
        <x:v>3850.4745885595071</x:v>
      </x:c>
      <x:c r="F36" s="9" t="n">
        <x:f>E36/Inputs!$C$12</x:f>
        <x:v>2163.1879711008464</x:v>
      </x:c>
      <x:c r="G36" s="9" t="n">
        <x:f>2*E36/Inputs!$C$21*1000000</x:f>
        <x:v>25.687601444326575</x:v>
      </x:c>
      <x:c r="H36" s="9" t="n">
        <x:f>SQRT(A36^2+Inputs!$C$6^2)</x:f>
        <x:v>49.73932046178355</x:v>
      </x:c>
      <x:c r="I36" s="9">
        <x:f t="shared" si="2"/>
        <x:v>7.0523939154276203</x:v>
      </x:c>
      <x:c r="J36" s="9" t="n">
        <x:f>DEGREES((2*PI()/Inputs!$C$13)*Inputs!$C$15*SIN(RADIANS(I36)))</x:f>
        <x:v>44.1996921044198</x:v>
      </x:c>
      <x:c r="K36" s="9">
        <x:f t="shared" si="3"/>
        <x:v>0.96259191926554377</x:v>
      </x:c>
      <x:c r="L36" s="9">
        <x:f t="shared" si="4"/>
        <x:v>-0.16557788444152105</x:v>
      </x:c>
      <x:c r="M36" s="9" t="n">
        <x:f>2*(Inputs!$C$9/(Inputs!$C$10^2))*A36</x:f>
        <x:v>-0.09555555555555556</x:v>
      </x:c>
      <x:c r="N36" s="9" t="n">
        <x:f>M36*Inputs!$C$11</x:f>
        <x:v>-0.38222222222222224</x:v>
      </x:c>
      <x:c r="O36" s="9" t="n">
        <x:f>1000*(D37-D35)/(A37-A35)*Inputs!$C$11</x:f>
        <x:v>-912.1504706984069</x:v>
      </x:c>
      <x:c r="P36" s="9" t="n">
        <x:f>-2*O36/Inputs!$C$13</x:f>
        <x:v>364.8601882793628</x:v>
      </x:c>
      <x:c r="Q36" s="9" t="n">
        <x:f>-2*O36/Inputs!$C$14</x:f>
        <x:v>54.78381205395838</x:v>
      </x:c>
      <x:c r="R36" s="9" t="n">
        <x:f>F36-Inputs!$C$16/2</x:f>
        <x:v>2148.1879711008464</x:v>
      </x:c>
      <x:c r="S36" s="9" t="n">
        <x:f>F36+Inputs!$C$16/2</x:f>
        <x:v>2178.1879711008464</x:v>
      </x:c>
      <x:c r="T36" s="9" t="n">
        <x:f>F36-Inputs!$C$17/2</x:f>
        <x:v>2013.1879711008464</x:v>
      </x:c>
      <x:c r="U36" s="9" t="n">
        <x:f>F36+Inputs!$C$17/2</x:f>
        <x:v>2313.1879711008464</x:v>
      </x:c>
      <x:c r="V36" s="9">
        <x:f t="shared" si="5"/>
        <x:v>364.86018827936277</x:v>
      </x:c>
      <x:c r="W36" s="9">
        <x:f t="shared" si="6"/>
        <x:v>54.783812053958378</x:v>
      </x:c>
      <x:c r="X36" s="9"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x:f>
        <x:v>3.69479063881065</x:v>
      </x:c>
      <x:c r="Y36" s="9"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x:f>
        <x:v>180.5581841932563</x:v>
      </x:c>
      <x:c r="Z36" s="9">
        <x:f t="shared" si="7"/>
        <x:v>402.05074965380567</x:v>
      </x:c>
      <x:c r="AA36" s="9" t="n">
        <x:f>SQRT((Inputs!$C$52+B36)^2+(Inputs!$C$52+Y36/1000)^2-2*(Inputs!$C$52+B36)*(Inputs!$C$52+Y36/1000)*COS(SQRT(A36^2+Inputs!$C$6^2)/Inputs!$C$52))</x:f>
        <x:v>405.7265179265784</x:v>
      </x:c>
      <x:c r="AB36" s="9">
        <x:f t="shared" si="8"/>
        <x:v>3675.768272772757</x:v>
      </x:c>
      <x:c r="AC36" s="9" t="n">
        <x:f>AB36/Inputs!$C$12</x:f>
        <x:v>2065.038355490313</x:v>
      </x:c>
      <x:c r="AD36" s="9" t="n">
        <x:f>2*AB36/Inputs!$C$21*1000000</x:f>
        <x:v>24.522086361310375</x:v>
      </x:c>
      <x:c r="AE36" s="9">
        <x:f t="shared" si="9"/>
        <x:v>7.0555305620164139</x:v>
      </x:c>
      <x:c r="AF36" s="9" t="n">
        <x:f>DEGREES((2*PI()/Inputs!$C$13)*Inputs!$C$15*SIN(RADIANS(AE36)))</x:f>
        <x:v>44.219251064000694</x:v>
      </x:c>
      <x:c r="AG36" s="9">
        <x:f t="shared" si="10"/>
        <x:v>0.96425062707105436</x:v>
      </x:c>
      <x:c r="AH36" s="9">
        <x:f t="shared" si="11"/>
        <x:v>-0.15810070031627416</x:v>
      </x:c>
      <x:c r="AI36" s="9">
        <x:f t="shared" si="12"/>
        <x:v>-98.149615610533601</x:v>
      </x:c>
      <x:c r="AJ36" s="9">
        <x:f t="shared" si="13"/>
        <x:v>-1.1655150830161993</x:v>
      </x:c>
      <x:c r="AK36" s="9">
        <x:f t="shared" si="14"/>
        <x:v>176.86339355444565</x:v>
      </x:c>
      <x:c r="AL36" s="9" t="n">
        <x:f>1000*(AA37-AA35)/(A37-A35)*Inputs!$C$11</x:f>
        <x:v>-797.384205355911</x:v>
      </x:c>
      <x:c r="AM36" s="9" t="n">
        <x:f>-2*AL36/Inputs!$C$13</x:f>
        <x:v>318.9536821423644</x:v>
      </x:c>
      <x:c r="AN36" s="9" t="n">
        <x:f>-2*AL36/Inputs!$C$14</x:f>
        <x:v>47.89094326461929</x:v>
      </x:c>
      <x:c r="AO36" s="9">
        <x:f t="shared" si="15"/>
        <x:v>318.95368214236441</x:v>
      </x:c>
      <x:c r="AP36" s="9">
        <x:f t="shared" si="16"/>
        <x:v>47.890943264619288</x:v>
      </x:c>
      <x:c r="AQ36" s="9" t="n">
        <x:f>IF(OR(Inputs!$C$27=TRUE,Inputs!$C$27="TRUE",Inputs!$C$27=1),Inputs!$C$46/Inputs!$C$12,0)</x:f>
        <x:v>42.13483146067416</x:v>
      </x:c>
      <x:c r="AR36" s="9">
        <x:f t="shared" si="17"/>
        <x:v>2022.9035240296387</x:v>
      </x:c>
      <x:c r="AS36" s="9">
        <x:f t="shared" si="18"/>
        <x:v>2107.1731869509872</x:v>
      </x:c>
    </x:row>
    <x:row r="37">
      <x:c r="A37" s="9" t="n">
        <x:f>Inputs!$C$7+35*(Inputs!$C$8-Inputs!$C$7)/240</x:f>
        <x:v>-42.5</x:v>
      </x:c>
      <x:c r="B37" s="9" t="n">
        <x:f>Inputs!$C$5+Inputs!$C$9*(A37/Inputs!$C$10)^2</x:f>
        <x:v>402.00694444444446</x:v>
      </x:c>
      <x:c r="C37" s="9">
        <x:f t="shared" si="0"/>
        <x:v>402.00694444444446</x:v>
      </x:c>
      <x:c r="D37" s="9" t="n">
        <x:f>SQRT((Inputs!$C$52+B37)^2+Inputs!$C$52^2-2*(Inputs!$C$52+B37)*Inputs!$C$52*COS(SQRT(A37^2+Inputs!$C$6^2)/Inputs!$C$52))</x:f>
        <x:v>405.7915514457037</x:v>
      </x:c>
      <x:c r="E37" s="9">
        <x:f t="shared" si="1"/>
        <x:v>3784.6070012592463</x:v>
      </x:c>
      <x:c r="F37" s="9" t="n">
        <x:f>E37/Inputs!$C$12</x:f>
        <x:v>2126.18370857261</x:v>
      </x:c>
      <x:c r="G37" s="9" t="n">
        <x:f>2*E37/Inputs!$C$21*1000000</x:f>
        <x:v>25.24818020111264</x:v>
      </x:c>
      <x:c r="H37" s="9" t="n">
        <x:f>SQRT(A37^2+Inputs!$C$6^2)</x:f>
        <x:v>49.30770730829005</x:v>
      </x:c>
      <x:c r="I37" s="9">
        <x:f t="shared" si="2"/>
        <x:v>6.9926230322802692</x:v>
      </x:c>
      <x:c r="J37" s="9" t="n">
        <x:f>DEGREES((2*PI()/Inputs!$C$13)*Inputs!$C$15*SIN(RADIANS(I37)))</x:f>
        <x:v>43.82695789939304</x:v>
      </x:c>
      <x:c r="K37" s="9">
        <x:f t="shared" si="3"/>
        <x:v>0.96321273991492051</x:v>
      </x:c>
      <x:c r="L37" s="9">
        <x:f t="shared" si="4"/>
        <x:v>-0.16277781860586732</x:v>
      </x:c>
      <x:c r="M37" s="9" t="n">
        <x:f>2*(Inputs!$C$9/(Inputs!$C$10^2))*A37</x:f>
        <x:v>-0.09444444444444444</x:v>
      </x:c>
      <x:c r="N37" s="9" t="n">
        <x:f>M37*Inputs!$C$11</x:f>
        <x:v>-0.37777777777777777</x:v>
      </x:c>
      <x:c r="O37" s="9" t="n">
        <x:f>1000*(D38-D36)/(A38-A36)*Inputs!$C$11</x:f>
        <x:v>-901.7277618504522</x:v>
      </x:c>
      <x:c r="P37" s="9" t="n">
        <x:f>-2*O37/Inputs!$C$13</x:f>
        <x:v>360.6911047401809</x:v>
      </x:c>
      <x:c r="Q37" s="9" t="n">
        <x:f>-2*O37/Inputs!$C$14</x:f>
        <x:v>54.1578235345617</x:v>
      </x:c>
      <x:c r="R37" s="9" t="n">
        <x:f>F37-Inputs!$C$16/2</x:f>
        <x:v>2111.18370857261</x:v>
      </x:c>
      <x:c r="S37" s="9" t="n">
        <x:f>F37+Inputs!$C$16/2</x:f>
        <x:v>2141.18370857261</x:v>
      </x:c>
      <x:c r="T37" s="9" t="n">
        <x:f>F37-Inputs!$C$17/2</x:f>
        <x:v>1976.1837085726102</x:v>
      </x:c>
      <x:c r="U37" s="9" t="n">
        <x:f>F37+Inputs!$C$17/2</x:f>
        <x:v>2276.18370857261</x:v>
      </x:c>
      <x:c r="V37" s="9">
        <x:f t="shared" si="5"/>
        <x:v>360.69110474018089</x:v>
      </x:c>
      <x:c r="W37" s="9">
        <x:f t="shared" si="6"/>
        <x:v>54.1578235345617</x:v>
      </x:c>
      <x:c r="X37" s="9"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x:f>
        <x:v>9.477549494288523</x:v>
      </x:c>
      <x:c r="Y37" s="9"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x:f>
        <x:v>181.7291755177202</x:v>
      </x:c>
      <x:c r="Z37" s="9">
        <x:f t="shared" si="7"/>
        <x:v>401.99746689495015</x:v>
      </x:c>
      <x:c r="AA37" s="9" t="n">
        <x:f>SQRT((Inputs!$C$52+B37)^2+(Inputs!$C$52+Y37/1000)^2-2*(Inputs!$C$52+B37)*(Inputs!$C$52+Y37/1000)*COS(SQRT(A37^2+Inputs!$C$6^2)/Inputs!$C$52))</x:f>
        <x:v>405.611956713676</x:v>
      </x:c>
      <x:c r="AB37" s="9">
        <x:f t="shared" si="8"/>
        <x:v>3614.4898187258718</x:v>
      </x:c>
      <x:c r="AC37" s="9" t="n">
        <x:f>AB37/Inputs!$C$12</x:f>
        <x:v>2030.612257711164</x:v>
      </x:c>
      <x:c r="AD37" s="9" t="n">
        <x:f>2*AB37/Inputs!$C$21*1000000</x:f>
        <x:v>24.113280519724558</x:v>
      </x:c>
      <x:c r="AE37" s="9">
        <x:f t="shared" si="9"/>
        <x:v>6.9957541802293859</x:v>
      </x:c>
      <x:c r="AF37" s="9" t="n">
        <x:f>DEGREES((2*PI()/Inputs!$C$13)*Inputs!$C$15*SIN(RADIANS(AE37)))</x:f>
        <x:v>43.84648508136022</x:v>
      </x:c>
      <x:c r="AG37" s="9">
        <x:f t="shared" si="10"/>
        <x:v>0.96482882740252252</x:v>
      </x:c>
      <x:c r="AH37" s="9">
        <x:f t="shared" si="11"/>
        <x:v>-0.15549729048441288</x:v>
      </x:c>
      <x:c r="AI37" s="9">
        <x:f t="shared" si="12"/>
        <x:v>-95.571450861446237</x:v>
      </x:c>
      <x:c r="AJ37" s="9">
        <x:f t="shared" si="13"/>
        <x:v>-1.1348996813880809</x:v>
      </x:c>
      <x:c r="AK37" s="9">
        <x:f t="shared" si="14"/>
        <x:v>172.25162602343167</x:v>
      </x:c>
      <x:c r="AL37" s="9" t="n">
        <x:f>1000*(AA38-AA36)/(A38-A36)*Inputs!$C$11</x:f>
        <x:v>-862.7560750053362</x:v>
      </x:c>
      <x:c r="AM37" s="9" t="n">
        <x:f>-2*AL37/Inputs!$C$13</x:f>
        <x:v>345.1024300021345</x:v>
      </x:c>
      <x:c r="AN37" s="9" t="n">
        <x:f>-2*AL37/Inputs!$C$14</x:f>
        <x:v>51.81718168200218</x:v>
      </x:c>
      <x:c r="AO37" s="9">
        <x:f t="shared" si="15"/>
        <x:v>345.1024300021345</x:v>
      </x:c>
      <x:c r="AP37" s="9">
        <x:f t="shared" si="16"/>
        <x:v>51.817181682002179</x:v>
      </x:c>
      <x:c r="AQ37" s="9" t="n">
        <x:f>IF(OR(Inputs!$C$27=TRUE,Inputs!$C$27="TRUE",Inputs!$C$27=1),Inputs!$C$46/Inputs!$C$12,0)</x:f>
        <x:v>42.13483146067416</x:v>
      </x:c>
      <x:c r="AR37" s="9">
        <x:f t="shared" si="17"/>
        <x:v>1988.4774262504898</x:v>
      </x:c>
      <x:c r="AS37" s="9">
        <x:f t="shared" si="18"/>
        <x:v>2072.7470891718381</x:v>
      </x:c>
    </x:row>
    <x:row r="38">
      <x:c r="A38" s="9" t="n">
        <x:f>Inputs!$C$7+36*(Inputs!$C$8-Inputs!$C$7)/240</x:f>
        <x:v>-42</x:v>
      </x:c>
      <x:c r="B38" s="9" t="n">
        <x:f>Inputs!$C$5+Inputs!$C$9*(A38/Inputs!$C$10)^2</x:f>
        <x:v>401.96</x:v>
      </x:c>
      <x:c r="C38" s="9">
        <x:f t="shared" si="0"/>
        <x:v>401.96</x:v>
      </x:c>
      <x:c r="D38" s="9" t="n">
        <x:f>SQRT((Inputs!$C$52+B38)^2+Inputs!$C$52^2-2*(Inputs!$C$52+B38)*Inputs!$C$52*COS(SQRT(A38^2+Inputs!$C$6^2)/Inputs!$C$52))</x:f>
        <x:v>405.67948709254136</x:v>
      </x:c>
      <x:c r="E38" s="9">
        <x:f t="shared" si="1"/>
        <x:v>3719.4870925413852</x:v>
      </x:c>
      <x:c r="F38" s="9" t="n">
        <x:f>E38/Inputs!$C$12</x:f>
        <x:v>2089.5994901917893</x:v>
      </x:c>
      <x:c r="G38" s="9" t="n">
        <x:f>2*E38/Inputs!$C$21*1000000</x:f>
        <x:v>24.813746932495448</x:v>
      </x:c>
      <x:c r="H38" s="9" t="n">
        <x:f>SQRT(A38^2+Inputs!$C$6^2)</x:f>
        <x:v>48.877397639399746</x:v>
      </x:c>
      <x:c r="I38" s="9">
        <x:f t="shared" si="2"/>
        <x:v>6.9329963219162467</x:v>
      </x:c>
      <x:c r="J38" s="9" t="n">
        <x:f>DEGREES((2*PI()/Inputs!$C$13)*Inputs!$C$15*SIN(RADIANS(I38)))</x:f>
        <x:v>43.45507523985368</x:v>
      </x:c>
      <x:c r="K38" s="9">
        <x:f t="shared" si="3"/>
        <x:v>0.96382715141542996</x:v>
      </x:c>
      <x:c r="L38" s="9">
        <x:f t="shared" si="4"/>
        <x:v>-0.16000843604631027</x:v>
      </x:c>
      <x:c r="M38" s="9" t="n">
        <x:f>2*(Inputs!$C$9/(Inputs!$C$10^2))*A38</x:f>
        <x:v>-0.09333333333333334</x:v>
      </x:c>
      <x:c r="N38" s="9" t="n">
        <x:f>M38*Inputs!$C$11</x:f>
        <x:v>-0.37333333333333335</x:v>
      </x:c>
      <x:c r="O38" s="9" t="n">
        <x:f>1000*(D39-D37)/(A39-A37)*Inputs!$C$11</x:f>
        <x:v>-891.298757131608</x:v>
      </x:c>
      <x:c r="P38" s="9" t="n">
        <x:f>-2*O38/Inputs!$C$13</x:f>
        <x:v>356.5195028526432</x:v>
      </x:c>
      <x:c r="Q38" s="9" t="n">
        <x:f>-2*O38/Inputs!$C$14</x:f>
        <x:v>53.531456884781264</x:v>
      </x:c>
      <x:c r="R38" s="9" t="n">
        <x:f>F38-Inputs!$C$16/2</x:f>
        <x:v>2074.5994901917893</x:v>
      </x:c>
      <x:c r="S38" s="9" t="n">
        <x:f>F38+Inputs!$C$16/2</x:f>
        <x:v>2104.5994901917893</x:v>
      </x:c>
      <x:c r="T38" s="9" t="n">
        <x:f>F38-Inputs!$C$17/2</x:f>
        <x:v>1939.5994901917893</x:v>
      </x:c>
      <x:c r="U38" s="9" t="n">
        <x:f>F38+Inputs!$C$17/2</x:f>
        <x:v>2239.5994901917893</x:v>
      </x:c>
      <x:c r="V38" s="9">
        <x:f t="shared" si="5"/>
        <x:v>356.5195028526432</x:v>
      </x:c>
      <x:c r="W38" s="9">
        <x:f t="shared" si="6"/>
        <x:v>53.531456884781264</x:v>
      </x:c>
      <x:c r="X38" s="9"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x:f>
        <x:v>-8.691303525994272</x:v>
      </x:c>
      <x:c r="Y38" s="9"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x:f>
        <x:v>170.62817299697477</x:v>
      </x:c>
      <x:c r="Z38" s="9">
        <x:f t="shared" si="7"/>
        <x:v>401.96869130352599</x:v>
      </x:c>
      <x:c r="AA38" s="9" t="n">
        <x:f>SQRT((Inputs!$C$52+B38)^2+(Inputs!$C$52+Y38/1000)^2-2*(Inputs!$C$52+B38)*(Inputs!$C$52+Y38/1000)*COS(SQRT(A38^2+Inputs!$C$6^2)/Inputs!$C$52))</x:f>
        <x:v>405.5108289078271</x:v>
      </x:c>
      <x:c r="AB38" s="9">
        <x:f t="shared" si="8"/>
        <x:v>3542.1376043011037</x:v>
      </x:c>
      <x:c r="AC38" s="9" t="n">
        <x:f>AB38/Inputs!$C$12</x:f>
        <x:v>1989.964946236575</x:v>
      </x:c>
      <x:c r="AD38" s="9" t="n">
        <x:f>2*AB38/Inputs!$C$21*1000000</x:f>
        <x:v>23.63059850092095</x:v>
      </x:c>
      <x:c r="AE38" s="9">
        <x:f t="shared" si="9"/>
        <x:v>6.9359118888381346</x:v>
      </x:c>
      <x:c r="AF38" s="9" t="n">
        <x:f>DEGREES((2*PI()/Inputs!$C$13)*Inputs!$C$15*SIN(RADIANS(AE38)))</x:f>
        <x:v>43.47326028179477</x:v>
      </x:c>
      <x:c r="AG38" s="9">
        <x:f t="shared" si="10"/>
        <x:v>0.96551513630542662</x:v>
      </x:c>
      <x:c r="AH38" s="9">
        <x:f t="shared" si="11"/>
        <x:v>-0.15240913430525482</x:v>
      </x:c>
      <x:c r="AI38" s="9">
        <x:f t="shared" si="12"/>
        <x:v>-99.634543955214212</x:v>
      </x:c>
      <x:c r="AJ38" s="9">
        <x:f t="shared" si="13"/>
        <x:v>-1.183148431574498</x:v>
      </x:c>
      <x:c r="AK38" s="9">
        <x:f t="shared" si="14"/>
        <x:v>179.31947652301818</x:v>
      </x:c>
      <x:c r="AL38" s="9" t="n">
        <x:f>1000*(AA39-AA37)/(A39-A37)*Inputs!$C$11</x:f>
        <x:v>-850.6823653128777</x:v>
      </x:c>
      <x:c r="AM38" s="9" t="n">
        <x:f>-2*AL38/Inputs!$C$13</x:f>
        <x:v>340.27294612515107</x:v>
      </x:c>
      <x:c r="AN38" s="9" t="n">
        <x:f>-2*AL38/Inputs!$C$14</x:f>
        <x:v>51.09203395272539</x:v>
      </x:c>
      <x:c r="AO38" s="9">
        <x:f t="shared" si="15"/>
        <x:v>340.27294612515107</x:v>
      </x:c>
      <x:c r="AP38" s="9">
        <x:f t="shared" si="16"/>
        <x:v>51.092033952725387</x:v>
      </x:c>
      <x:c r="AQ38" s="9" t="n">
        <x:f>IF(OR(Inputs!$C$27=TRUE,Inputs!$C$27="TRUE",Inputs!$C$27=1),Inputs!$C$46/Inputs!$C$12,0)</x:f>
        <x:v>42.13483146067416</x:v>
      </x:c>
      <x:c r="AR38" s="9">
        <x:f t="shared" si="17"/>
        <x:v>1947.8301147759009</x:v>
      </x:c>
      <x:c r="AS38" s="9">
        <x:f t="shared" si="18"/>
        <x:v>2032.0997776972492</x:v>
      </x:c>
    </x:row>
    <x:row r="39">
      <x:c r="A39" s="9" t="n">
        <x:f>Inputs!$C$7+37*(Inputs!$C$8-Inputs!$C$7)/240</x:f>
        <x:v>-41.5</x:v>
      </x:c>
      <x:c r="B39" s="9" t="n">
        <x:f>Inputs!$C$5+Inputs!$C$9*(A39/Inputs!$C$10)^2</x:f>
        <x:v>401.9136111111111</x:v>
      </x:c>
      <x:c r="C39" s="9">
        <x:f t="shared" si="0"/>
        <x:v>401.91361111111109</x:v>
      </x:c>
      <x:c r="D39" s="9" t="n">
        <x:f>SQRT((Inputs!$C$52+B39)^2+Inputs!$C$52^2-2*(Inputs!$C$52+B39)*Inputs!$C$52*COS(SQRT(A39^2+Inputs!$C$6^2)/Inputs!$C$52))</x:f>
        <x:v>405.5687267564208</x:v>
      </x:c>
      <x:c r="E39" s="9">
        <x:f t="shared" si="1"/>
        <x:v>3655.1156453097065</x:v>
      </x:c>
      <x:c r="F39" s="9" t="n">
        <x:f>E39/Inputs!$C$12</x:f>
        <x:v>2053.4357557919698</x:v>
      </x:c>
      <x:c r="G39" s="9" t="n">
        <x:f>2*E39/Inputs!$C$21*1000000</x:f>
        <x:v>24.384306861446838</x:v>
      </x:c>
      <x:c r="H39" s="9" t="n">
        <x:f>SQRT(A39^2+Inputs!$C$6^2)</x:f>
        <x:v>48.44842618702903</x:v>
      </x:c>
      <x:c r="I39" s="9">
        <x:f t="shared" si="2"/>
        <x:v>6.8735192129301588</x:v>
      </x:c>
      <x:c r="J39" s="9" t="n">
        <x:f>DEGREES((2*PI()/Inputs!$C$13)*Inputs!$C$15*SIN(RADIANS(I39)))</x:f>
        <x:v>43.0840787351217</x:v>
      </x:c>
      <x:c r="K39" s="9">
        <x:f t="shared" si="3"/>
        <x:v>0.96443512529826658</x:v>
      </x:c>
      <x:c r="L39" s="9">
        <x:f t="shared" si="4"/>
        <x:v>-0.15726980744380722</x:v>
      </x:c>
      <x:c r="M39" s="9" t="n">
        <x:f>2*(Inputs!$C$9/(Inputs!$C$10^2))*A39</x:f>
        <x:v>-0.09222222222222222</x:v>
      </x:c>
      <x:c r="N39" s="9" t="n">
        <x:f>M39*Inputs!$C$11</x:f>
        <x:v>-0.3688888888888889</x:v>
      </x:c>
      <x:c r="O39" s="9" t="n">
        <x:f>1000*(D40-D38)/(A40-A38)*Inputs!$C$11</x:f>
        <x:v>-880.8635219918415</x:v>
      </x:c>
      <x:c r="P39" s="9" t="n">
        <x:f>-2*O39/Inputs!$C$13</x:f>
        <x:v>352.3454087967366</x:v>
      </x:c>
      <x:c r="Q39" s="9" t="n">
        <x:f>-2*O39/Inputs!$C$14</x:f>
        <x:v>52.90471603554604</x:v>
      </x:c>
      <x:c r="R39" s="9" t="n">
        <x:f>F39-Inputs!$C$16/2</x:f>
        <x:v>2038.4357557919698</x:v>
      </x:c>
      <x:c r="S39" s="9" t="n">
        <x:f>F39+Inputs!$C$16/2</x:f>
        <x:v>2068.4357557919698</x:v>
      </x:c>
      <x:c r="T39" s="9" t="n">
        <x:f>F39-Inputs!$C$17/2</x:f>
        <x:v>1903.4357557919698</x:v>
      </x:c>
      <x:c r="U39" s="9" t="n">
        <x:f>F39+Inputs!$C$17/2</x:f>
        <x:v>2203.4357557919698</x:v>
      </x:c>
      <x:c r="V39" s="9">
        <x:f t="shared" si="5"/>
        <x:v>352.34540879673659</x:v>
      </x:c>
      <x:c r="W39" s="9">
        <x:f t="shared" si="6"/>
        <x:v>52.904716035546038</x:v>
      </x:c>
      <x:c r="X39" s="9"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x:f>
        <x:v>-15.792555414769886</x:v>
      </x:c>
      <x:c r="Y39" s="9"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x:f>
        <x:v>171.38557913735212</x:v>
      </x:c>
      <x:c r="Z39" s="9">
        <x:f t="shared" si="7"/>
        <x:v>401.92940366652584</x:v>
      </x:c>
      <x:c r="AA39" s="9" t="n">
        <x:f>SQRT((Inputs!$C$52+B39)^2+(Inputs!$C$52+Y39/1000)^2-2*(Inputs!$C$52+B39)*(Inputs!$C$52+Y39/1000)*COS(SQRT(A39^2+Inputs!$C$6^2)/Inputs!$C$52))</x:f>
        <x:v>405.3992861223478</x:v>
      </x:c>
      <x:c r="AB39" s="9">
        <x:f t="shared" si="8"/>
        <x:v>3469.8824558219599</x:v>
      </x:c>
      <x:c r="AC39" s="9" t="n">
        <x:f>AB39/Inputs!$C$12</x:f>
        <x:v>1949.3721661921122</x:v>
      </x:c>
      <x:c r="AD39" s="9" t="n">
        <x:f>2*AB39/Inputs!$C$21*1000000</x:f>
        <x:v>23.148564036403876</x:v>
      </x:c>
      <x:c r="AE39" s="9">
        <x:f t="shared" si="9"/>
        <x:v>6.8764234257235453</x:v>
      </x:c>
      <x:c r="AF39" s="9" t="n">
        <x:f>DEGREES((2*PI()/Inputs!$C$13)*Inputs!$C$15*SIN(RADIANS(AE39)))</x:f>
        <x:v>43.102195236274746</x:v>
      </x:c>
      <x:c r="AG39" s="9">
        <x:f t="shared" si="10"/>
        <x:v>0.96620036347775673</x:v>
      </x:c>
      <x:c r="AH39" s="9">
        <x:f t="shared" si="11"/>
        <x:v>-0.14932803470949726</x:v>
      </x:c>
      <x:c r="AI39" s="9">
        <x:f t="shared" si="12"/>
        <x:v>-104.06358959985755</x:v>
      </x:c>
      <x:c r="AJ39" s="9">
        <x:f t="shared" si="13"/>
        <x:v>-1.2357428250429621</x:v>
      </x:c>
      <x:c r="AK39" s="9">
        <x:f t="shared" si="14"/>
        <x:v>187.1781345521527</x:v>
      </x:c>
      <x:c r="AL39" s="9" t="n">
        <x:f>1000*(AA40-AA38)/(A40-A38)*Inputs!$C$11</x:f>
        <x:v>-905.0139341186423</x:v>
      </x:c>
      <x:c r="AM39" s="9" t="n">
        <x:f>-2*AL39/Inputs!$C$13</x:f>
        <x:v>362.0055736474569</x:v>
      </x:c>
      <x:c r="AN39" s="9" t="n">
        <x:f>-2*AL39/Inputs!$C$14</x:f>
        <x:v>54.3551912383569</x:v>
      </x:c>
      <x:c r="AO39" s="9">
        <x:f t="shared" si="15"/>
        <x:v>362.00557364745691</x:v>
      </x:c>
      <x:c r="AP39" s="9">
        <x:f t="shared" si="16"/>
        <x:v>54.355191238356902</x:v>
      </x:c>
      <x:c r="AQ39" s="9" t="n">
        <x:f>IF(OR(Inputs!$C$27=TRUE,Inputs!$C$27="TRUE",Inputs!$C$27=1),Inputs!$C$46/Inputs!$C$12,0)</x:f>
        <x:v>42.13483146067416</x:v>
      </x:c>
      <x:c r="AR39" s="9">
        <x:f t="shared" si="17"/>
        <x:v>1907.2373347314381</x:v>
      </x:c>
      <x:c r="AS39" s="9">
        <x:f t="shared" si="18"/>
        <x:v>1991.5069976527864</x:v>
      </x:c>
    </x:row>
    <x:row r="40">
      <x:c r="A40" s="9" t="n">
        <x:f>Inputs!$C$7+38*(Inputs!$C$8-Inputs!$C$7)/240</x:f>
        <x:v>-41</x:v>
      </x:c>
      <x:c r="B40" s="9" t="n">
        <x:f>Inputs!$C$5+Inputs!$C$9*(A40/Inputs!$C$10)^2</x:f>
        <x:v>401.8677777777778</x:v>
      </x:c>
      <x:c r="C40" s="9">
        <x:f t="shared" si="0"/>
        <x:v>401.8677777777778</x:v>
      </x:c>
      <x:c r="D40" s="9" t="n">
        <x:f>SQRT((Inputs!$C$52+B40)^2+Inputs!$C$52^2-2*(Inputs!$C$52+B40)*Inputs!$C$52*COS(SQRT(A40^2+Inputs!$C$6^2)/Inputs!$C$52))</x:f>
        <x:v>405.4592712120434</x:v>
      </x:c>
      <x:c r="E40" s="9">
        <x:f t="shared" si="1"/>
        <x:v>3591.4934342656011</x:v>
      </x:c>
      <x:c r="F40" s="9" t="n">
        <x:f>E40/Inputs!$C$12</x:f>
        <x:v>2017.6929405986523</x:v>
      </x:c>
      <x:c r="G40" s="9" t="n">
        <x:f>2*E40/Inputs!$C$21*1000000</x:f>
        <x:v>23.95986515621818</x:v>
      </x:c>
      <x:c r="H40" s="9" t="n">
        <x:f>SQRT(A40^2+Inputs!$C$6^2)</x:f>
        <x:v>48.02082881417188</x:v>
      </x:c>
      <x:c r="I40" s="9">
        <x:f t="shared" si="2"/>
        <x:v>6.8141972969973379</x:v>
      </x:c>
      <x:c r="J40" s="9" t="n">
        <x:f>DEGREES((2*PI()/Inputs!$C$13)*Inputs!$C$15*SIN(RADIANS(I40)))</x:f>
        <x:v>42.71400402217685</x:v>
      </x:c>
      <x:c r="K40" s="9">
        <x:f t="shared" si="3"/>
        <x:v>0.96503663334071799</x:v>
      </x:c>
      <x:c r="L40" s="9">
        <x:f t="shared" si="4"/>
        <x:v>-0.15456200277187909</x:v>
      </x:c>
      <x:c r="M40" s="9" t="n">
        <x:f>2*(Inputs!$C$9/(Inputs!$C$10^2))*A40</x:f>
        <x:v>-0.09111111111111111</x:v>
      </x:c>
      <x:c r="N40" s="9" t="n">
        <x:f>M40*Inputs!$C$11</x:f>
        <x:v>-0.36444444444444446</x:v>
      </x:c>
      <x:c r="O40" s="9" t="n">
        <x:f>1000*(D41-D39)/(A41-A39)*Inputs!$C$11</x:f>
        <x:v>-870.4221222078559</x:v>
      </x:c>
      <x:c r="P40" s="9" t="n">
        <x:f>-2*O40/Inputs!$C$13</x:f>
        <x:v>348.16884888314235</x:v>
      </x:c>
      <x:c r="Q40" s="9" t="n">
        <x:f>-2*O40/Inputs!$C$14</x:f>
        <x:v>52.27760493740877</x:v>
      </x:c>
      <x:c r="R40" s="9" t="n">
        <x:f>F40-Inputs!$C$16/2</x:f>
        <x:v>2002.6929405986523</x:v>
      </x:c>
      <x:c r="S40" s="9" t="n">
        <x:f>F40+Inputs!$C$16/2</x:f>
        <x:v>2032.6929405986523</x:v>
      </x:c>
      <x:c r="T40" s="9" t="n">
        <x:f>F40-Inputs!$C$17/2</x:f>
        <x:v>1867.6929405986523</x:v>
      </x:c>
      <x:c r="U40" s="9" t="n">
        <x:f>F40+Inputs!$C$17/2</x:f>
        <x:v>2167.692940598652</x:v>
      </x:c>
      <x:c r="V40" s="9">
        <x:f t="shared" si="5"/>
        <x:v>348.16884888314235</x:v>
      </x:c>
      <x:c r="W40" s="9">
        <x:f t="shared" si="6"/>
        <x:v>52.277604937408768</x:v>
      </x:c>
      <x:c r="X40" s="9"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x:f>
        <x:v>-17.886266996681616</x:v>
      </x:c>
      <x:c r="Y40" s="9"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x:f>
        <x:v>176.66624192778235</x:v>
      </x:c>
      <x:c r="Z40" s="9">
        <x:f t="shared" si="7"/>
        <x:v>401.8856640447745</x:v>
      </x:c>
      <x:c r="AA40" s="9" t="n">
        <x:f>SQRT((Inputs!$C$52+B40)^2+(Inputs!$C$52+Y40/1000)^2-2*(Inputs!$C$52+B40)*(Inputs!$C$52+Y40/1000)*COS(SQRT(A40^2+Inputs!$C$6^2)/Inputs!$C$52))</x:f>
        <x:v>405.28457542429743</x:v>
      </x:c>
      <x:c r="AB40" s="9">
        <x:f t="shared" si="8"/>
        <x:v>3398.9113795229287</x:v>
      </x:c>
      <x:c r="AC40" s="9" t="n">
        <x:f>AB40/Inputs!$C$12</x:f>
        <x:v>1909.5007750128811</x:v>
      </x:c>
      <x:c r="AD40" s="9" t="n">
        <x:f>2*AB40/Inputs!$C$21*1000000</x:f>
        <x:v>22.67509597938537</x:v>
      </x:c>
      <x:c r="AE40" s="9">
        <x:f t="shared" si="9"/>
        <x:v>6.817166024888464</x:v>
      </x:c>
      <x:c r="AF40" s="9" t="n">
        <x:f>DEGREES((2*PI()/Inputs!$C$13)*Inputs!$C$15*SIN(RADIANS(AE40)))</x:f>
        <x:v>42.732525269610115</x:v>
      </x:c>
      <x:c r="AG40" s="9">
        <x:f t="shared" si="10"/>
        <x:v>0.96687372005470584</x:v>
      </x:c>
      <x:c r="AH40" s="9">
        <x:f t="shared" si="11"/>
        <x:v>-0.14630243874252219</x:v>
      </x:c>
      <x:c r="AI40" s="9">
        <x:f t="shared" si="12"/>
        <x:v>-108.19216558577114</x:v>
      </x:c>
      <x:c r="AJ40" s="9">
        <x:f t="shared" si="13"/>
        <x:v>-1.2847691768328069</x:v>
      </x:c>
      <x:c r="AK40" s="9">
        <x:f t="shared" si="14"/>
        <x:v>194.55250892446398</x:v>
      </x:c>
      <x:c r="AL40" s="9" t="n">
        <x:f>1000*(AA41-AA39)/(A41-A39)*Inputs!$C$11</x:f>
        <x:v>-949.26050870572</x:v>
      </x:c>
      <x:c r="AM40" s="9" t="n">
        <x:f>-2*AL40/Inputs!$C$13</x:f>
        <x:v>379.704203482288</x:v>
      </x:c>
      <x:c r="AN40" s="9" t="n">
        <x:f>-2*AL40/Inputs!$C$14</x:f>
        <x:v>57.01264316550871</x:v>
      </x:c>
      <x:c r="AO40" s="9">
        <x:f t="shared" si="15"/>
        <x:v>379.70420348410698</x:v>
      </x:c>
      <x:c r="AP40" s="9">
        <x:f t="shared" si="16"/>
        <x:v>57.012643165781832</x:v>
      </x:c>
      <x:c r="AQ40" s="9" t="n">
        <x:f>IF(OR(Inputs!$C$27=TRUE,Inputs!$C$27="TRUE",Inputs!$C$27=1),Inputs!$C$46/Inputs!$C$12,0)</x:f>
        <x:v>42.13483146067416</x:v>
      </x:c>
      <x:c r="AR40" s="9">
        <x:f t="shared" si="17"/>
        <x:v>1867.365943552207</x:v>
      </x:c>
      <x:c r="AS40" s="9">
        <x:f t="shared" si="18"/>
        <x:v>1951.6356064735553</x:v>
      </x:c>
    </x:row>
    <x:row r="41">
      <x:c r="A41" s="9" t="n">
        <x:f>Inputs!$C$7+39*(Inputs!$C$8-Inputs!$C$7)/240</x:f>
        <x:v>-40.5</x:v>
      </x:c>
      <x:c r="B41" s="9" t="n">
        <x:f>Inputs!$C$5+Inputs!$C$9*(A41/Inputs!$C$10)^2</x:f>
        <x:v>401.8225</x:v>
      </x:c>
      <x:c r="C41" s="9">
        <x:f t="shared" si="0"/>
        <x:v>401.82249999999999</x:v>
      </x:c>
      <x:c r="D41" s="9" t="n">
        <x:f>SQRT((Inputs!$C$52+B41)^2+Inputs!$C$52^2-2*(Inputs!$C$52+B41)*Inputs!$C$52*COS(SQRT(A41^2+Inputs!$C$6^2)/Inputs!$C$52))</x:f>
        <x:v>405.35112122586884</x:v>
      </x:c>
      <x:c r="E41" s="9">
        <x:f t="shared" si="1"/>
        <x:v>3528.6212258688465</x:v>
      </x:c>
      <x:c r="F41" s="9" t="n">
        <x:f>E41/Inputs!$C$12</x:f>
        <x:v>1982.3714752072171</x:v>
      </x:c>
      <x:c r="G41" s="9" t="n">
        <x:f>2*E41/Inputs!$C$21*1000000</x:f>
        <x:v>23.540426930078716</x:v>
      </x:c>
      <x:c r="H41" s="9" t="n">
        <x:f>SQRT(A41^2+Inputs!$C$6^2)</x:f>
        <x:v>47.59464255564905</x:v>
      </x:c>
      <x:c r="I41" s="9">
        <x:f t="shared" si="2"/>
        <x:v>6.7550363346833162</x:v>
      </x:c>
      <x:c r="J41" s="9" t="n">
        <x:f>DEGREES((2*PI()/Inputs!$C$13)*Inputs!$C$15*SIN(RADIANS(I41)))</x:f>
        <x:v>42.34488780209607</x:v>
      </x:c>
      <x:c r="K41" s="9">
        <x:f t="shared" si="3"/>
        <x:v>0.96563164756913622</x:v>
      </x:c>
      <x:c r="L41" s="9">
        <x:f t="shared" si="4"/>
        <x:v>-0.15188509129213362</x:v>
      </x:c>
      <x:c r="M41" s="9" t="n">
        <x:f>2*(Inputs!$C$9/(Inputs!$C$10^2))*A41</x:f>
        <x:v>-0.09</x:v>
      </x:c>
      <x:c r="N41" s="9" t="n">
        <x:f>M41*Inputs!$C$11</x:f>
        <x:v>-0.36</x:v>
      </x:c>
      <x:c r="O41" s="9" t="n">
        <x:f>1000*(D42-D40)/(A42-A40)*Inputs!$C$11</x:f>
        <x:v>-859.9746238114676</x:v>
      </x:c>
      <x:c r="P41" s="9" t="n">
        <x:f>-2*O41/Inputs!$C$13</x:f>
        <x:v>343.98984952458704</x:v>
      </x:c>
      <x:c r="Q41" s="9" t="n">
        <x:f>-2*O41/Inputs!$C$14</x:f>
        <x:v>51.65012755624431</x:v>
      </x:c>
      <x:c r="R41" s="9" t="n">
        <x:f>F41-Inputs!$C$16/2</x:f>
        <x:v>1967.3714752072171</x:v>
      </x:c>
      <x:c r="S41" s="9" t="n">
        <x:f>F41+Inputs!$C$16/2</x:f>
        <x:v>1997.3714752072171</x:v>
      </x:c>
      <x:c r="T41" s="9" t="n">
        <x:f>F41-Inputs!$C$17/2</x:f>
        <x:v>1832.3714752072171</x:v>
      </x:c>
      <x:c r="U41" s="9" t="n">
        <x:f>F41+Inputs!$C$17/2</x:f>
        <x:v>2132.3714752072174</x:v>
      </x:c>
      <x:c r="V41" s="9">
        <x:f t="shared" si="5"/>
        <x:v>343.98984952458704</x:v>
      </x:c>
      <x:c r="W41" s="9">
        <x:f t="shared" si="6"/>
        <x:v>51.650127556244307</x:v>
      </x:c>
      <x:c r="X41" s="9"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x:f>
        <x:v>-15.042977474303433</x:v>
      </x:c>
      <x:c r="Y41" s="9"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x:f>
        <x:v>191.24651788731785</x:v>
      </x:c>
      <x:c r="Z41" s="9">
        <x:f t="shared" si="7"/>
        <x:v>401.8375429774743</x:v>
      </x:c>
      <x:c r="AA41" s="9" t="n">
        <x:f>SQRT((Inputs!$C$52+B41)^2+(Inputs!$C$52+Y41/1000)^2-2*(Inputs!$C$52+B41)*(Inputs!$C$52+Y41/1000)*COS(SQRT(A41^2+Inputs!$C$6^2)/Inputs!$C$52))</x:f>
        <x:v>405.1619709951714</x:v>
      </x:c>
      <x:c r="AB41" s="9">
        <x:f t="shared" si="8"/>
        <x:v>3324.4280176959364</x:v>
      </x:c>
      <x:c r="AC41" s="9" t="n">
        <x:f>AB41/Inputs!$C$12</x:f>
        <x:v>1867.6561897168183</x:v>
      </x:c>
      <x:c r="AD41" s="9" t="n">
        <x:f>2*AB41/Inputs!$C$21*1000000</x:f>
        <x:v>22.178196475482626</x:v>
      </x:c>
      <x:c r="AE41" s="9">
        <x:f t="shared" si="9"/>
        <x:v>6.7582231651457585</x:v>
      </x:c>
      <x:c r="AF41" s="9" t="n">
        <x:f>DEGREES((2*PI()/Inputs!$C$13)*Inputs!$C$15*SIN(RADIANS(AE41)))</x:f>
        <x:v>42.364772182592084</x:v>
      </x:c>
      <x:c r="AG41" s="9">
        <x:f t="shared" si="10"/>
        <x:v>0.9675810139974782</x:v>
      </x:c>
      <x:c r="AH41" s="9">
        <x:f t="shared" si="11"/>
        <x:v>-0.14312662010266847</x:v>
      </x:c>
      <x:c r="AI41" s="9">
        <x:f t="shared" si="12"/>
        <x:v>-114.71528549039886</x:v>
      </x:c>
      <x:c r="AJ41" s="9">
        <x:f t="shared" si="13"/>
        <x:v>-1.3622304545960908</x:v>
      </x:c>
      <x:c r="AK41" s="9">
        <x:f t="shared" si="14"/>
        <x:v>206.2894953617195</x:v>
      </x:c>
      <x:c r="AL41" s="9" t="n">
        <x:f>1000*(AA42-AA40)/(A42-A40)*Inputs!$C$11</x:f>
        <x:v>-943.3376979748118</x:v>
      </x:c>
      <x:c r="AM41" s="9" t="n">
        <x:f>-2*AL41/Inputs!$C$13</x:f>
        <x:v>377.3350791899247</x:v>
      </x:c>
      <x:c r="AN41" s="9" t="n">
        <x:f>-2*AL41/Inputs!$C$14</x:f>
        <x:v>56.656918797286</x:v>
      </x:c>
      <x:c r="AO41" s="9">
        <x:f t="shared" si="15"/>
        <x:v>377.33507918992473</x:v>
      </x:c>
      <x:c r="AP41" s="9">
        <x:f t="shared" si="16"/>
        <x:v>56.656918797285996</x:v>
      </x:c>
      <x:c r="AQ41" s="9" t="n">
        <x:f>IF(OR(Inputs!$C$27=TRUE,Inputs!$C$27="TRUE",Inputs!$C$27=1),Inputs!$C$46/Inputs!$C$12,0)</x:f>
        <x:v>42.13483146067416</x:v>
      </x:c>
      <x:c r="AR41" s="9">
        <x:f t="shared" si="17"/>
        <x:v>1825.5213582561441</x:v>
      </x:c>
      <x:c r="AS41" s="9">
        <x:f t="shared" si="18"/>
        <x:v>1909.7910211774924</x:v>
      </x:c>
    </x:row>
    <x:row r="42">
      <x:c r="A42" s="9" t="n">
        <x:f>Inputs!$C$7+40*(Inputs!$C$8-Inputs!$C$7)/240</x:f>
        <x:v>-40</x:v>
      </x:c>
      <x:c r="B42" s="9" t="n">
        <x:f>Inputs!$C$5+Inputs!$C$9*(A42/Inputs!$C$10)^2</x:f>
        <x:v>401.77777777777777</x:v>
      </x:c>
      <x:c r="C42" s="9">
        <x:f t="shared" si="0"/>
        <x:v>401.77777777777777</x:v>
      </x:c>
      <x:c r="D42" s="9" t="n">
        <x:f>SQRT((Inputs!$C$52+B42)^2+Inputs!$C$52^2-2*(Inputs!$C$52+B42)*Inputs!$C$52*COS(SQRT(A42^2+Inputs!$C$6^2)/Inputs!$C$52))</x:f>
        <x:v>405.24427755609054</x:v>
      </x:c>
      <x:c r="E42" s="9">
        <x:f t="shared" si="1"/>
        <x:v>3466.499778312766</x:v>
      </x:c>
      <x:c r="F42" s="9" t="n">
        <x:f>E42/Inputs!$C$12</x:f>
        <x:v>1947.4717855689696</x:v>
      </x:c>
      <x:c r="G42" s="9" t="n">
        <x:f>2*E42/Inputs!$C$21*1000000</x:f>
        <x:v>23.12599724114985</x:v>
      </x:c>
      <x:c r="H42" s="9" t="n">
        <x:f>SQRT(A42^2+Inputs!$C$6^2)</x:f>
        <x:v>47.16990566028302</x:v>
      </x:c>
      <x:c r="I42" s="9">
        <x:f t="shared" si="2"/>
        <x:v>6.6960422614565118</x:v>
      </x:c>
      <x:c r="J42" s="9" t="n">
        <x:f>DEGREES((2*PI()/Inputs!$C$13)*Inputs!$C$15*SIN(RADIANS(I42)))</x:f>
        <x:v>41.976767877765525</x:v>
      </x:c>
      <x:c r="K42" s="9">
        <x:f t="shared" si="3"/>
        <x:v>0.96622014026175418</x:v>
      </x:c>
      <x:c r="L42" s="9">
        <x:f t="shared" si="4"/>
        <x:v>-0.14923914155044041</x:v>
      </x:c>
      <x:c r="M42" s="9" t="n">
        <x:f>2*(Inputs!$C$9/(Inputs!$C$10^2))*A42</x:f>
        <x:v>-0.08888888888888889</x:v>
      </x:c>
      <x:c r="N42" s="9" t="n">
        <x:f>M42*Inputs!$C$11</x:f>
        <x:v>-0.35555555555555557</x:v>
      </x:c>
      <x:c r="O42" s="9" t="n">
        <x:f>1000*(D43-D41)/(A43-A41)*Inputs!$C$11</x:f>
        <x:v>-849.5210931248494</x:v>
      </x:c>
      <x:c r="P42" s="9" t="n">
        <x:f>-2*O42/Inputs!$C$13</x:f>
        <x:v>339.80843724993974</x:v>
      </x:c>
      <x:c r="Q42" s="9" t="n">
        <x:f>-2*O42/Inputs!$C$14</x:f>
        <x:v>51.02228787536633</x:v>
      </x:c>
      <x:c r="R42" s="9" t="n">
        <x:f>F42-Inputs!$C$16/2</x:f>
        <x:v>1932.4717855689696</x:v>
      </x:c>
      <x:c r="S42" s="9" t="n">
        <x:f>F42+Inputs!$C$16/2</x:f>
        <x:v>1962.4717855689696</x:v>
      </x:c>
      <x:c r="T42" s="9" t="n">
        <x:f>F42-Inputs!$C$17/2</x:f>
        <x:v>1797.4717855689696</x:v>
      </x:c>
      <x:c r="U42" s="9" t="n">
        <x:f>F42+Inputs!$C$17/2</x:f>
        <x:v>2097.4717855689696</x:v>
      </x:c>
      <x:c r="V42" s="9">
        <x:f t="shared" si="5"/>
        <x:v>339.80843724993974</x:v>
      </x:c>
      <x:c r="W42" s="9">
        <x:f t="shared" si="6"/>
        <x:v>51.022287875366331</x:v>
      </x:c>
      <x:c r="X42" s="9"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x:f>
        <x:v>-31.231711064274894</x:v>
      </x:c>
      <x:c r="Y42" s="9"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x:f>
        <x:v>197.66557297497732</x:v>
      </x:c>
      <x:c r="Z42" s="9">
        <x:f t="shared" si="7"/>
        <x:v>401.80900948884204</x:v>
      </x:c>
      <x:c r="AA42" s="9" t="n">
        <x:f>SQRT((Inputs!$C$52+B42)^2+(Inputs!$C$52+Y42/1000)^2-2*(Inputs!$C$52+B42)*(Inputs!$C$52+Y42/1000)*COS(SQRT(A42^2+Inputs!$C$6^2)/Inputs!$C$52))</x:f>
        <x:v>405.0487409998037</x:v>
      </x:c>
      <x:c r="AB42" s="9">
        <x:f t="shared" si="8"/>
        <x:v>3239.7315109616898</x:v>
      </x:c>
      <x:c r="AC42" s="9" t="n">
        <x:f>AB42/Inputs!$C$12</x:f>
        <x:v>1820.073882562747</x:v>
      </x:c>
      <x:c r="AD42" s="9" t="n">
        <x:f>2*AB42/Inputs!$C$21*1000000</x:f>
        <x:v>21.61316220277756</x:v>
      </x:c>
      <x:c r="AE42" s="9">
        <x:f t="shared" si="9"/>
        <x:v>6.699308233472455</x:v>
      </x:c>
      <x:c r="AF42" s="9" t="n">
        <x:f>DEGREES((2*PI()/Inputs!$C$13)*Inputs!$C$15*SIN(RADIANS(AE42)))</x:f>
        <x:v>41.99714853917007</x:v>
      </x:c>
      <x:c r="AG42" s="9">
        <x:f t="shared" si="10"/>
        <x:v>0.96838830340803017</x:v>
      </x:c>
      <x:c r="AH42" s="9">
        <x:f t="shared" si="11"/>
        <x:v>-0.13950464785888392</x:v>
      </x:c>
      <x:c r="AI42" s="9">
        <x:f t="shared" si="12"/>
        <x:v>-127.39790300622258</x:v>
      </x:c>
      <x:c r="AJ42" s="9">
        <x:f t="shared" si="13"/>
        <x:v>-1.5128350383722911</x:v>
      </x:c>
      <x:c r="AK42" s="9">
        <x:f t="shared" si="14"/>
        <x:v>228.89728403944866</x:v>
      </x:c>
      <x:c r="AL42" s="9" t="n">
        <x:f>1000*(AA43-AA41)/(A43-A41)*Inputs!$C$11</x:f>
        <x:v>-888.3397130359754</x:v>
      </x:c>
      <x:c r="AM42" s="9" t="n">
        <x:f>-2*AL42/Inputs!$C$13</x:f>
        <x:v>355.33588521439015</x:v>
      </x:c>
      <x:c r="AN42" s="9" t="n">
        <x:f>-2*AL42/Inputs!$C$14</x:f>
        <x:v>53.3537365186772</x:v>
      </x:c>
      <x:c r="AO42" s="9">
        <x:f t="shared" si="15"/>
        <x:v>355.33588521257116</x:v>
      </x:c>
      <x:c r="AP42" s="9">
        <x:f t="shared" si="16"/>
        <x:v>53.353736518404084</x:v>
      </x:c>
      <x:c r="AQ42" s="9" t="n">
        <x:f>IF(OR(Inputs!$C$27=TRUE,Inputs!$C$27="TRUE",Inputs!$C$27=1),Inputs!$C$46/Inputs!$C$12,0)</x:f>
        <x:v>42.13483146067416</x:v>
      </x:c>
      <x:c r="AR42" s="9">
        <x:f t="shared" si="17"/>
        <x:v>1777.9390511020729</x:v>
      </x:c>
      <x:c r="AS42" s="9">
        <x:f t="shared" si="18"/>
        <x:v>1862.2087140234212</x:v>
      </x:c>
    </x:row>
    <x:row r="43">
      <x:c r="A43" s="9" t="n">
        <x:f>Inputs!$C$7+41*(Inputs!$C$8-Inputs!$C$7)/240</x:f>
        <x:v>-39.5</x:v>
      </x:c>
      <x:c r="B43" s="9" t="n">
        <x:f>Inputs!$C$5+Inputs!$C$9*(A43/Inputs!$C$10)^2</x:f>
        <x:v>401.7336111111111</x:v>
      </x:c>
      <x:c r="C43" s="9">
        <x:f t="shared" si="0"/>
        <x:v>401.73361111111109</x:v>
      </x:c>
      <x:c r="D43" s="9" t="n">
        <x:f>SQRT((Inputs!$C$52+B43)^2+Inputs!$C$52^2-2*(Inputs!$C$52+B43)*Inputs!$C$52*COS(SQRT(A43^2+Inputs!$C$6^2)/Inputs!$C$52))</x:f>
        <x:v>405.1387409525876</x:v>
      </x:c>
      <x:c r="E43" s="9">
        <x:f t="shared" si="1"/>
        <x:v>3405.129841476537</x:v>
      </x:c>
      <x:c r="F43" s="9" t="n">
        <x:f>E43/Inputs!$C$12</x:f>
        <x:v>1912.9942929643466</x:v>
      </x:c>
      <x:c r="G43" s="9" t="n">
        <x:f>2*E43/Inputs!$C$21*1000000</x:f>
        <x:v>22.716581092086958</x:v>
      </x:c>
      <x:c r="H43" s="9" t="n">
        <x:f>SQRT(A43^2+Inputs!$C$6^2)</x:f>
        <x:v>46.74665763453041</x:v>
      </x:c>
      <x:c r="I43" s="9">
        <x:f t="shared" si="2"/>
        <x:v>6.6372211939086254</x:v>
      </x:c>
      <x:c r="J43" s="9" t="n">
        <x:f>DEGREES((2*PI()/Inputs!$C$13)*Inputs!$C$15*SIN(RADIANS(I43)))</x:f>
        <x:v>41.609683192895545</x:v>
      </x:c>
      <x:c r="K43" s="9">
        <x:f t="shared" si="3"/>
        <x:v>0.96680208395170664</x:v>
      </x:c>
      <x:c r="L43" s="9">
        <x:f t="shared" si="4"/>
        <x:v>-0.1466242213721376</x:v>
      </x:c>
      <x:c r="M43" s="9" t="n">
        <x:f>2*(Inputs!$C$9/(Inputs!$C$10^2))*A43</x:f>
        <x:v>-0.08777777777777777</x:v>
      </x:c>
      <x:c r="N43" s="9" t="n">
        <x:f>M43*Inputs!$C$11</x:f>
        <x:v>-0.3511111111111111</x:v>
      </x:c>
      <x:c r="O43" s="9" t="n">
        <x:f>1000*(D44-D42)/(A44-A42)*Inputs!$C$11</x:f>
        <x:v>-839.0615967759913</x:v>
      </x:c>
      <x:c r="P43" s="9" t="n">
        <x:f>-2*O43/Inputs!$C$13</x:f>
        <x:v>335.62463871039654</x:v>
      </x:c>
      <x:c r="Q43" s="9" t="n">
        <x:f>-2*O43/Inputs!$C$14</x:f>
        <x:v>50.39408989645594</x:v>
      </x:c>
      <x:c r="R43" s="9" t="n">
        <x:f>F43-Inputs!$C$16/2</x:f>
        <x:v>1897.9942929643466</x:v>
      </x:c>
      <x:c r="S43" s="9" t="n">
        <x:f>F43+Inputs!$C$16/2</x:f>
        <x:v>1927.9942929643466</x:v>
      </x:c>
      <x:c r="T43" s="9" t="n">
        <x:f>F43-Inputs!$C$17/2</x:f>
        <x:v>1762.9942929643466</x:v>
      </x:c>
      <x:c r="U43" s="9" t="n">
        <x:f>F43+Inputs!$C$17/2</x:f>
        <x:v>2062.9942929643466</x:v>
      </x:c>
      <x:c r="V43" s="9">
        <x:f t="shared" si="5"/>
        <x:v>335.62463871039654</x:v>
      </x:c>
      <x:c r="W43" s="9">
        <x:f t="shared" si="6"/>
        <x:v>50.394089896455938</x:v>
      </x:c>
      <x:c r="X43" s="9"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x:f>
        <x:v>-33.241151326098546</x:v>
      </x:c>
      <x:c r="Y43" s="9"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x:f>
        <x:v>200.98178735327417</x:v>
      </x:c>
      <x:c r="Z43" s="9">
        <x:f t="shared" si="7"/>
        <x:v>401.76685226243717</x:v>
      </x:c>
      <x:c r="AA43" s="9" t="n">
        <x:f>SQRT((Inputs!$C$52+B43)^2+(Inputs!$C$52+Y43/1000)^2-2*(Inputs!$C$52+B43)*(Inputs!$C$52+Y43/1000)*COS(SQRT(A43^2+Inputs!$C$6^2)/Inputs!$C$52))</x:f>
        <x:v>404.9398860669124</x:v>
      </x:c>
      <x:c r="AB43" s="9">
        <x:f t="shared" si="8"/>
        <x:v>3173.0338044752102</x:v>
      </x:c>
      <x:c r="AC43" s="9" t="n">
        <x:f>AB43/Inputs!$C$12</x:f>
        <x:v>1782.6032609411293</x:v>
      </x:c>
      <x:c r="AD43" s="9" t="n">
        <x:f>2*AB43/Inputs!$C$21*1000000</x:f>
        <x:v>21.168203000458472</x:v>
      </x:c>
      <x:c r="AE43" s="9">
        <x:f t="shared" si="9"/>
        <x:v>6.6405137032083941</x:v>
      </x:c>
      <x:c r="AF43" s="9" t="n">
        <x:f>DEGREES((2*PI()/Inputs!$C$13)*Inputs!$C$15*SIN(RADIANS(AE43)))</x:f>
        <x:v>41.63023192067994</x:v>
      </x:c>
      <x:c r="AG43" s="9">
        <x:f t="shared" si="10"/>
        <x:v>0.96902322148219733</x:v>
      </x:c>
      <x:c r="AH43" s="9">
        <x:f t="shared" si="11"/>
        <x:v>-0.13665815476848781</x:v>
      </x:c>
      <x:c r="AI43" s="9">
        <x:f t="shared" si="12"/>
        <x:v>-130.39103202321735</x:v>
      </x:c>
      <x:c r="AJ43" s="9">
        <x:f t="shared" si="13"/>
        <x:v>-1.5483780916284857</x:v>
      </x:c>
      <x:c r="AK43" s="9">
        <x:f t="shared" si="14"/>
        <x:v>234.2229386793727</x:v>
      </x:c>
      <x:c r="AL43" s="9" t="n">
        <x:f>1000*(AA44-AA42)/(A44-A42)*Inputs!$C$11</x:f>
        <x:v>-787.4180961375714</x:v>
      </x:c>
      <x:c r="AM43" s="9" t="n">
        <x:f>-2*AL43/Inputs!$C$13</x:f>
        <x:v>314.96723845502856</x:v>
      </x:c>
      <x:c r="AN43" s="9" t="n">
        <x:f>-2*AL43/Inputs!$C$14</x:f>
        <x:v>47.29237814640069</x:v>
      </x:c>
      <x:c r="AO43" s="9">
        <x:f t="shared" si="15"/>
        <x:v>314.96723845502856</x:v>
      </x:c>
      <x:c r="AP43" s="9">
        <x:f t="shared" si="16"/>
        <x:v>47.292378146400686</x:v>
      </x:c>
      <x:c r="AQ43" s="9" t="n">
        <x:f>IF(OR(Inputs!$C$27=TRUE,Inputs!$C$27="TRUE",Inputs!$C$27=1),Inputs!$C$46/Inputs!$C$12,0)</x:f>
        <x:v>42.13483146067416</x:v>
      </x:c>
      <x:c r="AR43" s="9">
        <x:f t="shared" si="17"/>
        <x:v>1740.4684294804551</x:v>
      </x:c>
      <x:c r="AS43" s="9">
        <x:f t="shared" si="18"/>
        <x:v>1824.7380924018034</x:v>
      </x:c>
    </x:row>
    <x:row r="44">
      <x:c r="A44" s="9" t="n">
        <x:f>Inputs!$C$7+42*(Inputs!$C$8-Inputs!$C$7)/240</x:f>
        <x:v>-39</x:v>
      </x:c>
      <x:c r="B44" s="9" t="n">
        <x:f>Inputs!$C$5+Inputs!$C$9*(A44/Inputs!$C$10)^2</x:f>
        <x:v>401.69</x:v>
      </x:c>
      <x:c r="C44" s="9">
        <x:f t="shared" si="0"/>
        <x:v>401.69</x:v>
      </x:c>
      <x:c r="D44" s="9" t="n">
        <x:f>SQRT((Inputs!$C$52+B44)^2+Inputs!$C$52^2-2*(Inputs!$C$52+B44)*Inputs!$C$52*COS(SQRT(A44^2+Inputs!$C$6^2)/Inputs!$C$52))</x:f>
        <x:v>405.03451215689654</x:v>
      </x:c>
      <x:c r="E44" s="9">
        <x:f t="shared" si="1"/>
        <x:v>3344.5121568965419</x:v>
      </x:c>
      <x:c r="F44" s="9" t="n">
        <x:f>E44/Inputs!$C$12</x:f>
        <x:v>1878.9394139868214</x:v>
      </x:c>
      <x:c r="G44" s="9" t="n">
        <x:f>2*E44/Inputs!$C$21*1000000</x:f>
        <x:v>22.3121834298883</x:v>
      </x:c>
      <x:c r="H44" s="9" t="n">
        <x:f>SQRT(A44^2+Inputs!$C$6^2)</x:f>
        <x:v>46.32493928760188</x:v>
      </x:c>
      <x:c r="I44" s="9">
        <x:f t="shared" si="2"/>
        <x:v>6.5785794361869598</x:v>
      </x:c>
      <x:c r="J44" s="9" t="n">
        <x:f>DEGREES((2*PI()/Inputs!$C$13)*Inputs!$C$15*SIN(RADIANS(I44)))</x:f>
        <x:v>41.2436738723648</x:v>
      </x:c>
      <x:c r="K44" s="9">
        <x:f t="shared" si="3"/>
        <x:v>0.96737745142985054</x:v>
      </x:c>
      <x:c r="L44" s="9">
        <x:f t="shared" si="4"/>
        <x:v>-0.14404039785809303</x:v>
      </x:c>
      <x:c r="M44" s="9" t="n">
        <x:f>2*(Inputs!$C$9/(Inputs!$C$10^2))*A44</x:f>
        <x:v>-0.08666666666666667</x:v>
      </x:c>
      <x:c r="N44" s="9" t="n">
        <x:f>M44*Inputs!$C$11</x:f>
        <x:v>-0.3466666666666667</x:v>
      </x:c>
      <x:c r="O44" s="9" t="n">
        <x:f>1000*(D45-D43)/(A45-A43)*Inputs!$C$11</x:f>
        <x:v>-828.5962016493613</x:v>
      </x:c>
      <x:c r="P44" s="9" t="n">
        <x:f>-2*O44/Inputs!$C$13</x:f>
        <x:v>331.4384806597445</x:v>
      </x:c>
      <x:c r="Q44" s="9" t="n">
        <x:f>-2*O44/Inputs!$C$14</x:f>
        <x:v>49.76553763659828</x:v>
      </x:c>
      <x:c r="R44" s="9" t="n">
        <x:f>F44-Inputs!$C$16/2</x:f>
        <x:v>1863.9394139868214</x:v>
      </x:c>
      <x:c r="S44" s="9" t="n">
        <x:f>F44+Inputs!$C$16/2</x:f>
        <x:v>1893.9394139868214</x:v>
      </x:c>
      <x:c r="T44" s="9" t="n">
        <x:f>F44-Inputs!$C$17/2</x:f>
        <x:v>1728.9394139868214</x:v>
      </x:c>
      <x:c r="U44" s="9" t="n">
        <x:f>F44+Inputs!$C$17/2</x:f>
        <x:v>2028.9394139868214</x:v>
      </x:c>
      <x:c r="V44" s="9">
        <x:f t="shared" si="5"/>
        <x:v>331.43848065974453</x:v>
      </x:c>
      <x:c r="W44" s="9">
        <x:f t="shared" si="6"/>
        <x:v>49.765537636598282</x:v>
      </x:c>
      <x:c r="X44" s="9"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x:f>
        <x:v>-32.02020136507765</x:v>
      </x:c>
      <x:c r="Y44" s="9"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x:f>
        <x:v>184.54420924136062</x:v>
      </x:c>
      <x:c r="Z44" s="9">
        <x:f t="shared" si="7"/>
        <x:v>401.72202020136507</x:v>
      </x:c>
      <x:c r="AA44" s="9" t="n">
        <x:f>SQRT((Inputs!$C$52+B44)^2+(Inputs!$C$52+Y44/1000)^2-2*(Inputs!$C$52+B44)*(Inputs!$C$52+Y44/1000)*COS(SQRT(A44^2+Inputs!$C$6^2)/Inputs!$C$52))</x:f>
        <x:v>404.85188647576933</x:v>
      </x:c>
      <x:c r="AB44" s="9">
        <x:f t="shared" si="8"/>
        <x:v>3129.8662744042645</x:v>
      </x:c>
      <x:c r="AC44" s="9" t="n">
        <x:f>AB44/Inputs!$C$12</x:f>
        <x:v>1758.3518395529575</x:v>
      </x:c>
      <x:c r="AD44" s="9" t="n">
        <x:f>2*AB44/Inputs!$C$21*1000000</x:f>
        <x:v>20.88022023825739</x:v>
      </x:c>
      <x:c r="AE44" s="9">
        <x:f t="shared" si="9"/>
        <x:v>6.5815766300257703</x:v>
      </x:c>
      <x:c r="AF44" s="9" t="n">
        <x:f>DEGREES((2*PI()/Inputs!$C$13)*Inputs!$C$15*SIN(RADIANS(AE44)))</x:f>
        <x:v>41.26238174454699</x:v>
      </x:c>
      <x:c r="AG44" s="9">
        <x:f t="shared" si="10"/>
        <x:v>0.96943318690102065</x:v>
      </x:c>
      <x:c r="AH44" s="9">
        <x:f t="shared" si="11"/>
        <x:v>-0.13482117023738674</x:v>
      </x:c>
      <x:c r="AI44" s="9">
        <x:f t="shared" si="12"/>
        <x:v>-120.58757443386389</x:v>
      </x:c>
      <x:c r="AJ44" s="9">
        <x:f t="shared" si="13"/>
        <x:v>-1.4319631916309099</x:v>
      </x:c>
      <x:c r="AK44" s="9">
        <x:f t="shared" si="14"/>
        <x:v>216.56441060643826</x:v>
      </x:c>
      <x:c r="AL44" s="9" t="n">
        <x:f>1000*(AA45-AA43)/(A45-A43)*Inputs!$C$11</x:f>
        <x:v>-871.0683408874047</x:v>
      </x:c>
      <x:c r="AM44" s="9" t="n">
        <x:f>-2*AL44/Inputs!$C$13</x:f>
        <x:v>348.4273363549619</x:v>
      </x:c>
      <x:c r="AN44" s="9" t="n">
        <x:f>-2*AL44/Inputs!$C$14</x:f>
        <x:v>52.3164168701144</x:v>
      </x:c>
      <x:c r="AO44" s="9">
        <x:f t="shared" si="15"/>
        <x:v>348.42733635496188</x:v>
      </x:c>
      <x:c r="AP44" s="9">
        <x:f t="shared" si="16"/>
        <x:v>52.316416870114402</x:v>
      </x:c>
      <x:c r="AQ44" s="9" t="n">
        <x:f>IF(OR(Inputs!$C$27=TRUE,Inputs!$C$27="TRUE",Inputs!$C$27=1),Inputs!$C$46/Inputs!$C$12,0)</x:f>
        <x:v>42.13483146067416</x:v>
      </x:c>
      <x:c r="AR44" s="9">
        <x:f t="shared" si="17"/>
        <x:v>1716.2170080922833</x:v>
      </x:c>
      <x:c r="AS44" s="9">
        <x:f t="shared" si="18"/>
        <x:v>1800.4866710136316</x:v>
      </x:c>
    </x:row>
    <x:row r="45">
      <x:c r="A45" s="9" t="n">
        <x:f>Inputs!$C$7+43*(Inputs!$C$8-Inputs!$C$7)/240</x:f>
        <x:v>-38.5</x:v>
      </x:c>
      <x:c r="B45" s="9" t="n">
        <x:f>Inputs!$C$5+Inputs!$C$9*(A45/Inputs!$C$10)^2</x:f>
        <x:v>401.64694444444444</x:v>
      </x:c>
      <x:c r="C45" s="9">
        <x:f t="shared" si="0"/>
        <x:v>401.64694444444444</x:v>
      </x:c>
      <x:c r="D45" s="9" t="n">
        <x:f>SQRT((Inputs!$C$52+B45)^2+Inputs!$C$52^2-2*(Inputs!$C$52+B45)*Inputs!$C$52*COS(SQRT(A45^2+Inputs!$C$6^2)/Inputs!$C$52))</x:f>
        <x:v>404.9315919021753</x:v>
      </x:c>
      <x:c r="E45" s="9">
        <x:f t="shared" si="1"/>
        <x:v>3284.6474577308413</x:v>
      </x:c>
      <x:c r="F45" s="9" t="n">
        <x:f>E45/Inputs!$C$12</x:f>
        <x:v>1845.3075605229446</x:v>
      </x:c>
      <x:c r="G45" s="9" t="n">
        <x:f>2*E45/Inputs!$C$21*1000000</x:f>
        <x:v>21.91280914565797</x:v>
      </x:c>
      <x:c r="H45" s="9" t="n">
        <x:f>SQRT(A45^2+Inputs!$C$6^2)</x:f>
        <x:v>45.90479277809671</x:v>
      </x:c>
      <x:c r="I45" s="9">
        <x:f t="shared" si="2"/>
        <x:v>6.5201234866425004</x:v>
      </x:c>
      <x:c r="J45" s="9" t="n">
        <x:f>DEGREES((2*PI()/Inputs!$C$13)*Inputs!$C$15*SIN(RADIANS(I45)))</x:f>
        <x:v>40.87878126391779</x:v>
      </x:c>
      <x:c r="K45" s="9">
        <x:f t="shared" si="3"/>
        <x:v>0.96794621574763717</x:v>
      </x:c>
      <x:c r="L45" s="9">
        <x:f t="shared" si="4"/>
        <x:v>-0.14148773738048093</x:v>
      </x:c>
      <x:c r="M45" s="9" t="n">
        <x:f>2*(Inputs!$C$9/(Inputs!$C$10^2))*A45</x:f>
        <x:v>-0.08555555555555555</x:v>
      </x:c>
      <x:c r="N45" s="9" t="n">
        <x:f>M45*Inputs!$C$11</x:f>
        <x:v>-0.3422222222222222</x:v>
      </x:c>
      <x:c r="O45" s="9" t="n">
        <x:f>1000*(D46-D44)/(A46-A44)*Inputs!$C$11</x:f>
        <x:v>-818.1249749061408</x:v>
      </x:c>
      <x:c r="P45" s="9" t="n">
        <x:f>-2*O45/Inputs!$C$13</x:f>
        <x:v>327.2499899624563</x:v>
      </x:c>
      <x:c r="Q45" s="9" t="n">
        <x:f>-2*O45/Inputs!$C$14</x:f>
        <x:v>49.13663512949795</x:v>
      </x:c>
      <x:c r="R45" s="9" t="n">
        <x:f>F45-Inputs!$C$16/2</x:f>
        <x:v>1830.3075605229446</x:v>
      </x:c>
      <x:c r="S45" s="9" t="n">
        <x:f>F45+Inputs!$C$16/2</x:f>
        <x:v>1860.3075605229446</x:v>
      </x:c>
      <x:c r="T45" s="9" t="n">
        <x:f>F45-Inputs!$C$17/2</x:f>
        <x:v>1695.3075605229446</x:v>
      </x:c>
      <x:c r="U45" s="9" t="n">
        <x:f>F45+Inputs!$C$17/2</x:f>
        <x:v>1995.3075605229446</x:v>
      </x:c>
      <x:c r="V45" s="9">
        <x:f t="shared" si="5"/>
        <x:v>327.24998996245631</x:v>
      </x:c>
      <x:c r="W45" s="9">
        <x:f t="shared" si="6"/>
        <x:v>49.136635129497947</x:v>
      </x:c>
      <x:c r="X45" s="9"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x:f>
        <x:v>-34.295384147954024</x:v>
      </x:c>
      <x:c r="Y45" s="9"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x:f>
        <x:v>211.63430992610967</x:v>
      </x:c>
      <x:c r="Z45" s="9">
        <x:f t="shared" si="7"/>
        <x:v>401.68123982859242</x:v>
      </x:c>
      <x:c r="AA45" s="9" t="n">
        <x:f>SQRT((Inputs!$C$52+B45)^2+(Inputs!$C$52+Y45/1000)^2-2*(Inputs!$C$52+B45)*(Inputs!$C$52+Y45/1000)*COS(SQRT(A45^2+Inputs!$C$6^2)/Inputs!$C$52))</x:f>
        <x:v>404.7221189816905</x:v>
      </x:c>
      <x:c r="AB45" s="9">
        <x:f t="shared" si="8"/>
        <x:v>3040.8791530981034</x:v>
      </x:c>
      <x:c r="AC45" s="9" t="n">
        <x:f>AB45/Inputs!$C$12</x:f>
        <x:v>1708.3590747742153</x:v>
      </x:c>
      <x:c r="AD45" s="9" t="n">
        <x:f>2*AB45/Inputs!$C$21*1000000</x:f>
        <x:v>20.286562066201835</x:v>
      </x:c>
      <x:c r="AE45" s="9">
        <x:f t="shared" si="9"/>
        <x:v>6.5235312348616903</x:v>
      </x:c>
      <x:c r="AF45" s="9" t="n">
        <x:f>DEGREES((2*PI()/Inputs!$C$13)*Inputs!$C$15*SIN(RADIANS(AE45)))</x:f>
        <x:v>40.90005421622404</x:v>
      </x:c>
      <x:c r="AG45" s="9">
        <x:f t="shared" si="10"/>
        <x:v>0.97028302736540795</x:v>
      </x:c>
      <x:c r="AH45" s="9">
        <x:f t="shared" si="11"/>
        <x:v>-0.13101565430590625</x:v>
      </x:c>
      <x:c r="AI45" s="9">
        <x:f t="shared" si="12"/>
        <x:v>-136.94848574872935</x:v>
      </x:c>
      <x:c r="AJ45" s="9">
        <x:f t="shared" si="13"/>
        <x:v>-1.6262470794561352</x:v>
      </x:c>
      <x:c r="AK45" s="9">
        <x:f t="shared" si="14"/>
        <x:v>245.92969407406369</x:v>
      </x:c>
      <x:c r="AL45" s="9" t="n">
        <x:f>1000*(AA46-AA44)/(A46-A44)*Inputs!$C$11</x:f>
        <x:v>-891.225948138981</x:v>
      </x:c>
      <x:c r="AM45" s="9" t="n">
        <x:f>-2*AL45/Inputs!$C$13</x:f>
        <x:v>356.4903792555924</x:v>
      </x:c>
      <x:c r="AN45" s="9" t="n">
        <x:f>-2*AL45/Inputs!$C$14</x:f>
        <x:v>53.527083972311175</x:v>
      </x:c>
      <x:c r="AO45" s="9">
        <x:f t="shared" si="15"/>
        <x:v>356.49037925559242</x:v>
      </x:c>
      <x:c r="AP45" s="9">
        <x:f t="shared" si="16"/>
        <x:v>53.527083972311175</x:v>
      </x:c>
      <x:c r="AQ45" s="9" t="n">
        <x:f>IF(OR(Inputs!$C$27=TRUE,Inputs!$C$27="TRUE",Inputs!$C$27=1),Inputs!$C$46/Inputs!$C$12,0)</x:f>
        <x:v>42.13483146067416</x:v>
      </x:c>
      <x:c r="AR45" s="9">
        <x:f t="shared" si="17"/>
        <x:v>1666.2242433135411</x:v>
      </x:c>
      <x:c r="AS45" s="9">
        <x:f t="shared" si="18"/>
        <x:v>1750.4939062348894</x:v>
      </x:c>
    </x:row>
    <x:row r="46">
      <x:c r="A46" s="9" t="n">
        <x:f>Inputs!$C$7+44*(Inputs!$C$8-Inputs!$C$7)/240</x:f>
        <x:v>-38</x:v>
      </x:c>
      <x:c r="B46" s="9" t="n">
        <x:f>Inputs!$C$5+Inputs!$C$9*(A46/Inputs!$C$10)^2</x:f>
        <x:v>401.6044444444444</x:v>
      </x:c>
      <x:c r="C46" s="9">
        <x:f t="shared" si="0"/>
        <x:v>401.60444444444443</x:v>
      </x:c>
      <x:c r="D46" s="9" t="n">
        <x:f>SQRT((Inputs!$C$52+B46)^2+Inputs!$C$52^2-2*(Inputs!$C$52+B46)*Inputs!$C$52*COS(SQRT(A46^2+Inputs!$C$6^2)/Inputs!$C$52))</x:f>
        <x:v>404.82998091317</x:v>
      </x:c>
      <x:c r="E46" s="9">
        <x:f t="shared" si="1"/>
        <x:v>3225.5364687255792</x:v>
      </x:c>
      <x:c r="F46" s="9" t="n">
        <x:f>E46/Inputs!$C$12</x:f>
        <x:v>1812.0991397334715</x:v>
      </x:c>
      <x:c r="G46" s="9" t="n">
        <x:f>2*E46/Inputs!$C$21*1000000</x:f>
        <x:v>21.518463074381806</x:v>
      </x:c>
      <x:c r="H46" s="9" t="n">
        <x:f>SQRT(A46^2+Inputs!$C$6^2)</x:f>
        <x:v>45.48626166217664</x:v>
      </x:c>
      <x:c r="I46" s="9">
        <x:f t="shared" si="2"/>
        <x:v>6.4618600446971843</x:v>
      </x:c>
      <x:c r="J46" s="9" t="n">
        <x:f>DEGREES((2*PI()/Inputs!$C$13)*Inputs!$C$15*SIN(RADIANS(I46)))</x:f>
        <x:v>40.515047981236954</x:v>
      </x:c>
      <x:c r="K46" s="9">
        <x:f t="shared" si="3"/>
        <x:v>0.96850835021994941</x:v>
      </x:c>
      <x:c r="L46" s="9">
        <x:f t="shared" si="4"/>
        <x:v>-0.13896630557866255</x:v>
      </x:c>
      <x:c r="M46" s="9" t="n">
        <x:f>2*(Inputs!$C$9/(Inputs!$C$10^2))*A46</x:f>
        <x:v>-0.08444444444444445</x:v>
      </x:c>
      <x:c r="N46" s="9" t="n">
        <x:f>M46*Inputs!$C$11</x:f>
        <x:v>-0.3377777777777778</x:v>
      </x:c>
      <x:c r="O46" s="9" t="n">
        <x:f>1000*(D47-D45)/(A47-A45)*Inputs!$C$11</x:f>
        <x:v>-807.647983991501</x:v>
      </x:c>
      <x:c r="P46" s="9" t="n">
        <x:f>-2*O46/Inputs!$C$13</x:f>
        <x:v>323.0591935966004</x:v>
      </x:c>
      <x:c r="Q46" s="9" t="n">
        <x:f>-2*O46/Inputs!$C$14</x:f>
        <x:v>48.507386425915975</x:v>
      </x:c>
      <x:c r="R46" s="9" t="n">
        <x:f>F46-Inputs!$C$16/2</x:f>
        <x:v>1797.0991397334715</x:v>
      </x:c>
      <x:c r="S46" s="9" t="n">
        <x:f>F46+Inputs!$C$16/2</x:f>
        <x:v>1827.0991397334715</x:v>
      </x:c>
      <x:c r="T46" s="9" t="n">
        <x:f>F46-Inputs!$C$17/2</x:f>
        <x:v>1662.0991397334715</x:v>
      </x:c>
      <x:c r="U46" s="9" t="n">
        <x:f>F46+Inputs!$C$17/2</x:f>
        <x:v>1962.0991397334715</x:v>
      </x:c>
      <x:c r="V46" s="9">
        <x:f t="shared" si="5"/>
        <x:v>323.05919359660038</x:v>
      </x:c>
      <x:c r="W46" s="9">
        <x:f t="shared" si="6"/>
        <x:v>48.507386425915975</x:v>
      </x:c>
      <x:c r="X46" s="9"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x:f>
        <x:v>-21.15737906152213</x:v>
      </x:c>
      <x:c r="Y46" s="9"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x:f>
        <x:v>202.93658014849487</x:v>
      </x:c>
      <x:c r="Z46" s="9">
        <x:f t="shared" si="7"/>
        <x:v>401.62560182350597</x:v>
      </x:c>
      <x:c r="AA46" s="9" t="n">
        <x:f>SQRT((Inputs!$C$52+B46)^2+(Inputs!$C$52+Y46/1000)^2-2*(Inputs!$C$52+B46)*(Inputs!$C$52+Y46/1000)*COS(SQRT(A46^2+Inputs!$C$6^2)/Inputs!$C$52))</x:f>
        <x:v>404.6290799887346</x:v>
      </x:c>
      <x:c r="AB46" s="9">
        <x:f t="shared" si="8"/>
        <x:v>3003.4781652286142</x:v>
      </x:c>
      <x:c r="AC46" s="9" t="n">
        <x:f>AB46/Inputs!$C$12</x:f>
        <x:v>1687.3472838363</x:v>
      </x:c>
      <x:c r="AD46" s="9" t="n">
        <x:f>2*AB46/Inputs!$C$21*1000000</x:f>
        <x:v>20.037049532637774</x:v>
      </x:c>
      <x:c r="AE46" s="9">
        <x:f t="shared" si="9"/>
        <x:v>6.465099314836217</x:v>
      </x:c>
      <x:c r="AF46" s="9" t="n">
        <x:f>DEGREES((2*PI()/Inputs!$C$13)*Inputs!$C$15*SIN(RADIANS(AE46)))</x:f>
        <x:v>40.53527154864959</x:v>
      </x:c>
      <x:c r="AG46" s="9">
        <x:f t="shared" si="10"/>
        <x:v>0.97063777971191645</x:v>
      </x:c>
      <x:c r="AH46" s="9">
        <x:f t="shared" si="11"/>
        <x:v>-0.12942808836622735</x:v>
      </x:c>
      <x:c r="AI46" s="9">
        <x:f t="shared" si="12"/>
        <x:v>-124.75185589717148</x:v>
      </x:c>
      <x:c r="AJ46" s="9">
        <x:f t="shared" si="13"/>
        <x:v>-1.4814135417440326</x:v>
      </x:c>
      <x:c r="AK46" s="9">
        <x:f t="shared" si="14"/>
        <x:v>224.093959210017</x:v>
      </x:c>
      <x:c r="AL46" s="9" t="n">
        <x:f>1000*(AA47-AA45)/(A47-A45)*Inputs!$C$11</x:f>
        <x:v>-917.0785520777827</x:v>
      </x:c>
      <x:c r="AM46" s="9" t="n">
        <x:f>-2*AL46/Inputs!$C$13</x:f>
        <x:v>366.83142083111306</x:v>
      </x:c>
      <x:c r="AN46" s="9" t="n">
        <x:f>-2*AL46/Inputs!$C$14</x:f>
        <x:v>55.07979291758455</x:v>
      </x:c>
      <x:c r="AO46" s="9">
        <x:f t="shared" si="15"/>
        <x:v>366.83142083111306</x:v>
      </x:c>
      <x:c r="AP46" s="9">
        <x:f t="shared" si="16"/>
        <x:v>55.079792917584548</x:v>
      </x:c>
      <x:c r="AQ46" s="9" t="n">
        <x:f>IF(OR(Inputs!$C$27=TRUE,Inputs!$C$27="TRUE",Inputs!$C$27=1),Inputs!$C$46/Inputs!$C$12,0)</x:f>
        <x:v>42.13483146067416</x:v>
      </x:c>
      <x:c r="AR46" s="9">
        <x:f t="shared" si="17"/>
        <x:v>1645.2124523756258</x:v>
      </x:c>
      <x:c r="AS46" s="9">
        <x:f t="shared" si="18"/>
        <x:v>1729.4821152969741</x:v>
      </x:c>
    </x:row>
    <x:row r="47">
      <x:c r="A47" s="9" t="n">
        <x:f>Inputs!$C$7+45*(Inputs!$C$8-Inputs!$C$7)/240</x:f>
        <x:v>-37.5</x:v>
      </x:c>
      <x:c r="B47" s="9" t="n">
        <x:f>Inputs!$C$5+Inputs!$C$9*(A47/Inputs!$C$10)^2</x:f>
        <x:v>401.5625</x:v>
      </x:c>
      <x:c r="C47" s="9">
        <x:f t="shared" si="0"/>
        <x:v>401.5625</x:v>
      </x:c>
      <x:c r="D47" s="9" t="n">
        <x:f>SQRT((Inputs!$C$52+B47)^2+Inputs!$C$52^2-2*(Inputs!$C$52+B47)*Inputs!$C$52*COS(SQRT(A47^2+Inputs!$C$6^2)/Inputs!$C$52))</x:f>
        <x:v>404.7296799061774</x:v>
      </x:c>
      <x:c r="E47" s="9">
        <x:f t="shared" si="1"/>
        <x:v>3167.1799061774095</x:v>
      </x:c>
      <x:c r="F47" s="9" t="n">
        <x:f>E47/Inputs!$C$12</x:f>
        <x:v>1779.3145540322525</x:v>
      </x:c>
      <x:c r="G47" s="9" t="n">
        <x:f>2*E47/Inputs!$C$21*1000000</x:f>
        <x:v>21.129149994676713</x:v>
      </x:c>
      <x:c r="H47" s="9" t="n">
        <x:f>SQRT(A47^2+Inputs!$C$6^2)</x:f>
        <x:v>45.069390943299865</x:v>
      </x:c>
      <x:c r="I47" s="9">
        <x:f t="shared" si="2"/>
        <x:v>6.4037960179333062</x:v>
      </x:c>
      <x:c r="J47" s="9" t="n">
        <x:f>DEGREES((2*PI()/Inputs!$C$13)*Inputs!$C$15*SIN(RADIANS(I47)))</x:f>
        <x:v>40.15251794840797</x:v>
      </x:c>
      <x:c r="K47" s="9">
        <x:f t="shared" si="3"/>
        <x:v>0.96906382842795635</x:v>
      </x:c>
      <x:c r="L47" s="9">
        <x:f t="shared" si="4"/>
        <x:v>-0.13647616735493498</x:v>
      </x:c>
      <x:c r="M47" s="9" t="n">
        <x:f>2*(Inputs!$C$9/(Inputs!$C$10^2))*A47</x:f>
        <x:v>-0.08333333333333333</x:v>
      </x:c>
      <x:c r="N47" s="9" t="n">
        <x:f>M47*Inputs!$C$11</x:f>
        <x:v>-0.3333333333333333</x:v>
      </x:c>
      <x:c r="O47" s="9" t="n">
        <x:f>1000*(D48-D46)/(A48-A46)*Inputs!$C$11</x:f>
        <x:v>-797.165296622552</x:v>
      </x:c>
      <x:c r="P47" s="9" t="n">
        <x:f>-2*O47/Inputs!$C$13</x:f>
        <x:v>318.8661186490208</x:v>
      </x:c>
      <x:c r="Q47" s="9" t="n">
        <x:f>-2*O47/Inputs!$C$14</x:f>
        <x:v>47.87779559294607</x:v>
      </x:c>
      <x:c r="R47" s="9" t="n">
        <x:f>F47-Inputs!$C$16/2</x:f>
        <x:v>1764.3145540322525</x:v>
      </x:c>
      <x:c r="S47" s="9" t="n">
        <x:f>F47+Inputs!$C$16/2</x:f>
        <x:v>1794.3145540322525</x:v>
      </x:c>
      <x:c r="T47" s="9" t="n">
        <x:f>F47-Inputs!$C$17/2</x:f>
        <x:v>1629.3145540322525</x:v>
      </x:c>
      <x:c r="U47" s="9" t="n">
        <x:f>F47+Inputs!$C$17/2</x:f>
        <x:v>1929.3145540322525</x:v>
      </x:c>
      <x:c r="V47" s="9">
        <x:f t="shared" si="5"/>
        <x:v>318.86611864902079</x:v>
      </x:c>
      <x:c r="W47" s="9">
        <x:f t="shared" si="6"/>
        <x:v>47.877795592946072</x:v>
      </x:c>
      <x:c r="X47" s="9"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x:f>
        <x:v>-18.69341167436205</x:v>
      </x:c>
      <x:c r="Y47" s="9"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x:f>
        <x:v>239.1871485288169</x:v>
      </x:c>
      <x:c r="Z47" s="9">
        <x:f t="shared" si="7"/>
        <x:v>401.58119341167435</x:v>
      </x:c>
      <x:c r="AA47" s="9" t="n">
        <x:f>SQRT((Inputs!$C$52+B47)^2+(Inputs!$C$52+Y47/1000)^2-2*(Inputs!$C$52+B47)*(Inputs!$C$52+Y47/1000)*COS(SQRT(A47^2+Inputs!$C$6^2)/Inputs!$C$52))</x:f>
        <x:v>404.4928493436711</x:v>
      </x:c>
      <x:c r="AB47" s="9">
        <x:f t="shared" si="8"/>
        <x:v>2911.6559319967337</x:v>
      </x:c>
      <x:c r="AC47" s="9" t="n">
        <x:f>AB47/Inputs!$C$12</x:f>
        <x:v>1635.7617595487268</x:v>
      </x:c>
      <x:c r="AD47" s="9" t="n">
        <x:f>2*AB47/Inputs!$C$21*1000000</x:f>
        <x:v>19.424477529696453</x:v>
      </x:c>
      <x:c r="AE47" s="9">
        <x:f t="shared" si="9"/>
        <x:v>6.4075809221470346</x:v>
      </x:c>
      <x:c r="AF47" s="9" t="n">
        <x:f>DEGREES((2*PI()/Inputs!$C$13)*Inputs!$C$15*SIN(RADIANS(AE47)))</x:f>
        <x:v>40.17615073294601</x:v>
      </x:c>
      <x:c r="AG47" s="9">
        <x:f t="shared" si="10"/>
        <x:v>0.97151625174399092</x:v>
      </x:c>
      <x:c r="AH47" s="9">
        <x:f t="shared" si="11"/>
        <x:v>-0.12549930026934686</x:v>
      </x:c>
      <x:c r="AI47" s="9">
        <x:f t="shared" si="12"/>
        <x:v>-143.55279448352576</x:v>
      </x:c>
      <x:c r="AJ47" s="9">
        <x:f t="shared" si="13"/>
        <x:v>-1.7046724649802592</x:v>
      </x:c>
      <x:c r="AK47" s="9">
        <x:f t="shared" si="14"/>
        <x:v>257.88056020317896</x:v>
      </x:c>
      <x:c r="AL47" s="9" t="n">
        <x:f>1000*(AA48-AA46)/(A48-A46)*Inputs!$C$11</x:f>
        <x:v>-929.1757481644254</x:v>
      </x:c>
      <x:c r="AM47" s="9" t="n">
        <x:f>-2*AL47/Inputs!$C$13</x:f>
        <x:v>371.67029926577015</x:v>
      </x:c>
      <x:c r="AN47" s="9" t="n">
        <x:f>-2*AL47/Inputs!$C$14</x:f>
        <x:v>55.80635124110663</x:v>
      </x:c>
      <x:c r="AO47" s="9">
        <x:f t="shared" si="15"/>
        <x:v>371.67029926577015</x:v>
      </x:c>
      <x:c r="AP47" s="9">
        <x:f t="shared" si="16"/>
        <x:v>55.806351241106633</x:v>
      </x:c>
      <x:c r="AQ47" s="9" t="n">
        <x:f>IF(OR(Inputs!$C$27=TRUE,Inputs!$C$27="TRUE",Inputs!$C$27=1),Inputs!$C$46/Inputs!$C$12,0)</x:f>
        <x:v>42.13483146067416</x:v>
      </x:c>
      <x:c r="AR47" s="9">
        <x:f t="shared" si="17"/>
        <x:v>1593.6269280880526</x:v>
      </x:c>
      <x:c r="AS47" s="9">
        <x:f t="shared" si="18"/>
        <x:v>1677.8965910094009</x:v>
      </x:c>
    </x:row>
    <x:row r="48">
      <x:c r="A48" s="9" t="n">
        <x:f>Inputs!$C$7+46*(Inputs!$C$8-Inputs!$C$7)/240</x:f>
        <x:v>-37</x:v>
      </x:c>
      <x:c r="B48" s="9" t="n">
        <x:f>Inputs!$C$5+Inputs!$C$9*(A48/Inputs!$C$10)^2</x:f>
        <x:v>401.5211111111111</x:v>
      </x:c>
      <x:c r="C48" s="9">
        <x:f t="shared" si="0"/>
        <x:v>401.52111111111111</x:v>
      </x:c>
      <x:c r="D48" s="9" t="n">
        <x:f>SQRT((Inputs!$C$52+B48)^2+Inputs!$C$52^2-2*(Inputs!$C$52+B48)*Inputs!$C$52*COS(SQRT(A48^2+Inputs!$C$6^2)/Inputs!$C$52))</x:f>
        <x:v>404.63068958901437</x:v>
      </x:c>
      <x:c r="E48" s="9">
        <x:f t="shared" si="1"/>
        <x:v>3109.5784779032556</x:v>
      </x:c>
      <x:c r="F48" s="9" t="n">
        <x:f>E48/Inputs!$C$12</x:f>
        <x:v>1746.9542010692446</x:v>
      </x:c>
      <x:c r="G48" s="9" t="n">
        <x:f>2*E48/Inputs!$C$21*1000000</x:f>
        <x:v>20.744874628588924</x:v>
      </x:c>
      <x:c r="H48" s="9" t="n">
        <x:f>SQRT(A48^2+Inputs!$C$6^2)</x:f>
        <x:v>44.654227123532216</x:v>
      </x:c>
      <x:c r="I48" s="9">
        <x:f t="shared" si="2"/>
        <x:v>6.3459385294073707</x:v>
      </x:c>
      <x:c r="J48" s="9" t="n">
        <x:f>DEGREES((2*PI()/Inputs!$C$13)*Inputs!$C$15*SIN(RADIANS(I48)))</x:f>
        <x:v>39.791236445792514</x:v>
      </x:c>
      <x:c r="K48" s="9">
        <x:f t="shared" si="3"/>
        <x:v>0.96961262422188055</x:v>
      </x:c>
      <x:c r="L48" s="9">
        <x:f t="shared" si="4"/>
        <x:v>-0.13401738687061548</x:v>
      </x:c>
      <x:c r="M48" s="9" t="n">
        <x:f>2*(Inputs!$C$9/(Inputs!$C$10^2))*A48</x:f>
        <x:v>-0.08222222222222222</x:v>
      </x:c>
      <x:c r="N48" s="9" t="n">
        <x:f>M48*Inputs!$C$11</x:f>
        <x:v>-0.3288888888888889</x:v>
      </x:c>
      <x:c r="O48" s="9" t="n">
        <x:f>1000*(D49-D47)/(A49-A47)*Inputs!$C$11</x:f>
        <x:v>-786.6769807858418</x:v>
      </x:c>
      <x:c r="P48" s="9" t="n">
        <x:f>-2*O48/Inputs!$C$13</x:f>
        <x:v>314.6707923143367</x:v>
      </x:c>
      <x:c r="Q48" s="9" t="n">
        <x:f>-2*O48/Inputs!$C$14</x:f>
        <x:v>47.247866713864376</x:v>
      </x:c>
      <x:c r="R48" s="9" t="n">
        <x:f>F48-Inputs!$C$16/2</x:f>
        <x:v>1731.9542010692446</x:v>
      </x:c>
      <x:c r="S48" s="9" t="n">
        <x:f>F48+Inputs!$C$16/2</x:f>
        <x:v>1761.9542010692446</x:v>
      </x:c>
      <x:c r="T48" s="9" t="n">
        <x:f>F48-Inputs!$C$17/2</x:f>
        <x:v>1596.9542010692446</x:v>
      </x:c>
      <x:c r="U48" s="9" t="n">
        <x:f>F48+Inputs!$C$17/2</x:f>
        <x:v>1896.9542010692446</x:v>
      </x:c>
      <x:c r="V48" s="9">
        <x:f t="shared" si="5"/>
        <x:v>314.67079231433672</x:v>
      </x:c>
      <x:c r="W48" s="9">
        <x:f t="shared" si="6"/>
        <x:v>47.247866713864376</x:v>
      </x:c>
      <x:c r="X48" s="9"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x:f>
        <x:v>-25.83766278531854</x:v>
      </x:c>
      <x:c r="Y48" s="9"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x:f>
        <x:v>236.18872035541293</x:v>
      </x:c>
      <x:c r="Z48" s="9">
        <x:f t="shared" si="7"/>
        <x:v>401.54694877389642</x:v>
      </x:c>
      <x:c r="AA48" s="9" t="n">
        <x:f>SQRT((Inputs!$C$52+B48)^2+(Inputs!$C$52+Y48/1000)^2-2*(Inputs!$C$52+B48)*(Inputs!$C$52+Y48/1000)*COS(SQRT(A48^2+Inputs!$C$6^2)/Inputs!$C$52))</x:f>
        <x:v>404.3967860516935</x:v>
      </x:c>
      <x:c r="AB48" s="9">
        <x:f t="shared" si="8"/>
        <x:v>2849.8372777970644</x:v>
      </x:c>
      <x:c r="AC48" s="9" t="n">
        <x:f>AB48/Inputs!$C$12</x:f>
        <x:v>1601.0321785376766</x:v>
      </x:c>
      <x:c r="AD48" s="9" t="n">
        <x:f>2*AB48/Inputs!$C$21*1000000</x:f>
        <x:v>19.01206786060685</x:v>
      </x:c>
      <x:c r="AE48" s="9">
        <x:f t="shared" si="9"/>
        <x:v>6.3496431308760428</x:v>
      </x:c>
      <x:c r="AF48" s="9" t="n">
        <x:f>DEGREES((2*PI()/Inputs!$C$13)*Inputs!$C$15*SIN(RADIANS(AE48)))</x:f>
        <x:v>39.81437043572354</x:v>
      </x:c>
      <x:c r="AG48" s="9">
        <x:f t="shared" si="10"/>
        <x:v>0.97210804944076723</x:v>
      </x:c>
      <x:c r="AH48" s="9">
        <x:f t="shared" si="11"/>
        <x:v>-0.12285460723994959</x:v>
      </x:c>
      <x:c r="AI48" s="9">
        <x:f t="shared" si="12"/>
        <x:v>-145.92202253156802</x:v>
      </x:c>
      <x:c r="AJ48" s="9">
        <x:f t="shared" si="13"/>
        <x:v>-1.7328067679820727</x:v>
      </x:c>
      <x:c r="AK48" s="9">
        <x:f t="shared" si="14"/>
        <x:v>262.02638314073147</x:v>
      </x:c>
      <x:c r="AL48" s="9" t="n">
        <x:f>1000*(AA49-AA47)/(A49-A47)*Inputs!$C$11</x:f>
        <x:v>-888.7034780136673</x:v>
      </x:c>
      <x:c r="AM48" s="9" t="n">
        <x:f>-2*AL48/Inputs!$C$13</x:f>
        <x:v>355.48139120546693</x:v>
      </x:c>
      <x:c r="AN48" s="9" t="n">
        <x:f>-2*AL48/Inputs!$C$14</x:f>
        <x:v>53.37558426508513</x:v>
      </x:c>
      <x:c r="AO48" s="9">
        <x:f t="shared" si="15"/>
        <x:v>355.48139120546693</x:v>
      </x:c>
      <x:c r="AP48" s="9">
        <x:f t="shared" si="16"/>
        <x:v>53.375584265085131</x:v>
      </x:c>
      <x:c r="AQ48" s="9" t="n">
        <x:f>IF(OR(Inputs!$C$27=TRUE,Inputs!$C$27="TRUE",Inputs!$C$27=1),Inputs!$C$46/Inputs!$C$12,0)</x:f>
        <x:v>42.13483146067416</x:v>
      </x:c>
      <x:c r="AR48" s="9">
        <x:f t="shared" si="17"/>
        <x:v>1558.8973470770025</x:v>
      </x:c>
      <x:c r="AS48" s="9">
        <x:f t="shared" si="18"/>
        <x:v>1643.1670099983507</x:v>
      </x:c>
    </x:row>
    <x:row r="49">
      <x:c r="A49" s="9" t="n">
        <x:f>Inputs!$C$7+47*(Inputs!$C$8-Inputs!$C$7)/240</x:f>
        <x:v>-36.5</x:v>
      </x:c>
      <x:c r="B49" s="9" t="n">
        <x:f>Inputs!$C$5+Inputs!$C$9*(A49/Inputs!$C$10)^2</x:f>
        <x:v>401.48027777777776</x:v>
      </x:c>
      <x:c r="C49" s="9">
        <x:f t="shared" si="0"/>
        <x:v>401.48027777777776</x:v>
      </x:c>
      <x:c r="D49" s="9" t="n">
        <x:f>SQRT((Inputs!$C$52+B49)^2+Inputs!$C$52^2-2*(Inputs!$C$52+B49)*Inputs!$C$52*COS(SQRT(A49^2+Inputs!$C$6^2)/Inputs!$C$52))</x:f>
        <x:v>404.53301066098095</x:v>
      </x:c>
      <x:c r="E49" s="9">
        <x:f t="shared" si="1"/>
        <x:v>3052.7328832031912</x:v>
      </x:c>
      <x:c r="F49" s="9" t="n">
        <x:f>E49/Inputs!$C$12</x:f>
        <x:v>1715.0184737096579</x:v>
      </x:c>
      <x:c r="G49" s="9" t="n">
        <x:f>2*E49/Inputs!$C$21*1000000</x:f>
        <x:v>20.36564164134637</x:v>
      </x:c>
      <x:c r="H49" s="9" t="n">
        <x:f>SQRT(A49^2+Inputs!$C$6^2)</x:f>
        <x:v>44.24081825644729</x:v>
      </x:c>
      <x:c r="I49" s="9">
        <x:f t="shared" si="2"/>
        <x:v>6.2882949251900104</x:v>
      </x:c>
      <x:c r="J49" s="9" t="n">
        <x:f>DEGREES((2*PI()/Inputs!$C$13)*Inputs!$C$15*SIN(RADIANS(I49)))</x:f>
        <x:v>39.43125015731847</x:v>
      </x:c>
      <x:c r="K49" s="9">
        <x:f t="shared" si="3"/>
        <x:v>0.97015471172381817</x:v>
      </x:c>
      <x:c r="L49" s="9">
        <x:f t="shared" si="4"/>
        <x:v>-0.1315900275418308</x:v>
      </x:c>
      <x:c r="M49" s="9" t="n">
        <x:f>2*(Inputs!$C$9/(Inputs!$C$10^2))*A49</x:f>
        <x:v>-0.0811111111111111</x:v>
      </x:c>
      <x:c r="N49" s="9" t="n">
        <x:f>M49*Inputs!$C$11</x:f>
        <x:v>-0.3244444444444444</x:v>
      </x:c>
      <x:c r="O49" s="9" t="n">
        <x:f>1000*(D50-D48)/(A50-A48)*Inputs!$C$11</x:f>
        <x:v>-776.1831047143914</x:v>
      </x:c>
      <x:c r="P49" s="9" t="n">
        <x:f>-2*O49/Inputs!$C$13</x:f>
        <x:v>310.4732418857566</x:v>
      </x:c>
      <x:c r="Q49" s="9" t="n">
        <x:f>-2*O49/Inputs!$C$14</x:f>
        <x:v>46.61760388675024</x:v>
      </x:c>
      <x:c r="R49" s="9" t="n">
        <x:f>F49-Inputs!$C$16/2</x:f>
        <x:v>1700.0184737096579</x:v>
      </x:c>
      <x:c r="S49" s="9" t="n">
        <x:f>F49+Inputs!$C$16/2</x:f>
        <x:v>1730.0184737096579</x:v>
      </x:c>
      <x:c r="T49" s="9" t="n">
        <x:f>F49-Inputs!$C$17/2</x:f>
        <x:v>1565.0184737096579</x:v>
      </x:c>
      <x:c r="U49" s="9" t="n">
        <x:f>F49+Inputs!$C$17/2</x:f>
        <x:v>1865.0184737096579</x:v>
      </x:c>
      <x:c r="V49" s="9">
        <x:f t="shared" si="5"/>
        <x:v>310.47324188575658</x:v>
      </x:c>
      <x:c r="W49" s="9">
        <x:f t="shared" si="6"/>
        <x:v>46.617603886750238</x:v>
      </x:c>
      <x:c r="X49" s="9"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x:f>
        <x:v>-21.548035323184823</x:v>
      </x:c>
      <x:c r="Y49" s="9"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x:f>
        <x:v>264.8535608975177</x:v>
      </x:c>
      <x:c r="Z49" s="9">
        <x:f t="shared" si="7"/>
        <x:v>401.50182581310094</x:v>
      </x:c>
      <x:c r="AA49" s="9" t="n">
        <x:f>SQRT((Inputs!$C$52+B49)^2+(Inputs!$C$52+Y49/1000)^2-2*(Inputs!$C$52+B49)*(Inputs!$C$52+Y49/1000)*COS(SQRT(A49^2+Inputs!$C$6^2)/Inputs!$C$52))</x:f>
        <x:v>404.27067347416767</x:v>
      </x:c>
      <x:c r="AB49" s="9">
        <x:f t="shared" si="8"/>
        <x:v>2768.8476610667294</x:v>
      </x:c>
      <x:c r="AC49" s="9" t="n">
        <x:f>AB49/Inputs!$C$12</x:f>
        <x:v>1555.532393857713</x:v>
      </x:c>
      <x:c r="AD49" s="9" t="n">
        <x:f>2*AB49/Inputs!$C$21*1000000</x:f>
        <x:v>18.471763296104864</x:v>
      </x:c>
      <x:c r="AE49" s="9">
        <x:f t="shared" si="9"/>
        <x:v>6.2924127185075021</x:v>
      </x:c>
      <x:c r="AF49" s="9" t="n">
        <x:f>DEGREES((2*PI()/Inputs!$C$13)*Inputs!$C$15*SIN(RADIANS(AE49)))</x:f>
        <x:v>39.4569672460649</x:v>
      </x:c>
      <x:c r="AG49" s="9">
        <x:f t="shared" si="10"/>
        <x:v>0.97288419103756563</x:v>
      </x:c>
      <x:c r="AH49" s="9">
        <x:f t="shared" si="11"/>
        <x:v>-0.11938853654268174</x:v>
      </x:c>
      <x:c r="AI49" s="9">
        <x:f t="shared" si="12"/>
        <x:v>-159.48607985194485</x:v>
      </x:c>
      <x:c r="AJ49" s="9">
        <x:f t="shared" si="13"/>
        <x:v>-1.8938783452415073</x:v>
      </x:c>
      <x:c r="AK49" s="9">
        <x:f t="shared" si="14"/>
        <x:v>286.40159622070252</x:v>
      </x:c>
      <x:c r="AL49" s="9" t="n">
        <x:f>1000*(AA50-AA48)/(A50-A48)*Inputs!$C$11</x:f>
        <x:v>-923.3574370564384</x:v>
      </x:c>
      <x:c r="AM49" s="9" t="n">
        <x:f>-2*AL49/Inputs!$C$13</x:f>
        <x:v>369.34297482257534</x:v>
      </x:c>
      <x:c r="AN49" s="9" t="n">
        <x:f>-2*AL49/Inputs!$C$14</x:f>
        <x:v>55.45690312651282</x:v>
      </x:c>
      <x:c r="AO49" s="9">
        <x:f t="shared" si="15"/>
        <x:v>369.34297482257534</x:v>
      </x:c>
      <x:c r="AP49" s="9">
        <x:f t="shared" si="16"/>
        <x:v>55.45690312651282</x:v>
      </x:c>
      <x:c r="AQ49" s="9" t="n">
        <x:f>IF(OR(Inputs!$C$27=TRUE,Inputs!$C$27="TRUE",Inputs!$C$27=1),Inputs!$C$46/Inputs!$C$12,0)</x:f>
        <x:v>42.13483146067416</x:v>
      </x:c>
      <x:c r="AR49" s="9">
        <x:f t="shared" si="17"/>
        <x:v>1513.3975623970389</x:v>
      </x:c>
      <x:c r="AS49" s="9">
        <x:f t="shared" si="18"/>
        <x:v>1597.6672253183872</x:v>
      </x:c>
    </x:row>
    <x:row r="50">
      <x:c r="A50" s="9" t="n">
        <x:f>Inputs!$C$7+48*(Inputs!$C$8-Inputs!$C$7)/240</x:f>
        <x:v>-36</x:v>
      </x:c>
      <x:c r="B50" s="9" t="n">
        <x:f>Inputs!$C$5+Inputs!$C$9*(A50/Inputs!$C$10)^2</x:f>
        <x:v>401.44</x:v>
      </x:c>
      <x:c r="C50" s="9">
        <x:f t="shared" si="0"/>
        <x:v>401.44</x:v>
      </x:c>
      <x:c r="D50" s="9" t="n">
        <x:f>SQRT((Inputs!$C$52+B50)^2+Inputs!$C$52^2-2*(Inputs!$C$52+B50)*Inputs!$C$52*COS(SQRT(A50^2+Inputs!$C$6^2)/Inputs!$C$52))</x:f>
        <x:v>404.43664381283577</x:v>
      </x:c>
      <x:c r="E50" s="9">
        <x:f t="shared" si="1"/>
        <x:v>2996.6438128357709</x:v>
      </x:c>
      <x:c r="F50" s="9" t="n">
        <x:f>E50/Inputs!$C$12</x:f>
        <x:v>1683.507760020096</x:v>
      </x:c>
      <x:c r="G50" s="9" t="n">
        <x:f>2*E50/Inputs!$C$21*1000000</x:f>
        <x:v>19.99145564119409</x:v>
      </x:c>
      <x:c r="H50" s="9" t="n">
        <x:f>SQRT(A50^2+Inputs!$C$6^2)</x:f>
        <x:v>43.829214001622255</x:v>
      </x:c>
      <x:c r="I50" s="9">
        <x:f t="shared" si="2"/>
        <x:v>6.2308727821328196</x:v>
      </x:c>
      <x:c r="J50" s="9" t="n">
        <x:f>DEGREES((2*PI()/Inputs!$C$13)*Inputs!$C$15*SIN(RADIANS(I50)))</x:f>
        <x:v>39.0726072191931</x:v>
      </x:c>
      <x:c r="K50" s="9">
        <x:f t="shared" si="3"/>
        <x:v>0.97069006533041091</x:v>
      </x:c>
      <x:c r="L50" s="9">
        <x:f t="shared" si="4"/>
        <x:v>-0.12919415203591073</x:v>
      </x:c>
      <x:c r="M50" s="9" t="n">
        <x:f>2*(Inputs!$C$9/(Inputs!$C$10^2))*A50</x:f>
        <x:v>-0.08</x:v>
      </x:c>
      <x:c r="N50" s="9" t="n">
        <x:f>M50*Inputs!$C$11</x:f>
        <x:v>-0.32</x:v>
      </x:c>
      <x:c r="O50" s="9" t="n">
        <x:f>1000*(D51-D49)/(A51-A49)*Inputs!$C$11</x:f>
        <x:v>-765.6837369277127</x:v>
      </x:c>
      <x:c r="P50" s="9" t="n">
        <x:f>-2*O50/Inputs!$C$13</x:f>
        <x:v>306.2734947710851</x:v>
      </x:c>
      <x:c r="Q50" s="9" t="n">
        <x:f>-2*O50/Inputs!$C$14</x:f>
        <x:v>45.987011226889656</x:v>
      </x:c>
      <x:c r="R50" s="9" t="n">
        <x:f>F50-Inputs!$C$16/2</x:f>
        <x:v>1668.507760020096</x:v>
      </x:c>
      <x:c r="S50" s="9" t="n">
        <x:f>F50+Inputs!$C$16/2</x:f>
        <x:v>1698.507760020096</x:v>
      </x:c>
      <x:c r="T50" s="9" t="n">
        <x:f>F50-Inputs!$C$17/2</x:f>
        <x:v>1533.507760020096</x:v>
      </x:c>
      <x:c r="U50" s="9" t="n">
        <x:f>F50+Inputs!$C$17/2</x:f>
        <x:v>1833.507760020096</x:v>
      </x:c>
      <x:c r="V50" s="9">
        <x:f t="shared" si="5"/>
        <x:v>306.2734947710851</x:v>
      </x:c>
      <x:c r="W50" s="9">
        <x:f t="shared" si="6"/>
        <x:v>45.987011226889656</x:v>
      </x:c>
      <x:c r="X50" s="9"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x:f>
        <x:v>-2.286662206392558</x:v>
      </x:c>
      <x:c r="Y50" s="9"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x:f>
        <x:v>273.24610443212225</x:v>
      </x:c>
      <x:c r="Z50" s="9">
        <x:f t="shared" si="7"/>
        <x:v>401.44228666220641</x:v>
      </x:c>
      <x:c r="AA50" s="9" t="n">
        <x:f>SQRT((Inputs!$C$52+B50)^2+(Inputs!$C$52+Y50/1000)^2-2*(Inputs!$C$52+B50)*(Inputs!$C$52+Y50/1000)*COS(SQRT(A50^2+Inputs!$C$6^2)/Inputs!$C$52))</x:f>
        <x:v>404.1659466924294</x:v>
      </x:c>
      <x:c r="AB50" s="9">
        <x:f t="shared" si="8"/>
        <x:v>2723.660030222959</x:v>
      </x:c>
      <x:c r="AC50" s="9" t="n">
        <x:f>AB50/Inputs!$C$12</x:f>
        <x:v>1530.1460843949208</x:v>
      </x:c>
      <x:c r="AD50" s="9" t="n">
        <x:f>2*AB50/Inputs!$C$21*1000000</x:f>
        <x:v>18.170303872173857</x:v>
      </x:c>
      <x:c r="AE50" s="9">
        <x:f t="shared" si="9"/>
        <x:v>6.2350833913324726</x:v>
      </x:c>
      <x:c r="AF50" s="9" t="n">
        <x:f>DEGREES((2*PI()/Inputs!$C$13)*Inputs!$C$15*SIN(RADIANS(AE50)))</x:f>
        <x:v>39.098906865813106</x:v>
      </x:c>
      <x:c r="AG50" s="9">
        <x:f t="shared" si="10"/>
        <x:v>0.97331540113947623</x:v>
      </x:c>
      <x:c r="AH50" s="9">
        <x:f t="shared" si="11"/>
        <x:v>-0.11746404563622032</x:v>
      </x:c>
      <x:c r="AI50" s="9">
        <x:f t="shared" si="12"/>
        <x:v>-153.36167562517517</x:v>
      </x:c>
      <x:c r="AJ50" s="9">
        <x:f t="shared" si="13"/>
        <x:v>-1.8211517690202328</x:v>
      </x:c>
      <x:c r="AK50" s="9">
        <x:f t="shared" si="14"/>
        <x:v>275.53276663851483</x:v>
      </x:c>
      <x:c r="AL50" s="9" t="n">
        <x:f>1000*(AA51-AA49)/(A51-A49)*Inputs!$C$11</x:f>
        <x:v>-845.7061886808788</x:v>
      </x:c>
      <x:c r="AM50" s="9" t="n">
        <x:f>-2*AL50/Inputs!$C$13</x:f>
        <x:v>338.2824754723515</x:v>
      </x:c>
      <x:c r="AN50" s="9" t="n">
        <x:f>-2*AL50/Inputs!$C$14</x:f>
        <x:v>50.79316448533807</x:v>
      </x:c>
      <x:c r="AO50" s="9">
        <x:f t="shared" si="15"/>
        <x:v>338.28247547235151</x:v>
      </x:c>
      <x:c r="AP50" s="9">
        <x:f t="shared" si="16"/>
        <x:v>50.793164485338067</x:v>
      </x:c>
      <x:c r="AQ50" s="9" t="n">
        <x:f>IF(OR(Inputs!$C$27=TRUE,Inputs!$C$27="TRUE",Inputs!$C$27=1),Inputs!$C$46/Inputs!$C$12,0)</x:f>
        <x:v>42.13483146067416</x:v>
      </x:c>
      <x:c r="AR50" s="9">
        <x:f t="shared" si="17"/>
        <x:v>1488.0112529342466</x:v>
      </x:c>
      <x:c r="AS50" s="9">
        <x:f t="shared" si="18"/>
        <x:v>1572.2809158555949</x:v>
      </x:c>
    </x:row>
    <x:row r="51">
      <x:c r="A51" s="9" t="n">
        <x:f>Inputs!$C$7+49*(Inputs!$C$8-Inputs!$C$7)/240</x:f>
        <x:v>-35.5</x:v>
      </x:c>
      <x:c r="B51" s="9" t="n">
        <x:f>Inputs!$C$5+Inputs!$C$9*(A51/Inputs!$C$10)^2</x:f>
        <x:v>401.4002777777778</x:v>
      </x:c>
      <x:c r="C51" s="9">
        <x:f t="shared" si="0"/>
        <x:v>401.40027777777777</x:v>
      </x:c>
      <x:c r="D51" s="9" t="n">
        <x:f>SQRT((Inputs!$C$52+B51)^2+Inputs!$C$52^2-2*(Inputs!$C$52+B51)*Inputs!$C$52*COS(SQRT(A51^2+Inputs!$C$6^2)/Inputs!$C$52))</x:f>
        <x:v>404.341589726749</x:v>
      </x:c>
      <x:c r="E51" s="9">
        <x:f t="shared" si="1"/>
        <x:v>2941.3119489712471</x:v>
      </x:c>
      <x:c r="F51" s="9" t="n">
        <x:f>E51/Inputs!$C$12</x:f>
        <x:v>1652.4224432422736</x:v>
      </x:c>
      <x:c r="G51" s="9" t="n">
        <x:f>2*E51/Inputs!$C$21*1000000</x:f>
        <x:v>19.622321179082146</x:v>
      </x:c>
      <x:c r="H51" s="9" t="n">
        <x:f>SQRT(A51^2+Inputs!$C$6^2)</x:f>
        <x:v>43.41946568072896</x:v>
      </x:c>
      <x:c r="I51" s="9">
        <x:f t="shared" si="2"/>
        <x:v>6.1736799158619622</x:v>
      </x:c>
      <x:c r="J51" s="9" t="n">
        <x:f>DEGREES((2*PI()/Inputs!$C$13)*Inputs!$C$15*SIN(RADIANS(I51)))</x:f>
        <x:v>38.71535727003771</x:v>
      </x:c>
      <x:c r="K51" s="9">
        <x:f t="shared" si="3"/>
        <x:v>0.97121865971571986</x:v>
      </x:c>
      <x:c r="L51" s="9">
        <x:f t="shared" si="4"/>
        <x:v>-0.1268298222668158</x:v>
      </x:c>
      <x:c r="M51" s="9" t="n">
        <x:f>2*(Inputs!$C$9/(Inputs!$C$10^2))*A51</x:f>
        <x:v>-0.07888888888888888</x:v>
      </x:c>
      <x:c r="N51" s="9" t="n">
        <x:f>M51*Inputs!$C$11</x:f>
        <x:v>-0.31555555555555553</x:v>
      </x:c>
      <x:c r="O51" s="9" t="n">
        <x:f>1000*(D52-D50)/(A52-A50)*Inputs!$C$11</x:f>
        <x:v>-755.1789462022498</x:v>
      </x:c>
      <x:c r="P51" s="9" t="n">
        <x:f>-2*O51/Inputs!$C$13</x:f>
        <x:v>302.0715784808999</x:v>
      </x:c>
      <x:c r="Q51" s="9" t="n">
        <x:f>-2*O51/Inputs!$C$14</x:f>
        <x:v>45.356092864999994</x:v>
      </x:c>
      <x:c r="R51" s="9" t="n">
        <x:f>F51-Inputs!$C$16/2</x:f>
        <x:v>1637.4224432422736</x:v>
      </x:c>
      <x:c r="S51" s="9" t="n">
        <x:f>F51+Inputs!$C$16/2</x:f>
        <x:v>1667.4224432422736</x:v>
      </x:c>
      <x:c r="T51" s="9" t="n">
        <x:f>F51-Inputs!$C$17/2</x:f>
        <x:v>1502.4224432422736</x:v>
      </x:c>
      <x:c r="U51" s="9" t="n">
        <x:f>F51+Inputs!$C$17/2</x:f>
        <x:v>1802.4224432422736</x:v>
      </x:c>
      <x:c r="V51" s="9">
        <x:f t="shared" si="5"/>
        <x:v>302.07157848089992</x:v>
      </x:c>
      <x:c r="W51" s="9">
        <x:f t="shared" si="6"/>
        <x:v>45.356092864999994</x:v>
      </x:c>
      <x:c r="X51" s="9"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x:f>
        <x:v>-0.6339718611461809</x:v>
      </x:c>
      <x:c r="Y51" s="9"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x:f>
        <x:v>284.9525044867838</x:v>
      </x:c>
      <x:c r="Z51" s="9">
        <x:f t="shared" si="7"/>
        <x:v>401.40091174963891</x:v>
      </x:c>
      <x:c r="AA51" s="9" t="n">
        <x:f>SQRT((Inputs!$C$52+B51)^2+(Inputs!$C$52+Y51/1000)^2-2*(Inputs!$C$52+B51)*(Inputs!$C$52+Y51/1000)*COS(SQRT(A51^2+Inputs!$C$6^2)/Inputs!$C$52))</x:f>
        <x:v>404.05924692699745</x:v>
      </x:c>
      <x:c r="AB51" s="9">
        <x:f t="shared" si="8"/>
        <x:v>2658.3351773585377</x:v>
      </x:c>
      <x:c r="AC51" s="9" t="n">
        <x:f>AB51/Inputs!$C$12</x:f>
        <x:v>1493.4467288531112</x:v>
      </x:c>
      <x:c r="AD51" s="9" t="n">
        <x:f>2*AB51/Inputs!$C$21*1000000</x:f>
        <x:v>17.734503363380394</x:v>
      </x:c>
      <x:c r="AE51" s="9">
        <x:f t="shared" si="9"/>
        <x:v>6.1780317969659224</x:v>
      </x:c>
      <x:c r="AF51" s="9" t="n">
        <x:f>DEGREES((2*PI()/Inputs!$C$13)*Inputs!$C$15*SIN(RADIANS(AE51)))</x:f>
        <x:v>38.742542253306674</x:v>
      </x:c>
      <x:c r="AG51" s="9">
        <x:f t="shared" si="10"/>
        <x:v>0.97394227701728153</x:v>
      </x:c>
      <x:c r="AH51" s="9">
        <x:f t="shared" si="11"/>
        <x:v>-0.11466781843908992</x:v>
      </x:c>
      <x:c r="AI51" s="9">
        <x:f t="shared" si="12"/>
        <x:v>-158.97571438916248</x:v>
      </x:c>
      <x:c r="AJ51" s="9">
        <x:f t="shared" si="13"/>
        <x:v>-1.8878178157017516</x:v>
      </x:c>
      <x:c r="AK51" s="9">
        <x:f t="shared" si="14"/>
        <x:v>285.58647634783176</x:v>
      </x:c>
      <x:c r="AL51" s="9" t="n">
        <x:f>1000*(AA52-AA50)/(A52-A50)*Inputs!$C$11</x:f>
        <x:v>-785.1496058283374</x:v>
      </x:c>
      <x:c r="AM51" s="9" t="n">
        <x:f>-2*AL51/Inputs!$C$13</x:f>
        <x:v>314.05984233133495</x:v>
      </x:c>
      <x:c r="AN51" s="9" t="n">
        <x:f>-2*AL51/Inputs!$C$14</x:f>
        <x:v>47.15613248218243</x:v>
      </x:c>
      <x:c r="AO51" s="9">
        <x:f t="shared" si="15"/>
        <x:v>314.05984233133495</x:v>
      </x:c>
      <x:c r="AP51" s="9">
        <x:f t="shared" si="16"/>
        <x:v>47.156132482182429</x:v>
      </x:c>
      <x:c r="AQ51" s="9" t="n">
        <x:f>IF(OR(Inputs!$C$27=TRUE,Inputs!$C$27="TRUE",Inputs!$C$27=1),Inputs!$C$46/Inputs!$C$12,0)</x:f>
        <x:v>42.13483146067416</x:v>
      </x:c>
      <x:c r="AR51" s="9">
        <x:f t="shared" si="17"/>
        <x:v>1451.311897392437</x:v>
      </x:c>
      <x:c r="AS51" s="9">
        <x:f t="shared" si="18"/>
        <x:v>1535.5815603137853</x:v>
      </x:c>
    </x:row>
    <x:row r="52">
      <x:c r="A52" s="9" t="n">
        <x:f>Inputs!$C$7+50*(Inputs!$C$8-Inputs!$C$7)/240</x:f>
        <x:v>-35</x:v>
      </x:c>
      <x:c r="B52" s="9" t="n">
        <x:f>Inputs!$C$5+Inputs!$C$9*(A52/Inputs!$C$10)^2</x:f>
        <x:v>401.3611111111111</x:v>
      </x:c>
      <x:c r="C52" s="9">
        <x:f t="shared" si="0"/>
        <x:v>401.36111111111109</x:v>
      </x:c>
      <x:c r="D52" s="9" t="n">
        <x:f>SQRT((Inputs!$C$52+B52)^2+Inputs!$C$52^2-2*(Inputs!$C$52+B52)*Inputs!$C$52*COS(SQRT(A52^2+Inputs!$C$6^2)/Inputs!$C$52))</x:f>
        <x:v>404.2478490762852</x:v>
      </x:c>
      <x:c r="E52" s="9">
        <x:f t="shared" si="1"/>
        <x:v>2886.7379651741203</x:v>
      </x:c>
      <x:c r="F52" s="9" t="n">
        <x:f>E52/Inputs!$C$12</x:f>
        <x:v>1621.7629017832137</x:v>
      </x:c>
      <x:c r="G52" s="9" t="n">
        <x:f>2*E52/Inputs!$C$21*1000000</x:f>
        <x:v>19.258242748549197</x:v>
      </x:c>
      <x:c r="H52" s="9" t="n">
        <x:f>SQRT(A52^2+Inputs!$C$6^2)</x:f>
        <x:v>43.01162633521314</x:v>
      </x:c>
      <x:c r="I52" s="9">
        <x:f t="shared" si="2"/>
        <x:v>6.116724388997361</x:v>
      </x:c>
      <x:c r="J52" s="9" t="n">
        <x:f>DEGREES((2*PI()/Inputs!$C$13)*Inputs!$C$15*SIN(RADIANS(I52)))</x:f>
        <x:v>38.35955150243656</x:v>
      </x:c>
      <x:c r="K52" s="9">
        <x:f t="shared" si="3"/>
        <x:v>0.97174046983379292</x:v>
      </x:c>
      <x:c r="L52" s="9">
        <x:f t="shared" si="4"/>
        <x:v>-0.12449709939187389</x:v>
      </x:c>
      <x:c r="M52" s="9" t="n">
        <x:f>2*(Inputs!$C$9/(Inputs!$C$10^2))*A52</x:f>
        <x:v>-0.07777777777777778</x:v>
      </x:c>
      <x:c r="N52" s="9" t="n">
        <x:f>M52*Inputs!$C$11</x:f>
        <x:v>-0.3111111111111111</x:v>
      </x:c>
      <x:c r="O52" s="9" t="n">
        <x:f>1000*(D53-D51)/(A53-A51)*Inputs!$C$11</x:f>
        <x:v>-744.6688015527343</x:v>
      </x:c>
      <x:c r="P52" s="9" t="n">
        <x:f>-2*O52/Inputs!$C$13</x:f>
        <x:v>297.8675206210937</x:v>
      </x:c>
      <x:c r="Q52" s="9" t="n">
        <x:f>-2*O52/Inputs!$C$14</x:f>
        <x:v>44.72485294611017</x:v>
      </x:c>
      <x:c r="R52" s="9" t="n">
        <x:f>F52-Inputs!$C$16/2</x:f>
        <x:v>1606.7629017832137</x:v>
      </x:c>
      <x:c r="S52" s="9" t="n">
        <x:f>F52+Inputs!$C$16/2</x:f>
        <x:v>1636.7629017832137</x:v>
      </x:c>
      <x:c r="T52" s="9" t="n">
        <x:f>F52-Inputs!$C$17/2</x:f>
        <x:v>1471.7629017832137</x:v>
      </x:c>
      <x:c r="U52" s="9" t="n">
        <x:f>F52+Inputs!$C$17/2</x:f>
        <x:v>1771.7629017832137</x:v>
      </x:c>
      <x:c r="V52" s="9">
        <x:f t="shared" si="5"/>
        <x:v>297.86752062109372</x:v>
      </x:c>
      <x:c r="W52" s="9">
        <x:f t="shared" si="6"/>
        <x:v>44.724852946110168</x:v>
      </x:c>
      <x:c r="X52" s="9"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x:f>
        <x:v>-9.708529731781153</x:v>
      </x:c>
      <x:c r="Y52" s="9"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x:f>
        <x:v>280.71344003946786</x:v>
      </x:c>
      <x:c r="Z52" s="9">
        <x:f t="shared" si="7"/>
        <x:v>401.37081964084285</x:v>
      </x:c>
      <x:c r="AA52" s="9" t="n">
        <x:f>SQRT((Inputs!$C$52+B52)^2+(Inputs!$C$52+Y52/1000)^2-2*(Inputs!$C$52+B52)*(Inputs!$C$52+Y52/1000)*COS(SQRT(A52^2+Inputs!$C$6^2)/Inputs!$C$52))</x:f>
        <x:v>403.9696592909723</x:v>
      </x:c>
      <x:c r="AB52" s="9">
        <x:f t="shared" si="8"/>
        <x:v>2598.8396501294346</x:v>
      </x:c>
      <x:c r="AC52" s="9" t="n">
        <x:f>AB52/Inputs!$C$12</x:f>
        <x:v>1460.022275353615</x:v>
      </x:c>
      <x:c r="AD52" s="9" t="n">
        <x:f>2*AB52/Inputs!$C$21*1000000</x:f>
        <x:v>17.337591929210138</x:v>
      </x:c>
      <x:c r="AE52" s="9">
        <x:f t="shared" si="9"/>
        <x:v>6.1209729554559349</x:v>
      </x:c>
      <x:c r="AF52" s="9" t="n">
        <x:f>DEGREES((2*PI()/Inputs!$C$13)*Inputs!$C$15*SIN(RADIANS(AE52)))</x:f>
        <x:v>38.38609395223803</x:v>
      </x:c>
      <x:c r="AG52" s="9">
        <x:f t="shared" si="10"/>
        <x:v>0.97451423907721568</x:v>
      </x:c>
      <x:c r="AH52" s="9">
        <x:f t="shared" si="11"/>
        <x:v>-0.11211810822928614</x:v>
      </x:c>
      <x:c r="AI52" s="9">
        <x:f t="shared" si="12"/>
        <x:v>-161.74062642959871</x:v>
      </x:c>
      <x:c r="AJ52" s="9">
        <x:f t="shared" si="13"/>
        <x:v>-1.920650819339059</x:v>
      </x:c>
      <x:c r="AK52" s="9">
        <x:f t="shared" si="14"/>
        <x:v>290.42196977115077</x:v>
      </x:c>
      <x:c r="AL52" s="9" t="n">
        <x:f>1000*(AA53-AA51)/(A53-A51)*Inputs!$C$11</x:f>
        <x:v>-869.3911384636976</x:v>
      </x:c>
      <x:c r="AM52" s="9" t="n">
        <x:f>-2*AL52/Inputs!$C$13</x:f>
        <x:v>347.75645538547906</x:v>
      </x:c>
      <x:c r="AN52" s="9" t="n">
        <x:f>-2*AL52/Inputs!$C$14</x:f>
        <x:v>52.21568399181368</x:v>
      </x:c>
      <x:c r="AO52" s="9">
        <x:f t="shared" si="15"/>
        <x:v>347.75645538547906</x:v>
      </x:c>
      <x:c r="AP52" s="9">
        <x:f t="shared" si="16"/>
        <x:v>52.215683991813677</x:v>
      </x:c>
      <x:c r="AQ52" s="9" t="n">
        <x:f>IF(OR(Inputs!$C$27=TRUE,Inputs!$C$27="TRUE",Inputs!$C$27=1),Inputs!$C$46/Inputs!$C$12,0)</x:f>
        <x:v>42.13483146067416</x:v>
      </x:c>
      <x:c r="AR52" s="9">
        <x:f t="shared" si="17"/>
        <x:v>1417.8874438929408</x:v>
      </x:c>
      <x:c r="AS52" s="9">
        <x:f t="shared" si="18"/>
        <x:v>1502.1571068142891</x:v>
      </x:c>
    </x:row>
    <x:row r="53">
      <x:c r="A53" s="9" t="n">
        <x:f>Inputs!$C$7+51*(Inputs!$C$8-Inputs!$C$7)/240</x:f>
        <x:v>-34.5</x:v>
      </x:c>
      <x:c r="B53" s="9" t="n">
        <x:f>Inputs!$C$5+Inputs!$C$9*(A53/Inputs!$C$10)^2</x:f>
        <x:v>401.3225</x:v>
      </x:c>
      <x:c r="C53" s="9">
        <x:f t="shared" si="0"/>
        <x:v>401.32249999999999</x:v>
      </x:c>
      <x:c r="D53" s="9" t="n">
        <x:f>SQRT((Inputs!$C$52+B53)^2+Inputs!$C$52^2-2*(Inputs!$C$52+B53)*Inputs!$C$52*COS(SQRT(A53^2+Inputs!$C$6^2)/Inputs!$C$52))</x:f>
        <x:v>404.15542252636084</x:v>
      </x:c>
      <x:c r="E53" s="9">
        <x:f t="shared" si="1"/>
        <x:v>2832.9225263608464</x:v>
      </x:c>
      <x:c r="F53" s="9" t="n">
        <x:f>E53/Inputs!$C$12</x:f>
        <x:v>1591.5295091914868</x:v>
      </x:c>
      <x:c r="G53" s="9" t="n">
        <x:f>2*E53/Inputs!$C$21*1000000</x:f>
        <x:v>18.899224785440378</x:v>
      </x:c>
      <x:c r="H53" s="9" t="n">
        <x:f>SQRT(A53^2+Inputs!$C$6^2)</x:f>
        <x:v>42.60575078554537</x:v>
      </x:c>
      <x:c r="I53" s="9">
        <x:f t="shared" si="2"/>
        <x:v>6.0600145195950779</x:v>
      </x:c>
      <x:c r="J53" s="9" t="n">
        <x:f>DEGREES((2*PI()/Inputs!$C$13)*Inputs!$C$15*SIN(RADIANS(I53)))</x:f>
        <x:v>38.005242715884584</x:v>
      </x:c>
      <x:c r="K53" s="9">
        <x:f t="shared" si="3"/>
        <x:v>0.97225547092145215</x:v>
      </x:c>
      <x:c r="L53" s="9">
        <x:f t="shared" si="4"/>
        <x:v>-0.12219604380746735</x:v>
      </x:c>
      <x:c r="M53" s="9" t="n">
        <x:f>2*(Inputs!$C$9/(Inputs!$C$10^2))*A53</x:f>
        <x:v>-0.07666666666666666</x:v>
      </x:c>
      <x:c r="N53" s="9" t="n">
        <x:f>M53*Inputs!$C$11</x:f>
        <x:v>-0.30666666666666664</x:v>
      </x:c>
      <x:c r="O53" s="9" t="n">
        <x:f>1000*(D54-D52)/(A54-A52)*Inputs!$C$11</x:f>
        <x:v>-734.1533722806162</x:v>
      </x:c>
      <x:c r="P53" s="9" t="n">
        <x:f>-2*O53/Inputs!$C$13</x:f>
        <x:v>293.66134891224647</x:v>
      </x:c>
      <x:c r="Q53" s="9" t="n">
        <x:f>-2*O53/Inputs!$C$14</x:f>
        <x:v>44.09329563246944</x:v>
      </x:c>
      <x:c r="R53" s="9" t="n">
        <x:f>F53-Inputs!$C$16/2</x:f>
        <x:v>1576.5295091914868</x:v>
      </x:c>
      <x:c r="S53" s="9" t="n">
        <x:f>F53+Inputs!$C$16/2</x:f>
        <x:v>1606.5295091914868</x:v>
      </x:c>
      <x:c r="T53" s="9" t="n">
        <x:f>F53-Inputs!$C$17/2</x:f>
        <x:v>1441.5295091914868</x:v>
      </x:c>
      <x:c r="U53" s="9" t="n">
        <x:f>F53+Inputs!$C$17/2</x:f>
        <x:v>1741.5295091914868</x:v>
      </x:c>
      <x:c r="V53" s="9">
        <x:f t="shared" si="5"/>
        <x:v>293.66134891224647</x:v>
      </x:c>
      <x:c r="W53" s="9">
        <x:f t="shared" si="6"/>
        <x:v>44.093295632469442</x:v>
      </x:c>
      <x:c r="X53" s="9"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x:f>
        <x:v>-9.85965082687293</x:v>
      </x:c>
      <x:c r="Y53" s="9"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x:f>
        <x:v>316.314878049505</x:v>
      </x:c>
      <x:c r="Z53" s="9">
        <x:f t="shared" si="7"/>
        <x:v>401.33235965082685</x:v>
      </x:c>
      <x:c r="AA53" s="9" t="n">
        <x:f>SQRT((Inputs!$C$52+B53)^2+(Inputs!$C$52+Y53/1000)^2-2*(Inputs!$C$52+B53)*(Inputs!$C$52+Y53/1000)*COS(SQRT(A53^2+Inputs!$C$6^2)/Inputs!$C$52))</x:f>
        <x:v>403.8418991423815</x:v>
      </x:c>
      <x:c r="AB53" s="9">
        <x:f t="shared" si="8"/>
        <x:v>2509.5394915546763</x:v>
      </x:c>
      <x:c r="AC53" s="9" t="n">
        <x:f>AB53/Inputs!$C$12</x:f>
        <x:v>1409.8536469408293</x:v>
      </x:c>
      <x:c r="AD53" s="9" t="n">
        <x:f>2*AB53/Inputs!$C$21*1000000</x:f>
        <x:v>16.74184539728932</x:v>
      </x:c>
      <x:c r="AE53" s="9">
        <x:f t="shared" si="9"/>
        <x:v>6.0647590656594197</x:v>
      </x:c>
      <x:c r="AF53" s="9" t="n">
        <x:f>DEGREES((2*PI()/Inputs!$C$13)*Inputs!$C$15*SIN(RADIANS(AE53)))</x:f>
        <x:v>38.03488686043745</x:v>
      </x:c>
      <x:c r="AG53" s="9">
        <x:f t="shared" si="10"/>
        <x:v>0.97537408355033139</x:v>
      </x:c>
      <x:c r="AH53" s="9">
        <x:f t="shared" si="11"/>
        <x:v>-0.10828788134048811</x:v>
      </x:c>
      <x:c r="AI53" s="9">
        <x:f t="shared" si="12"/>
        <x:v>-181.67586225065747</x:v>
      </x:c>
      <x:c r="AJ53" s="9">
        <x:f t="shared" si="13"/>
        <x:v>-2.1573793881510568</x:v>
      </x:c>
      <x:c r="AK53" s="9">
        <x:f t="shared" si="14"/>
        <x:v>326.17452887635341</x:v>
      </x:c>
      <x:c r="AL53" s="9" t="n">
        <x:f>1000*(AA54-AA52)/(A54-A52)*Inputs!$C$11</x:f>
        <x:v>-887.9887835328191</x:v>
      </x:c>
      <x:c r="AM53" s="9" t="n">
        <x:f>-2*AL53/Inputs!$C$13</x:f>
        <x:v>355.1955134131276</x:v>
      </x:c>
      <x:c r="AN53" s="9" t="n">
        <x:f>-2*AL53/Inputs!$C$14</x:f>
        <x:v>53.33265967164079</x:v>
      </x:c>
      <x:c r="AO53" s="9">
        <x:f t="shared" si="15"/>
        <x:v>355.19551341312763</x:v>
      </x:c>
      <x:c r="AP53" s="9">
        <x:f t="shared" si="16"/>
        <x:v>53.332659671640791</x:v>
      </x:c>
      <x:c r="AQ53" s="9" t="n">
        <x:f>IF(OR(Inputs!$C$27=TRUE,Inputs!$C$27="TRUE",Inputs!$C$27=1),Inputs!$C$46/Inputs!$C$12,0)</x:f>
        <x:v>42.13483146067416</x:v>
      </x:c>
      <x:c r="AR53" s="9">
        <x:f t="shared" si="17"/>
        <x:v>1367.7188154801552</x:v>
      </x:c>
      <x:c r="AS53" s="9">
        <x:f t="shared" si="18"/>
        <x:v>1451.9884784015035</x:v>
      </x:c>
    </x:row>
    <x:row r="54">
      <x:c r="A54" s="9" t="n">
        <x:f>Inputs!$C$7+52*(Inputs!$C$8-Inputs!$C$7)/240</x:f>
        <x:v>-34</x:v>
      </x:c>
      <x:c r="B54" s="9" t="n">
        <x:f>Inputs!$C$5+Inputs!$C$9*(A54/Inputs!$C$10)^2</x:f>
        <x:v>401.28444444444443</x:v>
      </x:c>
      <x:c r="C54" s="9">
        <x:f t="shared" si="0"/>
        <x:v>401.28444444444443</x:v>
      </x:c>
      <x:c r="D54" s="9" t="n">
        <x:f>SQRT((Inputs!$C$52+B54)^2+Inputs!$C$52^2-2*(Inputs!$C$52+B54)*Inputs!$C$52*COS(SQRT(A54^2+Inputs!$C$6^2)/Inputs!$C$52))</x:f>
        <x:v>404.06431073321505</x:v>
      </x:c>
      <x:c r="E54" s="9">
        <x:f t="shared" si="1"/>
        <x:v>2779.86628877062</x:v>
      </x:c>
      <x:c r="F54" s="9" t="n">
        <x:f>E54/Inputs!$C$12</x:f>
        <x:v>1561.7226341407977</x:v>
      </x:c>
      <x:c r="G54" s="9" t="n">
        <x:f>2*E54/Inputs!$C$21*1000000</x:f>
        <x:v>18.545271667712335</x:v>
      </x:c>
      <x:c r="H54" s="9" t="n">
        <x:f>SQRT(A54^2+Inputs!$C$6^2)</x:f>
        <x:v>42.20189569201838</x:v>
      </x:c>
      <x:c r="I54" s="9">
        <x:f t="shared" si="2"/>
        <x:v>6.0035588898090326</x:v>
      </x:c>
      <x:c r="J54" s="9" t="n">
        <x:f>DEGREES((2*PI()/Inputs!$C$13)*Inputs!$C$15*SIN(RADIANS(I54)))</x:f>
        <x:v>37.65248537110963</x:v>
      </x:c>
      <x:c r="K54" s="9">
        <x:f t="shared" si="3"/>
        <x:v>0.97276363850093261</x:v>
      </x:c>
      <x:c r="L54" s="9">
        <x:f t="shared" si="4"/>
        <x:v>-0.1199267151453179</x:v>
      </x:c>
      <x:c r="M54" s="9" t="n">
        <x:f>2*(Inputs!$C$9/(Inputs!$C$10^2))*A54</x:f>
        <x:v>-0.07555555555555556</x:v>
      </x:c>
      <x:c r="N54" s="9" t="n">
        <x:f>M54*Inputs!$C$11</x:f>
        <x:v>-0.3022222222222222</x:v>
      </x:c>
      <x:c r="O54" s="9" t="n">
        <x:f>1000*(D55-D53)/(A55-A53)*Inputs!$C$11</x:f>
        <x:v>-723.632727916538</x:v>
      </x:c>
      <x:c r="P54" s="9" t="n">
        <x:f>-2*O54/Inputs!$C$13</x:f>
        <x:v>289.4530911666152</x:v>
      </x:c>
      <x:c r="Q54" s="9" t="n">
        <x:f>-2*O54/Inputs!$C$14</x:f>
        <x:v>43.46142510009238</x:v>
      </x:c>
      <x:c r="R54" s="9" t="n">
        <x:f>F54-Inputs!$C$16/2</x:f>
        <x:v>1546.7226341407977</x:v>
      </x:c>
      <x:c r="S54" s="9" t="n">
        <x:f>F54+Inputs!$C$16/2</x:f>
        <x:v>1576.7226341407977</x:v>
      </x:c>
      <x:c r="T54" s="9" t="n">
        <x:f>F54-Inputs!$C$17/2</x:f>
        <x:v>1411.7226341407977</x:v>
      </x:c>
      <x:c r="U54" s="9" t="n">
        <x:f>F54+Inputs!$C$17/2</x:f>
        <x:v>1711.7226341407977</x:v>
      </x:c>
      <x:c r="V54" s="9">
        <x:f t="shared" si="5"/>
        <x:v>289.4530911666152</x:v>
      </x:c>
      <x:c r="W54" s="9">
        <x:f t="shared" si="6"/>
        <x:v>43.461425100092377</x:v>
      </x:c>
      <x:c r="X54" s="9"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x:f>
        <x:v>0.233219012771956</x:v>
      </x:c>
      <x:c r="Y54" s="9"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x:f>
        <x:v>319.4152549266823</x:v>
      </x:c>
      <x:c r="Z54" s="9">
        <x:f t="shared" si="7"/>
        <x:v>401.28421122543165</x:v>
      </x:c>
      <x:c r="AA54" s="9" t="n">
        <x:f>SQRT((Inputs!$C$52+B54)^2+(Inputs!$C$52+Y54/1000)^2-2*(Inputs!$C$52+B54)*(Inputs!$C$52+Y54/1000)*COS(SQRT(A54^2+Inputs!$C$6^2)/Inputs!$C$52))</x:f>
        <x:v>403.7476620950891</x:v>
      </x:c>
      <x:c r="AB54" s="9">
        <x:f t="shared" si="8"/>
        <x:v>2463.4508696574358</x:v>
      </x:c>
      <x:c r="AC54" s="9" t="n">
        <x:f>AB54/Inputs!$C$12</x:f>
        <x:v>1383.9611627288964</x:v>
      </x:c>
      <x:c r="AD54" s="9" t="n">
        <x:f>2*AB54/Inputs!$C$21*1000000</x:f>
        <x:v>16.43437520804767</x:v>
      </x:c>
      <x:c r="AE54" s="9">
        <x:f t="shared" si="9"/>
        <x:v>6.008306452022449</x:v>
      </x:c>
      <x:c r="AF54" s="9" t="n">
        <x:f>DEGREES((2*PI()/Inputs!$C$13)*Inputs!$C$15*SIN(RADIANS(AE54)))</x:f>
        <x:v>37.68215145038995</x:v>
      </x:c>
      <x:c r="AG54" s="9">
        <x:f t="shared" si="10"/>
        <x:v>0.97581661328174474</x:v>
      </x:c>
      <x:c r="AH54" s="9">
        <x:f t="shared" si="11"/>
        <x:v>-0.10631792295519807</x:v>
      </x:c>
      <x:c r="AI54" s="9">
        <x:f t="shared" si="12"/>
        <x:v>-177.76147141190131</x:v>
      </x:c>
      <x:c r="AJ54" s="9">
        <x:f t="shared" si="13"/>
        <x:v>-2.1108964596646658</x:v>
      </x:c>
      <x:c r="AK54" s="9">
        <x:f t="shared" si="14"/>
        <x:v>319.18203591387351</x:v>
      </x:c>
      <x:c r="AL54" s="9" t="n">
        <x:f>1000*(AA55-AA53)/(A55-A53)*Inputs!$C$11</x:f>
        <x:v>-772.1508123777312</x:v>
      </x:c>
      <x:c r="AM54" s="9" t="n">
        <x:f>-2*AL54/Inputs!$C$13</x:f>
        <x:v>308.8603249510925</x:v>
      </x:c>
      <x:c r="AN54" s="9" t="n">
        <x:f>-2*AL54/Inputs!$C$14</x:f>
        <x:v>46.375424166830705</x:v>
      </x:c>
      <x:c r="AO54" s="9">
        <x:f t="shared" si="15"/>
        <x:v>308.86032495109248</x:v>
      </x:c>
      <x:c r="AP54" s="9">
        <x:f t="shared" si="16"/>
        <x:v>46.375424166830705</x:v>
      </x:c>
      <x:c r="AQ54" s="9" t="n">
        <x:f>IF(OR(Inputs!$C$27=TRUE,Inputs!$C$27="TRUE",Inputs!$C$27=1),Inputs!$C$46/Inputs!$C$12,0)</x:f>
        <x:v>42.13483146067416</x:v>
      </x:c>
      <x:c r="AR54" s="9">
        <x:f t="shared" si="17"/>
        <x:v>1341.8263312682222</x:v>
      </x:c>
      <x:c r="AS54" s="9">
        <x:f t="shared" si="18"/>
        <x:v>1426.0959941895705</x:v>
      </x:c>
    </x:row>
    <x:row r="55">
      <x:c r="A55" s="9" t="n">
        <x:f>Inputs!$C$7+53*(Inputs!$C$8-Inputs!$C$7)/240</x:f>
        <x:v>-33.5</x:v>
      </x:c>
      <x:c r="B55" s="9" t="n">
        <x:f>Inputs!$C$5+Inputs!$C$9*(A55/Inputs!$C$10)^2</x:f>
        <x:v>401.24694444444447</x:v>
      </x:c>
      <x:c r="C55" s="9">
        <x:f t="shared" si="0"/>
        <x:v>401.24694444444447</x:v>
      </x:c>
      <x:c r="D55" s="9" t="n">
        <x:f>SQRT((Inputs!$C$52+B55)^2+Inputs!$C$52^2-2*(Inputs!$C$52+B55)*Inputs!$C$52*COS(SQRT(A55^2+Inputs!$C$6^2)/Inputs!$C$52))</x:f>
        <x:v>403.9745143443817</x:v>
      </x:c>
      <x:c r="E55" s="9">
        <x:f t="shared" si="1"/>
        <x:v>2727.5698999372366</x:v>
      </x:c>
      <x:c r="F55" s="9" t="n">
        <x:f>E55/Inputs!$C$12</x:f>
        <x:v>1532.3426404141778</x:v>
      </x:c>
      <x:c r="G55" s="9" t="n">
        <x:f>2*E55/Inputs!$C$21*1000000</x:f>
        <x:v>18.19638771524557</x:v>
      </x:c>
      <x:c r="H55" s="9" t="n">
        <x:f>SQRT(A55^2+Inputs!$C$6^2)</x:f>
        <x:v>41.80011961705373</x:v>
      </x:c>
      <x:c r="I55" s="9">
        <x:f t="shared" si="2"/>
        <x:v>5.9473663547666744</x:v>
      </x:c>
      <x:c r="J55" s="9" t="n">
        <x:f>DEGREES((2*PI()/Inputs!$C$13)*Inputs!$C$15*SIN(RADIANS(I55)))</x:f>
        <x:v>37.30133564573529</x:v>
      </x:c>
      <x:c r="K55" s="9">
        <x:f t="shared" si="3"/>
        <x:v>0.97326494838249344</x:v>
      </x:c>
      <x:c r="L55" s="9">
        <x:f t="shared" si="4"/>
        <x:v>-0.11768917226882726</x:v>
      </x:c>
      <x:c r="M55" s="9" t="n">
        <x:f>2*(Inputs!$C$9/(Inputs!$C$10^2))*A55</x:f>
        <x:v>-0.07444444444444444</x:v>
      </x:c>
      <x:c r="N55" s="9" t="n">
        <x:f>M55*Inputs!$C$11</x:f>
        <x:v>-0.29777777777777775</x:v>
      </x:c>
      <x:c r="O55" s="9" t="n">
        <x:f>1000*(D56-D54)/(A56-A54)*Inputs!$C$11</x:f>
        <x:v>-713.1069382348869</x:v>
      </x:c>
      <x:c r="P55" s="9" t="n">
        <x:f>-2*O55/Inputs!$C$13</x:f>
        <x:v>285.24277529395476</x:v>
      </x:c>
      <x:c r="Q55" s="9" t="n">
        <x:f>-2*O55/Inputs!$C$14</x:f>
        <x:v>42.82924553963285</x:v>
      </x:c>
      <x:c r="R55" s="9" t="n">
        <x:f>F55-Inputs!$C$16/2</x:f>
        <x:v>1517.3426404141778</x:v>
      </x:c>
      <x:c r="S55" s="9" t="n">
        <x:f>F55+Inputs!$C$16/2</x:f>
        <x:v>1547.3426404141778</x:v>
      </x:c>
      <x:c r="T55" s="9" t="n">
        <x:f>F55-Inputs!$C$17/2</x:f>
        <x:v>1382.3426404141778</x:v>
      </x:c>
      <x:c r="U55" s="9" t="n">
        <x:f>F55+Inputs!$C$17/2</x:f>
        <x:v>1682.3426404141778</x:v>
      </x:c>
      <x:c r="V55" s="9">
        <x:f t="shared" si="5"/>
        <x:v>285.24277529395476</x:v>
      </x:c>
      <x:c r="W55" s="9">
        <x:f t="shared" si="6"/>
        <x:v>42.829245539632851</x:v>
      </x:c>
      <x:c r="X55" s="9"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x:f>
        <x:v>8.500195567439437</x:v>
      </x:c>
      <x:c r="Y55" s="9"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x:f>
        <x:v>328.4448057508986</x:v>
      </x:c>
      <x:c r="Z55" s="9">
        <x:f t="shared" si="7"/>
        <x:v>401.23844424887704</x:v>
      </x:c>
      <x:c r="AA55" s="9" t="n">
        <x:f>SQRT((Inputs!$C$52+B55)^2+(Inputs!$C$52+Y55/1000)^2-2*(Inputs!$C$52+B55)*(Inputs!$C$52+Y55/1000)*COS(SQRT(A55^2+Inputs!$C$6^2)/Inputs!$C$52))</x:f>
        <x:v>403.6488614392871</x:v>
      </x:c>
      <x:c r="AB55" s="9">
        <x:f t="shared" si="8"/>
        <x:v>2410.417190410044</x:v>
      </x:c>
      <x:c r="AC55" s="9" t="n">
        <x:f>AB55/Inputs!$C$12</x:f>
        <x:v>1354.166960904519</x:v>
      </x:c>
      <x:c r="AD55" s="9" t="n">
        <x:f>2*AB55/Inputs!$C$21*1000000</x:f>
        <x:v>16.08057258338396</x:v>
      </x:c>
      <x:c r="AE55" s="9">
        <x:f t="shared" si="9"/>
        <x:v>5.9522036555317888</x:v>
      </x:c>
      <x:c r="AF55" s="9" t="n">
        <x:f>DEGREES((2*PI()/Inputs!$C$13)*Inputs!$C$15*SIN(RADIANS(AE55)))</x:f>
        <x:v>37.33156557595596</x:v>
      </x:c>
      <x:c r="AG55" s="9">
        <x:f t="shared" si="10"/>
        <x:v>0.97632682973146623</x:v>
      </x:c>
      <x:c r="AH55" s="9">
        <x:f t="shared" si="11"/>
        <x:v>-0.10404775992461898</x:v>
      </x:c>
      <x:c r="AI55" s="9">
        <x:f t="shared" si="12"/>
        <x:v>-178.17567950965872</x:v>
      </x:c>
      <x:c r="AJ55" s="9">
        <x:f t="shared" si="13"/>
        <x:v>-2.1158151318616092</x:v>
      </x:c>
      <x:c r="AK55" s="9">
        <x:f t="shared" si="14"/>
        <x:v>319.94461018345913</x:v>
      </x:c>
      <x:c r="AL55" s="9" t="n">
        <x:f>1000*(AA56-AA54)/(A56-A54)*Inputs!$C$11</x:f>
        <x:v>-803.3276557075624</x:v>
      </x:c>
      <x:c r="AM55" s="9" t="n">
        <x:f>-2*AL55/Inputs!$C$13</x:f>
        <x:v>321.33106228302495</x:v>
      </x:c>
      <x:c r="AN55" s="9" t="n">
        <x:f>-2*AL55/Inputs!$C$14</x:f>
        <x:v>48.24790724970345</x:v>
      </x:c>
      <x:c r="AO55" s="9">
        <x:f t="shared" si="15"/>
        <x:v>321.33106228302495</x:v>
      </x:c>
      <x:c r="AP55" s="9">
        <x:f t="shared" si="16"/>
        <x:v>48.247907249703452</x:v>
      </x:c>
      <x:c r="AQ55" s="9" t="n">
        <x:f>IF(OR(Inputs!$C$27=TRUE,Inputs!$C$27="TRUE",Inputs!$C$27=1),Inputs!$C$46/Inputs!$C$12,0)</x:f>
        <x:v>42.13483146067416</x:v>
      </x:c>
      <x:c r="AR55" s="9">
        <x:f t="shared" si="17"/>
        <x:v>1312.032129443845</x:v>
      </x:c>
      <x:c r="AS55" s="9">
        <x:f t="shared" si="18"/>
        <x:v>1396.3017923651933</x:v>
      </x:c>
    </x:row>
    <x:row r="56">
      <x:c r="A56" s="9" t="n">
        <x:f>Inputs!$C$7+54*(Inputs!$C$8-Inputs!$C$7)/240</x:f>
        <x:v>-33</x:v>
      </x:c>
      <x:c r="B56" s="9" t="n">
        <x:f>Inputs!$C$5+Inputs!$C$9*(A56/Inputs!$C$10)^2</x:f>
        <x:v>401.21</x:v>
      </x:c>
      <x:c r="C56" s="9">
        <x:f t="shared" si="0"/>
        <x:v>401.21</x:v>
      </x:c>
      <x:c r="D56" s="9" t="n">
        <x:f>SQRT((Inputs!$C$52+B56)^2+Inputs!$C$52^2-2*(Inputs!$C$52+B56)*Inputs!$C$52*COS(SQRT(A56^2+Inputs!$C$6^2)/Inputs!$C$52))</x:f>
        <x:v>403.88603399865633</x:v>
      </x:c>
      <x:c r="E56" s="9">
        <x:f t="shared" si="1"/>
        <x:v>2676.0339986563508</x:v>
      </x:c>
      <x:c r="F56" s="9" t="n">
        <x:f>E56/Inputs!$C$12</x:f>
        <x:v>1503.3898868855904</x:v>
      </x:c>
      <x:c r="G56" s="9" t="n">
        <x:f>2*E56/Inputs!$C$21*1000000</x:f>
        <x:v>17.852577189625972</x:v>
      </x:c>
      <x:c r="H56" s="9" t="n">
        <x:f>SQRT(A56^2+Inputs!$C$6^2)</x:f>
        <x:v>41.400483088968905</x:v>
      </x:c>
      <x:c r="I56" s="9">
        <x:f t="shared" si="2"/>
        <x:v>5.8914460516514309</x:v>
      </x:c>
      <x:c r="J56" s="9" t="n">
        <x:f>DEGREES((2*PI()/Inputs!$C$13)*Inputs!$C$15*SIN(RADIANS(I56)))</x:f>
        <x:v>36.95185149123889</x:v>
      </x:c>
      <x:c r="K56" s="9">
        <x:f t="shared" si="3"/>
        <x:v>0.97375937666704759</x:v>
      </x:c>
      <x:c r="L56" s="9">
        <x:f t="shared" si="4"/>
        <x:v>-0.11548347326926375</x:v>
      </x:c>
      <x:c r="M56" s="9" t="n">
        <x:f>2*(Inputs!$C$9/(Inputs!$C$10^2))*A56</x:f>
        <x:v>-0.07333333333333333</x:v>
      </x:c>
      <x:c r="N56" s="9" t="n">
        <x:f>M56*Inputs!$C$11</x:f>
        <x:v>-0.29333333333333333</x:v>
      </x:c>
      <x:c r="O56" s="9" t="n">
        <x:f>1000*(D57-D55)/(A57-A55)*Inputs!$C$11</x:f>
        <x:v>-702.5760732608433</x:v>
      </x:c>
      <x:c r="P56" s="9" t="n">
        <x:f>-2*O56/Inputs!$C$13</x:f>
        <x:v>281.0304293043373</x:v>
      </x:c>
      <x:c r="Q56" s="9" t="n">
        <x:f>-2*O56/Inputs!$C$14</x:f>
        <x:v>42.196761156807405</x:v>
      </x:c>
      <x:c r="R56" s="9" t="n">
        <x:f>F56-Inputs!$C$16/2</x:f>
        <x:v>1488.3898868855904</x:v>
      </x:c>
      <x:c r="S56" s="9" t="n">
        <x:f>F56+Inputs!$C$16/2</x:f>
        <x:v>1518.3898868855904</x:v>
      </x:c>
      <x:c r="T56" s="9" t="n">
        <x:f>F56-Inputs!$C$17/2</x:f>
        <x:v>1353.3898868855904</x:v>
      </x:c>
      <x:c r="U56" s="9" t="n">
        <x:f>F56+Inputs!$C$17/2</x:f>
        <x:v>1653.3898868855904</x:v>
      </x:c>
      <x:c r="V56" s="9">
        <x:f t="shared" si="5"/>
        <x:v>281.0304293043373</x:v>
      </x:c>
      <x:c r="W56" s="9">
        <x:f t="shared" si="6"/>
        <x:v>42.196761156807405</x:v>
      </x:c>
      <x:c r="X56" s="9"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x:f>
        <x:v>12.884972617306985</x:v>
      </x:c>
      <x:c r="Y56" s="9"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x:f>
        <x:v>342.0571204684842</x:v>
      </x:c>
      <x:c r="Z56" s="9">
        <x:f t="shared" si="7"/>
        <x:v>401.19711502738267</x:v>
      </x:c>
      <x:c r="AA56" s="9" t="n">
        <x:f>SQRT((Inputs!$C$52+B56)^2+(Inputs!$C$52+Y56/1000)^2-2*(Inputs!$C$52+B56)*(Inputs!$C$52+Y56/1000)*COS(SQRT(A56^2+Inputs!$C$6^2)/Inputs!$C$52))</x:f>
        <x:v>403.5468301811622</x:v>
      </x:c>
      <x:c r="AB56" s="9">
        <x:f t="shared" si="8"/>
        <x:v>2349.7151537795276</x:v>
      </x:c>
      <x:c r="AC56" s="9" t="n">
        <x:f>AB56/Inputs!$C$12</x:f>
        <x:v>1320.064693134566</x:v>
      </x:c>
      <x:c r="AD56" s="9" t="n">
        <x:f>2*AB56/Inputs!$C$21*1000000</x:f>
        <x:v>15.675612184877096</x:v>
      </x:c>
      <x:c r="AE56" s="9">
        <x:f t="shared" si="9"/>
        <x:v>5.8964377666497043</x:v>
      </x:c>
      <x:c r="AF56" s="9" t="n">
        <x:f>DEGREES((2*PI()/Inputs!$C$13)*Inputs!$C$15*SIN(RADIANS(AE56)))</x:f>
        <x:v>36.983049562114594</x:v>
      </x:c>
      <x:c r="AG56" s="9">
        <x:f t="shared" si="10"/>
        <x:v>0.97691199984308985</x:v>
      </x:c>
      <x:c r="AH56" s="9">
        <x:f t="shared" si="11"/>
        <x:v>-0.10144555732442344</x:v>
      </x:c>
      <x:c r="AI56" s="9">
        <x:f t="shared" si="12"/>
        <x:v>-183.32519375102447</x:v>
      </x:c>
      <x:c r="AJ56" s="9">
        <x:f t="shared" si="13"/>
        <x:v>-2.176965004748876</x:v>
      </x:c>
      <x:c r="AK56" s="9">
        <x:f t="shared" si="14"/>
        <x:v>329.17214785117721</x:v>
      </x:c>
      <x:c r="AL56" s="9" t="n">
        <x:f>1000*(AA57-AA55)/(A57-A55)*Inputs!$C$11</x:f>
        <x:v>-792.148729776045</x:v>
      </x:c>
      <x:c r="AM56" s="9" t="n">
        <x:f>-2*AL56/Inputs!$C$13</x:f>
        <x:v>316.859491910418</x:v>
      </x:c>
      <x:c r="AN56" s="9" t="n">
        <x:f>-2*AL56/Inputs!$C$14</x:f>
        <x:v>47.57650028684955</x:v>
      </x:c>
      <x:c r="AO56" s="9">
        <x:f t="shared" si="15"/>
        <x:v>316.859491910418</x:v>
      </x:c>
      <x:c r="AP56" s="9">
        <x:f t="shared" si="16"/>
        <x:v>47.576500286849551</x:v>
      </x:c>
      <x:c r="AQ56" s="9" t="n">
        <x:f>IF(OR(Inputs!$C$27=TRUE,Inputs!$C$27="TRUE",Inputs!$C$27=1),Inputs!$C$46/Inputs!$C$12,0)</x:f>
        <x:v>42.13483146067416</x:v>
      </x:c>
      <x:c r="AR56" s="9">
        <x:f t="shared" si="17"/>
        <x:v>1277.9298616738918</x:v>
      </x:c>
      <x:c r="AS56" s="9">
        <x:f t="shared" si="18"/>
        <x:v>1362.1995245952401</x:v>
      </x:c>
    </x:row>
    <x:row r="57">
      <x:c r="A57" s="9" t="n">
        <x:f>Inputs!$C$7+55*(Inputs!$C$8-Inputs!$C$7)/240</x:f>
        <x:v>-32.5</x:v>
      </x:c>
      <x:c r="B57" s="9" t="n">
        <x:f>Inputs!$C$5+Inputs!$C$9*(A57/Inputs!$C$10)^2</x:f>
        <x:v>401.1736111111111</x:v>
      </x:c>
      <x:c r="C57" s="9">
        <x:f t="shared" si="0"/>
        <x:v>401.17361111111109</x:v>
      </x:c>
      <x:c r="D57" s="9" t="n">
        <x:f>SQRT((Inputs!$C$52+B57)^2+Inputs!$C$52^2-2*(Inputs!$C$52+B57)*Inputs!$C$52*COS(SQRT(A57^2+Inputs!$C$6^2)/Inputs!$C$52))</x:f>
        <x:v>403.7988703260665</x:v>
      </x:c>
      <x:c r="E57" s="9">
        <x:f t="shared" si="1"/>
        <x:v>2625.2592149554062</x:v>
      </x:c>
      <x:c r="F57" s="9" t="n">
        <x:f>E57/Inputs!$C$12</x:f>
        <x:v>1474.864727503037</x:v>
      </x:c>
      <x:c r="G57" s="9" t="n">
        <x:f>2*E57/Inputs!$C$21*1000000</x:f>
        <x:v>17.51384429394422</x:v>
      </x:c>
      <x:c r="H57" s="9" t="n">
        <x:f>SQRT(A57^2+Inputs!$C$6^2)</x:f>
        <x:v>41.00304866714181</x:v>
      </x:c>
      <x:c r="I57" s="9">
        <x:f t="shared" si="2"/>
        <x:v>5.8358074089827321</x:v>
      </x:c>
      <x:c r="J57" s="9" t="n">
        <x:f>DEGREES((2*PI()/Inputs!$C$13)*Inputs!$C$15*SIN(RADIANS(I57)))</x:f>
        <x:v>36.60409269114675</x:v>
      </x:c>
      <x:c r="K57" s="9">
        <x:f t="shared" si="3"/>
        <x:v>0.97424689974874612</x:v>
      </x:c>
      <x:c r="L57" s="9">
        <x:f t="shared" si="4"/>
        <x:v>-0.1133096754620804</x:v>
      </x:c>
      <x:c r="M57" s="9" t="n">
        <x:f>2*(Inputs!$C$9/(Inputs!$C$10^2))*A57</x:f>
        <x:v>-0.07222222222222222</x:v>
      </x:c>
      <x:c r="N57" s="9" t="n">
        <x:f>M57*Inputs!$C$11</x:f>
        <x:v>-0.28888888888888886</x:v>
      </x:c>
      <x:c r="O57" s="9" t="n">
        <x:f>1000*(D58-D56)/(A58-A56)*Inputs!$C$11</x:f>
        <x:v>-692.0402032801576</x:v>
      </x:c>
      <x:c r="P57" s="9" t="n">
        <x:f>-2*O57/Inputs!$C$13</x:f>
        <x:v>276.81608131206303</x:v>
      </x:c>
      <x:c r="Q57" s="9" t="n">
        <x:f>-2*O57/Inputs!$C$14</x:f>
        <x:v>41.56397617298244</x:v>
      </x:c>
      <x:c r="R57" s="9" t="n">
        <x:f>F57-Inputs!$C$16/2</x:f>
        <x:v>1459.864727503037</x:v>
      </x:c>
      <x:c r="S57" s="9" t="n">
        <x:f>F57+Inputs!$C$16/2</x:f>
        <x:v>1489.864727503037</x:v>
      </x:c>
      <x:c r="T57" s="9" t="n">
        <x:f>F57-Inputs!$C$17/2</x:f>
        <x:v>1324.864727503037</x:v>
      </x:c>
      <x:c r="U57" s="9" t="n">
        <x:f>F57+Inputs!$C$17/2</x:f>
        <x:v>1624.864727503037</x:v>
      </x:c>
      <x:c r="V57" s="9">
        <x:f t="shared" si="5"/>
        <x:v>276.81608131206303</x:v>
      </x:c>
      <x:c r="W57" s="9">
        <x:f t="shared" si="6"/>
        <x:v>41.563976172982443</x:v>
      </x:c>
      <x:c r="X57" s="9"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x:f>
        <x:v>14.196906765365963</x:v>
      </x:c>
      <x:c r="Y57" s="9"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x:f>
        <x:v>350.9183412247295</x:v>
      </x:c>
      <x:c r="Z57" s="9">
        <x:f t="shared" si="7"/>
        <x:v>401.15941420434569</x:v>
      </x:c>
      <x:c r="AA57" s="9" t="n">
        <x:f>SQRT((Inputs!$C$52+B57)^2+(Inputs!$C$52+Y57/1000)^2-2*(Inputs!$C$52+B57)*(Inputs!$C$52+Y57/1000)*COS(SQRT(A57^2+Inputs!$C$6^2)/Inputs!$C$52))</x:f>
        <x:v>403.4508242568431</x:v>
      </x:c>
      <x:c r="AB57" s="9">
        <x:f t="shared" si="8"/>
        <x:v>2291.4100524973833</x:v>
      </x:c>
      <x:c r="AC57" s="9" t="n">
        <x:f>AB57/Inputs!$C$12</x:f>
        <x:v>1287.309018256957</x:v>
      </x:c>
      <x:c r="AD57" s="9" t="n">
        <x:f>2*AB57/Inputs!$C$21*1000000</x:f>
        <x:v>15.286642417784794</x:v>
      </x:c>
      <x:c r="AE57" s="9">
        <x:f t="shared" si="9"/>
        <x:v>5.8408813214092925</x:v>
      </x:c>
      <x:c r="AF57" s="9" t="n">
        <x:f>DEGREES((2*PI()/Inputs!$C$13)*Inputs!$C$15*SIN(RADIANS(AE57)))</x:f>
        <x:v>36.635807655258844</x:v>
      </x:c>
      <x:c r="AG57" s="9">
        <x:f t="shared" si="10"/>
        <x:v>0.97747470040542295</x:v>
      </x:c>
      <x:c r="AH57" s="9">
        <x:f t="shared" si="11"/>
        <x:v>-9.8944744604947885E-2</x:v>
      </x:c>
      <x:c r="AI57" s="9">
        <x:f t="shared" si="12"/>
        <x:v>-187.55570924608014</x:v>
      </x:c>
      <x:c r="AJ57" s="9">
        <x:f t="shared" si="13"/>
        <x:v>-2.2272018761594268</x:v>
      </x:c>
      <x:c r="AK57" s="9">
        <x:f t="shared" si="14"/>
        <x:v>336.72143445936354</x:v>
      </x:c>
      <x:c r="AL57" s="9" t="n">
        <x:f>1000*(AA58-AA56)/(A58-A56)*Inputs!$C$11</x:f>
        <x:v>-687.9414680875016</x:v>
      </x:c>
      <x:c r="AM57" s="9" t="n">
        <x:f>-2*AL57/Inputs!$C$13</x:f>
        <x:v>275.1765872350006</x:v>
      </x:c>
      <x:c r="AN57" s="9" t="n">
        <x:f>-2*AL57/Inputs!$C$14</x:f>
        <x:v>41.31780589114124</x:v>
      </x:c>
      <x:c r="AO57" s="9">
        <x:f t="shared" si="15"/>
        <x:v>275.17658723500062</x:v>
      </x:c>
      <x:c r="AP57" s="9">
        <x:f t="shared" si="16"/>
        <x:v>41.317805891141241</x:v>
      </x:c>
      <x:c r="AQ57" s="9" t="n">
        <x:f>IF(OR(Inputs!$C$27=TRUE,Inputs!$C$27="TRUE",Inputs!$C$27=1),Inputs!$C$46/Inputs!$C$12,0)</x:f>
        <x:v>42.13483146067416</x:v>
      </x:c>
      <x:c r="AR57" s="9">
        <x:f t="shared" si="17"/>
        <x:v>1245.1741867962828</x:v>
      </x:c>
      <x:c r="AS57" s="9">
        <x:f t="shared" si="18"/>
        <x:v>1329.4438497176311</x:v>
      </x:c>
    </x:row>
    <x:row r="58">
      <x:c r="A58" s="9" t="n">
        <x:f>Inputs!$C$7+56*(Inputs!$C$8-Inputs!$C$7)/240</x:f>
        <x:v>-32</x:v>
      </x:c>
      <x:c r="B58" s="9" t="n">
        <x:f>Inputs!$C$5+Inputs!$C$9*(A58/Inputs!$C$10)^2</x:f>
        <x:v>401.1377777777778</x:v>
      </x:c>
      <x:c r="C58" s="9">
        <x:f t="shared" si="0"/>
        <x:v>401.13777777777779</x:v>
      </x:c>
      <x:c r="D58" s="9" t="n">
        <x:f>SQRT((Inputs!$C$52+B58)^2+Inputs!$C$52^2-2*(Inputs!$C$52+B58)*Inputs!$C$52*COS(SQRT(A58^2+Inputs!$C$6^2)/Inputs!$C$52))</x:f>
        <x:v>403.7130239478363</x:v>
      </x:c>
      <x:c r="E58" s="9">
        <x:f t="shared" si="1"/>
        <x:v>2575.2461700585059</x:v>
      </x:c>
      <x:c r="F58" s="9" t="n">
        <x:f>E58/Inputs!$C$12</x:f>
        <x:v>1446.7675112688235</x:v>
      </x:c>
      <x:c r="G58" s="9" t="n">
        <x:f>2*E58/Inputs!$C$21*1000000</x:f>
        <x:v>17.180193172561438</x:v>
      </x:c>
      <x:c r="H58" s="9" t="n">
        <x:f>SQRT(A58^2+Inputs!$C$6^2)</x:f>
        <x:v>40.607881008493905</x:v>
      </x:c>
      <x:c r="I58" s="9">
        <x:f t="shared" si="2"/>
        <x:v>5.7804601560821682</x:v>
      </x:c>
      <x:c r="J58" s="9" t="n">
        <x:f>DEGREES((2*PI()/Inputs!$C$13)*Inputs!$C$15*SIN(RADIANS(I58)))</x:f>
        <x:v>36.25812092039455</x:v>
      </x:c>
      <x:c r="K58" s="9">
        <x:f t="shared" si="3"/>
        <x:v>0.9747274943175861</x:v>
      </x:c>
      <x:c r="L58" s="9">
        <x:f t="shared" si="4"/>
        <x:v>-0.11116783538305441</x:v>
      </x:c>
      <x:c r="M58" s="9" t="n">
        <x:f>2*(Inputs!$C$9/(Inputs!$C$10^2))*A58</x:f>
        <x:v>-0.07111111111111111</x:v>
      </x:c>
      <x:c r="N58" s="9" t="n">
        <x:f>M58*Inputs!$C$11</x:f>
        <x:v>-0.28444444444444444</x:v>
      </x:c>
      <x:c r="O58" s="9" t="n">
        <x:f>1000*(D59-D57)/(A59-A57)*Inputs!$C$11</x:f>
        <x:v>-681.499398799815</x:v>
      </x:c>
      <x:c r="P58" s="9" t="n">
        <x:f>-2*O58/Inputs!$C$13</x:f>
        <x:v>272.599759519926</x:v>
      </x:c>
      <x:c r="Q58" s="9" t="n">
        <x:f>-2*O58/Inputs!$C$14</x:f>
        <x:v>40.930894822811716</x:v>
      </x:c>
      <x:c r="R58" s="9" t="n">
        <x:f>F58-Inputs!$C$16/2</x:f>
        <x:v>1431.7675112688235</x:v>
      </x:c>
      <x:c r="S58" s="9" t="n">
        <x:f>F58+Inputs!$C$16/2</x:f>
        <x:v>1461.7675112688235</x:v>
      </x:c>
      <x:c r="T58" s="9" t="n">
        <x:f>F58-Inputs!$C$17/2</x:f>
        <x:v>1296.7675112688235</x:v>
      </x:c>
      <x:c r="U58" s="9" t="n">
        <x:f>F58+Inputs!$C$17/2</x:f>
        <x:v>1596.7675112688235</x:v>
      </x:c>
      <x:c r="V58" s="9">
        <x:f t="shared" si="5"/>
        <x:v>272.59975951992601</x:v>
      </x:c>
      <x:c r="W58" s="9">
        <x:f t="shared" si="6"/>
        <x:v>40.930894822811716</x:v>
      </x:c>
      <x:c r="X58" s="9"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x:f>
        <x:v>5.730826646134426</x:v>
      </x:c>
      <x:c r="Y58" s="9"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x:f>
        <x:v>340.91681406553505</x:v>
      </x:c>
      <x:c r="Z58" s="9">
        <x:f t="shared" si="7"/>
        <x:v>401.13204695113166</x:v>
      </x:c>
      <x:c r="AA58" s="9" t="n">
        <x:f>SQRT((Inputs!$C$52+B58)^2+(Inputs!$C$52+Y58/1000)^2-2*(Inputs!$C$52+B58)*(Inputs!$C$52+Y58/1000)*COS(SQRT(A58^2+Inputs!$C$6^2)/Inputs!$C$52))</x:f>
        <x:v>403.3748448141403</x:v>
      </x:c>
      <x:c r="AB58" s="9">
        <x:f t="shared" si="8"/>
        <x:v>2242.7978630086614</x:v>
      </x:c>
      <x:c r="AC58" s="9" t="n">
        <x:f>AB58/Inputs!$C$12</x:f>
        <x:v>1259.9987994430683</x:v>
      </x:c>
      <x:c r="AD58" s="9" t="n">
        <x:f>2*AB58/Inputs!$C$21*1000000</x:f>
        <x:v>14.962336797736663</x:v>
      </x:c>
      <x:c r="AE58" s="9">
        <x:f t="shared" si="9"/>
        <x:v>5.7853436630843715</x:v>
      </x:c>
      <x:c r="AF58" s="9" t="n">
        <x:f>DEGREES((2*PI()/Inputs!$C$13)*Inputs!$C$15*SIN(RADIANS(AE58)))</x:f>
        <x:v>36.28864874358197</x:v>
      </x:c>
      <x:c r="AG58" s="9">
        <x:f t="shared" si="10"/>
        <x:v>0.9779444661479344</x:v>
      </x:c>
      <x:c r="AH58" s="9">
        <x:f t="shared" si="11"/>
        <x:v>-9.6858064908088834E-2</x:v>
      </x:c>
      <x:c r="AI58" s="9">
        <x:f t="shared" si="12"/>
        <x:v>-186.76871182575519</x:v>
      </x:c>
      <x:c r="AJ58" s="9">
        <x:f t="shared" si="13"/>
        <x:v>-2.217856374824775</x:v>
      </x:c>
      <x:c r="AK58" s="9">
        <x:f t="shared" si="14"/>
        <x:v>335.18598741940065</x:v>
      </x:c>
      <x:c r="AL58" s="9" t="n">
        <x:f>1000*(AA59-AA57)/(A59-A57)*Inputs!$C$11</x:f>
        <x:v>-698.7317151763364</x:v>
      </x:c>
      <x:c r="AM58" s="9" t="n">
        <x:f>-2*AL58/Inputs!$C$13</x:f>
        <x:v>279.49268607053455</x:v>
      </x:c>
      <x:c r="AN58" s="9" t="n">
        <x:f>-2*AL58/Inputs!$C$14</x:f>
        <x:v>41.965868779359546</x:v>
      </x:c>
      <x:c r="AO58" s="9">
        <x:f t="shared" si="15"/>
        <x:v>279.49268607053455</x:v>
      </x:c>
      <x:c r="AP58" s="9">
        <x:f t="shared" si="16"/>
        <x:v>41.965868779359546</x:v>
      </x:c>
      <x:c r="AQ58" s="9" t="n">
        <x:f>IF(OR(Inputs!$C$27=TRUE,Inputs!$C$27="TRUE",Inputs!$C$27=1),Inputs!$C$46/Inputs!$C$12,0)</x:f>
        <x:v>42.13483146067416</x:v>
      </x:c>
      <x:c r="AR58" s="9">
        <x:f t="shared" si="17"/>
        <x:v>1217.8639679823941</x:v>
      </x:c>
      <x:c r="AS58" s="9">
        <x:f t="shared" si="18"/>
        <x:v>1302.1336309037424</x:v>
      </x:c>
    </x:row>
    <x:row r="59">
      <x:c r="A59" s="9" t="n">
        <x:f>Inputs!$C$7+57*(Inputs!$C$8-Inputs!$C$7)/240</x:f>
        <x:v>-31.5</x:v>
      </x:c>
      <x:c r="B59" s="9" t="n">
        <x:f>Inputs!$C$5+Inputs!$C$9*(A59/Inputs!$C$10)^2</x:f>
        <x:v>401.1025</x:v>
      </x:c>
      <x:c r="C59" s="9">
        <x:f t="shared" si="0"/>
        <x:v>401.10250000000002</x:v>
      </x:c>
      <x:c r="D59" s="9" t="n">
        <x:f>SQRT((Inputs!$C$52+B59)^2+Inputs!$C$52^2-2*(Inputs!$C$52+B59)*Inputs!$C$52*COS(SQRT(A59^2+Inputs!$C$6^2)/Inputs!$C$52))</x:f>
        <x:v>403.62849547636654</x:v>
      </x:c>
      <x:c r="E59" s="9">
        <x:f t="shared" si="1"/>
        <x:v>2525.9954763665178</x:v>
      </x:c>
      <x:c r="F59" s="9" t="n">
        <x:f>E59/Inputs!$C$12</x:f>
        <x:v>1419.0985822283808</x:v>
      </x:c>
      <x:c r="G59" s="9" t="n">
        <x:f>2*E59/Inputs!$C$21*1000000</x:f>
        <x:v>16.85162791097645</x:v>
      </x:c>
      <x:c r="H59" s="9" t="n">
        <x:f>SQRT(A59^2+Inputs!$C$6^2)</x:f>
        <x:v>40.21504693519579</x:v>
      </x:c>
      <x:c r="I59" s="9">
        <x:f t="shared" si="2"/>
        <x:v>5.7254143327118072</x:v>
      </x:c>
      <x:c r="J59" s="9" t="n">
        <x:f>DEGREES((2*PI()/Inputs!$C$13)*Inputs!$C$15*SIN(RADIANS(I59)))</x:f>
        <x:v>35.91399980576491</x:v>
      </x:c>
      <x:c r="K59" s="9">
        <x:f t="shared" si="3"/>
        <x:v>0.97520113736185254</x:v>
      </x:c>
      <x:c r="L59" s="9">
        <x:f t="shared" si="4"/>
        <x:v>-0.10905800878509146</x:v>
      </x:c>
      <x:c r="M59" s="9" t="n">
        <x:f>2*(Inputs!$C$9/(Inputs!$C$10^2))*A59</x:f>
        <x:v>-0.07</x:v>
      </x:c>
      <x:c r="N59" s="9" t="n">
        <x:f>M59*Inputs!$C$11</x:f>
        <x:v>-0.28</x:v>
      </x:c>
      <x:c r="O59" s="9" t="n">
        <x:f>1000*(D60-D58)/(A60-A58)*Inputs!$C$11</x:f>
        <x:v>-670.9537305550839</x:v>
      </x:c>
      <x:c r="P59" s="9" t="n">
        <x:f>-2*O59/Inputs!$C$13</x:f>
        <x:v>268.38149222203356</x:v>
      </x:c>
      <x:c r="Q59" s="9" t="n">
        <x:f>-2*O59/Inputs!$C$14</x:f>
        <x:v>40.29752135465969</x:v>
      </x:c>
      <x:c r="R59" s="9" t="n">
        <x:f>F59-Inputs!$C$16/2</x:f>
        <x:v>1404.0985822283808</x:v>
      </x:c>
      <x:c r="S59" s="9" t="n">
        <x:f>F59+Inputs!$C$16/2</x:f>
        <x:v>1434.0985822283808</x:v>
      </x:c>
      <x:c r="T59" s="9" t="n">
        <x:f>F59-Inputs!$C$17/2</x:f>
        <x:v>1269.0985822283808</x:v>
      </x:c>
      <x:c r="U59" s="9" t="n">
        <x:f>F59+Inputs!$C$17/2</x:f>
        <x:v>1569.0985822283808</x:v>
      </x:c>
      <x:c r="V59" s="9">
        <x:f t="shared" si="5"/>
        <x:v>268.38149222203356</x:v>
      </x:c>
      <x:c r="W59" s="9">
        <x:f t="shared" si="6"/>
        <x:v>40.297521354659693</x:v>
      </x:c>
      <x:c r="X59" s="9"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x:f>
        <x:v>9.295817115602365</x:v>
      </x:c>
      <x:c r="Y59" s="9"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x:f>
        <x:v>355.15219987006986</x:v>
      </x:c>
      <x:c r="Z59" s="9">
        <x:f t="shared" si="7"/>
        <x:v>401.09320418288439</x:v>
      </x:c>
      <x:c r="AA59" s="9" t="n">
        <x:f>SQRT((Inputs!$C$52+B59)^2+(Inputs!$C$52+Y59/1000)^2-2*(Inputs!$C$52+B59)*(Inputs!$C$52+Y59/1000)*COS(SQRT(A59^2+Inputs!$C$6^2)/Inputs!$C$52))</x:f>
        <x:v>403.276141328049</x:v>
      </x:c>
      <x:c r="AB59" s="9">
        <x:f t="shared" si="8"/>
        <x:v>2182.9371451646011</x:v>
      </x:c>
      <x:c r="AC59" s="9" t="n">
        <x:f>AB59/Inputs!$C$12</x:f>
        <x:v>1226.3691826767422</x:v>
      </x:c>
      <x:c r="AD59" s="9" t="n">
        <x:f>2*AB59/Inputs!$C$21*1000000</x:f>
        <x:v>14.562989074025346</x:v>
      </x:c>
      <x:c r="AE59" s="9">
        <x:f t="shared" si="9"/>
        <x:v>5.730454581716061</x:v>
      </x:c>
      <x:c r="AF59" s="9" t="n">
        <x:f>DEGREES((2*PI()/Inputs!$C$13)*Inputs!$C$15*SIN(RADIANS(AE59)))</x:f>
        <x:v>35.945510502735566</x:v>
      </x:c>
      <x:c r="AG59" s="9">
        <x:f t="shared" si="10"/>
        <x:v>0.97852313675404268</x:v>
      </x:c>
      <x:c r="AH59" s="9">
        <x:f t="shared" si="11"/>
        <x:v>-9.4289011804136402E-2</x:v>
      </x:c>
      <x:c r="AI59" s="9">
        <x:f t="shared" si="12"/>
        <x:v>-192.72939955163861</x:v>
      </x:c>
      <x:c r="AJ59" s="9">
        <x:f t="shared" si="13"/>
        <x:v>-2.2886388369511046</x:v>
      </x:c>
      <x:c r="AK59" s="9">
        <x:f t="shared" si="14"/>
        <x:v>345.85638275446752</x:v>
      </x:c>
      <x:c r="AL59" s="9" t="n">
        <x:f>1000*(AA60-AA58)/(A60-A58)*Inputs!$C$11</x:f>
        <x:v>-720.3604463707052</x:v>
      </x:c>
      <x:c r="AM59" s="9" t="n">
        <x:f>-2*AL59/Inputs!$C$13</x:f>
        <x:v>288.14417854828207</x:v>
      </x:c>
      <x:c r="AN59" s="9" t="n">
        <x:f>-2*AL59/Inputs!$C$14</x:f>
        <x:v>43.26489167391623</x:v>
      </x:c>
      <x:c r="AO59" s="9">
        <x:f t="shared" si="15"/>
        <x:v>288.14417854828207</x:v>
      </x:c>
      <x:c r="AP59" s="9">
        <x:f t="shared" si="16"/>
        <x:v>43.264891673916232</x:v>
      </x:c>
      <x:c r="AQ59" s="9" t="n">
        <x:f>IF(OR(Inputs!$C$27=TRUE,Inputs!$C$27="TRUE",Inputs!$C$27=1),Inputs!$C$46/Inputs!$C$12,0)</x:f>
        <x:v>42.13483146067416</x:v>
      </x:c>
      <x:c r="AR59" s="9">
        <x:f t="shared" si="17"/>
        <x:v>1184.234351216068</x:v>
      </x:c>
      <x:c r="AS59" s="9">
        <x:f t="shared" si="18"/>
        <x:v>1268.5040141374163</x:v>
      </x:c>
    </x:row>
    <x:row r="60">
      <x:c r="A60" s="9" t="n">
        <x:f>Inputs!$C$7+58*(Inputs!$C$8-Inputs!$C$7)/240</x:f>
        <x:v>-31</x:v>
      </x:c>
      <x:c r="B60" s="9" t="n">
        <x:f>Inputs!$C$5+Inputs!$C$9*(A60/Inputs!$C$10)^2</x:f>
        <x:v>401.0677777777778</x:v>
      </x:c>
      <x:c r="C60" s="9">
        <x:f t="shared" si="0"/>
        <x:v>401.06777777777779</x:v>
      </x:c>
      <x:c r="D60" s="9" t="n">
        <x:f>SQRT((Inputs!$C$52+B60)^2+Inputs!$C$52^2-2*(Inputs!$C$52+B60)*Inputs!$C$52*COS(SQRT(A60^2+Inputs!$C$6^2)/Inputs!$C$52))</x:f>
        <x:v>403.5452855151975</x:v>
      </x:c>
      <x:c r="E60" s="9">
        <x:f t="shared" si="1"/>
        <x:v>2477.5077374197281</x:v>
      </x:c>
      <x:c r="F60" s="9" t="n">
        <x:f>E60/Inputs!$C$12</x:f>
        <x:v>1391.8582794492854</x:v>
      </x:c>
      <x:c r="G60" s="9" t="n">
        <x:f>2*E60/Inputs!$C$21*1000000</x:f>
        <x:v>16.52815253557665</x:v>
      </x:c>
      <x:c r="H60" s="9" t="n">
        <x:f>SQRT(A60^2+Inputs!$C$6^2)</x:f>
        <x:v>39.824615503479755</x:v>
      </x:c>
      <x:c r="I60" s="9">
        <x:f t="shared" si="2"/>
        <x:v>5.6706802988679366</x:v>
      </x:c>
      <x:c r="J60" s="9" t="n">
        <x:f>DEGREES((2*PI()/Inputs!$C$13)*Inputs!$C$15*SIN(RADIANS(I60)))</x:f>
        <x:v>35.57179498729654</x:v>
      </x:c>
      <x:c r="K60" s="9">
        <x:f t="shared" si="3"/>
        <x:v>0.97566780617069948</x:v>
      </x:c>
      <x:c r="L60" s="9">
        <x:f t="shared" si="4"/>
        <x:v>-0.10698025063433281</x:v>
      </x:c>
      <x:c r="M60" s="9" t="n">
        <x:f>2*(Inputs!$C$9/(Inputs!$C$10^2))*A60</x:f>
        <x:v>-0.06888888888888889</x:v>
      </x:c>
      <x:c r="N60" s="9" t="n">
        <x:f>M60*Inputs!$C$11</x:f>
        <x:v>-0.27555555555555555</x:v>
      </x:c>
      <x:c r="O60" s="9" t="n">
        <x:f>1000*(D61-D59)/(A61-A59)*Inputs!$C$11</x:f>
        <x:v>-660.4032695415754</x:v>
      </x:c>
      <x:c r="P60" s="9" t="n">
        <x:f>-2*O60/Inputs!$C$13</x:f>
        <x:v>264.16130781663014</x:v>
      </x:c>
      <x:c r="Q60" s="9" t="n">
        <x:f>-2*O60/Inputs!$C$14</x:f>
        <x:v>39.663860032527054</x:v>
      </x:c>
      <x:c r="R60" s="9" t="n">
        <x:f>F60-Inputs!$C$16/2</x:f>
        <x:v>1376.8582794492854</x:v>
      </x:c>
      <x:c r="S60" s="9" t="n">
        <x:f>F60+Inputs!$C$16/2</x:f>
        <x:v>1406.8582794492854</x:v>
      </x:c>
      <x:c r="T60" s="9" t="n">
        <x:f>F60-Inputs!$C$17/2</x:f>
        <x:v>1241.8582794492854</x:v>
      </x:c>
      <x:c r="U60" s="9" t="n">
        <x:f>F60+Inputs!$C$17/2</x:f>
        <x:v>1541.8582794492854</x:v>
      </x:c>
      <x:c r="V60" s="9">
        <x:f t="shared" si="5"/>
        <x:v>264.16130781663014</x:v>
      </x:c>
      <x:c r="W60" s="9">
        <x:f t="shared" si="6"/>
        <x:v>39.663860032527054</x:v>
      </x:c>
      <x:c r="X60" s="9"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x:f>
        <x:v>-13.189582675327635</x:v>
      </x:c>
      <x:c r="Y60" s="9"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x:f>
        <x:v>353.2610093246909</x:v>
      </x:c>
      <x:c r="Z60" s="9">
        <x:f t="shared" si="7"/>
        <x:v>401.08096736045303</x:v>
      </x:c>
      <x:c r="AA60" s="9" t="n">
        <x:f>SQRT((Inputs!$C$52+B60)^2+(Inputs!$C$52+Y60/1000)^2-2*(Inputs!$C$52+B60)*(Inputs!$C$52+Y60/1000)*COS(SQRT(A60^2+Inputs!$C$6^2)/Inputs!$C$52))</x:f>
        <x:v>403.19475470254764</x:v>
      </x:c>
      <x:c r="AB60" s="9">
        <x:f t="shared" si="8"/>
        <x:v>2113.7873420946107</x:v>
      </x:c>
      <x:c r="AC60" s="9" t="n">
        <x:f>AB60/Inputs!$C$12</x:f>
        <x:v>1187.5209787048375</x:v>
      </x:c>
      <x:c r="AD60" s="9" t="n">
        <x:f>2*AB60/Inputs!$C$21*1000000</x:f>
        <x:v>14.10167124414191</x:v>
      </x:c>
      <x:c r="AE60" s="9">
        <x:f t="shared" si="9"/>
        <x:v>5.6756468197139078</x:v>
      </x:c>
      <x:c r="AF60" s="9" t="n">
        <x:f>DEGREES((2*PI()/Inputs!$C$13)*Inputs!$C$15*SIN(RADIANS(AE60)))</x:f>
        <x:v>35.60284771260334</x:v>
      </x:c>
      <x:c r="AG60" s="9">
        <x:f t="shared" si="10"/>
        <x:v>0.97919394795793679</x:v>
      </x:c>
      <x:c r="AH60" s="9">
        <x:f t="shared" si="11"/>
        <x:v>-9.1312794066377739E-2</x:v>
      </x:c>
      <x:c r="AI60" s="9">
        <x:f t="shared" si="12"/>
        <x:v>-204.33730074444793</x:v>
      </x:c>
      <x:c r="AJ60" s="9">
        <x:f t="shared" si="13"/>
        <x:v>-2.4264812914347385</x:v>
      </x:c>
      <x:c r="AK60" s="9">
        <x:f t="shared" si="14"/>
        <x:v>366.45059199992033</x:v>
      </x:c>
      <x:c r="AL60" s="9" t="n">
        <x:f>1000*(AA61-AA59)/(A61-A59)*Inputs!$C$11</x:f>
        <x:v>-595.3462319293976</x:v>
      </x:c>
      <x:c r="AM60" s="9" t="n">
        <x:f>-2*AL60/Inputs!$C$13</x:f>
        <x:v>238.13849277175905</x:v>
      </x:c>
      <x:c r="AN60" s="9" t="n">
        <x:f>-2*AL60/Inputs!$C$14</x:f>
        <x:v>35.75653044621007</x:v>
      </x:c>
      <x:c r="AO60" s="9">
        <x:f t="shared" si="15"/>
        <x:v>238.13849277175905</x:v>
      </x:c>
      <x:c r="AP60" s="9">
        <x:f t="shared" si="16"/>
        <x:v>35.756530446210071</x:v>
      </x:c>
      <x:c r="AQ60" s="9" t="n">
        <x:f>IF(OR(Inputs!$C$27=TRUE,Inputs!$C$27="TRUE",Inputs!$C$27=1),Inputs!$C$46/Inputs!$C$12,0)</x:f>
        <x:v>42.13483146067416</x:v>
      </x:c>
      <x:c r="AR60" s="9">
        <x:f t="shared" si="17"/>
        <x:v>1145.3861472441633</x:v>
      </x:c>
      <x:c r="AS60" s="9">
        <x:f t="shared" si="18"/>
        <x:v>1229.6558101655116</x:v>
      </x:c>
    </x:row>
    <x:row r="61">
      <x:c r="A61" s="9" t="n">
        <x:f>Inputs!$C$7+59*(Inputs!$C$8-Inputs!$C$7)/240</x:f>
        <x:v>-30.5</x:v>
      </x:c>
      <x:c r="B61" s="9" t="n">
        <x:f>Inputs!$C$5+Inputs!$C$9*(A61/Inputs!$C$10)^2</x:f>
        <x:v>401.0336111111111</x:v>
      </x:c>
      <x:c r="C61" s="9">
        <x:f t="shared" si="0"/>
        <x:v>401.0336111111111</x:v>
      </x:c>
      <x:c r="D61" s="9" t="n">
        <x:f>SQRT((Inputs!$C$52+B61)^2+Inputs!$C$52^2-2*(Inputs!$C$52+B61)*Inputs!$C$52*COS(SQRT(A61^2+Inputs!$C$6^2)/Inputs!$C$52))</x:f>
        <x:v>403.46339465898114</x:v>
      </x:c>
      <x:c r="E61" s="9">
        <x:f t="shared" si="1"/>
        <x:v>2429.7835478700449</x:v>
      </x:c>
      <x:c r="F61" s="9" t="n">
        <x:f>E61/Inputs!$C$12</x:f>
        <x:v>1365.0469370056433</x:v>
      </x:c>
      <x:c r="G61" s="9" t="n">
        <x:f>2*E61/Inputs!$C$21*1000000</x:f>
        <x:v>16.209771013452546</x:v>
      </x:c>
      <x:c r="H61" s="9" t="n">
        <x:f>SQRT(A61^2+Inputs!$C$6^2)</x:f>
        <x:v>39.436658073421995</x:v>
      </x:c>
      <x:c r="I61" s="9">
        <x:f t="shared" si="2"/>
        <x:v>5.6162687447103439</x:v>
      </x:c>
      <x:c r="J61" s="9" t="n">
        <x:f>DEGREES((2*PI()/Inputs!$C$13)*Inputs!$C$15*SIN(RADIANS(I61)))</x:f>
        <x:v>35.23157418054016</x:v>
      </x:c>
      <x:c r="K61" s="9">
        <x:f t="shared" si="3"/>
        <x:v>0.9761274783366205</x:v>
      </x:c>
      <x:c r="L61" s="9">
        <x:f t="shared" si="4"/>
        <x:v>-0.10493461510667687</x:v>
      </x:c>
      <x:c r="M61" s="9" t="n">
        <x:f>2*(Inputs!$C$9/(Inputs!$C$10^2))*A61</x:f>
        <x:v>-0.06777777777777778</x:v>
      </x:c>
      <x:c r="N61" s="9" t="n">
        <x:f>M61*Inputs!$C$11</x:f>
        <x:v>-0.27111111111111114</x:v>
      </x:c>
      <x:c r="O61" s="9" t="n">
        <x:f>1000*(D62-D60)/(A62-A60)*Inputs!$C$11</x:f>
        <x:v>-649.8480869720424</x:v>
      </x:c>
      <x:c r="P61" s="9" t="n">
        <x:f>-2*O61/Inputs!$C$13</x:f>
        <x:v>259.939234788817</x:v>
      </x:c>
      <x:c r="Q61" s="9" t="n">
        <x:f>-2*O61/Inputs!$C$14</x:f>
        <x:v>39.02991513345601</x:v>
      </x:c>
      <x:c r="R61" s="9" t="n">
        <x:f>F61-Inputs!$C$16/2</x:f>
        <x:v>1350.0469370056433</x:v>
      </x:c>
      <x:c r="S61" s="9" t="n">
        <x:f>F61+Inputs!$C$16/2</x:f>
        <x:v>1380.0469370056433</x:v>
      </x:c>
      <x:c r="T61" s="9" t="n">
        <x:f>F61-Inputs!$C$17/2</x:f>
        <x:v>1215.0469370056433</x:v>
      </x:c>
      <x:c r="U61" s="9" t="n">
        <x:f>F61+Inputs!$C$17/2</x:f>
        <x:v>1515.0469370056433</x:v>
      </x:c>
      <x:c r="V61" s="9">
        <x:f t="shared" si="5"/>
        <x:v>259.93923478881698</x:v>
      </x:c>
      <x:c r="W61" s="9">
        <x:f t="shared" si="6"/>
        <x:v>39.029915133456008</x:v>
      </x:c>
      <x:c r="X61" s="9"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x:f>
        <x:v>-7.467318037700602</x:v>
      </x:c>
      <x:c r="Y61" s="9"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x:f>
        <x:v>338.6571544092517</x:v>
      </x:c>
      <x:c r="Z61" s="9">
        <x:f t="shared" si="7"/>
        <x:v>401.0410784291488</x:v>
      </x:c>
      <x:c r="AA61" s="9" t="n">
        <x:f>SQRT((Inputs!$C$52+B61)^2+(Inputs!$C$52+Y61/1000)^2-2*(Inputs!$C$52+B61)*(Inputs!$C$52+Y61/1000)*COS(SQRT(A61^2+Inputs!$C$6^2)/Inputs!$C$52))</x:f>
        <x:v>403.12730477006664</x:v>
      </x:c>
      <x:c r="AB61" s="9">
        <x:f t="shared" si="8"/>
        <x:v>2086.2263409178468</x:v>
      </x:c>
      <x:c r="AC61" s="9" t="n">
        <x:f>AB61/Inputs!$C$12</x:f>
        <x:v>1172.0372701785657</x:v>
      </x:c>
      <x:c r="AD61" s="9" t="n">
        <x:f>2*AB61/Inputs!$C$21*1000000</x:f>
        <x:v>13.91780403573626</x:v>
      </x:c>
      <x:c r="AE61" s="9">
        <x:f t="shared" si="9"/>
        <x:v>5.6209850863903705</x:v>
      </x:c>
      <x:c r="AF61" s="9" t="n">
        <x:f>DEGREES((2*PI()/Inputs!$C$13)*Inputs!$C$15*SIN(RADIANS(AE61)))</x:f>
        <x:v>35.26106545806163</x:v>
      </x:c>
      <x:c r="AG61" s="9">
        <x:f t="shared" si="10"/>
        <x:v>0.97945971454004543</x:v>
      </x:c>
      <x:c r="AH61" s="9">
        <x:f t="shared" si="11"/>
        <x:v>-9.0134219589405457E-2</x:v>
      </x:c>
      <x:c r="AI61" s="9">
        <x:f t="shared" si="12"/>
        <x:v>-193.00966682707758</x:v>
      </x:c>
      <x:c r="AJ61" s="9">
        <x:f t="shared" si="13"/>
        <x:v>-2.2919669777162852</x:v>
      </x:c>
      <x:c r="AK61" s="9">
        <x:f t="shared" si="14"/>
        <x:v>346.12447244695227</x:v>
      </x:c>
      <x:c r="AL61" s="9" t="n">
        <x:f>1000*(AA62-AA60)/(A62-A60)*Inputs!$C$11</x:f>
        <x:v>-585.6083447201854</x:v>
      </x:c>
      <x:c r="AM61" s="9" t="n">
        <x:f>-2*AL61/Inputs!$C$13</x:f>
        <x:v>234.24333788807417</x:v>
      </x:c>
      <x:c r="AN61" s="9" t="n">
        <x:f>-2*AL61/Inputs!$C$14</x:f>
        <x:v>35.17167235556669</x:v>
      </x:c>
      <x:c r="AO61" s="9">
        <x:f t="shared" si="15"/>
        <x:v>234.24333788807417</x:v>
      </x:c>
      <x:c r="AP61" s="9">
        <x:f t="shared" si="16"/>
        <x:v>35.171672355566692</x:v>
      </x:c>
      <x:c r="AQ61" s="9" t="n">
        <x:f>IF(OR(Inputs!$C$27=TRUE,Inputs!$C$27="TRUE",Inputs!$C$27=1),Inputs!$C$46/Inputs!$C$12,0)</x:f>
        <x:v>42.13483146067416</x:v>
      </x:c>
      <x:c r="AR61" s="9">
        <x:f t="shared" si="17"/>
        <x:v>1129.9024387178915</x:v>
      </x:c>
      <x:c r="AS61" s="9">
        <x:f t="shared" si="18"/>
        <x:v>1214.1721016392398</x:v>
      </x:c>
    </x:row>
    <x:row r="62">
      <x:c r="A62" s="9" t="n">
        <x:f>Inputs!$C$7+60*(Inputs!$C$8-Inputs!$C$7)/240</x:f>
        <x:v>-30</x:v>
      </x:c>
      <x:c r="B62" s="9" t="n">
        <x:f>Inputs!$C$5+Inputs!$C$9*(A62/Inputs!$C$10)^2</x:f>
        <x:v>401</x:v>
      </x:c>
      <x:c r="C62" s="9">
        <x:f t="shared" si="0"/>
        <x:v>401</x:v>
      </x:c>
      <x:c r="D62" s="9" t="n">
        <x:f>SQRT((Inputs!$C$52+B62)^2+Inputs!$C$52^2-2*(Inputs!$C$52+B62)*Inputs!$C$52*COS(SQRT(A62^2+Inputs!$C$6^2)/Inputs!$C$52))</x:f>
        <x:v>403.3828234934545</x:v>
      </x:c>
      <x:c r="E62" s="9">
        <x:f t="shared" si="1"/>
        <x:v>2382.8234934545094</x:v>
      </x:c>
      <x:c r="F62" s="9" t="n">
        <x:f>E62/Inputs!$C$12</x:f>
        <x:v>1338.6648839632076</x:v>
      </x:c>
      <x:c r="G62" s="9" t="n">
        <x:f>2*E62/Inputs!$C$21*1000000</x:f>
        <x:v>15.896487252221066</x:v>
      </x:c>
      <x:c r="H62" s="9" t="n">
        <x:f>SQRT(A62^2+Inputs!$C$6^2)</x:f>
        <x:v>39.05124837953327</x:v>
      </x:c>
      <x:c r="I62" s="9">
        <x:f t="shared" si="2"/>
        <x:v>5.5621907006038249</x:v>
      </x:c>
      <x:c r="J62" s="9" t="n">
        <x:f>DEGREES((2*PI()/Inputs!$C$13)*Inputs!$C$15*SIN(RADIANS(I62)))</x:f>
        <x:v>34.893407239514076</x:v>
      </x:c>
      <x:c r="K62" s="9">
        <x:f t="shared" si="3"/>
        <x:v>0.97658013175787806</x:v>
      </x:c>
      <x:c r="L62" s="9">
        <x:f t="shared" si="4"/>
        <x:v>-0.10292115558440429</x:v>
      </x:c>
      <x:c r="M62" s="9" t="n">
        <x:f>2*(Inputs!$C$9/(Inputs!$C$10^2))*A62</x:f>
        <x:v>-0.06666666666666667</x:v>
      </x:c>
      <x:c r="N62" s="9" t="n">
        <x:f>M62*Inputs!$C$11</x:f>
        <x:v>-0.26666666666666666</x:v>
      </x:c>
      <x:c r="O62" s="9" t="n">
        <x:f>1000*(D63-D61)/(A63-A61)*Inputs!$C$11</x:f>
        <x:v>-639.2882542627376</x:v>
      </x:c>
      <x:c r="P62" s="9" t="n">
        <x:f>-2*O62/Inputs!$C$13</x:f>
        <x:v>255.71530170509504</x:v>
      </x:c>
      <x:c r="Q62" s="9" t="n">
        <x:f>-2*O62/Inputs!$C$14</x:f>
        <x:v>38.39569094671097</x:v>
      </x:c>
      <x:c r="R62" s="9" t="n">
        <x:f>F62-Inputs!$C$16/2</x:f>
        <x:v>1323.6648839632076</x:v>
      </x:c>
      <x:c r="S62" s="9" t="n">
        <x:f>F62+Inputs!$C$16/2</x:f>
        <x:v>1353.6648839632076</x:v>
      </x:c>
      <x:c r="T62" s="9" t="n">
        <x:f>F62-Inputs!$C$17/2</x:f>
        <x:v>1188.6648839632076</x:v>
      </x:c>
      <x:c r="U62" s="9" t="n">
        <x:f>F62+Inputs!$C$17/2</x:f>
        <x:v>1488.6648839632076</x:v>
      </x:c>
      <x:c r="V62" s="9">
        <x:f t="shared" si="5"/>
        <x:v>255.71530170509504</x:v>
      </x:c>
      <x:c r="W62" s="9">
        <x:f t="shared" si="6"/>
        <x:v>38.395690946710971</x:v>
      </x:c>
      <x:c r="X62" s="9"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x:f>
        <x:v>-17.51801383367469</x:v>
      </x:c>
      <x:c r="Y62" s="9"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x:f>
        <x:v>336.97644838088075</x:v>
      </x:c>
      <x:c r="Z62" s="9">
        <x:f t="shared" si="7"/>
        <x:v>401.01751801383369</x:v>
      </x:c>
      <x:c r="AA62" s="9" t="n">
        <x:f>SQRT((Inputs!$C$52+B62)^2+(Inputs!$C$52+Y62/1000)^2-2*(Inputs!$C$52+B62)*(Inputs!$C$52+Y62/1000)*COS(SQRT(A62^2+Inputs!$C$6^2)/Inputs!$C$52))</x:f>
        <x:v>403.0483526163676</x:v>
      </x:c>
      <x:c r="AB62" s="9">
        <x:f t="shared" si="8"/>
        <x:v>2030.8346025339006</x:v>
      </x:c>
      <x:c r="AC62" s="9" t="n">
        <x:f>AB62/Inputs!$C$12</x:f>
        <x:v>1140.9183160302812</x:v>
      </x:c>
      <x:c r="AD62" s="9" t="n">
        <x:f>2*AB62/Inputs!$C$21*1000000</x:f>
        <x:v>13.548270133826387</x:v>
      </x:c>
      <x:c r="AE62" s="9">
        <x:f t="shared" si="9"/>
        <x:v>5.5668393917384416</x:v>
      </x:c>
      <x:c r="AF62" s="9" t="n">
        <x:f>DEGREES((2*PI()/Inputs!$C$13)*Inputs!$C$15*SIN(RADIANS(AE62)))</x:f>
        <x:v>34.92247818610745</x:v>
      </x:c>
      <x:c r="AG62" s="9">
        <x:f t="shared" si="10"/>
        <x:v>0.9799970700944477</x:v>
      </x:c>
      <x:c r="AH62" s="9">
        <x:f t="shared" si="11"/>
        <x:v>-8.7752227194602211E-2</x:v>
      </x:c>
      <x:c r="AI62" s="9">
        <x:f t="shared" si="12"/>
        <x:v>-197.74656793292638</x:v>
      </x:c>
      <x:c r="AJ62" s="9">
        <x:f t="shared" si="13"/>
        <x:v>-2.3482171183946789</x:v>
      </x:c>
      <x:c r="AK62" s="9">
        <x:f t="shared" si="14"/>
        <x:v>354.49446221455275</x:v>
      </x:c>
      <x:c r="AL62" s="9" t="n">
        <x:f>1000*(AA63-AA61)/(A63-A61)*Inputs!$C$11</x:f>
        <x:v>-590.4015835149039</x:v>
      </x:c>
      <x:c r="AM62" s="9" t="n">
        <x:f>-2*AL62/Inputs!$C$13</x:f>
        <x:v>236.16063340596156</x:v>
      </x:c>
      <x:c r="AN62" s="9" t="n">
        <x:f>-2*AL62/Inputs!$C$14</x:f>
        <x:v>35.4595545654597</x:v>
      </x:c>
      <x:c r="AO62" s="9">
        <x:f t="shared" si="15"/>
        <x:v>236.16063340596156</x:v>
      </x:c>
      <x:c r="AP62" s="9">
        <x:f t="shared" si="16"/>
        <x:v>35.459554565459698</x:v>
      </x:c>
      <x:c r="AQ62" s="9" t="n">
        <x:f>IF(OR(Inputs!$C$27=TRUE,Inputs!$C$27="TRUE",Inputs!$C$27=1),Inputs!$C$46/Inputs!$C$12,0)</x:f>
        <x:v>42.13483146067416</x:v>
      </x:c>
      <x:c r="AR62" s="9">
        <x:f t="shared" si="17"/>
        <x:v>1098.783484569607</x:v>
      </x:c>
      <x:c r="AS62" s="9">
        <x:f t="shared" si="18"/>
        <x:v>1183.0531474909553</x:v>
      </x:c>
    </x:row>
    <x:row r="63">
      <x:c r="A63" s="9" t="n">
        <x:f>Inputs!$C$7+61*(Inputs!$C$8-Inputs!$C$7)/240</x:f>
        <x:v>-29.5</x:v>
      </x:c>
      <x:c r="B63" s="9" t="n">
        <x:f>Inputs!$C$5+Inputs!$C$9*(A63/Inputs!$C$10)^2</x:f>
        <x:v>400.96694444444444</x:v>
      </x:c>
      <x:c r="C63" s="9">
        <x:f t="shared" si="0"/>
        <x:v>400.96694444444444</x:v>
      </x:c>
      <x:c r="D63" s="9" t="n">
        <x:f>SQRT((Inputs!$C$52+B63)^2+Inputs!$C$52^2-2*(Inputs!$C$52+B63)*Inputs!$C$52*COS(SQRT(A63^2+Inputs!$C$6^2)/Inputs!$C$52))</x:f>
        <x:v>403.30357259541546</x:v>
      </x:c>
      <x:c r="E63" s="9">
        <x:f t="shared" si="1"/>
        <x:v>2336.6281509710234</x:v>
      </x:c>
      <x:c r="F63" s="9" t="n">
        <x:f>E63/Inputs!$C$12</x:f>
        <x:v>1312.7124443657435</x:v>
      </x:c>
      <x:c r="G63" s="9" t="n">
        <x:f>2*E63/Inputs!$C$21*1000000</x:f>
        <x:v>15.58830509986361</x:v>
      </x:c>
      <x:c r="H63" s="9" t="n">
        <x:f>SQRT(A63^2+Inputs!$C$6^2)</x:f>
        <x:v>38.66846260197062</x:v>
      </x:c>
      <x:c r="I63" s="9">
        <x:f t="shared" si="2"/>
        <x:v>5.5084575472448263</x:v>
      </x:c>
      <x:c r="J63" s="9" t="n">
        <x:f>DEGREES((2*PI()/Inputs!$C$13)*Inputs!$C$15*SIN(RADIANS(I63)))</x:f>
        <x:v>34.55736622018927</x:v>
      </x:c>
      <x:c r="K63" s="9">
        <x:f t="shared" si="3"/>
        <x:v>0.97702574464088932</x:v>
      </x:c>
      <x:c r="L63" s="9">
        <x:f t="shared" si="4"/>
        <x:v>-0.10093992465291421</x:v>
      </x:c>
      <x:c r="M63" s="9" t="n">
        <x:f>2*(Inputs!$C$9/(Inputs!$C$10^2))*A63</x:f>
        <x:v>-0.06555555555555556</x:v>
      </x:c>
      <x:c r="N63" s="9" t="n">
        <x:f>M63*Inputs!$C$11</x:f>
        <x:v>-0.26222222222222225</x:v>
      </x:c>
      <x:c r="O63" s="9" t="n">
        <x:f>1000*(D64-D62)/(A64-A62)*Inputs!$C$11</x:f>
        <x:v>-628.7238430963953</x:v>
      </x:c>
      <x:c r="P63" s="9" t="n">
        <x:f>-2*O63/Inputs!$C$13</x:f>
        <x:v>251.4895372385581</x:v>
      </x:c>
      <x:c r="Q63" s="9" t="n">
        <x:f>-2*O63/Inputs!$C$14</x:f>
        <x:v>37.76119177756128</x:v>
      </x:c>
      <x:c r="R63" s="9" t="n">
        <x:f>F63-Inputs!$C$16/2</x:f>
        <x:v>1297.7124443657435</x:v>
      </x:c>
      <x:c r="S63" s="9" t="n">
        <x:f>F63+Inputs!$C$16/2</x:f>
        <x:v>1327.7124443657435</x:v>
      </x:c>
      <x:c r="T63" s="9" t="n">
        <x:f>F63-Inputs!$C$17/2</x:f>
        <x:v>1162.7124443657435</x:v>
      </x:c>
      <x:c r="U63" s="9" t="n">
        <x:f>F63+Inputs!$C$17/2</x:f>
        <x:v>1462.7124443657435</x:v>
      </x:c>
      <x:c r="V63" s="9">
        <x:f t="shared" si="5"/>
        <x:v>251.48953723855811</x:v>
      </x:c>
      <x:c r="W63" s="9">
        <x:f t="shared" si="6"/>
        <x:v>37.76119177756128</x:v>
      </x:c>
      <x:c r="X63" s="9"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x:f>
        <x:v>-36.167878297776255</x:v>
      </x:c>
      <x:c r="Y63" s="9"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x:f>
        <x:v>326.24732503276135</x:v>
      </x:c>
      <x:c r="Z63" s="9">
        <x:f t="shared" si="7"/>
        <x:v>401.0031123227422</x:v>
      </x:c>
      <x:c r="AA63" s="9" t="n">
        <x:f>SQRT((Inputs!$C$52+B63)^2+(Inputs!$C$52+Y63/1000)^2-2*(Inputs!$C$52+B63)*(Inputs!$C$52+Y63/1000)*COS(SQRT(A63^2+Inputs!$C$6^2)/Inputs!$C$52))</x:f>
        <x:v>402.9797043741879</x:v>
      </x:c>
      <x:c r="AB63" s="9">
        <x:f t="shared" si="8"/>
        <x:v>1976.5920514457207</x:v>
      </x:c>
      <x:c r="AC63" s="9" t="n">
        <x:f>AB63/Inputs!$C$12</x:f>
        <x:v>1110.444972722315</x:v>
      </x:c>
      <x:c r="AD63" s="9" t="n">
        <x:f>2*AB63/Inputs!$C$21*1000000</x:f>
        <x:v>13.18640278432702</x:v>
      </x:c>
      <x:c r="AE63" s="9">
        <x:f t="shared" si="9"/>
        <x:v>5.5129155384179427</x:v>
      </x:c>
      <x:c r="AF63" s="9" t="n">
        <x:f>DEGREES((2*PI()/Inputs!$C$13)*Inputs!$C$15*SIN(RADIANS(AE63)))</x:f>
        <x:v>34.585247149347815</x:v>
      </x:c>
      <x:c r="AG63" s="9">
        <x:f t="shared" si="10"/>
        <x:v>0.9805241115448593</x:v>
      </x:c>
      <x:c r="AH63" s="9">
        <x:f t="shared" si="11"/>
        <x:v>-8.5417223611825313E-2</x:v>
      </x:c>
      <x:c r="AI63" s="9">
        <x:f t="shared" si="12"/>
        <x:v>-202.26747164342851</x:v>
      </x:c>
      <x:c r="AJ63" s="9">
        <x:f t="shared" si="13"/>
        <x:v>-2.4019023155365904</x:v>
      </x:c>
      <x:c r="AK63" s="9">
        <x:f t="shared" si="14"/>
        <x:v>362.41520333053762</x:v>
      </x:c>
      <x:c r="AL63" s="9" t="n">
        <x:f>1000*(AA64-AA62)/(A64-A62)*Inputs!$C$11</x:f>
        <x:v>-608.8556505005727</x:v>
      </x:c>
      <x:c r="AM63" s="9" t="n">
        <x:f>-2*AL63/Inputs!$C$13</x:f>
        <x:v>243.54226020022907</x:v>
      </x:c>
      <x:c r="AN63" s="9" t="n">
        <x:f>-2*AL63/Inputs!$C$14</x:f>
        <x:v>36.56790693697133</x:v>
      </x:c>
      <x:c r="AO63" s="9">
        <x:f t="shared" si="15"/>
        <x:v>243.54226020022907</x:v>
      </x:c>
      <x:c r="AP63" s="9">
        <x:f t="shared" si="16"/>
        <x:v>36.567906936971333</x:v>
      </x:c>
      <x:c r="AQ63" s="9" t="n">
        <x:f>IF(OR(Inputs!$C$27=TRUE,Inputs!$C$27="TRUE",Inputs!$C$27=1),Inputs!$C$46/Inputs!$C$12,0)</x:f>
        <x:v>42.13483146067416</x:v>
      </x:c>
      <x:c r="AR63" s="9">
        <x:f t="shared" si="17"/>
        <x:v>1068.3101412616409</x:v>
      </x:c>
      <x:c r="AS63" s="9">
        <x:f t="shared" si="18"/>
        <x:v>1152.5798041829892</x:v>
      </x:c>
    </x:row>
    <x:row r="64">
      <x:c r="A64" s="9" t="n">
        <x:f>Inputs!$C$7+62*(Inputs!$C$8-Inputs!$C$7)/240</x:f>
        <x:v>-29</x:v>
      </x:c>
      <x:c r="B64" s="9" t="n">
        <x:f>Inputs!$C$5+Inputs!$C$9*(A64/Inputs!$C$10)^2</x:f>
        <x:v>400.93444444444447</x:v>
      </x:c>
      <x:c r="C64" s="9">
        <x:f t="shared" si="0"/>
        <x:v>400.93444444444447</x:v>
      </x:c>
      <x:c r="D64" s="9" t="n">
        <x:f>SQRT((Inputs!$C$52+B64)^2+Inputs!$C$52^2-2*(Inputs!$C$52+B64)*Inputs!$C$52*COS(SQRT(A64^2+Inputs!$C$6^2)/Inputs!$C$52))</x:f>
        <x:v>403.2256425326804</x:v>
      </x:c>
      <x:c r="E64" s="9">
        <x:f t="shared" si="1"/>
        <x:v>2291.1980882359444</x:v>
      </x:c>
      <x:c r="F64" s="9" t="n">
        <x:f>E64/Inputs!$C$12</x:f>
        <x:v>1287.1899372112048</x:v>
      </x:c>
      <x:c r="G64" s="9" t="n">
        <x:f>2*E64/Inputs!$C$21*1000000</x:f>
        <x:v>15.285228344443171</x:v>
      </x:c>
      <x:c r="H64" s="9" t="n">
        <x:f>SQRT(A64^2+Inputs!$C$6^2)</x:f>
        <x:v>38.28837943815329</x:v>
      </x:c>
      <x:c r="I64" s="9">
        <x:f t="shared" si="2"/>
        <x:v>5.4550810258419062</x:v>
      </x:c>
      <x:c r="J64" s="9" t="n">
        <x:f>DEGREES((2*PI()/Inputs!$C$13)*Inputs!$C$15*SIN(RADIANS(I64)))</x:f>
        <x:v>34.223525444306695</x:v>
      </x:c>
      <x:c r="K64" s="9">
        <x:f t="shared" si="3"/>
        <x:v>0.97746429550275815</x:v>
      </x:c>
      <x:c r="L64" s="9">
        <x:f t="shared" si="4"/>
        <x:v>-9.8990974096728052E-2</x:v>
      </x:c>
      <x:c r="M64" s="9" t="n">
        <x:f>2*(Inputs!$C$9/(Inputs!$C$10^2))*A64</x:f>
        <x:v>-0.06444444444444444</x:v>
      </x:c>
      <x:c r="N64" s="9" t="n">
        <x:f>M64*Inputs!$C$11</x:f>
        <x:v>-0.2577777777777778</x:v>
      </x:c>
      <x:c r="O64" s="9" t="n">
        <x:f>1000*(D65-D63)/(A65-A63)*Inputs!$C$11</x:f>
        <x:v>-618.1549253624326</x:v>
      </x:c>
      <x:c r="P64" s="9" t="n">
        <x:f>-2*O64/Inputs!$C$13</x:f>
        <x:v>247.26197014497302</x:v>
      </x:c>
      <x:c r="Q64" s="9" t="n">
        <x:f>-2*O64/Inputs!$C$14</x:f>
        <x:v>37.12642194368964</x:v>
      </x:c>
      <x:c r="R64" s="9" t="n">
        <x:f>F64-Inputs!$C$16/2</x:f>
        <x:v>1272.1899372112048</x:v>
      </x:c>
      <x:c r="S64" s="9" t="n">
        <x:f>F64+Inputs!$C$16/2</x:f>
        <x:v>1302.1899372112048</x:v>
      </x:c>
      <x:c r="T64" s="9" t="n">
        <x:f>F64-Inputs!$C$17/2</x:f>
        <x:v>1137.1899372112048</x:v>
      </x:c>
      <x:c r="U64" s="9" t="n">
        <x:f>F64+Inputs!$C$17/2</x:f>
        <x:v>1437.1899372112048</x:v>
      </x:c>
      <x:c r="V64" s="9">
        <x:f t="shared" si="5"/>
        <x:v>247.26197014497302</x:v>
      </x:c>
      <x:c r="W64" s="9">
        <x:f t="shared" si="6"/>
        <x:v>37.126421943689643</x:v>
      </x:c>
      <x:c r="X64" s="9"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x:f>
        <x:v>-22.86382175599607</x:v>
      </x:c>
      <x:c r="Y64" s="9"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x:f>
        <x:v>331.8773601232655</x:v>
      </x:c>
      <x:c r="Z64" s="9">
        <x:f t="shared" si="7"/>
        <x:v>400.95730826620047</x:v>
      </x:c>
      <x:c r="AA64" s="9" t="n">
        <x:f>SQRT((Inputs!$C$52+B64)^2+(Inputs!$C$52+Y64/1000)^2-2*(Inputs!$C$52+B64)*(Inputs!$C$52+Y64/1000)*COS(SQRT(A64^2+Inputs!$C$6^2)/Inputs!$C$52))</x:f>
        <x:v>402.89613870374245</x:v>
      </x:c>
      <x:c r="AB64" s="9">
        <x:f t="shared" si="8"/>
        <x:v>1938.8304375419807</x:v>
      </x:c>
      <x:c r="AC64" s="9" t="n">
        <x:f>AB64/Inputs!$C$12</x:f>
        <x:v>1089.2305828887531</x:v>
      </x:c>
      <x:c r="AD64" s="9" t="n">
        <x:f>2*AB64/Inputs!$C$21*1000000</x:f>
        <x:v>12.934484412826562</x:v>
      </x:c>
      <x:c r="AE64" s="9">
        <x:f t="shared" si="9"/>
        <x:v>5.4595729679541591</x:v>
      </x:c>
      <x:c r="AF64" s="9" t="n">
        <x:f>DEGREES((2*PI()/Inputs!$C$13)*Inputs!$C$15*SIN(RADIANS(AE64)))</x:f>
        <x:v>34.251621219583015</x:v>
      </x:c>
      <x:c r="AG64" s="9">
        <x:f t="shared" si="10"/>
        <x:v>0.98088956493679824</x:v>
      </x:c>
      <x:c r="AH64" s="9">
        <x:f t="shared" si="11"/>
        <x:v>-8.3798856255141718E-2</x:v>
      </x:c>
      <x:c r="AI64" s="9">
        <x:f t="shared" si="12"/>
        <x:v>-197.95935432245165</x:v>
      </x:c>
      <x:c r="AJ64" s="9">
        <x:f t="shared" si="13"/>
        <x:v>-2.3507439316166092</x:v>
      </x:c>
      <x:c r="AK64" s="9">
        <x:f t="shared" si="14"/>
        <x:v>354.741181879458</x:v>
      </x:c>
      <x:c r="AL64" s="9" t="n">
        <x:f>1000*(AA65-AA63)/(A65-A63)*Inputs!$C$11</x:f>
        <x:v>-554.948785306351</x:v>
      </x:c>
      <x:c r="AM64" s="9" t="n">
        <x:f>-2*AL64/Inputs!$C$13</x:f>
        <x:v>221.97951412254042</x:v>
      </x:c>
      <x:c r="AN64" s="9" t="n">
        <x:f>-2*AL64/Inputs!$C$14</x:f>
        <x:v>33.33025737575682</x:v>
      </x:c>
      <x:c r="AO64" s="9">
        <x:f t="shared" si="15"/>
        <x:v>221.97951412254042</x:v>
      </x:c>
      <x:c r="AP64" s="9">
        <x:f t="shared" si="16"/>
        <x:v>33.330257375756823</x:v>
      </x:c>
      <x:c r="AQ64" s="9" t="n">
        <x:f>IF(OR(Inputs!$C$27=TRUE,Inputs!$C$27="TRUE",Inputs!$C$27=1),Inputs!$C$46/Inputs!$C$12,0)</x:f>
        <x:v>42.13483146067416</x:v>
      </x:c>
      <x:c r="AR64" s="9">
        <x:f t="shared" si="17"/>
        <x:v>1047.095751428079</x:v>
      </x:c>
      <x:c r="AS64" s="9">
        <x:f t="shared" si="18"/>
        <x:v>1131.3654143494273</x:v>
      </x:c>
    </x:row>
    <x:row r="65">
      <x:c r="A65" s="9" t="n">
        <x:f>Inputs!$C$7+63*(Inputs!$C$8-Inputs!$C$7)/240</x:f>
        <x:v>-28.5</x:v>
      </x:c>
      <x:c r="B65" s="9" t="n">
        <x:f>Inputs!$C$5+Inputs!$C$9*(A65/Inputs!$C$10)^2</x:f>
        <x:v>400.9025</x:v>
      </x:c>
      <x:c r="C65" s="9">
        <x:f t="shared" si="0"/>
        <x:v>400.90249999999997</x:v>
      </x:c>
      <x:c r="D65" s="9" t="n">
        <x:f>SQRT((Inputs!$C$52+B65)^2+Inputs!$C$52^2-2*(Inputs!$C$52+B65)*Inputs!$C$52*COS(SQRT(A65^2+Inputs!$C$6^2)/Inputs!$C$52))</x:f>
        <x:v>403.14903386407485</x:v>
      </x:c>
      <x:c r="E65" s="9">
        <x:f t="shared" si="1"/>
        <x:v>2246.5338640748769</x:v>
      </x:c>
      <x:c r="F65" s="9" t="n">
        <x:f>E65/Inputs!$C$12</x:f>
        <x:v>1262.09767644656</x:v>
      </x:c>
      <x:c r="G65" s="9" t="n">
        <x:f>2*E65/Inputs!$C$21*1000000</x:f>
        <x:v>14.987260714042893</x:v>
      </x:c>
      <x:c r="H65" s="9" t="n">
        <x:f>SQRT(A65^2+Inputs!$C$6^2)</x:f>
        <x:v>37.911080174534725</x:v>
      </x:c>
      <x:c r="I65" s="9">
        <x:f t="shared" si="2"/>
        <x:v>5.4020732483141956</x:v>
      </x:c>
      <x:c r="J65" s="9" t="n">
        <x:f>DEGREES((2*PI()/Inputs!$C$13)*Inputs!$C$15*SIN(RADIANS(I65)))</x:f>
        <x:v>33.89196156330164</x:v>
      </x:c>
      <x:c r="K65" s="9">
        <x:f t="shared" si="3"/>
        <x:v>0.97789576317346538</x:v>
      </x:c>
      <x:c r="L65" s="9">
        <x:f t="shared" si="4"/>
        <x:v>-9.7074354896927853E-2</x:v>
      </x:c>
      <x:c r="M65" s="9" t="n">
        <x:f>2*(Inputs!$C$9/(Inputs!$C$10^2))*A65</x:f>
        <x:v>-0.06333333333333334</x:v>
      </x:c>
      <x:c r="N65" s="9" t="n">
        <x:f>M65*Inputs!$C$11</x:f>
        <x:v>-0.25333333333333335</x:v>
      </x:c>
      <x:c r="O65" s="9" t="n">
        <x:f>1000*(D66-D64)/(A66-A64)*Inputs!$C$11</x:f>
        <x:v>-607.581573135576</x:v>
      </x:c>
      <x:c r="P65" s="9" t="n">
        <x:f>-2*O65/Inputs!$C$13</x:f>
        <x:v>243.03262925423041</x:v>
      </x:c>
      <x:c r="Q65" s="9" t="n">
        <x:f>-2*O65/Inputs!$C$14</x:f>
        <x:v>36.491385773908476</x:v>
      </x:c>
      <x:c r="R65" s="9" t="n">
        <x:f>F65-Inputs!$C$16/2</x:f>
        <x:v>1247.09767644656</x:v>
      </x:c>
      <x:c r="S65" s="9" t="n">
        <x:f>F65+Inputs!$C$16/2</x:f>
        <x:v>1277.09767644656</x:v>
      </x:c>
      <x:c r="T65" s="9" t="n">
        <x:f>F65-Inputs!$C$17/2</x:f>
        <x:v>1112.09767644656</x:v>
      </x:c>
      <x:c r="U65" s="9" t="n">
        <x:f>F65+Inputs!$C$17/2</x:f>
        <x:v>1412.09767644656</x:v>
      </x:c>
      <x:c r="V65" s="9">
        <x:f t="shared" si="5"/>
        <x:v>243.03262925423041</x:v>
      </x:c>
      <x:c r="W65" s="9">
        <x:f t="shared" si="6"/>
        <x:v>36.491385773908476</x:v>
      </x:c>
      <x:c r="X65" s="9"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x:f>
        <x:v>-29.731374520275047</x:v>
      </x:c>
      <x:c r="Y65" s="9"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x:f>
        <x:v>310.24247262167495</x:v>
      </x:c>
      <x:c r="Z65" s="9">
        <x:f t="shared" si="7"/>
        <x:v>400.93223137452026</x:v>
      </x:c>
      <x:c r="AA65" s="9" t="n">
        <x:f>SQRT((Inputs!$C$52+B65)^2+(Inputs!$C$52+Y65/1000)^2-2*(Inputs!$C$52+B65)*(Inputs!$C$52+Y65/1000)*COS(SQRT(A65^2+Inputs!$C$6^2)/Inputs!$C$52))</x:f>
        <x:v>402.84096717786133</x:v>
      </x:c>
      <x:c r="AB65" s="9">
        <x:f t="shared" si="8"/>
        <x:v>1908.7358033410737</x:v>
      </x:c>
      <x:c r="AC65" s="9" t="n">
        <x:f>AB65/Inputs!$C$12</x:f>
        <x:v>1072.3234850230751</x:v>
      </x:c>
      <x:c r="AD65" s="9" t="n">
        <x:f>2*AB65/Inputs!$C$21*1000000</x:f>
        <x:v>12.733714624275663</x:v>
      </x:c>
      <x:c r="AE65" s="9">
        <x:f t="shared" si="9"/>
        <x:v>5.4062321568295086</x:v>
      </x:c>
      <x:c r="AF65" s="9" t="n">
        <x:f>DEGREES((2*PI()/Inputs!$C$13)*Inputs!$C$15*SIN(RADIANS(AE65)))</x:f>
        <x:v>33.91797660670998</x:v>
      </x:c>
      <x:c r="AG65" s="9">
        <x:f t="shared" si="10"/>
        <x:v>0.98118152980089401</x:v>
      </x:c>
      <x:c r="AH65" s="9">
        <x:f t="shared" si="11"/>
        <x:v>-8.2506357418964033E-2</x:v>
      </x:c>
      <x:c r="AI65" s="9">
        <x:f t="shared" si="12"/>
        <x:v>-189.77419142348481</x:v>
      </x:c>
      <x:c r="AJ65" s="9">
        <x:f t="shared" si="13"/>
        <x:v>-2.2535460897672301</x:v>
      </x:c>
      <x:c r="AK65" s="9">
        <x:f t="shared" si="14"/>
        <x:v>339.97384714194999</x:v>
      </x:c>
      <x:c r="AL65" s="9" t="n">
        <x:f>1000*(AA66-AA64)/(A66-A64)*Inputs!$C$11</x:f>
        <x:v>-534.080812045886</x:v>
      </x:c>
      <x:c r="AM65" s="9" t="n">
        <x:f>-2*AL65/Inputs!$C$13</x:f>
        <x:v>213.6323248183544</x:v>
      </x:c>
      <x:c r="AN65" s="9" t="n">
        <x:f>-2*AL65/Inputs!$C$14</x:f>
        <x:v>32.07692564840156</x:v>
      </x:c>
      <x:c r="AO65" s="9">
        <x:f t="shared" si="15"/>
        <x:v>213.63232481835439</x:v>
      </x:c>
      <x:c r="AP65" s="9">
        <x:f t="shared" si="16"/>
        <x:v>32.076925648401563</x:v>
      </x:c>
      <x:c r="AQ65" s="9" t="n">
        <x:f>IF(OR(Inputs!$C$27=TRUE,Inputs!$C$27="TRUE",Inputs!$C$27=1),Inputs!$C$46/Inputs!$C$12,0)</x:f>
        <x:v>42.13483146067416</x:v>
      </x:c>
      <x:c r="AR65" s="9">
        <x:f t="shared" si="17"/>
        <x:v>1030.188653562401</x:v>
      </x:c>
      <x:c r="AS65" s="9">
        <x:f t="shared" si="18"/>
        <x:v>1114.4583164837493</x:v>
      </x:c>
    </x:row>
    <x:row r="66">
      <x:c r="A66" s="9" t="n">
        <x:f>Inputs!$C$7+64*(Inputs!$C$8-Inputs!$C$7)/240</x:f>
        <x:v>-28</x:v>
      </x:c>
      <x:c r="B66" s="9" t="n">
        <x:f>Inputs!$C$5+Inputs!$C$9*(A66/Inputs!$C$10)^2</x:f>
        <x:v>400.87111111111113</x:v>
      </x:c>
      <x:c r="C66" s="9" t="n">
        <x:f t="shared" ref="C66:C129" si="19">B66</x:f>
        <x:v>400.87111111111113</x:v>
      </x:c>
      <x:c r="D66" s="9" t="n">
        <x:f>SQRT((Inputs!$C$52+B66)^2+Inputs!$C$52^2-2*(Inputs!$C$52+B66)*Inputs!$C$52*COS(SQRT(A66^2+Inputs!$C$6^2)/Inputs!$C$52))</x:f>
        <x:v>403.0737471393965</x:v>
      </x:c>
      <x:c r="E66" s="9" t="n">
        <x:f t="shared" ref="E66:E129" si="20">(D66-C66)*1000</x:f>
        <x:v>2202.636028285383</x:v>
      </x:c>
      <x:c r="F66" s="9" t="n">
        <x:f>E66/Inputs!$C$12</x:f>
        <x:v>1237.4359709468442</x:v>
      </x:c>
      <x:c r="G66" s="9" t="n">
        <x:f>2*E66/Inputs!$C$21*1000000</x:f>
        <x:v>14.6944058765173</x:v>
      </x:c>
      <x:c r="H66" s="9" t="n">
        <x:f>SQRT(A66^2+Inputs!$C$6^2)</x:f>
        <x:v>37.53664875824692</x:v>
      </x:c>
      <x:c r="I66" s="9" t="n">
        <x:f t="shared" ref="I66:I129" si="21">DEGREES(ATAN(H66/B66))</x:f>
        <x:v>5.349446707466922</x:v>
      </x:c>
      <x:c r="J66" s="9" t="n">
        <x:f>DEGREES((2*PI()/Inputs!$C$13)*Inputs!$C$15*SIN(RADIANS(I66)))</x:f>
        <x:v>33.56275362207757</x:v>
      </x:c>
      <x:c r="K66" s="9" t="n">
        <x:f t="shared" ref="K66:K129" si="22">(C66/D66)^4</x:f>
        <x:v>0.9783201267983007</x:v>
      </x:c>
      <x:c r="L66" s="9" t="n">
        <x:f t="shared" ref="L66:L129" si="23">10*LOG10(K66)</x:f>
        <x:v>-0.0951901172274334</x:v>
      </x:c>
      <x:c r="M66" s="9" t="n">
        <x:f>2*(Inputs!$C$9/(Inputs!$C$10^2))*A66</x:f>
        <x:v>-0.06222222222222222</x:v>
      </x:c>
      <x:c r="N66" s="9" t="n">
        <x:f>M66*Inputs!$C$11</x:f>
        <x:v>-0.24888888888888888</x:v>
      </x:c>
      <x:c r="O66" s="9" t="n">
        <x:f>1000*(D67-D65)/(A67-A65)*Inputs!$C$11</x:f>
        <x:v>-597.00385875135</x:v>
      </x:c>
      <x:c r="P66" s="9" t="n">
        <x:f>-2*O66/Inputs!$C$13</x:f>
        <x:v>238.80154350054</x:v>
      </x:c>
      <x:c r="Q66" s="9" t="n">
        <x:f>-2*O66/Inputs!$C$14</x:f>
        <x:v>35.8560876126937</x:v>
      </x:c>
      <x:c r="R66" s="9" t="n">
        <x:f>F66-Inputs!$C$16/2</x:f>
        <x:v>1222.4359709468442</x:v>
      </x:c>
      <x:c r="S66" s="9" t="n">
        <x:f>F66+Inputs!$C$16/2</x:f>
        <x:v>1252.4359709468442</x:v>
      </x:c>
      <x:c r="T66" s="9" t="n">
        <x:f>F66-Inputs!$C$17/2</x:f>
        <x:v>1087.4359709468442</x:v>
      </x:c>
      <x:c r="U66" s="9" t="n">
        <x:f>F66+Inputs!$C$17/2</x:f>
        <x:v>1387.4359709468442</x:v>
      </x:c>
      <x:c r="V66" s="9" t="n">
        <x:f t="shared" ref="V66:V129" si="24">ABS(P66)</x:f>
        <x:v>238.80154350054</x:v>
      </x:c>
      <x:c r="W66" s="9" t="n">
        <x:f t="shared" ref="W66:W129" si="25">ABS(Q66)</x:f>
        <x:v>35.8560876126937</x:v>
      </x:c>
      <x:c r="X66" s="9"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x:f>
        <x:v>-53.01751827704016</x:v>
      </x:c>
      <x:c r="Y66" s="9"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x:f>
        <x:v>313.2831784265769</x:v>
      </x:c>
      <x:c r="Z66" s="9" t="n">
        <x:f t="shared" ref="Z66:Z129" si="26">B66-X66/1000</x:f>
        <x:v>400.9241286293882</x:v>
      </x:c>
      <x:c r="AA66" s="9" t="n">
        <x:f>SQRT((Inputs!$C$52+B66)^2+(Inputs!$C$52+Y66/1000)^2-2*(Inputs!$C$52+B66)*(Inputs!$C$52+Y66/1000)*COS(SQRT(A66^2+Inputs!$C$6^2)/Inputs!$C$52))</x:f>
        <x:v>402.762618500731</x:v>
      </x:c>
      <x:c r="AB66" s="9" t="n">
        <x:f t="shared" ref="AB66:AB129" si="27">(AA66-Z66)*1000</x:f>
        <x:v>1838.4898713428015</x:v>
      </x:c>
      <x:c r="AC66" s="9" t="n">
        <x:f>AB66/Inputs!$C$12</x:f>
        <x:v>1032.8594782824728</x:v>
      </x:c>
      <x:c r="AD66" s="9" t="n">
        <x:f>2*AB66/Inputs!$C$21*1000000</x:f>
        <x:v>12.265084209308572</x:v>
      </x:c>
      <x:c r="AE66" s="9" t="n">
        <x:f t="shared" ref="AE66:AE129" si="28">DEGREES(ATAN(H66/(B66-Y66/1000)))</x:f>
        <x:v>5.353606301664317</x:v>
      </x:c>
      <x:c r="AF66" s="9" t="n">
        <x:f>DEGREES((2*PI()/Inputs!$C$13)*Inputs!$C$15*SIN(RADIANS(AE66)))</x:f>
        <x:v>33.588775204474345</x:v>
      </x:c>
      <x:c r="AG66" s="9" t="n">
        <x:f t="shared" ref="AG66:AG129" si="29">(Z66/AA66)^4</x:f>
        <x:v>0.9818658453014801</x:v>
      </x:c>
      <x:c r="AH66" s="9" t="n">
        <x:f t="shared" ref="AH66:AH129" si="30">10*LOG10(AG66)</x:f>
        <x:v>-0.07947846862123831</x:v>
      </x:c>
      <x:c r="AI66" s="9" t="n">
        <x:f t="shared" ref="AI66:AI129" si="31">AC66-F66</x:f>
        <x:v>-204.57649266437147</x:v>
      </x:c>
      <x:c r="AJ66" s="9" t="n">
        <x:f t="shared" ref="AJ66:AJ129" si="32">AD66-G66</x:f>
        <x:v>-2.429321667208727</x:v>
      </x:c>
      <x:c r="AK66" s="9" t="n">
        <x:f t="shared" ref="AK66:AK129" si="33">Y66-X66</x:f>
        <x:v>366.30069670361706</x:v>
      </x:c>
      <x:c r="AL66" s="9" t="n">
        <x:f>1000*(AA67-AA65)/(A67-A65)*Inputs!$C$11</x:f>
        <x:v>-544.105204167181</x:v>
      </x:c>
      <x:c r="AM66" s="9" t="n">
        <x:f>-2*AL66/Inputs!$C$13</x:f>
        <x:v>217.6420816668724</x:v>
      </x:c>
      <x:c r="AN66" s="9" t="n">
        <x:f>-2*AL66/Inputs!$C$14</x:f>
        <x:v>32.678991241272136</x:v>
      </x:c>
      <x:c r="AO66" s="9" t="n">
        <x:f t="shared" ref="AO66:AO129" si="34">ABS(AM66)</x:f>
        <x:v>217.6420816668724</x:v>
      </x:c>
      <x:c r="AP66" s="9" t="n">
        <x:f t="shared" ref="AP66:AP129" si="35">ABS(AN66)</x:f>
        <x:v>32.678991241272136</x:v>
      </x:c>
      <x:c r="AQ66" s="9" t="n">
        <x:f>IF(OR(Inputs!$C$27=TRUE,Inputs!$C$27="TRUE",Inputs!$C$27=1),Inputs!$C$46/Inputs!$C$12,0)</x:f>
        <x:v>42.13483146067416</x:v>
      </x:c>
      <x:c r="AR66" s="9" t="n">
        <x:f t="shared" ref="AR66:AR129" si="36">AC66-AQ66</x:f>
        <x:v>990.7246468217986</x:v>
      </x:c>
      <x:c r="AS66" s="9" t="n">
        <x:f t="shared" ref="AS66:AS129" si="37">AC66+AQ66</x:f>
        <x:v>1074.994309743147</x:v>
      </x:c>
    </x:row>
    <x:row r="67">
      <x:c r="A67" s="9" t="n">
        <x:f>Inputs!$C$7+65*(Inputs!$C$8-Inputs!$C$7)/240</x:f>
        <x:v>-27.5</x:v>
      </x:c>
      <x:c r="B67" s="9" t="n">
        <x:f>Inputs!$C$5+Inputs!$C$9*(A67/Inputs!$C$10)^2</x:f>
        <x:v>400.84027777777777</x:v>
      </x:c>
      <x:c r="C67" s="9">
        <x:f t="shared" si="19"/>
        <x:v>400.84027777777777</x:v>
      </x:c>
      <x:c r="D67" s="9" t="n">
        <x:f>SQRT((Inputs!$C$52+B67)^2+Inputs!$C$52^2-2*(Inputs!$C$52+B67)*Inputs!$C$52*COS(SQRT(A67^2+Inputs!$C$6^2)/Inputs!$C$52))</x:f>
        <x:v>402.999782899387</x:v>
      </x:c>
      <x:c r="E67" s="9">
        <x:f t="shared" si="20"/>
        <x:v>2159.5051216092429</x:v>
      </x:c>
      <x:c r="F67" s="9" t="n">
        <x:f>E67/Inputs!$C$12</x:f>
        <x:v>1213.2051244995746</x:v>
      </x:c>
      <x:c r="G67" s="9" t="n">
        <x:f>2*E67/Inputs!$C$21*1000000</x:f>
        <x:v>14.406667439307249</x:v>
      </x:c>
      <x:c r="H67" s="9" t="n">
        <x:f>SQRT(A67^2+Inputs!$C$6^2)</x:f>
        <x:v>37.16517186829626</x:v>
      </x:c>
      <x:c r="I67" s="9">
        <x:f t="shared" si="21"/>
        <x:v>5.2972142870977459</x:v>
      </x:c>
      <x:c r="J67" s="9" t="n">
        <x:f>DEGREES((2*PI()/Inputs!$C$13)*Inputs!$C$15*SIN(RADIANS(I67)))</x:f>
        <x:v>33.23598312233844</x:v>
      </x:c>
      <x:c r="K67" s="9">
        <x:f t="shared" si="22"/>
        <x:v>0.97873736584017712</x:v>
      </x:c>
      <x:c r="L67" s="9">
        <x:f t="shared" si="23"/>
        <x:v>-9.3338310451714646E-2</x:v>
      </x:c>
      <x:c r="M67" s="9" t="n">
        <x:f>2*(Inputs!$C$9/(Inputs!$C$10^2))*A67</x:f>
        <x:v>-0.06111111111111111</x:v>
      </x:c>
      <x:c r="N67" s="9" t="n">
        <x:f>M67*Inputs!$C$11</x:f>
        <x:v>-0.24444444444444444</x:v>
      </x:c>
      <x:c r="O67" s="9" t="n">
        <x:f>1000*(D68-D66)/(A68-A66)*Inputs!$C$11</x:f>
        <x:v>-586.4218547242217</x:v>
      </x:c>
      <x:c r="P67" s="9" t="n">
        <x:f>-2*O67/Inputs!$C$13</x:f>
        <x:v>234.56874188968868</x:v>
      </x:c>
      <x:c r="Q67" s="9" t="n">
        <x:f>-2*O67/Inputs!$C$14</x:f>
        <x:v>35.22053181526857</x:v>
      </x:c>
      <x:c r="R67" s="9" t="n">
        <x:f>F67-Inputs!$C$16/2</x:f>
        <x:v>1198.2051244995746</x:v>
      </x:c>
      <x:c r="S67" s="9" t="n">
        <x:f>F67+Inputs!$C$16/2</x:f>
        <x:v>1228.2051244995746</x:v>
      </x:c>
      <x:c r="T67" s="9" t="n">
        <x:f>F67-Inputs!$C$17/2</x:f>
        <x:v>1063.2051244995746</x:v>
      </x:c>
      <x:c r="U67" s="9" t="n">
        <x:f>F67+Inputs!$C$17/2</x:f>
        <x:v>1363.2051244995746</x:v>
      </x:c>
      <x:c r="V67" s="9">
        <x:f t="shared" si="24"/>
        <x:v>234.56874188968868</x:v>
      </x:c>
      <x:c r="W67" s="9">
        <x:f t="shared" si="25"/>
        <x:v>35.220531815268572</x:v>
      </x:c>
      <x:c r="X67" s="9"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x:f>
        <x:v>-63.02108594889231</x:v>
      </x:c>
      <x:c r="Y67" s="9"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x:f>
        <x:v>296.8437612590685</x:v>
      </x:c>
      <x:c r="Z67" s="9">
        <x:f t="shared" si="26"/>
        <x:v>400.90329886372666</x:v>
      </x:c>
      <x:c r="AA67" s="9" t="n">
        <x:f>SQRT((Inputs!$C$52+B67)^2+(Inputs!$C$52+Y67/1000)^2-2*(Inputs!$C$52+B67)*(Inputs!$C$52+Y67/1000)*COS(SQRT(A67^2+Inputs!$C$6^2)/Inputs!$C$52))</x:f>
        <x:v>402.70494087681953</x:v>
      </x:c>
      <x:c r="AB67" s="9">
        <x:f t="shared" si="27"/>
        <x:v>1801.6420130928736</x:v>
      </x:c>
      <x:c r="AC67" s="9" t="n">
        <x:f>AB67/Inputs!$C$12</x:f>
        <x:v>1012.1584343218391</x:v>
      </x:c>
      <x:c r="AD67" s="9" t="n">
        <x:f>2*AB67/Inputs!$C$21*1000000</x:f>
        <x:v>12.019261759366032</x:v>
      </x:c>
      <x:c r="AE67" s="9">
        <x:f t="shared" si="28"/>
        <x:v>5.3011177087270722</x:v>
      </x:c>
      <x:c r="AF67" s="9" t="n">
        <x:f>DEGREES((2*PI()/Inputs!$C$13)*Inputs!$C$15*SIN(RADIANS(AE67)))</x:f>
        <x:v>33.260404221020245</x:v>
      </x:c>
      <x:c r="AG67" s="9">
        <x:f t="shared" si="29"/>
        <x:v>0.98222432919024527</x:v>
      </x:c>
      <x:c r="AH67" s="9">
        <x:f t="shared" si="30"/>
        <x:v>-7.7893128207720652E-2</x:v>
      </x:c>
      <x:c r="AI67" s="9">
        <x:f t="shared" si="31"/>
        <x:v>-201.04669017773551</x:v>
      </x:c>
      <x:c r="AJ67" s="9">
        <x:f t="shared" si="32"/>
        <x:v>-2.3874056799412173</x:v>
      </x:c>
      <x:c r="AK67" s="9">
        <x:f t="shared" si="33"/>
        <x:v>359.86484720805908</x:v>
      </x:c>
      <x:c r="AL67" s="9" t="n">
        <x:f>1000*(AA68-AA66)/(A68-A66)*Inputs!$C$11</x:f>
        <x:v>-491.6238285468353</x:v>
      </x:c>
      <x:c r="AM67" s="9" t="n">
        <x:f>-2*AL67/Inputs!$C$13</x:f>
        <x:v>196.6495314187341</x:v>
      </x:c>
      <x:c r="AN67" s="9" t="n">
        <x:f>-2*AL67/Inputs!$C$14</x:f>
        <x:v>29.5269566694796</x:v>
      </x:c>
      <x:c r="AO67" s="9">
        <x:f t="shared" si="34"/>
        <x:v>196.64953141873411</x:v>
      </x:c>
      <x:c r="AP67" s="9">
        <x:f t="shared" si="35"/>
        <x:v>29.526956669479599</x:v>
      </x:c>
      <x:c r="AQ67" s="9" t="n">
        <x:f>IF(OR(Inputs!$C$27=TRUE,Inputs!$C$27="TRUE",Inputs!$C$27=1),Inputs!$C$46/Inputs!$C$12,0)</x:f>
        <x:v>42.13483146067416</x:v>
      </x:c>
      <x:c r="AR67" s="9">
        <x:f t="shared" si="36"/>
        <x:v>970.02360286116493</x:v>
      </x:c>
      <x:c r="AS67" s="9">
        <x:f t="shared" si="37"/>
        <x:v>1054.2932657825133</x:v>
      </x:c>
    </x:row>
    <x:row r="68">
      <x:c r="A68" s="9" t="n">
        <x:f>Inputs!$C$7+66*(Inputs!$C$8-Inputs!$C$7)/240</x:f>
        <x:v>-27</x:v>
      </x:c>
      <x:c r="B68" s="9" t="n">
        <x:f>Inputs!$C$5+Inputs!$C$9*(A68/Inputs!$C$10)^2</x:f>
        <x:v>400.81</x:v>
      </x:c>
      <x:c r="C68" s="9">
        <x:f t="shared" si="19"/>
        <x:v>400.81</x:v>
      </x:c>
      <x:c r="D68" s="9" t="n">
        <x:f>SQRT((Inputs!$C$52+B68)^2+Inputs!$C$52^2-2*(Inputs!$C$52+B68)*Inputs!$C$52*COS(SQRT(A68^2+Inputs!$C$6^2)/Inputs!$C$52))</x:f>
        <x:v>402.92714167571546</x:v>
      </x:c>
      <x:c r="E68" s="9">
        <x:f t="shared" si="20"/>
        <x:v>2117.1416757154589</x:v>
      </x:c>
      <x:c r="F68" s="9" t="n">
        <x:f>E68/Inputs!$C$12</x:f>
        <x:v>1189.4054357952016</x:v>
      </x:c>
      <x:c r="G68" s="9" t="n">
        <x:f>2*E68/Inputs!$C$21*1000000</x:f>
        <x:v>14.12404894932653</x:v>
      </x:c>
      <x:c r="H68" s="9" t="n">
        <x:f>SQRT(A68^2+Inputs!$C$6^2)</x:f>
        <x:v>36.796738985948195</x:v>
      </x:c>
      <x:c r="I68" s="9">
        <x:f t="shared" si="21"/>
        <x:v>5.2453892719816002</x:v>
      </x:c>
      <x:c r="J68" s="9" t="n">
        <x:f>DEGREES((2*PI()/Inputs!$C$13)*Inputs!$C$15*SIN(RADIANS(I68)))</x:f>
        <x:v>32.911734085150734</x:v>
      </x:c>
      <x:c r="K68" s="9">
        <x:f t="shared" si="22"/>
        <x:v>0.97914746008181208</x:v>
      </x:c>
      <x:c r="L68" s="9">
        <x:f t="shared" si="23"/>
        <x:v>-9.1518983120005171E-2</x:v>
      </x:c>
      <x:c r="M68" s="9" t="n">
        <x:f>2*(Inputs!$C$9/(Inputs!$C$10^2))*A68</x:f>
        <x:v>-0.06</x:v>
      </x:c>
      <x:c r="N68" s="9" t="n">
        <x:f>M68*Inputs!$C$11</x:f>
        <x:v>-0.24</x:v>
      </x:c>
      <x:c r="O68" s="9" t="n">
        <x:f>1000*(D69-D67)/(A69-A67)*Inputs!$C$11</x:f>
        <x:v>-575.8356337860278</x:v>
      </x:c>
      <x:c r="P68" s="9" t="n">
        <x:f>-2*O68/Inputs!$C$13</x:f>
        <x:v>230.3342535144111</x:v>
      </x:c>
      <x:c r="Q68" s="9" t="n">
        <x:f>-2*O68/Inputs!$C$14</x:f>
        <x:v>34.58472274991158</x:v>
      </x:c>
      <x:c r="R68" s="9" t="n">
        <x:f>F68-Inputs!$C$16/2</x:f>
        <x:v>1174.4054357952016</x:v>
      </x:c>
      <x:c r="S68" s="9" t="n">
        <x:f>F68+Inputs!$C$16/2</x:f>
        <x:v>1204.4054357952016</x:v>
      </x:c>
      <x:c r="T68" s="9" t="n">
        <x:f>F68-Inputs!$C$17/2</x:f>
        <x:v>1039.4054357952016</x:v>
      </x:c>
      <x:c r="U68" s="9" t="n">
        <x:f>F68+Inputs!$C$17/2</x:f>
        <x:v>1339.4054357952016</x:v>
      </x:c>
      <x:c r="V68" s="9">
        <x:f t="shared" si="24"/>
        <x:v>230.3342535144111</x:v>
      </x:c>
      <x:c r="W68" s="9">
        <x:f t="shared" si="25"/>
        <x:v>34.584722749911577</x:v>
      </x:c>
      <x:c r="X68" s="9"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x:f>
        <x:v>-69.67153928411518</x:v>
      </x:c>
      <x:c r="Y68" s="9"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x:f>
        <x:v>289.34226854097847</x:v>
      </x:c>
      <x:c r="Z68" s="9">
        <x:f t="shared" si="26"/>
        <x:v>400.87967153928412</x:v>
      </x:c>
      <x:c r="AA68" s="9" t="n">
        <x:f>SQRT((Inputs!$C$52+B68)^2+(Inputs!$C$52+Y68/1000)^2-2*(Inputs!$C$52+B68)*(Inputs!$C$52+Y68/1000)*COS(SQRT(A68^2+Inputs!$C$6^2)/Inputs!$C$52))</x:f>
        <x:v>402.63971254359427</x:v>
      </x:c>
      <x:c r="AB68" s="9">
        <x:f t="shared" si="27"/>
        <x:v>1760.0410043101533</x:v>
      </x:c>
      <x:c r="AC68" s="9" t="n">
        <x:f>AB68/Inputs!$C$12</x:f>
        <x:v>988.7870810731198</x:v>
      </x:c>
      <x:c r="AD68" s="9" t="n">
        <x:f>2*AB68/Inputs!$C$21*1000000</x:f>
        <x:v>11.741729702287262</x:v>
      </x:c>
      <x:c r="AE68" s="9">
        <x:f t="shared" si="28"/>
        <x:v>5.2491574613212384</x:v>
      </x:c>
      <x:c r="AF68" s="9" t="n">
        <x:f>DEGREES((2*PI()/Inputs!$C$13)*Inputs!$C$15*SIN(RADIANS(AE68)))</x:f>
        <x:v>32.93531109660259</x:v>
      </x:c>
      <x:c r="AG68" s="9">
        <x:f t="shared" si="29"/>
        <x:v>0.98262929203754534</x:v>
      </x:c>
      <x:c r="AH68" s="9">
        <x:f t="shared" si="30"/>
        <x:v>-7.6102937523300801E-2</x:v>
      </x:c>
      <x:c r="AI68" s="9">
        <x:f t="shared" si="31"/>
        <x:v>-200.61835472208179</x:v>
      </x:c>
      <x:c r="AJ68" s="9">
        <x:f t="shared" si="32"/>
        <x:v>-2.382319247039268</x:v>
      </x:c>
      <x:c r="AK68" s="9">
        <x:f t="shared" si="33"/>
        <x:v>359.01380782511819</x:v>
      </x:c>
      <x:c r="AL68" s="9" t="n">
        <x:f>1000*(AA69-AA67)/(A69-A67)*Inputs!$C$11</x:f>
        <x:v>-551.1717293163656</x:v>
      </x:c>
      <x:c r="AM68" s="9" t="n">
        <x:f>-2*AL68/Inputs!$C$13</x:f>
        <x:v>220.46869172654624</x:v>
      </x:c>
      <x:c r="AN68" s="9" t="n">
        <x:f>-2*AL68/Inputs!$C$14</x:f>
        <x:v>33.10340716614809</x:v>
      </x:c>
      <x:c r="AO68" s="9">
        <x:f t="shared" si="34"/>
        <x:v>220.46869172654624</x:v>
      </x:c>
      <x:c r="AP68" s="9">
        <x:f t="shared" si="35"/>
        <x:v>33.103407166148088</x:v>
      </x:c>
      <x:c r="AQ68" s="9" t="n">
        <x:f>IF(OR(Inputs!$C$27=TRUE,Inputs!$C$27="TRUE",Inputs!$C$27=1),Inputs!$C$46/Inputs!$C$12,0)</x:f>
        <x:v>42.13483146067416</x:v>
      </x:c>
      <x:c r="AR68" s="9">
        <x:f t="shared" si="36"/>
        <x:v>946.65224961244564</x:v>
      </x:c>
      <x:c r="AS68" s="9">
        <x:f t="shared" si="37"/>
        <x:v>1030.9219125337941</x:v>
      </x:c>
    </x:row>
    <x:row r="69">
      <x:c r="A69" s="9" t="n">
        <x:f>Inputs!$C$7+67*(Inputs!$C$8-Inputs!$C$7)/240</x:f>
        <x:v>-26.5</x:v>
      </x:c>
      <x:c r="B69" s="9" t="n">
        <x:f>Inputs!$C$5+Inputs!$C$9*(A69/Inputs!$C$10)^2</x:f>
        <x:v>400.78027777777777</x:v>
      </x:c>
      <x:c r="C69" s="9">
        <x:f t="shared" si="19"/>
        <x:v>400.78027777777777</x:v>
      </x:c>
      <x:c r="D69" s="9" t="n">
        <x:f>SQRT((Inputs!$C$52+B69)^2+Inputs!$C$52^2-2*(Inputs!$C$52+B69)*Inputs!$C$52*COS(SQRT(A69^2+Inputs!$C$6^2)/Inputs!$C$52))</x:f>
        <x:v>402.8558239909405</x:v>
      </x:c>
      <x:c r="E69" s="9">
        <x:f t="shared" si="20"/>
        <x:v>2075.5462131627382</x:v>
      </x:c>
      <x:c r="F69" s="9" t="n">
        <x:f>E69/Inputs!$C$12</x:f>
        <x:v>1166.0371984060328</x:v>
      </x:c>
      <x:c r="G69" s="9" t="n">
        <x:f>2*E69/Inputs!$C$21*1000000</x:f>
        <x:v>13.846553892711592</x:v>
      </x:c>
      <x:c r="H69" s="9" t="n">
        <x:f>SQRT(A69^2+Inputs!$C$6^2)</x:f>
        <x:v>36.43144246389374</x:v>
      </x:c>
      <x:c r="I69" s="9">
        <x:f t="shared" si="21"/>
        <x:v>5.1939853576754134</x:v>
      </x:c>
      <x:c r="J69" s="9" t="n">
        <x:f>DEGREES((2*PI()/Inputs!$C$13)*Inputs!$C$15*SIN(RADIANS(I69)))</x:f>
        <x:v>32.59009311236642</x:v>
      </x:c>
      <x:c r="K69" s="9">
        <x:f t="shared" si="22"/>
        <x:v>0.97955038962808405</x:v>
      </x:c>
      <x:c r="L69" s="9">
        <x:f t="shared" si="23"/>
        <x:v>-8.9732182965647375E-2</x:v>
      </x:c>
      <x:c r="M69" s="9" t="n">
        <x:f>2*(Inputs!$C$9/(Inputs!$C$10^2))*A69</x:f>
        <x:v>-0.058888888888888886</x:v>
      </x:c>
      <x:c r="N69" s="9" t="n">
        <x:f>M69*Inputs!$C$11</x:f>
        <x:v>-0.23555555555555555</x:v>
      </x:c>
      <x:c r="O69" s="9" t="n">
        <x:f>1000*(D70-D68)/(A70-A68)*Inputs!$C$11</x:f>
        <x:v>-565.2452688962057</x:v>
      </x:c>
      <x:c r="P69" s="9" t="n">
        <x:f>-2*O69/Inputs!$C$13</x:f>
        <x:v>226.0981075584823</x:v>
      </x:c>
      <x:c r="Q69" s="9" t="n">
        <x:f>-2*O69/Inputs!$C$14</x:f>
        <x:v>33.94866479857092</x:v>
      </x:c>
      <x:c r="R69" s="9" t="n">
        <x:f>F69-Inputs!$C$16/2</x:f>
        <x:v>1151.0371984060328</x:v>
      </x:c>
      <x:c r="S69" s="9" t="n">
        <x:f>F69+Inputs!$C$16/2</x:f>
        <x:v>1181.0371984060328</x:v>
      </x:c>
      <x:c r="T69" s="9" t="n">
        <x:f>F69-Inputs!$C$17/2</x:f>
        <x:v>1016.0371984060328</x:v>
      </x:c>
      <x:c r="U69" s="9" t="n">
        <x:f>F69+Inputs!$C$17/2</x:f>
        <x:v>1316.0371984060328</x:v>
      </x:c>
      <x:c r="V69" s="9">
        <x:f t="shared" si="24"/>
        <x:v>226.0981075584823</x:v>
      </x:c>
      <x:c r="W69" s="9">
        <x:f t="shared" si="25"/>
        <x:v>33.948664798570917</x:v>
      </x:c>
      <x:c r="X69" s="9"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x:f>
        <x:v>-78.11942002863731</x:v>
      </x:c>
      <x:c r="Y69" s="9"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x:f>
        <x:v>290.55977847508683</x:v>
      </x:c>
      <x:c r="Z69" s="9">
        <x:f t="shared" si="26"/>
        <x:v>400.85839719780643</x:v>
      </x:c>
      <x:c r="AA69" s="9" t="n">
        <x:f>SQRT((Inputs!$C$52+B69)^2+(Inputs!$C$52+Y69/1000)^2-2*(Inputs!$C$52+B69)*(Inputs!$C$52+Y69/1000)*COS(SQRT(A69^2+Inputs!$C$6^2)/Inputs!$C$52))</x:f>
        <x:v>402.56714794449044</x:v>
      </x:c>
      <x:c r="AB69" s="9">
        <x:f t="shared" si="27"/>
        <x:v>1708.7507466840179</x:v>
      </x:c>
      <x:c r="AC69" s="9" t="n">
        <x:f>AB69/Inputs!$C$12</x:f>
        <x:v>959.9723295977628</x:v>
      </x:c>
      <x:c r="AD69" s="9" t="n">
        <x:f>2*AB69/Inputs!$C$21*1000000</x:f>
        <x:v>11.399557934736423</x:v>
      </x:c>
      <x:c r="AE69" s="9">
        <x:f t="shared" si="28"/>
        <x:v>5.1977330191182674</x:v>
      </x:c>
      <x:c r="AF69" s="9" t="n">
        <x:f>DEGREES((2*PI()/Inputs!$C$13)*Inputs!$C$15*SIN(RADIANS(AE69)))</x:f>
        <x:v>32.613543606751506</x:v>
      </x:c>
      <x:c r="AG69" s="9">
        <x:f t="shared" si="29"/>
        <x:v>0.98312925460121203</x:v>
      </x:c>
      <x:c r="AH69" s="9">
        <x:f t="shared" si="30"/>
        <x:v>-7.3893805708900279E-2</x:v>
      </x:c>
      <x:c r="AI69" s="9">
        <x:f t="shared" si="31"/>
        <x:v>-206.06486880826992</x:v>
      </x:c>
      <x:c r="AJ69" s="9">
        <x:f t="shared" si="32"/>
        <x:v>-2.4469959579751688</x:v>
      </x:c>
      <x:c r="AK69" s="9">
        <x:f t="shared" si="33"/>
        <x:v>368.67919850374869</x:v>
      </x:c>
      <x:c r="AL69" s="9" t="n">
        <x:f>1000*(AA70-AA68)/(A70-A68)*Inputs!$C$11</x:f>
        <x:v>-495.59379531910963</x:v>
      </x:c>
      <x:c r="AM69" s="9" t="n">
        <x:f>-2*AL69/Inputs!$C$13</x:f>
        <x:v>198.23751812764385</x:v>
      </x:c>
      <x:c r="AN69" s="9" t="n">
        <x:f>-2*AL69/Inputs!$C$14</x:f>
        <x:v>29.765393112258838</x:v>
      </x:c>
      <x:c r="AO69" s="9">
        <x:f t="shared" si="34"/>
        <x:v>198.23751812764385</x:v>
      </x:c>
      <x:c r="AP69" s="9">
        <x:f t="shared" si="35"/>
        <x:v>29.765393112258838</x:v>
      </x:c>
      <x:c r="AQ69" s="9" t="n">
        <x:f>IF(OR(Inputs!$C$27=TRUE,Inputs!$C$27="TRUE",Inputs!$C$27=1),Inputs!$C$46/Inputs!$C$12,0)</x:f>
        <x:v>42.13483146067416</x:v>
      </x:c>
      <x:c r="AR69" s="9">
        <x:f t="shared" si="36"/>
        <x:v>917.83749813708869</x:v>
      </x:c>
      <x:c r="AS69" s="9">
        <x:f t="shared" si="37"/>
        <x:v>1002.107161058437</x:v>
      </x:c>
    </x:row>
    <x:row r="70">
      <x:c r="A70" s="9" t="n">
        <x:f>Inputs!$C$7+68*(Inputs!$C$8-Inputs!$C$7)/240</x:f>
        <x:v>-26</x:v>
      </x:c>
      <x:c r="B70" s="9" t="n">
        <x:f>Inputs!$C$5+Inputs!$C$9*(A70/Inputs!$C$10)^2</x:f>
        <x:v>400.75111111111113</x:v>
      </x:c>
      <x:c r="C70" s="9">
        <x:f t="shared" si="19"/>
        <x:v>400.75111111111113</x:v>
      </x:c>
      <x:c r="D70" s="9" t="n">
        <x:f>SQRT((Inputs!$C$52+B70)^2+Inputs!$C$52^2-2*(Inputs!$C$52+B70)*Inputs!$C$52*COS(SQRT(A70^2+Inputs!$C$6^2)/Inputs!$C$52))</x:f>
        <x:v>402.7858303584914</x:v>
      </x:c>
      <x:c r="E70" s="9">
        <x:f t="shared" si="20"/>
        <x:v>2034.7192473802806</x:v>
      </x:c>
      <x:c r="F70" s="9" t="n">
        <x:f>E70/Inputs!$C$12</x:f>
        <x:v>1143.1007007754386</x:v>
      </x:c>
      <x:c r="G70" s="9" t="n">
        <x:f>2*E70/Inputs!$C$21*1000000</x:f>
        <x:v>13.574185694693364</x:v>
      </x:c>
      <x:c r="H70" s="9" t="n">
        <x:f>SQRT(A70^2+Inputs!$C$6^2)</x:f>
        <x:v>36.069377593742864</x:v>
      </x:c>
      <x:c r="I70" s="9">
        <x:f t="shared" si="21"/>
        <x:v>5.1430166600771647</x:v>
      </x:c>
      <x:c r="J70" s="9" t="n">
        <x:f>DEGREES((2*PI()/Inputs!$C$13)*Inputs!$C$15*SIN(RADIANS(I70)))</x:f>
        <x:v>32.27114944649454</x:v>
      </x:c>
      <x:c r="K70" s="9">
        <x:f t="shared" si="22"/>
        <x:v>0.97994613490818028</x:v>
      </x:c>
      <x:c r="L70" s="9">
        <x:f t="shared" si="23"/>
        <x:v>-8.7977956902271004E-2</x:v>
      </x:c>
      <x:c r="M70" s="9" t="n">
        <x:f>2*(Inputs!$C$9/(Inputs!$C$10^2))*A70</x:f>
        <x:v>-0.057777777777777775</x:v>
      </x:c>
      <x:c r="N70" s="9" t="n">
        <x:f>M70*Inputs!$C$11</x:f>
        <x:v>-0.2311111111111111</x:v>
      </x:c>
      <x:c r="O70" s="9" t="n">
        <x:f>1000*(D71-D69)/(A71-A69)*Inputs!$C$11</x:f>
        <x:v>-554.6508331692621</x:v>
      </x:c>
      <x:c r="P70" s="9" t="n">
        <x:f>-2*O70/Inputs!$C$13</x:f>
        <x:v>221.86033326770485</x:v>
      </x:c>
      <x:c r="Q70" s="9" t="n">
        <x:f>-2*O70/Inputs!$C$14</x:f>
        <x:v>33.31236235250824</x:v>
      </x:c>
      <x:c r="R70" s="9" t="n">
        <x:f>F70-Inputs!$C$16/2</x:f>
        <x:v>1128.1007007754386</x:v>
      </x:c>
      <x:c r="S70" s="9" t="n">
        <x:f>F70+Inputs!$C$16/2</x:f>
        <x:v>1158.1007007754386</x:v>
      </x:c>
      <x:c r="T70" s="9" t="n">
        <x:f>F70-Inputs!$C$17/2</x:f>
        <x:v>993.1007007754386</x:v>
      </x:c>
      <x:c r="U70" s="9" t="n">
        <x:f>F70+Inputs!$C$17/2</x:f>
        <x:v>1293.1007007754386</x:v>
      </x:c>
      <x:c r="V70" s="9">
        <x:f t="shared" si="24"/>
        <x:v>221.86033326770485</x:v>
      </x:c>
      <x:c r="W70" s="9">
        <x:f t="shared" si="25"/>
        <x:v>33.312362352508238</x:v>
      </x:c>
      <x:c r="X70" s="9"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x:f>
        <x:v>-82.17349441978894</x:v>
      </x:c>
      <x:c r="Y70" s="9"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x:f>
        <x:v>271.74352983421755</x:v>
      </x:c>
      <x:c r="Z70" s="9">
        <x:f t="shared" si="26"/>
        <x:v>400.83328460553093</x:v>
      </x:c>
      <x:c r="AA70" s="9" t="n">
        <x:f>SQRT((Inputs!$C$52+B70)^2+(Inputs!$C$52+Y70/1000)^2-2*(Inputs!$C$52+B70)*(Inputs!$C$52+Y70/1000)*COS(SQRT(A70^2+Inputs!$C$6^2)/Inputs!$C$52))</x:f>
        <x:v>402.5158140947645</x:v>
      </x:c>
      <x:c r="AB70" s="9">
        <x:f t="shared" si="27"/>
        <x:v>1682.5294892335592</x:v>
      </x:c>
      <x:c r="AC70" s="9" t="n">
        <x:f>AB70/Inputs!$C$12</x:f>
        <x:v>945.2412860862692</x:v>
      </x:c>
      <x:c r="AD70" s="9" t="n">
        <x:f>2*AB70/Inputs!$C$21*1000000</x:f>
        <x:v>11.224628534408023</x:v>
      </x:c>
      <x:c r="AE70" s="9">
        <x:f t="shared" si="28"/>
        <x:v>5.1464876974058278</x:v>
      </x:c>
      <x:c r="AF70" s="9" t="n">
        <x:f>DEGREES((2*PI()/Inputs!$C$13)*Inputs!$C$15*SIN(RADIANS(AE70)))</x:f>
        <x:v>32.29287075525432</x:v>
      </x:c>
      <x:c r="AG70" s="9">
        <x:f t="shared" si="29"/>
        <x:v>0.98338441120145315</x:v>
      </x:c>
      <x:c r="AH70" s="9">
        <x:f t="shared" si="30"/>
        <x:v>-7.2766805108245555E-2</x:v>
      </x:c>
      <x:c r="AI70" s="9">
        <x:f t="shared" si="31"/>
        <x:v>-197.8594146891694</x:v>
      </x:c>
      <x:c r="AJ70" s="9">
        <x:f t="shared" si="32"/>
        <x:v>-2.3495571602853413</x:v>
      </x:c>
      <x:c r="AK70" s="9">
        <x:f t="shared" si="33"/>
        <x:v>353.91702425400649</x:v>
      </x:c>
      <x:c r="AL70" s="9" t="n">
        <x:f>1000*(AA71-AA69)/(A71-A69)*Inputs!$C$11</x:f>
        <x:v>-480.0642163863813</x:v>
      </x:c>
      <x:c r="AM70" s="9" t="n">
        <x:f>-2*AL70/Inputs!$C$13</x:f>
        <x:v>192.02568655455252</x:v>
      </x:c>
      <x:c r="AN70" s="9" t="n">
        <x:f>-2*AL70/Inputs!$C$14</x:f>
        <x:v>28.83268566885173</x:v>
      </x:c>
      <x:c r="AO70" s="9">
        <x:f t="shared" si="34"/>
        <x:v>192.02568655455252</x:v>
      </x:c>
      <x:c r="AP70" s="9">
        <x:f t="shared" si="35"/>
        <x:v>28.832685668851731</x:v>
      </x:c>
      <x:c r="AQ70" s="9" t="n">
        <x:f>IF(OR(Inputs!$C$27=TRUE,Inputs!$C$27="TRUE",Inputs!$C$27=1),Inputs!$C$46/Inputs!$C$12,0)</x:f>
        <x:v>42.13483146067416</x:v>
      </x:c>
      <x:c r="AR70" s="9">
        <x:f t="shared" si="36"/>
        <x:v>903.10645462559501</x:v>
      </x:c>
      <x:c r="AS70" s="9">
        <x:f t="shared" si="37"/>
        <x:v>987.37611754694331</x:v>
      </x:c>
    </x:row>
    <x:row r="71">
      <x:c r="A71" s="9" t="n">
        <x:f>Inputs!$C$7+69*(Inputs!$C$8-Inputs!$C$7)/240</x:f>
        <x:v>-25.5</x:v>
      </x:c>
      <x:c r="B71" s="9" t="n">
        <x:f>Inputs!$C$5+Inputs!$C$9*(A71/Inputs!$C$10)^2</x:f>
        <x:v>400.7225</x:v>
      </x:c>
      <x:c r="C71" s="9">
        <x:f t="shared" si="19"/>
        <x:v>400.72250000000003</x:v>
      </x:c>
      <x:c r="D71" s="9" t="n">
        <x:f>SQRT((Inputs!$C$52+B71)^2+Inputs!$C$52^2-2*(Inputs!$C$52+B71)*Inputs!$C$52*COS(SQRT(A71^2+Inputs!$C$6^2)/Inputs!$C$52))</x:f>
        <x:v>402.7171612826482</x:v>
      </x:c>
      <x:c r="E71" s="9">
        <x:f t="shared" si="20"/>
        <x:v>1994.6612826481669</x:v>
      </x:c>
      <x:c r="F71" s="9" t="n">
        <x:f>E71/Inputs!$C$12</x:f>
        <x:v>1120.5962262068354</x:v>
      </x:c>
      <x:c r="G71" s="9" t="n">
        <x:f>2*E71/Inputs!$C$21*1000000</x:f>
        <x:v>13.306947719466423</x:v>
      </x:c>
      <x:c r="H71" s="9" t="n">
        <x:f>SQRT(A71^2+Inputs!$C$6^2)</x:f>
        <x:v>35.71064267133819</x:v>
      </x:c>
      <x:c r="I71" s="9">
        <x:f t="shared" si="21"/>
        <x:v>5.092497724666333</x:v>
      </x:c>
      <x:c r="J71" s="9" t="n">
        <x:f>DEGREES((2*PI()/Inputs!$C$13)*Inputs!$C$15*SIN(RADIANS(I71)))</x:f>
        <x:v>31.95499502856307</x:v>
      </x:c>
      <x:c r="K71" s="9">
        <x:f t="shared" si="22"/>
        <x:v>0.98033467667772067</x:v>
      </x:c>
      <x:c r="L71" s="9">
        <x:f t="shared" si="23"/>
        <x:v>-8.6256351020983654E-2</x:v>
      </x:c>
      <x:c r="M71" s="9" t="n">
        <x:f>2*(Inputs!$C$9/(Inputs!$C$10^2))*A71</x:f>
        <x:v>-0.056666666666666664</x:v>
      </x:c>
      <x:c r="N71" s="9" t="n">
        <x:f>M71*Inputs!$C$11</x:f>
        <x:v>-0.22666666666666666</x:v>
      </x:c>
      <x:c r="O71" s="9" t="n">
        <x:f>1000*(D72-D70)/(A72-A70)*Inputs!$C$11</x:f>
        <x:v>-544.0523999498055</x:v>
      </x:c>
      <x:c r="P71" s="9" t="n">
        <x:f>-2*O71/Inputs!$C$13</x:f>
        <x:v>217.6209599799222</x:v>
      </x:c>
      <x:c r="Q71" s="9" t="n">
        <x:f>-2*O71/Inputs!$C$14</x:f>
        <x:v>32.67581981680514</x:v>
      </x:c>
      <x:c r="R71" s="9" t="n">
        <x:f>F71-Inputs!$C$16/2</x:f>
        <x:v>1105.5962262068354</x:v>
      </x:c>
      <x:c r="S71" s="9" t="n">
        <x:f>F71+Inputs!$C$16/2</x:f>
        <x:v>1135.5962262068354</x:v>
      </x:c>
      <x:c r="T71" s="9" t="n">
        <x:f>F71-Inputs!$C$17/2</x:f>
        <x:v>970.5962262068354</x:v>
      </x:c>
      <x:c r="U71" s="9" t="n">
        <x:f>F71+Inputs!$C$17/2</x:f>
        <x:v>1270.5962262068354</x:v>
      </x:c>
      <x:c r="V71" s="9">
        <x:f t="shared" si="24"/>
        <x:v>217.62095997992219</x:v>
      </x:c>
      <x:c r="W71" s="9">
        <x:f t="shared" si="25"/>
        <x:v>32.675819816805138</x:v>
      </x:c>
      <x:c r="X71" s="9"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x:f>
        <x:v>-104.31813701930129</x:v>
      </x:c>
      <x:c r="Y71" s="9"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x:f>
        <x:v>271.72277085410076</x:v>
      </x:c>
      <x:c r="Z71" s="9">
        <x:f t="shared" si="26"/>
        <x:v>400.8268181370193</x:v>
      </x:c>
      <x:c r="AA71" s="9" t="n">
        <x:f>SQRT((Inputs!$C$52+B71)^2+(Inputs!$C$52+Y71/1000)^2-2*(Inputs!$C$52+B71)*(Inputs!$C$52+Y71/1000)*COS(SQRT(A71^2+Inputs!$C$6^2)/Inputs!$C$52))</x:f>
        <x:v>402.44713189039385</x:v>
      </x:c>
      <x:c r="AB71" s="9">
        <x:f t="shared" si="27"/>
        <x:v>1620.3137533745462</x:v>
      </x:c>
      <x:c r="AC71" s="9" t="n">
        <x:f>AB71/Inputs!$C$12</x:f>
        <x:v>910.288625491318</x:v>
      </x:c>
      <x:c r="AD71" s="9" t="n">
        <x:f>2*AB71/Inputs!$C$21*1000000</x:f>
        <x:v>10.809569821630044</x:v>
      </x:c>
      <x:c r="AE71" s="9">
        <x:f t="shared" si="28"/>
        <x:v>5.0959350114868824</x:v>
      </x:c>
      <x:c r="AF71" s="9" t="n">
        <x:f>DEGREES((2*PI()/Inputs!$C$13)*Inputs!$C$15*SIN(RADIANS(AE71)))</x:f>
        <x:v>31.97650683074892</x:v>
      </x:c>
      <x:c r="AG71" s="9">
        <x:f t="shared" si="29"/>
        <x:v>0.98399238640131725</x:v>
      </x:c>
      <x:c r="AH71" s="9">
        <x:f t="shared" si="30"/>
        <x:v>-7.0082618904953015E-2</x:v>
      </x:c>
      <x:c r="AI71" s="9">
        <x:f t="shared" si="31"/>
        <x:v>-210.30760071551731</x:v>
      </x:c>
      <x:c r="AJ71" s="9">
        <x:f t="shared" si="32"/>
        <x:v>-2.4973778978363796</x:v>
      </x:c>
      <x:c r="AK71" s="9">
        <x:f t="shared" si="33"/>
        <x:v>376.0409078735002</x:v>
      </x:c>
      <x:c r="AL71" s="9" t="n">
        <x:f>1000*(AA72-AA70)/(A72-A70)*Inputs!$C$11</x:f>
        <x:v>-498.7118920478224</x:v>
      </x:c>
      <x:c r="AM71" s="9" t="n">
        <x:f>-2*AL71/Inputs!$C$13</x:f>
        <x:v>199.48475681912896</x:v>
      </x:c>
      <x:c r="AN71" s="9" t="n">
        <x:f>-2*AL71/Inputs!$C$14</x:f>
        <x:v>29.952666189058405</x:v>
      </x:c>
      <x:c r="AO71" s="9">
        <x:f t="shared" si="34"/>
        <x:v>199.48475681912896</x:v>
      </x:c>
      <x:c r="AP71" s="9">
        <x:f t="shared" si="35"/>
        <x:v>29.952666189058405</x:v>
      </x:c>
      <x:c r="AQ71" s="9" t="n">
        <x:f>IF(OR(Inputs!$C$27=TRUE,Inputs!$C$27="TRUE",Inputs!$C$27=1),Inputs!$C$46/Inputs!$C$12,0)</x:f>
        <x:v>42.13483146067416</x:v>
      </x:c>
      <x:c r="AR71" s="9">
        <x:f t="shared" si="36"/>
        <x:v>868.15379403064389</x:v>
      </x:c>
      <x:c r="AS71" s="9">
        <x:f t="shared" si="37"/>
        <x:v>952.42345695199219</x:v>
      </x:c>
    </x:row>
    <x:row r="72">
      <x:c r="A72" s="9" t="n">
        <x:f>Inputs!$C$7+70*(Inputs!$C$8-Inputs!$C$7)/240</x:f>
        <x:v>-25</x:v>
      </x:c>
      <x:c r="B72" s="9" t="n">
        <x:f>Inputs!$C$5+Inputs!$C$9*(A72/Inputs!$C$10)^2</x:f>
        <x:v>400.69444444444446</x:v>
      </x:c>
      <x:c r="C72" s="9">
        <x:f t="shared" si="19"/>
        <x:v>400.69444444444446</x:v>
      </x:c>
      <x:c r="D72" s="9" t="n">
        <x:f>SQRT((Inputs!$C$52+B72)^2+Inputs!$C$52^2-2*(Inputs!$C$52+B72)*Inputs!$C$52*COS(SQRT(A72^2+Inputs!$C$6^2)/Inputs!$C$52))</x:f>
        <x:v>402.64981725850396</x:v>
      </x:c>
      <x:c r="E72" s="9">
        <x:f t="shared" si="20"/>
        <x:v>1955.3728140595013</x:v>
      </x:c>
      <x:c r="F72" s="9" t="n">
        <x:f>E72/Inputs!$C$12</x:f>
        <x:v>1098.5240528424165</x:v>
      </x:c>
      <x:c r="G72" s="9" t="n">
        <x:f>2*E72/Inputs!$C$21*1000000</x:f>
        <x:v>13.04484326993644</x:v>
      </x:c>
      <x:c r="H72" s="9" t="n">
        <x:f>SQRT(A72^2+Inputs!$C$6^2)</x:f>
        <x:v>35.35533905932738</x:v>
      </x:c>
      <x:c r="I72" s="9">
        <x:f t="shared" si="21"/>
        <x:v>5.042443535344872</x:v>
      </x:c>
      <x:c r="J72" s="9" t="n">
        <x:f>DEGREES((2*PI()/Inputs!$C$13)*Inputs!$C$15*SIN(RADIANS(I72)))</x:f>
        <x:v>31.64172455346228</x:v>
      </x:c>
      <x:c r="K72" s="9">
        <x:f t="shared" si="22"/>
        <x:v>0.98071599602103154</x:v>
      </x:c>
      <x:c r="L72" s="9">
        <x:f t="shared" si="23"/>
        <x:v>-8.4567410586801783E-2</x:v>
      </x:c>
      <x:c r="M72" s="9" t="n">
        <x:f>2*(Inputs!$C$9/(Inputs!$C$10^2))*A72</x:f>
        <x:v>-0.05555555555555555</x:v>
      </x:c>
      <x:c r="N72" s="9" t="n">
        <x:f>M72*Inputs!$C$11</x:f>
        <x:v>-0.2222222222222222</x:v>
      </x:c>
      <x:c r="O72" s="9" t="n">
        <x:f>1000*(D73-D71)/(A73-A71)*Inputs!$C$11</x:f>
        <x:v>-533.4500427779858</x:v>
      </x:c>
      <x:c r="P72" s="9" t="n">
        <x:f>-2*O72/Inputs!$C$13</x:f>
        <x:v>213.38001711119432</x:v>
      </x:c>
      <x:c r="Q72" s="9" t="n">
        <x:f>-2*O72/Inputs!$C$14</x:f>
        <x:v>32.03904160828744</x:v>
      </x:c>
      <x:c r="R72" s="9" t="n">
        <x:f>F72-Inputs!$C$16/2</x:f>
        <x:v>1083.5240528424165</x:v>
      </x:c>
      <x:c r="S72" s="9" t="n">
        <x:f>F72+Inputs!$C$16/2</x:f>
        <x:v>1113.5240528424165</x:v>
      </x:c>
      <x:c r="T72" s="9" t="n">
        <x:f>F72-Inputs!$C$17/2</x:f>
        <x:v>948.5240528424165</x:v>
      </x:c>
      <x:c r="U72" s="9" t="n">
        <x:f>F72+Inputs!$C$17/2</x:f>
        <x:v>1248.5240528424165</x:v>
      </x:c>
      <x:c r="V72" s="9">
        <x:f t="shared" si="24"/>
        <x:v>213.38001711119432</x:v>
      </x:c>
      <x:c r="W72" s="9">
        <x:f t="shared" si="25"/>
        <x:v>32.039041608287441</x:v>
      </x:c>
      <x:c r="X72" s="9"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x:f>
        <x:v>-97.55297588358108</x:v>
      </x:c>
      <x:c r="Y72" s="9"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x:f>
        <x:v>260.2713841318971</x:v>
      </x:c>
      <x:c r="Z72" s="9">
        <x:f t="shared" si="26"/>
        <x:v>400.79199742032802</x:v>
      </x:c>
      <x:c r="AA72" s="9" t="n">
        <x:f>SQRT((Inputs!$C$52+B72)^2+(Inputs!$C$52+Y72/1000)^2-2*(Inputs!$C$52+B72)*(Inputs!$C$52+Y72/1000)*COS(SQRT(A72^2+Inputs!$C$6^2)/Inputs!$C$52))</x:f>
        <x:v>402.39113612175254</x:v>
      </x:c>
      <x:c r="AB72" s="9">
        <x:f t="shared" si="27"/>
        <x:v>1599.138701424522</x:v>
      </x:c>
      <x:c r="AC72" s="9" t="n">
        <x:f>AB72/Inputs!$C$12</x:f>
        <x:v>898.3925288901809</x:v>
      </x:c>
      <x:c r="AD72" s="9" t="n">
        <x:f>2*AB72/Inputs!$C$21*1000000</x:f>
        <x:v>10.66830508074037</x:v>
      </x:c>
      <x:c r="AE72" s="9">
        <x:f t="shared" si="28"/>
        <x:v>5.0457040739305832</x:v>
      </x:c>
      <x:c r="AF72" s="9" t="n">
        <x:f>DEGREES((2*PI()/Inputs!$C$13)*Inputs!$C$15*SIN(RADIANS(AE72)))</x:f>
        <x:v>31.662131784497483</x:v>
      </x:c>
      <x:c r="AG72" s="9">
        <x:f t="shared" si="29"/>
        <x:v>0.98419814844696918</x:v>
      </x:c>
      <x:c r="AH72" s="9">
        <x:f t="shared" si="30"/>
        <x:v>-6.9174563310181042E-2</x:v>
      </x:c>
      <x:c r="AI72" s="9">
        <x:f t="shared" si="31"/>
        <x:v>-200.13152395223563</x:v>
      </x:c>
      <x:c r="AJ72" s="9">
        <x:f t="shared" si="32"/>
        <x:v>-2.3765381891960704</x:v>
      </x:c>
      <x:c r="AK72" s="9">
        <x:f t="shared" si="33"/>
        <x:v>357.82436001547819</x:v>
      </x:c>
      <x:c r="AL72" s="9" t="n">
        <x:f>1000*(AA73-AA71)/(A73-A71)*Inputs!$C$11</x:f>
        <x:v>-552.6814743020623</x:v>
      </x:c>
      <x:c r="AM72" s="9" t="n">
        <x:f>-2*AL72/Inputs!$C$13</x:f>
        <x:v>221.0725897208249</x:v>
      </x:c>
      <x:c r="AN72" s="9" t="n">
        <x:f>-2*AL72/Inputs!$C$14</x:f>
        <x:v>33.194082540664404</x:v>
      </x:c>
      <x:c r="AO72" s="9">
        <x:f t="shared" si="34"/>
        <x:v>221.07258972082491</x:v>
      </x:c>
      <x:c r="AP72" s="9">
        <x:f t="shared" si="35"/>
        <x:v>33.194082540664404</x:v>
      </x:c>
      <x:c r="AQ72" s="9" t="n">
        <x:f>IF(OR(Inputs!$C$27=TRUE,Inputs!$C$27="TRUE",Inputs!$C$27=1),Inputs!$C$46/Inputs!$C$12,0)</x:f>
        <x:v>42.13483146067416</x:v>
      </x:c>
      <x:c r="AR72" s="9">
        <x:f t="shared" si="36"/>
        <x:v>856.25769742950672</x:v>
      </x:c>
      <x:c r="AS72" s="9">
        <x:f t="shared" si="37"/>
        <x:v>940.52736035085502</x:v>
      </x:c>
    </x:row>
    <x:row r="73">
      <x:c r="A73" s="9" t="n">
        <x:f>Inputs!$C$7+71*(Inputs!$C$8-Inputs!$C$7)/240</x:f>
        <x:v>-24.5</x:v>
      </x:c>
      <x:c r="B73" s="9" t="n">
        <x:f>Inputs!$C$5+Inputs!$C$9*(A73/Inputs!$C$10)^2</x:f>
        <x:v>400.6669444444444</x:v>
      </x:c>
      <x:c r="C73" s="9">
        <x:f t="shared" si="19"/>
        <x:v>400.66694444444443</x:v>
      </x:c>
      <x:c r="D73" s="9" t="n">
        <x:f>SQRT((Inputs!$C$52+B73)^2+Inputs!$C$52^2-2*(Inputs!$C$52+B73)*Inputs!$C$52*COS(SQRT(A73^2+Inputs!$C$6^2)/Inputs!$C$52))</x:f>
        <x:v>402.5837987719537</x:v>
      </x:c>
      <x:c r="E73" s="9">
        <x:f t="shared" si="20"/>
        <x:v>1916.8543275092702</x:v>
      </x:c>
      <x:c r="F73" s="9" t="n">
        <x:f>E73/Inputs!$C$12</x:f>
        <x:v>1076.8844536568934</x:v>
      </x:c>
      <x:c r="G73" s="9" t="n">
        <x:f>2*E73/Inputs!$C$21*1000000</x:f>
        <x:v>12.78787558764584</x:v>
      </x:c>
      <x:c r="H73" s="9" t="n">
        <x:f>SQRT(A73^2+Inputs!$C$6^2)</x:f>
        <x:v>35.00357124637428</x:v>
      </x:c>
      <x:c r="I73" s="9">
        <x:f t="shared" si="21"/>
        <x:v>4.9928695227894897</x:v>
      </x:c>
      <x:c r="J73" s="9" t="n">
        <x:f>DEGREES((2*PI()/Inputs!$C$13)*Inputs!$C$15*SIN(RADIANS(I73)))</x:f>
        <x:v>31.331435522208846</x:v>
      </x:c>
      <x:c r="K73" s="9">
        <x:f t="shared" si="22"/>
        <x:v>0.98109007435313089</x:v>
      </x:c>
      <x:c r="L73" s="9">
        <x:f t="shared" si="23"/>
        <x:v>-8.2911180036263202E-2</x:v>
      </x:c>
      <x:c r="M73" s="9" t="n">
        <x:f>2*(Inputs!$C$9/(Inputs!$C$10^2))*A73</x:f>
        <x:v>-0.05444444444444444</x:v>
      </x:c>
      <x:c r="N73" s="9" t="n">
        <x:f>M73*Inputs!$C$11</x:f>
        <x:v>-0.21777777777777776</x:v>
      </x:c>
      <x:c r="O73" s="9" t="n">
        <x:f>1000*(D74-D72)/(A74-A72)*Inputs!$C$11</x:f>
        <x:v>-522.8438353706224</x:v>
      </x:c>
      <x:c r="P73" s="9" t="n">
        <x:f>-2*O73/Inputs!$C$13</x:f>
        <x:v>209.13753414824896</x:v>
      </x:c>
      <x:c r="Q73" s="9" t="n">
        <x:f>-2*O73/Inputs!$C$14</x:f>
        <x:v>31.402032154391737</x:v>
      </x:c>
      <x:c r="R73" s="9" t="n">
        <x:f>F73-Inputs!$C$16/2</x:f>
        <x:v>1061.8844536568934</x:v>
      </x:c>
      <x:c r="S73" s="9" t="n">
        <x:f>F73+Inputs!$C$16/2</x:f>
        <x:v>1091.8844536568934</x:v>
      </x:c>
      <x:c r="T73" s="9" t="n">
        <x:f>F73-Inputs!$C$17/2</x:f>
        <x:v>926.8844536568934</x:v>
      </x:c>
      <x:c r="U73" s="9" t="n">
        <x:f>F73+Inputs!$C$17/2</x:f>
        <x:v>1226.8844536568934</x:v>
      </x:c>
      <x:c r="V73" s="9">
        <x:f t="shared" si="24"/>
        <x:v>209.13753414824896</x:v>
      </x:c>
      <x:c r="W73" s="9">
        <x:f t="shared" si="25"/>
        <x:v>31.402032154391737</x:v>
      </x:c>
      <x:c r="X73" s="9"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x:f>
        <x:v>-113.61582851930044</x:v>
      </x:c>
      <x:c r="Y73" s="9"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x:f>
        <x:v>276.49363528949897</x:v>
      </x:c>
      <x:c r="Z73" s="9">
        <x:f t="shared" si="26"/>
        <x:v>400.78056027296373</x:v>
      </x:c>
      <x:c r="AA73" s="9" t="n">
        <x:f>SQRT((Inputs!$C$52+B73)^2+(Inputs!$C$52+Y73/1000)^2-2*(Inputs!$C$52+B73)*(Inputs!$C$52+Y73/1000)*COS(SQRT(A73^2+Inputs!$C$6^2)/Inputs!$C$52))</x:f>
        <x:v>402.30896152181833</x:v>
      </x:c>
      <x:c r="AB73" s="9">
        <x:f t="shared" si="27"/>
        <x:v>1528.4012488546068</x:v>
      </x:c>
      <x:c r="AC73" s="9" t="n">
        <x:f>AB73/Inputs!$C$12</x:f>
        <x:v>858.6523869969701</x:v>
      </x:c>
      <x:c r="AD73" s="9" t="n">
        <x:f>2*AB73/Inputs!$C$21*1000000</x:f>
        <x:v>10.196395593478252</x:v>
      </x:c>
      <x:c r="AE73" s="9">
        <x:f t="shared" si="28"/>
        <x:v>4.9962999525522482</x:v>
      </x:c>
      <x:c r="AF73" s="9" t="n">
        <x:f>DEGREES((2*PI()/Inputs!$C$13)*Inputs!$C$15*SIN(RADIANS(AE73)))</x:f>
        <x:v>31.352907705966835</x:v>
      </x:c>
      <x:c r="AG73" s="9">
        <x:f t="shared" si="29"/>
        <x:v>0.98489008528313682</x:v>
      </x:c>
      <x:c r="AH73" s="9">
        <x:f t="shared" si="30"/>
        <x:v>-6.6122344958615617E-2</x:v>
      </x:c>
      <x:c r="AI73" s="9">
        <x:f t="shared" si="31"/>
        <x:v>-218.23206665992325</x:v>
      </x:c>
      <x:c r="AJ73" s="9">
        <x:f t="shared" si="32"/>
        <x:v>-2.591479994167587</x:v>
      </x:c>
      <x:c r="AK73" s="9">
        <x:f t="shared" si="33"/>
        <x:v>390.10946380899588</x:v>
      </x:c>
      <x:c r="AL73" s="9" t="n">
        <x:f>1000*(AA74-AA72)/(A74-A72)*Inputs!$C$11</x:f>
        <x:v>-556.1260998363196</x:v>
      </x:c>
      <x:c r="AM73" s="9" t="n">
        <x:f>-2*AL73/Inputs!$C$13</x:f>
        <x:v>222.45043993452782</x:v>
      </x:c>
      <x:c r="AN73" s="9" t="n">
        <x:f>-2*AL73/Inputs!$C$14</x:f>
        <x:v>33.40096695713631</x:v>
      </x:c>
      <x:c r="AO73" s="9">
        <x:f t="shared" si="34"/>
        <x:v>222.45043993452782</x:v>
      </x:c>
      <x:c r="AP73" s="9">
        <x:f t="shared" si="35"/>
        <x:v>33.400966957136312</x:v>
      </x:c>
      <x:c r="AQ73" s="9" t="n">
        <x:f>IF(OR(Inputs!$C$27=TRUE,Inputs!$C$27="TRUE",Inputs!$C$27=1),Inputs!$C$46/Inputs!$C$12,0)</x:f>
        <x:v>42.13483146067416</x:v>
      </x:c>
      <x:c r="AR73" s="9">
        <x:f t="shared" si="36"/>
        <x:v>816.51755553629596</x:v>
      </x:c>
      <x:c r="AS73" s="9">
        <x:f t="shared" si="37"/>
        <x:v>900.78721845764426</x:v>
      </x:c>
    </x:row>
    <x:row r="74">
      <x:c r="A74" s="9" t="n">
        <x:f>Inputs!$C$7+72*(Inputs!$C$8-Inputs!$C$7)/240</x:f>
        <x:v>-24</x:v>
      </x:c>
      <x:c r="B74" s="9" t="n">
        <x:f>Inputs!$C$5+Inputs!$C$9*(A74/Inputs!$C$10)^2</x:f>
        <x:v>400.64</x:v>
      </x:c>
      <x:c r="C74" s="9">
        <x:f t="shared" si="19"/>
        <x:v>400.64</x:v>
      </x:c>
      <x:c r="D74" s="9" t="n">
        <x:f>SQRT((Inputs!$C$52+B74)^2+Inputs!$C$52^2-2*(Inputs!$C$52+B74)*Inputs!$C$52*COS(SQRT(A74^2+Inputs!$C$6^2)/Inputs!$C$52))</x:f>
        <x:v>402.5191062996613</x:v>
      </x:c>
      <x:c r="E74" s="9">
        <x:f t="shared" si="20"/>
        <x:v>1879.1062996613164</x:v>
      </x:c>
      <x:c r="F74" s="9" t="n">
        <x:f>E74/Inputs!$C$12</x:f>
        <x:v>1055.6776964389417</x:v>
      </x:c>
      <x:c r="G74" s="9" t="n">
        <x:f>2*E74/Inputs!$C$21*1000000</x:f>
        <x:v>12.53604785255349</x:v>
      </x:c>
      <x:c r="H74" s="9" t="n">
        <x:f>SQRT(A74^2+Inputs!$C$6^2)</x:f>
        <x:v>34.655446902326915</x:v>
      </x:c>
      <x:c r="I74" s="9">
        <x:f t="shared" si="21"/>
        <x:v>4.9437915722171066</x:v>
      </x:c>
      <x:c r="J74" s="9" t="n">
        <x:f>DEGREES((2*PI()/Inputs!$C$13)*Inputs!$C$15*SIN(RADIANS(I74)))</x:f>
        <x:v>31.024228290513804</x:v>
      </x:c>
      <x:c r="K74" s="9">
        <x:f t="shared" si="22"/>
        <x:v>0.98145689342189257</x:v>
      </x:c>
      <x:c r="L74" s="9">
        <x:f t="shared" si="23"/>
        <x:v>-8.1287702974148904E-2</x:v>
      </x:c>
      <x:c r="M74" s="9" t="n">
        <x:f>2*(Inputs!$C$9/(Inputs!$C$10^2))*A74</x:f>
        <x:v>-0.05333333333333333</x:v>
      </x:c>
      <x:c r="N74" s="9" t="n">
        <x:f>M74*Inputs!$C$11</x:f>
        <x:v>-0.21333333333333332</x:v>
      </x:c>
      <x:c r="O74" s="9" t="n">
        <x:f>1000*(D75-D73)/(A75-A73)*Inputs!$C$11</x:f>
        <x:v>-512.2338516328</x:v>
      </x:c>
      <x:c r="P74" s="9" t="n">
        <x:f>-2*O74/Inputs!$C$13</x:f>
        <x:v>204.89354065312</x:v>
      </x:c>
      <x:c r="Q74" s="9" t="n">
        <x:f>-2*O74/Inputs!$C$14</x:f>
        <x:v>30.764795893861866</x:v>
      </x:c>
      <x:c r="R74" s="9" t="n">
        <x:f>F74-Inputs!$C$16/2</x:f>
        <x:v>1040.6776964389417</x:v>
      </x:c>
      <x:c r="S74" s="9" t="n">
        <x:f>F74+Inputs!$C$16/2</x:f>
        <x:v>1070.6776964389417</x:v>
      </x:c>
      <x:c r="T74" s="9" t="n">
        <x:f>F74-Inputs!$C$17/2</x:f>
        <x:v>905.6776964389417</x:v>
      </x:c>
      <x:c r="U74" s="9" t="n">
        <x:f>F74+Inputs!$C$17/2</x:f>
        <x:v>1205.6776964389417</x:v>
      </x:c>
      <x:c r="V74" s="9">
        <x:f t="shared" si="24"/>
        <x:v>204.89354065312</x:v>
      </x:c>
      <x:c r="W74" s="9">
        <x:f t="shared" si="25"/>
        <x:v>30.764795893861866</x:v>
      </x:c>
      <x:c r="X74" s="9"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x:f>
        <x:v>-111.48853690711687</x:v>
      </x:c>
      <x:c r="Y74" s="9"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x:f>
        <x:v>268.5791759815676</x:v>
      </x:c>
      <x:c r="Z74" s="9">
        <x:f t="shared" si="26"/>
        <x:v>400.75148853690712</x:v>
      </x:c>
      <x:c r="AA74" s="9" t="n">
        <x:f>SQRT((Inputs!$C$52+B74)^2+(Inputs!$C$52+Y74/1000)^2-2*(Inputs!$C$52+B74)*(Inputs!$C$52+Y74/1000)*COS(SQRT(A74^2+Inputs!$C$6^2)/Inputs!$C$52))</x:f>
        <x:v>402.25210459679346</x:v>
      </x:c>
      <x:c r="AB74" s="9">
        <x:f t="shared" si="27"/>
        <x:v>1500.6160598863403</x:v>
      </x:c>
      <x:c r="AC74" s="9" t="n">
        <x:f>AB74/Inputs!$C$12</x:f>
        <x:v>843.0427302732248</x:v>
      </x:c>
      <x:c r="AD74" s="9" t="n">
        <x:f>2*AB74/Inputs!$C$21*1000000</x:f>
        <x:v>10.011032765116061</x:v>
      </x:c>
      <x:c r="AE74" s="9">
        <x:f t="shared" si="28"/>
        <x:v>4.9470915385794303</x:v>
      </x:c>
      <x:c r="AF74" s="9" t="n">
        <x:f>DEGREES((2*PI()/Inputs!$C$13)*Inputs!$C$15*SIN(RADIANS(AE74)))</x:f>
        <x:v>31.04488540181378</x:v>
      </x:c>
      <x:c r="AG74" s="9">
        <x:f t="shared" si="29"/>
        <x:v>0.98516114890779505</x:v>
      </x:c>
      <x:c r="AH74" s="9">
        <x:f t="shared" si="30"/>
        <x:v>-6.4927234545916174E-2</x:v>
      </x:c>
      <x:c r="AI74" s="9">
        <x:f t="shared" si="31"/>
        <x:v>-212.63496616571683</x:v>
      </x:c>
      <x:c r="AJ74" s="9">
        <x:f t="shared" si="32"/>
        <x:v>-2.5250150874374295</x:v>
      </x:c>
      <x:c r="AK74" s="9">
        <x:f t="shared" si="33"/>
        <x:v>380.06771288868447</x:v>
      </x:c>
      <x:c r="AL74" s="9" t="n">
        <x:f>1000*(AA75-AA73)/(A75-A73)*Inputs!$C$11</x:f>
        <x:v>-502.31324419269185</x:v>
      </x:c>
      <x:c r="AM74" s="9" t="n">
        <x:f>-2*AL74/Inputs!$C$13</x:f>
        <x:v>200.92529767707674</x:v>
      </x:c>
      <x:c r="AN74" s="9" t="n">
        <x:f>-2*AL74/Inputs!$C$14</x:f>
        <x:v>30.16896361517669</x:v>
      </x:c>
      <x:c r="AO74" s="9">
        <x:f t="shared" si="34"/>
        <x:v>200.92529767707674</x:v>
      </x:c>
      <x:c r="AP74" s="9">
        <x:f t="shared" si="35"/>
        <x:v>30.16896361517669</x:v>
      </x:c>
      <x:c r="AQ74" s="9" t="n">
        <x:f>IF(OR(Inputs!$C$27=TRUE,Inputs!$C$27="TRUE",Inputs!$C$27=1),Inputs!$C$46/Inputs!$C$12,0)</x:f>
        <x:v>42.13483146067416</x:v>
      </x:c>
      <x:c r="AR74" s="9">
        <x:f t="shared" si="36"/>
        <x:v>800.90789881255068</x:v>
      </x:c>
      <x:c r="AS74" s="9">
        <x:f t="shared" si="37"/>
        <x:v>885.17756173389898</x:v>
      </x:c>
    </x:row>
    <x:row r="75">
      <x:c r="A75" s="9" t="n">
        <x:f>Inputs!$C$7+73*(Inputs!$C$8-Inputs!$C$7)/240</x:f>
        <x:v>-23.5</x:v>
      </x:c>
      <x:c r="B75" s="9" t="n">
        <x:f>Inputs!$C$5+Inputs!$C$9*(A75/Inputs!$C$10)^2</x:f>
        <x:v>400.6136111111111</x:v>
      </x:c>
      <x:c r="C75" s="9">
        <x:f t="shared" si="19"/>
        <x:v>400.61361111111108</x:v>
      </x:c>
      <x:c r="D75" s="9" t="n">
        <x:f>SQRT((Inputs!$C$52+B75)^2+Inputs!$C$52^2-2*(Inputs!$C$52+B75)*Inputs!$C$52*COS(SQRT(A75^2+Inputs!$C$6^2)/Inputs!$C$52))</x:f>
        <x:v>402.4557403090455</x:v>
      </x:c>
      <x:c r="E75" s="9">
        <x:f t="shared" si="20"/>
        <x:v>1842.1291979344119</x:v>
      </x:c>
      <x:c r="F75" s="9" t="n">
        <x:f>E75/Inputs!$C$12</x:f>
        <x:v>1034.9040437833773</x:v>
      </x:c>
      <x:c r="G75" s="9" t="n">
        <x:f>2*E75/Inputs!$C$21*1000000</x:f>
        <x:v>12.289363182941793</x:v>
      </x:c>
      <x:c r="H75" s="9" t="n">
        <x:f>SQRT(A75^2+Inputs!$C$6^2)</x:f>
        <x:v>34.311076928595526</x:v>
      </x:c>
      <x:c r="I75" s="9">
        <x:f t="shared" si="21"/>
        <x:v>4.8952260304560395</x:v>
      </x:c>
      <x:c r="J75" s="9" t="n">
        <x:f>DEGREES((2*PI()/Inputs!$C$13)*Inputs!$C$15*SIN(RADIANS(I75)))</x:f>
        <x:v>30.72020611297858</x:v>
      </x:c>
      <x:c r="K75" s="9">
        <x:f t="shared" si="22"/>
        <x:v>0.98181643531000218</x:v>
      </x:c>
      <x:c r="L75" s="9">
        <x:f t="shared" si="23"/>
        <x:v>-7.9697022171027546E-2</x:v>
      </x:c>
      <x:c r="M75" s="9" t="n">
        <x:f>2*(Inputs!$C$9/(Inputs!$C$10^2))*A75</x:f>
        <x:v>-0.052222222222222225</x:v>
      </x:c>
      <x:c r="N75" s="9" t="n">
        <x:f>M75*Inputs!$C$11</x:f>
        <x:v>-0.2088888888888889</x:v>
      </x:c>
      <x:c r="O75" s="9" t="n">
        <x:f>1000*(D76-D74)/(A76-A74)*Inputs!$C$11</x:f>
        <x:v>-501.6201656674184</x:v>
      </x:c>
      <x:c r="P75" s="9" t="n">
        <x:f>-2*O75/Inputs!$C$13</x:f>
        <x:v>200.64806626696736</x:v>
      </x:c>
      <x:c r="Q75" s="9" t="n">
        <x:f>-2*O75/Inputs!$C$14</x:f>
        <x:v>30.12733727732243</x:v>
      </x:c>
      <x:c r="R75" s="9" t="n">
        <x:f>F75-Inputs!$C$16/2</x:f>
        <x:v>1019.9040437833773</x:v>
      </x:c>
      <x:c r="S75" s="9" t="n">
        <x:f>F75+Inputs!$C$16/2</x:f>
        <x:v>1049.9040437833773</x:v>
      </x:c>
      <x:c r="T75" s="9" t="n">
        <x:f>F75-Inputs!$C$17/2</x:f>
        <x:v>884.9040437833773</x:v>
      </x:c>
      <x:c r="U75" s="9" t="n">
        <x:f>F75+Inputs!$C$17/2</x:f>
        <x:v>1184.9040437833773</x:v>
      </x:c>
      <x:c r="V75" s="9">
        <x:f t="shared" si="24"/>
        <x:v>200.64806626696736</x:v>
      </x:c>
      <x:c r="W75" s="9">
        <x:f t="shared" si="25"/>
        <x:v>30.127337277322429</x:v>
      </x:c>
      <x:c r="X75" s="9"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x:f>
        <x:v>-125.65162794647964</x:v>
      </x:c>
      <x:c r="Y75" s="9"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x:f>
        <x:v>273.93459884711217</x:v>
      </x:c>
      <x:c r="Z75" s="9">
        <x:f t="shared" si="26"/>
        <x:v>400.73926273905755</x:v>
      </x:c>
      <x:c r="AA75" s="9" t="n">
        <x:f>SQRT((Inputs!$C$52+B75)^2+(Inputs!$C$52+Y75/1000)^2-2*(Inputs!$C$52+B75)*(Inputs!$C$52+Y75/1000)*COS(SQRT(A75^2+Inputs!$C$6^2)/Inputs!$C$52))</x:f>
        <x:v>402.18338321077016</x:v>
      </x:c>
      <x:c r="AB75" s="9">
        <x:f t="shared" si="27"/>
        <x:v>1444.1204717126084</x:v>
      </x:c>
      <x:c r="AC75" s="9" t="n">
        <x:f>AB75/Inputs!$C$12</x:f>
        <x:v>811.3036357936002</x:v>
      </x:c>
      <x:c r="AD75" s="9" t="n">
        <x:f>2*AB75/Inputs!$C$21*1000000</x:f>
        <x:v>9.634134770078896</x:v>
      </x:c>
      <x:c r="AE75" s="9">
        <x:f t="shared" si="28"/>
        <x:v>4.8985593221689561</x:v>
      </x:c>
      <x:c r="AF75" s="9" t="n">
        <x:f>DEGREES((2*PI()/Inputs!$C$13)*Inputs!$C$15*SIN(RADIANS(AE75)))</x:f>
        <x:v>30.741073356498177</x:v>
      </x:c>
      <x:c r="AG75" s="9">
        <x:f t="shared" si="29"/>
        <x:v>0.98571436786383926</x:v>
      </x:c>
      <x:c r="AH75" s="9">
        <x:f t="shared" si="30"/>
        <x:v>-6.2489130828458396E-2</x:v>
      </x:c>
      <x:c r="AI75" s="9">
        <x:f t="shared" si="31"/>
        <x:v>-223.60040798977718</x:v>
      </x:c>
      <x:c r="AJ75" s="9">
        <x:f t="shared" si="32"/>
        <x:v>-2.6552284128628969</x:v>
      </x:c>
      <x:c r="AK75" s="9">
        <x:f t="shared" si="33"/>
        <x:v>399.58622679359178</x:v>
      </x:c>
      <x:c r="AL75" s="9" t="n">
        <x:f>1000*(AA76-AA74)/(A76-A74)*Inputs!$C$11</x:f>
        <x:v>-545.5230634195232</x:v>
      </x:c>
      <x:c r="AM75" s="9" t="n">
        <x:f>-2*AL75/Inputs!$C$13</x:f>
        <x:v>218.20922536780927</x:v>
      </x:c>
      <x:c r="AN75" s="9" t="n">
        <x:f>-2*AL75/Inputs!$C$14</x:f>
        <x:v>32.764147953124514</x:v>
      </x:c>
      <x:c r="AO75" s="9">
        <x:f t="shared" si="34"/>
        <x:v>218.20922536780927</x:v>
      </x:c>
      <x:c r="AP75" s="9">
        <x:f t="shared" si="35"/>
        <x:v>32.764147953124514</x:v>
      </x:c>
      <x:c r="AQ75" s="9" t="n">
        <x:f>IF(OR(Inputs!$C$27=TRUE,Inputs!$C$27="TRUE",Inputs!$C$27=1),Inputs!$C$46/Inputs!$C$12,0)</x:f>
        <x:v>42.13483146067416</x:v>
      </x:c>
      <x:c r="AR75" s="9">
        <x:f t="shared" si="36"/>
        <x:v>769.16880433292602</x:v>
      </x:c>
      <x:c r="AS75" s="9">
        <x:f t="shared" si="37"/>
        <x:v>853.43846725427431</x:v>
      </x:c>
    </x:row>
    <x:row r="76">
      <x:c r="A76" s="9" t="n">
        <x:f>Inputs!$C$7+74*(Inputs!$C$8-Inputs!$C$7)/240</x:f>
        <x:v>-23</x:v>
      </x:c>
      <x:c r="B76" s="9" t="n">
        <x:f>Inputs!$C$5+Inputs!$C$9*(A76/Inputs!$C$10)^2</x:f>
        <x:v>400.5877777777778</x:v>
      </x:c>
      <x:c r="C76" s="9">
        <x:f t="shared" si="19"/>
        <x:v>400.58777777777777</x:v>
      </x:c>
      <x:c r="D76" s="9" t="n">
        <x:f>SQRT((Inputs!$C$52+B76)^2+Inputs!$C$52^2-2*(Inputs!$C$52+B76)*Inputs!$C$52*COS(SQRT(A76^2+Inputs!$C$6^2)/Inputs!$C$52))</x:f>
        <x:v>402.39370125824445</x:v>
      </x:c>
      <x:c r="E76" s="9">
        <x:f t="shared" si="20"/>
        <x:v>1805.9234804666744</x:v>
      </x:c>
      <x:c r="F76" s="9" t="n">
        <x:f>E76/Inputs!$C$12</x:f>
        <x:v>1014.5637530711654</x:v>
      </x:c>
      <x:c r="G76" s="9" t="n">
        <x:f>2*E76/Inputs!$C$21*1000000</x:f>
        <x:v>12.047824635179278</x:v>
      </x:c>
      <x:c r="H76" s="9" t="n">
        <x:f>SQRT(A76^2+Inputs!$C$6^2)</x:f>
        <x:v>33.97057550292606</x:v>
      </x:c>
      <x:c r="I76" s="9">
        <x:f t="shared" si="21"/>
        <x:v>4.8471897122057523</x:v>
      </x:c>
      <x:c r="J76" s="9" t="n">
        <x:f>DEGREES((2*PI()/Inputs!$C$13)*Inputs!$C$15*SIN(RADIANS(I76)))</x:f>
        <x:v>30.419475182182925</x:v>
      </x:c>
      <x:c r="K76" s="9">
        <x:f t="shared" si="22"/>
        <x:v>0.9821686824370861</x:v>
      </x:c>
      <x:c r="L76" s="9">
        <x:f t="shared" si="23"/>
        <x:v>-7.8139179559932534E-2</x:v>
      </x:c>
      <x:c r="M76" s="9" t="n">
        <x:f>2*(Inputs!$C$9/(Inputs!$C$10^2))*A76</x:f>
        <x:v>-0.051111111111111114</x:v>
      </x:c>
      <x:c r="N76" s="9" t="n">
        <x:f>M76*Inputs!$C$11</x:f>
        <x:v>-0.20444444444444446</x:v>
      </x:c>
      <x:c r="O76" s="9" t="n">
        <x:f>1000*(D77-D75)/(A77-A75)*Inputs!$C$11</x:f>
        <x:v>-491.00285175427416</x:v>
      </x:c>
      <x:c r="P76" s="9" t="n">
        <x:f>-2*O76/Inputs!$C$13</x:f>
        <x:v>196.40114070170966</x:v>
      </x:c>
      <x:c r="Q76" s="9" t="n">
        <x:f>-2*O76/Inputs!$C$14</x:f>
        <x:v>29.489660766022475</x:v>
      </x:c>
      <x:c r="R76" s="9" t="n">
        <x:f>F76-Inputs!$C$16/2</x:f>
        <x:v>999.5637530711654</x:v>
      </x:c>
      <x:c r="S76" s="9" t="n">
        <x:f>F76+Inputs!$C$16/2</x:f>
        <x:v>1029.5637530711654</x:v>
      </x:c>
      <x:c r="T76" s="9" t="n">
        <x:f>F76-Inputs!$C$17/2</x:f>
        <x:v>864.5637530711654</x:v>
      </x:c>
      <x:c r="U76" s="9" t="n">
        <x:f>F76+Inputs!$C$17/2</x:f>
        <x:v>1164.5637530711654</x:v>
      </x:c>
      <x:c r="V76" s="9">
        <x:f t="shared" si="24"/>
        <x:v>196.40114070170966</x:v>
      </x:c>
      <x:c r="W76" s="9">
        <x:f t="shared" si="25"/>
        <x:v>29.489660766022475</x:v>
      </x:c>
      <x:c r="X76" s="9"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x:f>
        <x:v>-132.5457898426781</x:v>
      </x:c>
      <x:c r="Y76" s="9"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x:f>
        <x:v>279.55588840773</x:v>
      </x:c>
      <x:c r="Z76" s="9">
        <x:f t="shared" si="26"/>
        <x:v>400.72032356762043</x:v>
      </x:c>
      <x:c r="AA76" s="9" t="n">
        <x:f>SQRT((Inputs!$C$52+B76)^2+(Inputs!$C$52+Y76/1000)^2-2*(Inputs!$C$52+B76)*(Inputs!$C$52+Y76/1000)*COS(SQRT(A76^2+Inputs!$C$6^2)/Inputs!$C$52))</x:f>
        <x:v>402.1157238309386</x:v>
      </x:c>
      <x:c r="AB76" s="9">
        <x:f t="shared" si="27"/>
        <x:v>1395.4002633181517</x:v>
      </x:c>
      <x:c r="AC76" s="9" t="n">
        <x:f>AB76/Inputs!$C$12</x:f>
        <x:v>783.9327322012089</x:v>
      </x:c>
      <x:c r="AD76" s="9" t="n">
        <x:f>2*AB76/Inputs!$C$21*1000000</x:f>
        <x:v>9.309108525459648</x:v>
      </x:c>
      <x:c r="AE76" s="9">
        <x:f t="shared" si="28"/>
        <x:v>4.850558609905554</x:v>
      </x:c>
      <x:c r="AF76" s="9" t="n">
        <x:f>DEGREES((2*PI()/Inputs!$C$13)*Inputs!$C$15*SIN(RADIANS(AE76)))</x:f>
        <x:v>30.440566835056774</x:v>
      </x:c>
      <x:c r="AG76" s="9">
        <x:f t="shared" si="29"/>
        <x:v>0.98619150054736315</x:v>
      </x:c>
      <x:c r="AH76" s="9">
        <x:f t="shared" si="30"/>
        <x:v>-6.0387447386529715E-2</x:v>
      </x:c>
      <x:c r="AI76" s="9">
        <x:f t="shared" si="31"/>
        <x:v>-230.6310208699565</x:v>
      </x:c>
      <x:c r="AJ76" s="9">
        <x:f t="shared" si="32"/>
        <x:v>-2.7387161097196309</x:v>
      </x:c>
      <x:c r="AK76" s="9">
        <x:f t="shared" si="33"/>
        <x:v>412.1016782504081</x:v>
      </x:c>
      <x:c r="AL76" s="9" t="n">
        <x:f>1000*(AA77-AA75)/(A77-A75)*Inputs!$C$11</x:f>
        <x:v>-542.0228500745452</x:v>
      </x:c>
      <x:c r="AM76" s="9" t="n">
        <x:f>-2*AL76/Inputs!$C$13</x:f>
        <x:v>216.80914002981808</x:v>
      </x:c>
      <x:c r="AN76" s="9" t="n">
        <x:f>-2*AL76/Inputs!$C$14</x:f>
        <x:v>32.553924929402115</x:v>
      </x:c>
      <x:c r="AO76" s="9">
        <x:f t="shared" si="34"/>
        <x:v>216.80914002981808</x:v>
      </x:c>
      <x:c r="AP76" s="9">
        <x:f t="shared" si="35"/>
        <x:v>32.553924929402115</x:v>
      </x:c>
      <x:c r="AQ76" s="9" t="n">
        <x:f>IF(OR(Inputs!$C$27=TRUE,Inputs!$C$27="TRUE",Inputs!$C$27=1),Inputs!$C$46/Inputs!$C$12,0)</x:f>
        <x:v>42.13483146067416</x:v>
      </x:c>
      <x:c r="AR76" s="9">
        <x:f t="shared" si="36"/>
        <x:v>741.79790074053471</x:v>
      </x:c>
      <x:c r="AS76" s="9">
        <x:f t="shared" si="37"/>
        <x:v>826.06756366188301</x:v>
      </x:c>
    </x:row>
    <x:row r="77">
      <x:c r="A77" s="9" t="n">
        <x:f>Inputs!$C$7+75*(Inputs!$C$8-Inputs!$C$7)/240</x:f>
        <x:v>-22.5</x:v>
      </x:c>
      <x:c r="B77" s="9" t="n">
        <x:f>Inputs!$C$5+Inputs!$C$9*(A77/Inputs!$C$10)^2</x:f>
        <x:v>400.5625</x:v>
      </x:c>
      <x:c r="C77" s="9">
        <x:f t="shared" si="19"/>
        <x:v>400.5625</x:v>
      </x:c>
      <x:c r="D77" s="9" t="n">
        <x:f>SQRT((Inputs!$C$52+B77)^2+Inputs!$C$52^2-2*(Inputs!$C$52+B77)*Inputs!$C$52*COS(SQRT(A77^2+Inputs!$C$6^2)/Inputs!$C$52))</x:f>
        <x:v>402.3329895961069</x:v>
      </x:c>
      <x:c r="E77" s="9">
        <x:f t="shared" si="20"/>
        <x:v>1770.4895961069269</x:v>
      </x:c>
      <x:c r="F77" s="9" t="n">
        <x:f>E77/Inputs!$C$12</x:f>
        <x:v>994.6570764645656</x:v>
      </x:c>
      <x:c r="G77" s="9" t="n">
        <x:f>2*E77/Inputs!$C$21*1000000</x:f>
        <x:v>11.811435203662974</x:v>
      </x:c>
      <x:c r="H77" s="9" t="n">
        <x:f>SQRT(A77^2+Inputs!$C$6^2)</x:f>
        <x:v>33.63406011768428</x:v>
      </x:c>
      <x:c r="I77" s="9">
        <x:f t="shared" si="21"/>
        <x:v>4.7996999053579179</x:v>
      </x:c>
      <x:c r="J77" s="9" t="n">
        <x:f>DEGREES((2*PI()/Inputs!$C$13)*Inputs!$C$15*SIN(RADIANS(I77)))</x:f>
        <x:v>30.122144661864603</x:v>
      </x:c>
      <x:c r="K77" s="9">
        <x:f t="shared" si="22"/>
        <x:v>0.98251361756155309</x:v>
      </x:c>
      <x:c r="L77" s="9">
        <x:f t="shared" si="23"/>
        <x:v>-7.6614216234208971E-2</x:v>
      </x:c>
      <x:c r="M77" s="9" t="n">
        <x:f>2*(Inputs!$C$9/(Inputs!$C$10^2))*A77</x:f>
        <x:v>-0.05</x:v>
      </x:c>
      <x:c r="N77" s="9" t="n">
        <x:f>M77*Inputs!$C$11</x:f>
        <x:v>-0.2</x:v>
      </x:c>
      <x:c r="O77" s="9" t="n">
        <x:f>1000*(D78-D76)/(A78-A76)*Inputs!$C$11</x:f>
        <x:v>-480.3819843364181</x:v>
      </x:c>
      <x:c r="P77" s="9" t="n">
        <x:f>-2*O77/Inputs!$C$13</x:f>
        <x:v>192.15279373456724</x:v>
      </x:c>
      <x:c r="Q77" s="9" t="n">
        <x:f>-2*O77/Inputs!$C$14</x:f>
        <x:v>28.851770831016104</x:v>
      </x:c>
      <x:c r="R77" s="9" t="n">
        <x:f>F77-Inputs!$C$16/2</x:f>
        <x:v>979.6570764645656</x:v>
      </x:c>
      <x:c r="S77" s="9" t="n">
        <x:f>F77+Inputs!$C$16/2</x:f>
        <x:v>1009.6570764645656</x:v>
      </x:c>
      <x:c r="T77" s="9" t="n">
        <x:f>F77-Inputs!$C$17/2</x:f>
        <x:v>844.6570764645656</x:v>
      </x:c>
      <x:c r="U77" s="9" t="n">
        <x:f>F77+Inputs!$C$17/2</x:f>
        <x:v>1144.6570764645658</x:v>
      </x:c>
      <x:c r="V77" s="9">
        <x:f t="shared" si="24"/>
        <x:v>192.15279373456724</x:v>
      </x:c>
      <x:c r="W77" s="9">
        <x:f t="shared" si="25"/>
        <x:v>28.851770831016104</x:v>
      </x:c>
      <x:c r="X77" s="9"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x:f>
        <x:v>-138.29494668428998</x:v>
      </x:c>
      <x:c r="Y77" s="9"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x:f>
        <x:v>286.69936407981004</x:v>
      </x:c>
      <x:c r="Z77" s="9">
        <x:f t="shared" si="26"/>
        <x:v>400.70079494668431</x:v>
      </x:c>
      <x:c r="AA77" s="9" t="n">
        <x:f>SQRT((Inputs!$C$52+B77)^2+(Inputs!$C$52+Y77/1000)^2-2*(Inputs!$C$52+B77)*(Inputs!$C$52+Y77/1000)*COS(SQRT(A77^2+Inputs!$C$6^2)/Inputs!$C$52))</x:f>
        <x:v>402.0478774982515</x:v>
      </x:c>
      <x:c r="AB77" s="9">
        <x:f t="shared" si="27"/>
        <x:v>1347.0825515672118</x:v>
      </x:c>
      <x:c r="AC77" s="9" t="n">
        <x:f>AB77/Inputs!$C$12</x:f>
        <x:v>756.7879503186583</x:v>
      </x:c>
      <x:c r="AD77" s="9" t="n">
        <x:f>2*AB77/Inputs!$C$21*1000000</x:f>
        <x:v>8.986767449414701</x:v>
      </x:c>
      <x:c r="AE77" s="9">
        <x:f t="shared" si="28"/>
        <x:v>4.8031216344318413</x:v>
      </x:c>
      <x:c r="AF77" s="9" t="n">
        <x:f>DEGREES((2*PI()/Inputs!$C$13)*Inputs!$C$15*SIN(RADIANS(AE77)))</x:f>
        <x:v>30.143568574126842</x:v>
      </x:c>
      <x:c r="AG77" s="9">
        <x:f t="shared" si="29"/>
        <x:v>0.98666499658207707</x:v>
      </x:c>
      <x:c r="AH77" s="9">
        <x:f t="shared" si="30"/>
        <x:v>-5.8302787713340805E-2</x:v>
      </x:c>
      <x:c r="AI77" s="9">
        <x:f t="shared" si="31"/>
        <x:v>-237.86912614590733</x:v>
      </x:c>
      <x:c r="AJ77" s="9">
        <x:f t="shared" si="32"/>
        <x:v>-2.8246677542482725</x:v>
      </x:c>
      <x:c r="AK77" s="9">
        <x:f t="shared" si="33"/>
        <x:v>424.99431076410002</x:v>
      </x:c>
      <x:c r="AL77" s="9" t="n">
        <x:f>1000*(AA78-AA76)/(A78-A76)*Inputs!$C$11</x:f>
        <x:v>-628.0295870367354</x:v>
      </x:c>
      <x:c r="AM77" s="9" t="n">
        <x:f>-2*AL77/Inputs!$C$13</x:f>
        <x:v>251.21183481469416</x:v>
      </x:c>
      <x:c r="AN77" s="9" t="n">
        <x:f>-2*AL77/Inputs!$C$14</x:f>
        <x:v>37.71949471692105</x:v>
      </x:c>
      <x:c r="AO77" s="9">
        <x:f t="shared" si="34"/>
        <x:v>251.21183481469416</x:v>
      </x:c>
      <x:c r="AP77" s="9">
        <x:f t="shared" si="35"/>
        <x:v>37.719494716921048</x:v>
      </x:c>
      <x:c r="AQ77" s="9" t="n">
        <x:f>IF(OR(Inputs!$C$27=TRUE,Inputs!$C$27="TRUE",Inputs!$C$27=1),Inputs!$C$46/Inputs!$C$12,0)</x:f>
        <x:v>42.13483146067416</x:v>
      </x:c>
      <x:c r="AR77" s="9">
        <x:f t="shared" si="36"/>
        <x:v>714.65311885798417</x:v>
      </x:c>
      <x:c r="AS77" s="9">
        <x:f t="shared" si="37"/>
        <x:v>798.92278177933247</x:v>
      </x:c>
    </x:row>
    <x:row r="78">
      <x:c r="A78" s="9" t="n">
        <x:f>Inputs!$C$7+76*(Inputs!$C$8-Inputs!$C$7)/240</x:f>
        <x:v>-22</x:v>
      </x:c>
      <x:c r="B78" s="9" t="n">
        <x:f>Inputs!$C$5+Inputs!$C$9*(A78/Inputs!$C$10)^2</x:f>
        <x:v>400.53777777777776</x:v>
      </x:c>
      <x:c r="C78" s="9">
        <x:f t="shared" si="19"/>
        <x:v>400.53777777777776</x:v>
      </x:c>
      <x:c r="D78" s="9" t="n">
        <x:f>SQRT((Inputs!$C$52+B78)^2+Inputs!$C$52^2-2*(Inputs!$C$52+B78)*Inputs!$C$52*COS(SQRT(A78^2+Inputs!$C$6^2)/Inputs!$C$52))</x:f>
        <x:v>402.27360576216034</x:v>
      </x:c>
      <x:c r="E78" s="9">
        <x:f t="shared" si="20"/>
        <x:v>1735.8279843825812</x:v>
      </x:c>
      <x:c r="F78" s="9" t="n">
        <x:f>E78/Inputs!$C$12</x:f>
        <x:v>975.1842608890905</x:v>
      </x:c>
      <x:c r="G78" s="9" t="n">
        <x:f>2*E78/Inputs!$C$21*1000000</x:f>
        <x:v>11.580197820604154</x:v>
      </x:c>
      <x:c r="H78" s="9" t="n">
        <x:f>SQRT(A78^2+Inputs!$C$6^2)</x:f>
        <x:v>33.301651610693426</x:v>
      </x:c>
      <x:c r="I78" s="9">
        <x:f t="shared" si="21"/>
        <x:v>4.7527743752411666</x:v>
      </x:c>
      <x:c r="J78" s="9" t="n">
        <x:f>DEGREES((2*PI()/Inputs!$C$13)*Inputs!$C$15*SIN(RADIANS(I78)))</x:f>
        <x:v>29.828326713325737</x:v>
      </x:c>
      <x:c r="K78" s="9">
        <x:f t="shared" si="22"/>
        <x:v>0.98285122378263112</x:v>
      </x:c>
      <x:c r="L78" s="9">
        <x:f t="shared" si="23"/>
        <x:v>-7.5122172444392704E-2</x:v>
      </x:c>
      <x:c r="M78" s="9" t="n">
        <x:f>2*(Inputs!$C$9/(Inputs!$C$10^2))*A78</x:f>
        <x:v>-0.04888888888888889</x:v>
      </x:c>
      <x:c r="N78" s="9" t="n">
        <x:f>M78*Inputs!$C$11</x:f>
        <x:v>-0.19555555555555557</x:v>
      </x:c>
      <x:c r="O78" s="9" t="n">
        <x:f>1000*(D79-D77)/(A79-A77)*Inputs!$C$11</x:f>
        <x:v>-469.75763804971393</x:v>
      </x:c>
      <x:c r="P78" s="9" t="n">
        <x:f>-2*O78/Inputs!$C$13</x:f>
        <x:v>187.90305521988557</x:v>
      </x:c>
      <x:c r="Q78" s="9" t="n">
        <x:f>-2*O78/Inputs!$C$14</x:f>
        <x:v>28.213671954937777</x:v>
      </x:c>
      <x:c r="R78" s="9" t="n">
        <x:f>F78-Inputs!$C$16/2</x:f>
        <x:v>960.1842608890905</x:v>
      </x:c>
      <x:c r="S78" s="9" t="n">
        <x:f>F78+Inputs!$C$16/2</x:f>
        <x:v>990.1842608890905</x:v>
      </x:c>
      <x:c r="T78" s="9" t="n">
        <x:f>F78-Inputs!$C$17/2</x:f>
        <x:v>825.1842608890905</x:v>
      </x:c>
      <x:c r="U78" s="9" t="n">
        <x:f>F78+Inputs!$C$17/2</x:f>
        <x:v>1125.1842608890906</x:v>
      </x:c>
      <x:c r="V78" s="9">
        <x:f t="shared" si="24"/>
        <x:v>187.90305521988557</x:v>
      </x:c>
      <x:c r="W78" s="9">
        <x:f t="shared" si="25"/>
        <x:v>28.213671954937777</x:v>
      </x:c>
      <x:c r="X78" s="9"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x:f>
        <x:v>-144.0992283446906</x:v>
      </x:c>
      <x:c r="Y78" s="9"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x:f>
        <x:v>316.60820817766927</x:v>
      </x:c>
      <x:c r="Z78" s="9">
        <x:f t="shared" si="26"/>
        <x:v>400.68187700612248</x:v>
      </x:c>
      <x:c r="AA78" s="9" t="n">
        <x:f>SQRT((Inputs!$C$52+B78)^2+(Inputs!$C$52+Y78/1000)^2-2*(Inputs!$C$52+B78)*(Inputs!$C$52+Y78/1000)*COS(SQRT(A78^2+Inputs!$C$6^2)/Inputs!$C$52))</x:f>
        <x:v>401.9587164341794</x:v>
      </x:c>
      <x:c r="AB78" s="9">
        <x:f t="shared" si="27"/>
        <x:v>1276.8394280569169</x:v>
      </x:c>
      <x:c r="AC78" s="9" t="n">
        <x:f>AB78/Inputs!$C$12</x:f>
        <x:v>717.3255213802904</x:v>
      </x:c>
      <x:c r="AD78" s="9" t="n">
        <x:f>2*AB78/Inputs!$C$21*1000000</x:f>
        <x:v>8.518155770662629</x:v>
      </x:c>
      <x:c r="AE78" s="9">
        <x:f t="shared" si="28"/>
        <x:v>4.7565169706313606</x:v>
      </x:c>
      <x:c r="AF78" s="9" t="n">
        <x:f>DEGREES((2*PI()/Inputs!$C$13)*Inputs!$C$15*SIN(RADIANS(AE78)))</x:f>
        <x:v>29.851761212069313</x:v>
      </x:c>
      <x:c r="AG78" s="9">
        <x:f t="shared" si="29"/>
        <x:v>0.98735423967319902</x:v>
      </x:c>
      <x:c r="AH78" s="9">
        <x:f t="shared" si="30"/>
        <x:v>-5.5270046412439655E-2</x:v>
      </x:c>
      <x:c r="AI78" s="9">
        <x:f t="shared" si="31"/>
        <x:v>-257.85873950880011</x:v>
      </x:c>
      <x:c r="AJ78" s="9">
        <x:f t="shared" si="32"/>
        <x:v>-3.0620420499415246</x:v>
      </x:c>
      <x:c r="AK78" s="9">
        <x:f t="shared" si="33"/>
        <x:v>460.70743652236001</x:v>
      </x:c>
      <x:c r="AL78" s="9" t="n">
        <x:f>1000*(AA79-AA77)/(A79-A77)*Inputs!$C$11</x:f>
        <x:v>-652.0274199199321</x:v>
      </x:c>
      <x:c r="AM78" s="9" t="n">
        <x:f>-2*AL78/Inputs!$C$13</x:f>
        <x:v>260.81096796797283</x:v>
      </x:c>
      <x:c r="AN78" s="9" t="n">
        <x:f>-2*AL78/Inputs!$C$14</x:f>
        <x:v>39.16080600119712</x:v>
      </x:c>
      <x:c r="AO78" s="9">
        <x:f t="shared" si="34"/>
        <x:v>260.81096796797283</x:v>
      </x:c>
      <x:c r="AP78" s="9">
        <x:f t="shared" si="35"/>
        <x:v>39.160806001197123</x:v>
      </x:c>
      <x:c r="AQ78" s="9" t="n">
        <x:f>IF(OR(Inputs!$C$27=TRUE,Inputs!$C$27="TRUE",Inputs!$C$27=1),Inputs!$C$46/Inputs!$C$12,0)</x:f>
        <x:v>42.13483146067416</x:v>
      </x:c>
      <x:c r="AR78" s="9">
        <x:f t="shared" si="36"/>
        <x:v>675.19068991961626</x:v>
      </x:c>
      <x:c r="AS78" s="9">
        <x:f t="shared" si="37"/>
        <x:v>759.46035284096456</x:v>
      </x:c>
    </x:row>
    <x:row r="79">
      <x:c r="A79" s="9" t="n">
        <x:f>Inputs!$C$7+77*(Inputs!$C$8-Inputs!$C$7)/240</x:f>
        <x:v>-21.5</x:v>
      </x:c>
      <x:c r="B79" s="9" t="n">
        <x:f>Inputs!$C$5+Inputs!$C$9*(A79/Inputs!$C$10)^2</x:f>
        <x:v>400.5136111111111</x:v>
      </x:c>
      <x:c r="C79" s="9">
        <x:f t="shared" si="19"/>
        <x:v>400.51361111111112</x:v>
      </x:c>
      <x:c r="D79" s="9" t="n">
        <x:f>SQRT((Inputs!$C$52+B79)^2+Inputs!$C$52^2-2*(Inputs!$C$52+B79)*Inputs!$C$52*COS(SQRT(A79^2+Inputs!$C$6^2)/Inputs!$C$52))</x:f>
        <x:v>402.2155501865945</x:v>
      </x:c>
      <x:c r="E79" s="9">
        <x:f t="shared" si="20"/>
        <x:v>1701.9390754833807</x:v>
      </x:c>
      <x:c r="F79" s="9" t="n">
        <x:f>E79/Inputs!$C$12</x:f>
        <x:v>956.1455480243712</x:v>
      </x:c>
      <x:c r="G79" s="9" t="n">
        <x:f>2*E79/Inputs!$C$21*1000000</x:f>
        <x:v>11.354115355919866</x:v>
      </x:c>
      <x:c r="H79" s="9" t="n">
        <x:f>SQRT(A79^2+Inputs!$C$6^2)</x:f>
        <x:v>32.973474187595095</x:v>
      </x:c>
      <x:c r="I79" s="9">
        <x:f t="shared" si="21"/>
        <x:v>4.7064313676414065</x:v>
      </x:c>
      <x:c r="J79" s="9" t="n">
        <x:f>DEGREES((2*PI()/Inputs!$C$13)*Inputs!$C$15*SIN(RADIANS(I79)))</x:f>
        <x:v>29.538136514134884</x:v>
      </x:c>
      <x:c r="K79" s="9">
        <x:f t="shared" si="22"/>
        <x:v>0.98318148454221788</x:v>
      </x:c>
      <x:c r="L79" s="9">
        <x:f t="shared" si="23"/>
        <x:v>-7.3663087595809085E-2</x:v>
      </x:c>
      <x:c r="M79" s="9" t="n">
        <x:f>2*(Inputs!$C$9/(Inputs!$C$10^2))*A79</x:f>
        <x:v>-0.04777777777777778</x:v>
      </x:c>
      <x:c r="N79" s="9" t="n">
        <x:f>M79*Inputs!$C$11</x:f>
        <x:v>-0.19111111111111112</x:v>
      </x:c>
      <x:c r="O79" s="9" t="n">
        <x:f>1000*(D80-D78)/(A80-A78)*Inputs!$C$11</x:f>
        <x:v>-459.12988767804563</x:v>
      </x:c>
      <x:c r="P79" s="9" t="n">
        <x:f>-2*O79/Inputs!$C$13</x:f>
        <x:v>183.65195507121825</x:v>
      </x:c>
      <x:c r="Q79" s="9" t="n">
        <x:f>-2*O79/Inputs!$C$14</x:f>
        <x:v>27.575368629312052</x:v>
      </x:c>
      <x:c r="R79" s="9" t="n">
        <x:f>F79-Inputs!$C$16/2</x:f>
        <x:v>941.1455480243712</x:v>
      </x:c>
      <x:c r="S79" s="9" t="n">
        <x:f>F79+Inputs!$C$16/2</x:f>
        <x:v>971.1455480243712</x:v>
      </x:c>
      <x:c r="T79" s="9" t="n">
        <x:f>F79-Inputs!$C$17/2</x:f>
        <x:v>806.1455480243712</x:v>
      </x:c>
      <x:c r="U79" s="9" t="n">
        <x:f>F79+Inputs!$C$17/2</x:f>
        <x:v>1106.1455480243712</x:v>
      </x:c>
      <x:c r="V79" s="9">
        <x:f t="shared" si="24"/>
        <x:v>183.65195507121825</x:v>
      </x:c>
      <x:c r="W79" s="9">
        <x:f t="shared" si="25"/>
        <x:v>27.575368629312052</x:v>
      </x:c>
      <x:c r="X79" s="9"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x:f>
        <x:v>-156.9345481530768</x:v>
      </x:c>
      <x:c r="Y79" s="9"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x:f>
        <x:v>332.44947759769417</x:v>
      </x:c>
      <x:c r="Z79" s="9">
        <x:f t="shared" si="26"/>
        <x:v>400.67054565926418</x:v>
      </x:c>
      <x:c r="AA79" s="9" t="n">
        <x:f>SQRT((Inputs!$C$52+B79)^2+(Inputs!$C$52+Y79/1000)^2-2*(Inputs!$C$52+B79)*(Inputs!$C$52+Y79/1000)*COS(SQRT(A79^2+Inputs!$C$6^2)/Inputs!$C$52))</x:f>
        <x:v>401.88487064327154</x:v>
      </x:c>
      <x:c r="AB79" s="9">
        <x:f t="shared" si="27"/>
        <x:v>1214.3249840073622</x:v>
      </x:c>
      <x:c r="AC79" s="9" t="n">
        <x:f>AB79/Inputs!$C$12</x:f>
        <x:v>682.2050471951474</x:v>
      </x:c>
      <x:c r="AD79" s="9" t="n">
        <x:f>2*AB79/Inputs!$C$21*1000000</x:f>
        <x:v>8.101104291338524</x:v>
      </x:c>
      <x:c r="AE79" s="9">
        <x:f t="shared" si="28"/>
        <x:v>4.7103236377752786</x:v>
      </x:c>
      <x:c r="AF79" s="9" t="n">
        <x:f>DEGREES((2*PI()/Inputs!$C$13)*Inputs!$C$15*SIN(RADIANS(AE79)))</x:f>
        <x:v>29.562509839810836</x:v>
      </x:c>
      <x:c r="AG79" s="9">
        <x:f t="shared" si="29"/>
        <x:v>0.98796837212917232</x:v>
      </x:c>
      <x:c r="AH79" s="9">
        <x:f t="shared" si="30"/>
        <x:v>-5.2569582763748901E-2</x:v>
      </x:c>
      <x:c r="AI79" s="9">
        <x:f t="shared" si="31"/>
        <x:v>-273.94050082922388</x:v>
      </x:c>
      <x:c r="AJ79" s="9">
        <x:f t="shared" si="32"/>
        <x:v>-3.2530110645813419</x:v>
      </x:c>
      <x:c r="AK79" s="9">
        <x:f t="shared" si="33"/>
        <x:v>489.384025750771</x:v>
      </x:c>
      <x:c r="AL79" s="9" t="n">
        <x:f>1000*(AA80-AA78)/(A80-A78)*Inputs!$C$11</x:f>
        <x:v>-464.6059807009806</x:v>
      </x:c>
      <x:c r="AM79" s="9" t="n">
        <x:f>-2*AL79/Inputs!$C$13</x:f>
        <x:v>185.84239228039223</x:v>
      </x:c>
      <x:c r="AN79" s="9" t="n">
        <x:f>-2*AL79/Inputs!$C$14</x:f>
        <x:v>27.904263105164002</x:v>
      </x:c>
      <x:c r="AO79" s="9">
        <x:f t="shared" si="34"/>
        <x:v>185.84239228039223</x:v>
      </x:c>
      <x:c r="AP79" s="9">
        <x:f t="shared" si="35"/>
        <x:v>27.904263105164002</x:v>
      </x:c>
      <x:c r="AQ79" s="9" t="n">
        <x:f>IF(OR(Inputs!$C$27=TRUE,Inputs!$C$27="TRUE",Inputs!$C$27=1),Inputs!$C$46/Inputs!$C$12,0)</x:f>
        <x:v>42.13483146067416</x:v>
      </x:c>
      <x:c r="AR79" s="9">
        <x:f t="shared" si="36"/>
        <x:v>640.07021573447321</x:v>
      </x:c>
      <x:c r="AS79" s="9">
        <x:f t="shared" si="37"/>
        <x:v>724.33987865582151</x:v>
      </x:c>
    </x:row>
    <x:row r="80">
      <x:c r="A80" s="9" t="n">
        <x:f>Inputs!$C$7+78*(Inputs!$C$8-Inputs!$C$7)/240</x:f>
        <x:v>-21</x:v>
      </x:c>
      <x:c r="B80" s="9" t="n">
        <x:f>Inputs!$C$5+Inputs!$C$9*(A80/Inputs!$C$10)^2</x:f>
        <x:v>400.49</x:v>
      </x:c>
      <x:c r="C80" s="9">
        <x:f t="shared" si="19"/>
        <x:v>400.49</x:v>
      </x:c>
      <x:c r="D80" s="9" t="n">
        <x:f>SQRT((Inputs!$C$52+B80)^2+Inputs!$C$52^2-2*(Inputs!$C$52+B80)*Inputs!$C$52*COS(SQRT(A80^2+Inputs!$C$6^2)/Inputs!$C$52))</x:f>
        <x:v>402.15882329024083</x:v>
      </x:c>
      <x:c r="E80" s="9">
        <x:f t="shared" si="20"/>
        <x:v>1668.8232902408231</x:v>
      </x:c>
      <x:c r="F80" s="9" t="n">
        <x:f>E80/Inputs!$C$12</x:f>
        <x:v>937.5411742925972</x:v>
      </x:c>
      <x:c r="G80" s="9" t="n">
        <x:f>2*E80/Inputs!$C$21*1000000</x:f>
        <x:v>11.133190617095666</x:v>
      </x:c>
      <x:c r="H80" s="9" t="n">
        <x:f>SQRT(A80^2+Inputs!$C$6^2)</x:f>
        <x:v>32.64965543462902</x:v>
      </x:c>
      <x:c r="I80" s="9">
        <x:f t="shared" si="21"/>
        <x:v>4.6606896104389781</x:v>
      </x:c>
      <x:c r="J80" s="9" t="n">
        <x:f>DEGREES((2*PI()/Inputs!$C$13)*Inputs!$C$15*SIN(RADIANS(I80)))</x:f>
        <x:v>29.251692268127087</x:v>
      </x:c>
      <x:c r="K80" s="9">
        <x:f t="shared" si="22"/>
        <x:v>0.98350438362674375</x:v>
      </x:c>
      <x:c r="L80" s="9">
        <x:f t="shared" si="23"/>
        <x:v>-7.2237000246009542E-2</x:v>
      </x:c>
      <x:c r="M80" s="9" t="n">
        <x:f>2*(Inputs!$C$9/(Inputs!$C$10^2))*A80</x:f>
        <x:v>-0.04666666666666667</x:v>
      </x:c>
      <x:c r="N80" s="9" t="n">
        <x:f>M80*Inputs!$C$11</x:f>
        <x:v>-0.18666666666666668</x:v>
      </x:c>
      <x:c r="O80" s="9" t="n">
        <x:f>1000*(D81-D79)/(A81-A79)*Inputs!$C$11</x:f>
        <x:v>-448.49880820765975</x:v>
      </x:c>
      <x:c r="P80" s="9" t="n">
        <x:f>-2*O80/Inputs!$C$13</x:f>
        <x:v>179.3995232830639</x:v>
      </x:c>
      <x:c r="Q80" s="9" t="n">
        <x:f>-2*O80/Inputs!$C$14</x:f>
        <x:v>26.936865357817403</x:v>
      </x:c>
      <x:c r="R80" s="9" t="n">
        <x:f>F80-Inputs!$C$16/2</x:f>
        <x:v>922.5411742925972</x:v>
      </x:c>
      <x:c r="S80" s="9" t="n">
        <x:f>F80+Inputs!$C$16/2</x:f>
        <x:v>952.5411742925972</x:v>
      </x:c>
      <x:c r="T80" s="9" t="n">
        <x:f>F80-Inputs!$C$17/2</x:f>
        <x:v>787.5411742925972</x:v>
      </x:c>
      <x:c r="U80" s="9" t="n">
        <x:f>F80+Inputs!$C$17/2</x:f>
        <x:v>1087.5411742925971</x:v>
      </x:c>
      <x:c r="V80" s="9">
        <x:f t="shared" si="24"/>
        <x:v>179.3995232830639</x:v>
      </x:c>
      <x:c r="W80" s="9">
        <x:f t="shared" si="25"/>
        <x:v>26.936865357817403</x:v>
      </x:c>
      <x:c r="X80" s="9"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x:f>
        <x:v>-142.37794992196604</x:v>
      </x:c>
      <x:c r="Y80" s="9"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x:f>
        <x:v>317.91812880175183</x:v>
      </x:c>
      <x:c r="Z80" s="9">
        <x:f t="shared" si="26"/>
        <x:v>400.63237794992199</x:v>
      </x:c>
      <x:c r="AA80" s="9" t="n">
        <x:f>SQRT((Inputs!$C$52+B80)^2+(Inputs!$C$52+Y80/1000)^2-2*(Inputs!$C$52+B80)*(Inputs!$C$52+Y80/1000)*COS(SQRT(A80^2+Inputs!$C$6^2)/Inputs!$C$52))</x:f>
        <x:v>401.84256493900415</x:v>
      </x:c>
      <x:c r="AB80" s="9">
        <x:f t="shared" si="27"/>
        <x:v>1210.1869890821604</x:v>
      </x:c>
      <x:c r="AC80" s="9" t="n">
        <x:f>AB80/Inputs!$C$12</x:f>
        <x:v>679.880330945034</x:v>
      </x:c>
      <x:c r="AD80" s="9" t="n">
        <x:f>2*AB80/Inputs!$C$21*1000000</x:f>
        <x:v>8.073498560675334</x:v>
      </x:c>
      <x:c r="AE80" s="9">
        <x:f t="shared" si="28"/>
        <x:v>4.6643759804572689</x:v>
      </x:c>
      <x:c r="AF80" s="9" t="n">
        <x:f>DEGREES((2*PI()/Inputs!$C$13)*Inputs!$C$15*SIN(RADIANS(AE80)))</x:f>
        <x:v>29.274777764853685</x:v>
      </x:c>
      <x:c r="AG80" s="9">
        <x:f t="shared" si="29"/>
        <x:v>0.98800792974504725</x:v>
      </x:c>
      <x:c r="AH80" s="9">
        <x:f t="shared" si="30"/>
        <x:v>-5.2395697537719318E-2</x:v>
      </x:c>
      <x:c r="AI80" s="9">
        <x:f t="shared" si="31"/>
        <x:v>-257.66084334756329</x:v>
      </x:c>
      <x:c r="AJ80" s="9">
        <x:f t="shared" si="32"/>
        <x:v>-3.0596920564203316</x:v>
      </x:c>
      <x:c r="AK80" s="9">
        <x:f t="shared" si="33"/>
        <x:v>460.29607872371787</x:v>
      </x:c>
      <x:c r="AL80" s="9" t="n">
        <x:f>1000*(AA81-AA79)/(A81-A79)*Inputs!$C$11</x:f>
        <x:v>-492.26696746541165</x:v>
      </x:c>
      <x:c r="AM80" s="9" t="n">
        <x:f>-2*AL80/Inputs!$C$13</x:f>
        <x:v>196.90678698616466</x:v>
      </x:c>
      <x:c r="AN80" s="9" t="n">
        <x:f>-2*AL80/Inputs!$C$14</x:f>
        <x:v>29.565583631556258</x:v>
      </x:c>
      <x:c r="AO80" s="9">
        <x:f t="shared" si="34"/>
        <x:v>196.90678698616466</x:v>
      </x:c>
      <x:c r="AP80" s="9">
        <x:f t="shared" si="35"/>
        <x:v>29.565583631556258</x:v>
      </x:c>
      <x:c r="AQ80" s="9" t="n">
        <x:f>IF(OR(Inputs!$C$27=TRUE,Inputs!$C$27="TRUE",Inputs!$C$27=1),Inputs!$C$46/Inputs!$C$12,0)</x:f>
        <x:v>42.13483146067416</x:v>
      </x:c>
      <x:c r="AR80" s="9">
        <x:f t="shared" si="36"/>
        <x:v>637.74549948435981</x:v>
      </x:c>
      <x:c r="AS80" s="9">
        <x:f t="shared" si="37"/>
        <x:v>722.01516240570811</x:v>
      </x:c>
    </x:row>
    <x:row r="81">
      <x:c r="A81" s="9" t="n">
        <x:f>Inputs!$C$7+79*(Inputs!$C$8-Inputs!$C$7)/240</x:f>
        <x:v>-20.5</x:v>
      </x:c>
      <x:c r="B81" s="9" t="n">
        <x:f>Inputs!$C$5+Inputs!$C$9*(A81/Inputs!$C$10)^2</x:f>
        <x:v>400.46694444444444</x:v>
      </x:c>
      <x:c r="C81" s="9">
        <x:f t="shared" si="19"/>
        <x:v>400.46694444444444</x:v>
      </x:c>
      <x:c r="D81" s="9" t="n">
        <x:f>SQRT((Inputs!$C$52+B81)^2+Inputs!$C$52^2-2*(Inputs!$C$52+B81)*Inputs!$C$52*COS(SQRT(A81^2+Inputs!$C$6^2)/Inputs!$C$52))</x:f>
        <x:v>402.1034254845426</x:v>
      </x:c>
      <x:c r="E81" s="9">
        <x:f t="shared" si="20"/>
        <x:v>1636.4810400981469</x:v>
      </x:c>
      <x:c r="F81" s="9" t="n">
        <x:f>E81/Inputs!$C$12</x:f>
        <x:v>919.3713708416556</x:v>
      </x:c>
      <x:c r="G81" s="9" t="n">
        <x:f>2*E81/Inputs!$C$21*1000000</x:f>
        <x:v>10.917426348985384</x:v>
      </x:c>
      <x:c r="H81" s="9" t="n">
        <x:f>SQRT(A81^2+Inputs!$C$6^2)</x:f>
        <x:v>32.33032632065442</x:v>
      </x:c>
      <x:c r="I81" s="9">
        <x:f t="shared" si="21"/>
        <x:v>4.6155683136934407</x:v>
      </x:c>
      <x:c r="J81" s="9" t="n">
        <x:f>DEGREES((2*PI()/Inputs!$C$13)*Inputs!$C$15*SIN(RADIANS(I81)))</x:f>
        <x:v>28.96911520563834</x:v>
      </x:c>
      <x:c r="K81" s="9">
        <x:f t="shared" si="22"/>
        <x:v>0.98381990516909135</x:v>
      </x:c>
      <x:c r="L81" s="9">
        <x:f t="shared" si="23"/>
        <x:v>-7.0843948101851545E-2</x:v>
      </x:c>
      <x:c r="M81" s="9" t="n">
        <x:f>2*(Inputs!$C$9/(Inputs!$C$10^2))*A81</x:f>
        <x:v>-0.04555555555555556</x:v>
      </x:c>
      <x:c r="N81" s="9" t="n">
        <x:f>M81*Inputs!$C$11</x:f>
        <x:v>-0.18222222222222223</x:v>
      </x:c>
      <x:c r="O81" s="9" t="n">
        <x:f>1000*(D82-D80)/(A82-A80)*Inputs!$C$11</x:f>
        <x:v>-437.8644747530416</x:v>
      </x:c>
      <x:c r="P81" s="9" t="n">
        <x:f>-2*O81/Inputs!$C$13</x:f>
        <x:v>175.14578990121663</x:v>
      </x:c>
      <x:c r="Q81" s="9" t="n">
        <x:f>-2*O81/Inputs!$C$14</x:f>
        <x:v>26.298166651834332</x:v>
      </x:c>
      <x:c r="R81" s="9" t="n">
        <x:f>F81-Inputs!$C$16/2</x:f>
        <x:v>904.3713708416556</x:v>
      </x:c>
      <x:c r="S81" s="9" t="n">
        <x:f>F81+Inputs!$C$16/2</x:f>
        <x:v>934.3713708416556</x:v>
      </x:c>
      <x:c r="T81" s="9" t="n">
        <x:f>F81-Inputs!$C$17/2</x:f>
        <x:v>769.3713708416556</x:v>
      </x:c>
      <x:c r="U81" s="9" t="n">
        <x:f>F81+Inputs!$C$17/2</x:f>
        <x:v>1069.3713708416556</x:v>
      </x:c>
      <x:c r="V81" s="9">
        <x:f t="shared" si="24"/>
        <x:v>175.14578990121663</x:v>
      </x:c>
      <x:c r="W81" s="9">
        <x:f t="shared" si="25"/>
        <x:v>26.298166651834332</x:v>
      </x:c>
      <x:c r="X81" s="9"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x:f>
        <x:v>-140.5508651158499</x:v>
      </x:c>
      <x:c r="Y81" s="9"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x:f>
        <x:v>343.37986587370784</x:v>
      </x:c>
      <x:c r="Z81" s="9">
        <x:f t="shared" si="26"/>
        <x:v>400.60749530956031</x:v>
      </x:c>
      <x:c r="AA81" s="9" t="n">
        <x:f>SQRT((Inputs!$C$52+B81)^2+(Inputs!$C$52+Y81/1000)^2-2*(Inputs!$C$52+B81)*(Inputs!$C$52+Y81/1000)*COS(SQRT(A81^2+Inputs!$C$6^2)/Inputs!$C$52))</x:f>
        <x:v>401.7618039014052</x:v>
      </x:c>
      <x:c r="AB81" s="9">
        <x:f t="shared" si="27"/>
        <x:v>1154.308591844881</x:v>
      </x:c>
      <x:c r="AC81" s="9" t="n">
        <x:f>AB81/Inputs!$C$12</x:f>
        <x:v>648.4879729465623</x:v>
      </x:c>
      <x:c r="AD81" s="9" t="n">
        <x:f>2*AB81/Inputs!$C$21*1000000</x:f>
        <x:v>7.700718020363814</x:v>
      </x:c>
      <x:c r="AE81" s="9">
        <x:f t="shared" si="28"/>
        <x:v>4.6195121870629334</x:v>
      </x:c>
      <x:c r="AF81" s="9" t="n">
        <x:f>DEGREES((2*PI()/Inputs!$C$13)*Inputs!$C$15*SIN(RADIANS(AE81)))</x:f>
        <x:v>28.9938148636184</x:v>
      </x:c>
      <x:c r="AG81" s="9">
        <x:f t="shared" si="29"/>
        <x:v>0.98855696676687344</x:v>
      </x:c>
      <x:c r="AH81" s="9">
        <x:f t="shared" si="30"/>
        <x:v>-4.9982988949267615E-2</x:v>
      </x:c>
      <x:c r="AI81" s="9">
        <x:f t="shared" si="31"/>
        <x:v>-270.88339789509325</x:v>
      </x:c>
      <x:c r="AJ81" s="9">
        <x:f t="shared" si="32"/>
        <x:v>-3.2167083286215696</x:v>
      </x:c>
      <x:c r="AK81" s="9">
        <x:f t="shared" si="33"/>
        <x:v>483.93073098955773</x:v>
      </x:c>
      <x:c r="AL81" s="9" t="n">
        <x:f>1000*(AA82-AA80)/(A82-A80)*Inputs!$C$11</x:f>
        <x:v>-518.6710302721167</x:v>
      </x:c>
      <x:c r="AM81" s="9" t="n">
        <x:f>-2*AL81/Inputs!$C$13</x:f>
        <x:v>207.46841210884668</x:v>
      </x:c>
      <x:c r="AN81" s="9" t="n">
        <x:f>-2*AL81/Inputs!$C$14</x:f>
        <x:v>31.15141322955656</x:v>
      </x:c>
      <x:c r="AO81" s="9">
        <x:f t="shared" si="34"/>
        <x:v>207.46841210884668</x:v>
      </x:c>
      <x:c r="AP81" s="9">
        <x:f t="shared" si="35"/>
        <x:v>31.15141322955656</x:v>
      </x:c>
      <x:c r="AQ81" s="9" t="n">
        <x:f>IF(OR(Inputs!$C$27=TRUE,Inputs!$C$27="TRUE",Inputs!$C$27=1),Inputs!$C$46/Inputs!$C$12,0)</x:f>
        <x:v>42.13483146067416</x:v>
      </x:c>
      <x:c r="AR81" s="9">
        <x:f t="shared" si="36"/>
        <x:v>606.35314148588816</x:v>
      </x:c>
      <x:c r="AS81" s="9">
        <x:f t="shared" si="37"/>
        <x:v>690.62280440723646</x:v>
      </x:c>
    </x:row>
    <x:row r="82">
      <x:c r="A82" s="9" t="n">
        <x:f>Inputs!$C$7+80*(Inputs!$C$8-Inputs!$C$7)/240</x:f>
        <x:v>-20</x:v>
      </x:c>
      <x:c r="B82" s="9" t="n">
        <x:f>Inputs!$C$5+Inputs!$C$9*(A82/Inputs!$C$10)^2</x:f>
        <x:v>400.44444444444446</x:v>
      </x:c>
      <x:c r="C82" s="9">
        <x:f t="shared" si="19"/>
        <x:v>400.44444444444446</x:v>
      </x:c>
      <x:c r="D82" s="9" t="n">
        <x:f>SQRT((Inputs!$C$52+B82)^2+Inputs!$C$52^2-2*(Inputs!$C$52+B82)*Inputs!$C$52*COS(SQRT(A82^2+Inputs!$C$6^2)/Inputs!$C$52))</x:f>
        <x:v>402.0493571715526</x:v>
      </x:c>
      <x:c r="E82" s="9">
        <x:f t="shared" si="20"/>
        <x:v>1604.9127271081147</x:v>
      </x:c>
      <x:c r="F82" s="9" t="n">
        <x:f>E82/Inputs!$C$12</x:f>
        <x:v>901.6363635438846</x:v>
      </x:c>
      <x:c r="G82" s="9" t="n">
        <x:f>2*E82/Inputs!$C$21*1000000</x:f>
        <x:v>10.70682523379634</x:v>
      </x:c>
      <x:c r="H82" s="9" t="n">
        <x:f>SQRT(A82^2+Inputs!$C$6^2)</x:f>
        <x:v>32.01562118716424</x:v>
      </x:c>
      <x:c r="I82" s="9">
        <x:f t="shared" si="21"/>
        <x:v>4.5710871679965557</x:v>
      </x:c>
      <x:c r="J82" s="9" t="n">
        <x:f>DEGREES((2*PI()/Inputs!$C$13)*Inputs!$C$15*SIN(RADIANS(I82)))</x:f>
        <x:v>28.69052957284685</x:v>
      </x:c>
      <x:c r="K82" s="9">
        <x:f t="shared" si="22"/>
        <x:v>0.98412803365021539</x:v>
      </x:c>
      <x:c r="L82" s="9">
        <x:f t="shared" si="23"/>
        <x:v>-6.9483968017792788E-2</x:v>
      </x:c>
      <x:c r="M82" s="9" t="n">
        <x:f>2*(Inputs!$C$9/(Inputs!$C$10^2))*A82</x:f>
        <x:v>-0.044444444444444446</x:v>
      </x:c>
      <x:c r="N82" s="9" t="n">
        <x:f>M82*Inputs!$C$11</x:f>
        <x:v>-0.17777777777777778</x:v>
      </x:c>
      <x:c r="O82" s="9" t="n">
        <x:f>1000*(D83-D81)/(A83-A81)*Inputs!$C$11</x:f>
        <x:v>-427.2269625973877</x:v>
      </x:c>
      <x:c r="P82" s="9" t="n">
        <x:f>-2*O82/Inputs!$C$13</x:f>
        <x:v>170.89078503895507</x:v>
      </x:c>
      <x:c r="Q82" s="9" t="n">
        <x:f>-2*O82/Inputs!$C$14</x:f>
        <x:v>25.65927703287614</x:v>
      </x:c>
      <x:c r="R82" s="9" t="n">
        <x:f>F82-Inputs!$C$16/2</x:f>
        <x:v>886.6363635438846</x:v>
      </x:c>
      <x:c r="S82" s="9" t="n">
        <x:f>F82+Inputs!$C$16/2</x:f>
        <x:v>916.6363635438846</x:v>
      </x:c>
      <x:c r="T82" s="9" t="n">
        <x:f>F82-Inputs!$C$17/2</x:f>
        <x:v>751.6363635438846</x:v>
      </x:c>
      <x:c r="U82" s="9" t="n">
        <x:f>F82+Inputs!$C$17/2</x:f>
        <x:v>1051.6363635438847</x:v>
      </x:c>
      <x:c r="V82" s="9">
        <x:f t="shared" si="24"/>
        <x:v>170.89078503895507</x:v>
      </x:c>
      <x:c r="W82" s="9">
        <x:f t="shared" si="25"/>
        <x:v>25.65927703287614</x:v>
      </x:c>
      <x:c r="X82" s="9"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x:f>
        <x:v>-146.32822187126578</x:v>
      </x:c>
      <x:c r="Y82" s="9"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x:f>
        <x:v>338.15830709992554</x:v>
      </x:c>
      <x:c r="Z82" s="9">
        <x:f t="shared" si="26"/>
        <x:v>400.59077266631573</x:v>
      </x:c>
      <x:c r="AA82" s="9" t="n">
        <x:f>SQRT((Inputs!$C$52+B82)^2+(Inputs!$C$52+Y82/1000)^2-2*(Inputs!$C$52+B82)*(Inputs!$C$52+Y82/1000)*COS(SQRT(A82^2+Inputs!$C$6^2)/Inputs!$C$52))</x:f>
        <x:v>401.7128971814361</x:v>
      </x:c>
      <x:c r="AB82" s="9">
        <x:f t="shared" si="27"/>
        <x:v>1122.1245151203902</x:v>
      </x:c>
      <x:c r="AC82" s="9" t="n">
        <x:f>AB82/Inputs!$C$12</x:f>
        <x:v>630.4070309665113</x:v>
      </x:c>
      <x:c r="AD82" s="9" t="n">
        <x:f>2*AB82/Inputs!$C$21*1000000</x:f>
        <x:v>7.486008971715961</x:v>
      </x:c>
      <x:c r="AE82" s="9">
        <x:f t="shared" si="28"/>
        <x:v>4.574934126079313</x:v>
      </x:c>
      <x:c r="AF82" s="9" t="n">
        <x:f>DEGREES((2*PI()/Inputs!$C$13)*Inputs!$C$15*SIN(RADIANS(AE82)))</x:f>
        <x:v>28.714623775595047</x:v>
      </x:c>
      <x:c r="AG82" s="9">
        <x:f t="shared" si="29"/>
        <x:v>0.98887333173862668</x:v>
      </x:c>
      <x:c r="AH82" s="9">
        <x:f t="shared" si="30"/>
        <x:v>-4.8593351471010918E-2</x:v>
      </x:c>
      <x:c r="AI82" s="9">
        <x:f t="shared" si="31"/>
        <x:v>-271.22933257737327</x:v>
      </x:c>
      <x:c r="AJ82" s="9">
        <x:f t="shared" si="32"/>
        <x:v>-3.2208162620803797</x:v>
      </x:c>
      <x:c r="AK82" s="9">
        <x:f t="shared" si="33"/>
        <x:v>484.48652897109304</x:v>
      </x:c>
      <x:c r="AL82" s="9" t="n">
        <x:f>1000*(AA83-AA81)/(A83-A81)*Inputs!$C$11</x:f>
        <x:v>-508.82909495953754</x:v>
      </x:c>
      <x:c r="AM82" s="9" t="n">
        <x:f>-2*AL82/Inputs!$C$13</x:f>
        <x:v>203.53163798381502</x:v>
      </x:c>
      <x:c r="AN82" s="9" t="n">
        <x:f>-2*AL82/Inputs!$C$14</x:f>
        <x:v>30.560306003575832</x:v>
      </x:c>
      <x:c r="AO82" s="9">
        <x:f t="shared" si="34"/>
        <x:v>203.53163798381502</x:v>
      </x:c>
      <x:c r="AP82" s="9">
        <x:f t="shared" si="35"/>
        <x:v>30.560306003575832</x:v>
      </x:c>
      <x:c r="AQ82" s="9" t="n">
        <x:f>IF(OR(Inputs!$C$27=TRUE,Inputs!$C$27="TRUE",Inputs!$C$27=1),Inputs!$C$46/Inputs!$C$12,0)</x:f>
        <x:v>42.13483146067416</x:v>
      </x:c>
      <x:c r="AR82" s="9">
        <x:f t="shared" si="36"/>
        <x:v>588.27219950583719</x:v>
      </x:c>
      <x:c r="AS82" s="9">
        <x:f t="shared" si="37"/>
        <x:v>672.54186242718549</x:v>
      </x:c>
    </x:row>
    <x:row r="83">
      <x:c r="A83" s="9" t="n">
        <x:f>Inputs!$C$7+81*(Inputs!$C$8-Inputs!$C$7)/240</x:f>
        <x:v>-19.5</x:v>
      </x:c>
      <x:c r="B83" s="9" t="n">
        <x:f>Inputs!$C$5+Inputs!$C$9*(A83/Inputs!$C$10)^2</x:f>
        <x:v>400.4225</x:v>
      </x:c>
      <x:c r="C83" s="9">
        <x:f t="shared" si="19"/>
        <x:v>400.42250000000001</x:v>
      </x:c>
      <x:c r="D83" s="9" t="n">
        <x:f>SQRT((Inputs!$C$52+B83)^2+Inputs!$C$52^2-2*(Inputs!$C$52+B83)*Inputs!$C$52*COS(SQRT(A83^2+Inputs!$C$6^2)/Inputs!$C$52))</x:f>
        <x:v>401.99661874389324</x:v>
      </x:c>
      <x:c r="E83" s="9">
        <x:f t="shared" si="20"/>
        <x:v>1574.1187438932229</x:v>
      </x:c>
      <x:c r="F83" s="9" t="n">
        <x:f>E83/Inputs!$C$12</x:f>
        <x:v>884.3363729737207</x:v>
      </x:c>
      <x:c r="G83" s="9" t="n">
        <x:f>2*E83/Inputs!$C$21*1000000</x:f>
        <x:v>10.50138989082389</x:v>
      </x:c>
      <x:c r="H83" s="9" t="n">
        <x:f>SQRT(A83^2+Inputs!$C$6^2)</x:f>
        <x:v>31.70567772497538</x:v>
      </x:c>
      <x:c r="I83" s="9">
        <x:f t="shared" si="21"/>
        <x:v>4.527266340904271</x:v>
      </x:c>
      <x:c r="J83" s="9" t="n">
        <x:f>DEGREES((2*PI()/Inputs!$C$13)*Inputs!$C$15*SIN(RADIANS(I83)))</x:f>
        <x:v>28.416062609031858</x:v>
      </x:c>
      <x:c r="K83" s="9">
        <x:f t="shared" si="22"/>
        <x:v>0.98442875390109563</x:v>
      </x:c>
      <x:c r="L83" s="9">
        <x:f t="shared" si="23"/>
        <x:v>-6.815709599260511E-2</x:v>
      </x:c>
      <x:c r="M83" s="9" t="n">
        <x:f>2*(Inputs!$C$9/(Inputs!$C$10^2))*A83</x:f>
        <x:v>-0.043333333333333335</x:v>
      </x:c>
      <x:c r="N83" s="9" t="n">
        <x:f>M83*Inputs!$C$11</x:f>
        <x:v>-0.17333333333333334</x:v>
      </x:c>
      <x:c r="O83" s="9" t="n">
        <x:f>1000*(D84-D82)/(A84-A82)*Inputs!$C$11</x:f>
        <x:v>-416.5863471978355</x:v>
      </x:c>
      <x:c r="P83" s="9" t="n">
        <x:f>-2*O83/Inputs!$C$13</x:f>
        <x:v>166.6345388791342</x:v>
      </x:c>
      <x:c r="Q83" s="9" t="n">
        <x:f>-2*O83/Inputs!$C$14</x:f>
        <x:v>25.020201032903035</x:v>
      </x:c>
      <x:c r="R83" s="9" t="n">
        <x:f>F83-Inputs!$C$16/2</x:f>
        <x:v>869.3363729737207</x:v>
      </x:c>
      <x:c r="S83" s="9" t="n">
        <x:f>F83+Inputs!$C$16/2</x:f>
        <x:v>899.3363729737207</x:v>
      </x:c>
      <x:c r="T83" s="9" t="n">
        <x:f>F83-Inputs!$C$17/2</x:f>
        <x:v>734.3363729737207</x:v>
      </x:c>
      <x:c r="U83" s="9" t="n">
        <x:f>F83+Inputs!$C$17/2</x:f>
        <x:v>1034.3363729737207</x:v>
      </x:c>
      <x:c r="V83" s="9">
        <x:f t="shared" si="24"/>
        <x:v>166.6345388791342</x:v>
      </x:c>
      <x:c r="W83" s="9">
        <x:f t="shared" si="25"/>
        <x:v>25.020201032903035</x:v>
      </x:c>
      <x:c r="X83" s="9"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x:f>
        <x:v>-140.0483381286437</x:v>
      </x:c>
      <x:c r="Y83" s="9"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x:f>
        <x:v>363.81454233496186</x:v>
      </x:c>
      <x:c r="Z83" s="9">
        <x:f t="shared" si="26"/>
        <x:v>400.56254833812864</x:v>
      </x:c>
      <x:c r="AA83" s="9" t="n">
        <x:f>SQRT((Inputs!$C$52+B83)^2+(Inputs!$C$52+Y83/1000)^2-2*(Inputs!$C$52+B83)*(Inputs!$C$52+Y83/1000)*COS(SQRT(A83^2+Inputs!$C$6^2)/Inputs!$C$52))</x:f>
        <x:v>401.6345966276653</x:v>
      </x:c>
      <x:c r="AB83" s="9">
        <x:f t="shared" si="27"/>
        <x:v>1072.0482895366672</x:v>
      </x:c>
      <x:c r="AC83" s="9" t="n">
        <x:f>AB83/Inputs!$C$12</x:f>
        <x:v>602.2743199644198</x:v>
      </x:c>
      <x:c r="AD83" s="9" t="n">
        <x:f>2*AB83/Inputs!$C$21*1000000</x:f>
        <x:v>7.151936354160499</x:v>
      </x:c>
      <x:c r="AE83" s="9">
        <x:f t="shared" si="28"/>
        <x:v>4.5313663116157459</x:v>
      </x:c>
      <x:c r="AF83" s="9" t="n">
        <x:f>DEGREES((2*PI()/Inputs!$C$13)*Inputs!$C$15*SIN(RADIANS(AE83)))</x:f>
        <x:v>28.441743035048873</x:v>
      </x:c>
      <x:c r="AG83" s="9">
        <x:f t="shared" si="29"/>
        <x:v>0.98936582014032459</x:v>
      </x:c>
      <x:c r="AH83" s="9">
        <x:f t="shared" si="30"/>
        <x:v>-4.6430973889167039E-2</x:v>
      </x:c>
      <x:c r="AI83" s="9">
        <x:f t="shared" si="31"/>
        <x:v>-282.06205300930094</x:v>
      </x:c>
      <x:c r="AJ83" s="9">
        <x:f t="shared" si="32"/>
        <x:v>-3.3494535366633915</x:v>
      </x:c>
      <x:c r="AK83" s="9">
        <x:f t="shared" si="33"/>
        <x:v>503.86288046356873</x:v>
      </x:c>
      <x:c r="AL83" s="9" t="n">
        <x:f>1000*(AA84-AA82)/(A84-A82)*Inputs!$C$11</x:f>
        <x:v>-548.3156674090424</x:v>
      </x:c>
      <x:c r="AM83" s="9" t="n">
        <x:f>-2*AL83/Inputs!$C$13</x:f>
        <x:v>219.32626696361694</x:v>
      </x:c>
      <x:c r="AN83" s="9" t="n">
        <x:f>-2*AL83/Inputs!$C$14</x:f>
        <x:v>32.931871916459</x:v>
      </x:c>
      <x:c r="AO83" s="9">
        <x:f t="shared" si="34"/>
        <x:v>219.32626696543593</x:v>
      </x:c>
      <x:c r="AP83" s="9">
        <x:f t="shared" si="35"/>
        <x:v>32.931871916732128</x:v>
      </x:c>
      <x:c r="AQ83" s="9" t="n">
        <x:f>IF(OR(Inputs!$C$27=TRUE,Inputs!$C$27="TRUE",Inputs!$C$27=1),Inputs!$C$46/Inputs!$C$12,0)</x:f>
        <x:v>42.13483146067416</x:v>
      </x:c>
      <x:c r="AR83" s="9">
        <x:f t="shared" si="36"/>
        <x:v>560.13948850374561</x:v>
      </x:c>
      <x:c r="AS83" s="9">
        <x:f t="shared" si="37"/>
        <x:v>644.40915142509391</x:v>
      </x:c>
    </x:row>
    <x:row r="84">
      <x:c r="A84" s="9" t="n">
        <x:f>Inputs!$C$7+82*(Inputs!$C$8-Inputs!$C$7)/240</x:f>
        <x:v>-19</x:v>
      </x:c>
      <x:c r="B84" s="9" t="n">
        <x:f>Inputs!$C$5+Inputs!$C$9*(A84/Inputs!$C$10)^2</x:f>
        <x:v>400.4011111111111</x:v>
      </x:c>
      <x:c r="C84" s="9">
        <x:f t="shared" si="19"/>
        <x:v>400.40111111111111</x:v>
      </x:c>
      <x:c r="D84" s="9" t="n">
        <x:f>SQRT((Inputs!$C$52+B84)^2+Inputs!$C$52^2-2*(Inputs!$C$52+B84)*Inputs!$C$52*COS(SQRT(A84^2+Inputs!$C$6^2)/Inputs!$C$52))</x:f>
        <x:v>401.9452105847531</x:v>
      </x:c>
      <x:c r="E84" s="9">
        <x:f t="shared" si="20"/>
        <x:v>1544.0994736420066</x:v>
      </x:c>
      <x:c r="F84" s="9" t="n">
        <x:f>E84/Inputs!$C$12</x:f>
        <x:v>867.4716144056217</x:v>
      </x:c>
      <x:c r="G84" s="9" t="n">
        <x:f>2*E84/Inputs!$C$21*1000000</x:f>
        <x:v>10.301122876426774</x:v>
      </x:c>
      <x:c r="H84" s="9" t="n">
        <x:f>SQRT(A84^2+Inputs!$C$6^2)</x:f>
        <x:v>31.400636936215164</x:v>
      </x:c>
      <x:c r="I84" s="9">
        <x:f t="shared" si="21"/>
        <x:v>4.4841264712495112</x:v>
      </x:c>
      <x:c r="J84" s="9" t="n">
        <x:f>DEGREES((2*PI()/Inputs!$C$13)*Inputs!$C$15*SIN(RADIANS(I84)))</x:f>
        <x:v>28.14584451050467</x:v>
      </x:c>
      <x:c r="K84" s="9">
        <x:f t="shared" si="22"/>
        <x:v>0.98472205110430033</x:v>
      </x:c>
      <x:c r="L84" s="9">
        <x:f t="shared" si="23"/>
        <x:v>-6.6863367167696114E-2</x:v>
      </x:c>
      <x:c r="M84" s="9" t="n">
        <x:f>2*(Inputs!$C$9/(Inputs!$C$10^2))*A84</x:f>
        <x:v>-0.042222222222222223</x:v>
      </x:c>
      <x:c r="N84" s="9" t="n">
        <x:f>M84*Inputs!$C$11</x:f>
        <x:v>-0.1688888888888889</x:v>
      </x:c>
      <x:c r="O84" s="9" t="n">
        <x:f>1000*(D85-D83)/(A85-A83)*Inputs!$C$11</x:f>
        <x:v>-405.9427041381696</x:v>
      </x:c>
      <x:c r="P84" s="9" t="n">
        <x:f>-2*O84/Inputs!$C$13</x:f>
        <x:v>162.37708165526783</x:v>
      </x:c>
      <x:c r="Q84" s="9" t="n">
        <x:f>-2*O84/Inputs!$C$14</x:f>
        <x:v>24.38094319148166</x:v>
      </x:c>
      <x:c r="R84" s="9" t="n">
        <x:f>F84-Inputs!$C$16/2</x:f>
        <x:v>852.4716144056217</x:v>
      </x:c>
      <x:c r="S84" s="9" t="n">
        <x:f>F84+Inputs!$C$16/2</x:f>
        <x:v>882.4716144056217</x:v>
      </x:c>
      <x:c r="T84" s="9" t="n">
        <x:f>F84-Inputs!$C$17/2</x:f>
        <x:v>717.4716144056217</x:v>
      </x:c>
      <x:c r="U84" s="9" t="n">
        <x:f>F84+Inputs!$C$17/2</x:f>
        <x:v>1017.4716144056217</x:v>
      </x:c>
      <x:c r="V84" s="9">
        <x:f t="shared" si="24"/>
        <x:v>162.37708165526783</x:v>
      </x:c>
      <x:c r="W84" s="9">
        <x:f t="shared" si="25"/>
        <x:v>24.380943191481659</x:v>
      </x:c>
      <x:c r="X84" s="9"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x:f>
        <x:v>-144.88352309984418</x:v>
      </x:c>
      <x:c r="Y84" s="9"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x:f>
        <x:v>371.18641988344854</x:v>
      </x:c>
      <x:c r="Z84" s="9">
        <x:f t="shared" si="26"/>
        <x:v>400.54599463421096</x:v>
      </x:c>
      <x:c r="AA84" s="9" t="n">
        <x:f>SQRT((Inputs!$C$52+B84)^2+(Inputs!$C$52+Y84/1000)^2-2*(Inputs!$C$52+B84)*(Inputs!$C$52+Y84/1000)*COS(SQRT(A84^2+Inputs!$C$6^2)/Inputs!$C$52))</x:f>
        <x:v>401.57581826458386</x:v>
      </x:c>
      <x:c r="AB84" s="9">
        <x:f t="shared" si="27"/>
        <x:v>1029.8236303717658</x:v>
      </x:c>
      <x:c r="AC84" s="9" t="n">
        <x:f>AB84/Inputs!$C$12</x:f>
        <x:v>578.5526013324527</x:v>
      </x:c>
      <x:c r="AD84" s="9" t="n">
        <x:f>2*AB84/Inputs!$C$21*1000000</x:f>
        <x:v>6.870243749572685</x:v>
      </x:c>
      <x:c r="AE84" s="9">
        <x:f t="shared" si="28"/>
        <x:v>4.4882702842637761</x:v>
      </x:c>
      <x:c r="AF84" s="9" t="n">
        <x:f>DEGREES((2*PI()/Inputs!$C$13)*Inputs!$C$15*SIN(RADIANS(AE84)))</x:f>
        <x:v>28.171801085504747</x:v>
      </x:c>
      <x:c r="AG84" s="9">
        <x:f t="shared" si="29"/>
        <x:v>0.98978156606627465</x:v>
      </x:c>
      <x:c r="AH84" s="9">
        <x:f t="shared" si="30"/>
        <x:v>-4.4606388560878674E-2</x:v>
      </x:c>
      <x:c r="AI84" s="9">
        <x:f t="shared" si="31"/>
        <x:v>-288.91901307316903</x:v>
      </x:c>
      <x:c r="AJ84" s="9">
        <x:f t="shared" si="32"/>
        <x:v>-3.430879126854089</x:v>
      </x:c>
      <x:c r="AK84" s="9">
        <x:f t="shared" si="33"/>
        <x:v>516.06994298326822</x:v>
      </x:c>
      <x:c r="AL84" s="9" t="n">
        <x:f>1000*(AA85-AA83)/(A85-A83)*Inputs!$C$11</x:f>
        <x:v>-413.6711414948877</x:v>
      </x:c>
      <x:c r="AM84" s="9" t="n">
        <x:f>-2*AL84/Inputs!$C$13</x:f>
        <x:v>165.46845659795508</x:v>
      </x:c>
      <x:c r="AN84" s="9" t="n">
        <x:f>-2*AL84/Inputs!$C$14</x:f>
        <x:v>24.84511360329656</x:v>
      </x:c>
      <x:c r="AO84" s="9">
        <x:f t="shared" si="34"/>
        <x:v>165.46845659795508</x:v>
      </x:c>
      <x:c r="AP84" s="9">
        <x:f t="shared" si="35"/>
        <x:v>24.845113603296561</x:v>
      </x:c>
      <x:c r="AQ84" s="9" t="n">
        <x:f>IF(OR(Inputs!$C$27=TRUE,Inputs!$C$27="TRUE",Inputs!$C$27=1),Inputs!$C$46/Inputs!$C$12,0)</x:f>
        <x:v>42.13483146067416</x:v>
      </x:c>
      <x:c r="AR84" s="9">
        <x:f t="shared" si="36"/>
        <x:v>536.41776987177855</x:v>
      </x:c>
      <x:c r="AS84" s="9">
        <x:f t="shared" si="37"/>
        <x:v>620.68743279312685</x:v>
      </x:c>
    </x:row>
    <x:row r="85">
      <x:c r="A85" s="9" t="n">
        <x:f>Inputs!$C$7+83*(Inputs!$C$8-Inputs!$C$7)/240</x:f>
        <x:v>-18.5</x:v>
      </x:c>
      <x:c r="B85" s="9" t="n">
        <x:f>Inputs!$C$5+Inputs!$C$9*(A85/Inputs!$C$10)^2</x:f>
        <x:v>400.3802777777778</x:v>
      </x:c>
      <x:c r="C85" s="9">
        <x:f t="shared" si="19"/>
        <x:v>400.38027777777779</x:v>
      </x:c>
      <x:c r="D85" s="9" t="n">
        <x:f>SQRT((Inputs!$C$52+B85)^2+Inputs!$C$52^2-2*(Inputs!$C$52+B85)*Inputs!$C$52*COS(SQRT(A85^2+Inputs!$C$6^2)/Inputs!$C$52))</x:f>
        <x:v>401.8951330678587</x:v>
      </x:c>
      <x:c r="E85" s="9">
        <x:f t="shared" si="20"/>
        <x:v>1514.8552900809023</x:v>
      </x:c>
      <x:c r="F85" s="9" t="n">
        <x:f>E85/Inputs!$C$12</x:f>
        <x:v>851.0422977982597</x:v>
      </x:c>
      <x:c r="G85" s="9" t="n">
        <x:f>2*E85/Inputs!$C$21*1000000</x:f>
        <x:v>10.106026683839406</x:v>
      </x:c>
      <x:c r="H85" s="9" t="n">
        <x:f>SQRT(A85^2+Inputs!$C$6^2)</x:f>
        <x:v>31.100643080167973</x:v>
      </x:c>
      <x:c r="I85" s="9">
        <x:f t="shared" si="21"/>
        <x:v>4.4416886611294961</x:v>
      </x:c>
      <x:c r="J85" s="9" t="n">
        <x:f>DEGREES((2*PI()/Inputs!$C$13)*Inputs!$C$15*SIN(RADIANS(I85)))</x:f>
        <x:v>27.88000837991527</x:v>
      </x:c>
      <x:c r="K85" s="9">
        <x:f t="shared" si="22"/>
        <x:v>0.98500791079576167</x:v>
      </x:c>
      <x:c r="L85" s="9">
        <x:f t="shared" si="23"/>
        <x:v>-6.560281582438357E-2</x:v>
      </x:c>
      <x:c r="M85" s="9" t="n">
        <x:f>2*(Inputs!$C$9/(Inputs!$C$10^2))*A85</x:f>
        <x:v>-0.04111111111111111</x:v>
      </x:c>
      <x:c r="N85" s="9" t="n">
        <x:f>M85*Inputs!$C$11</x:f>
        <x:v>-0.16444444444444445</x:v>
      </x:c>
      <x:c r="O85" s="9" t="n">
        <x:f>1000*(D86-D84)/(A86-A84)*Inputs!$C$11</x:f>
        <x:v>-395.2961091731595</x:v>
      </x:c>
      <x:c r="P85" s="9" t="n">
        <x:f>-2*O85/Inputs!$C$13</x:f>
        <x:v>158.1184436692638</x:v>
      </x:c>
      <x:c r="Q85" s="9" t="n">
        <x:f>-2*O85/Inputs!$C$14</x:f>
        <x:v>23.74150805844802</x:v>
      </x:c>
      <x:c r="R85" s="9" t="n">
        <x:f>F85-Inputs!$C$16/2</x:f>
        <x:v>836.0422977982597</x:v>
      </x:c>
      <x:c r="S85" s="9" t="n">
        <x:f>F85+Inputs!$C$16/2</x:f>
        <x:v>866.0422977982597</x:v>
      </x:c>
      <x:c r="T85" s="9" t="n">
        <x:f>F85-Inputs!$C$17/2</x:f>
        <x:v>701.0422977982597</x:v>
      </x:c>
      <x:c r="U85" s="9" t="n">
        <x:f>F85+Inputs!$C$17/2</x:f>
        <x:v>1001.0422977982597</x:v>
      </x:c>
      <x:c r="V85" s="9">
        <x:f t="shared" si="24"/>
        <x:v>158.1184436692638</x:v>
      </x:c>
      <x:c r="W85" s="9">
        <x:f t="shared" si="25"/>
        <x:v>23.741508058448019</x:v>
      </x:c>
      <x:c r="X85" s="9"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x:f>
        <x:v>-136.66366560462208</x:v>
      </x:c>
      <x:c r="Y85" s="9"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x:f>
        <x:v>365.6884368087795</x:v>
      </x:c>
      <x:c r="Z85" s="9">
        <x:f t="shared" si="26"/>
        <x:v>400.51694144338239</x:v>
      </x:c>
      <x:c r="AA85" s="9" t="n">
        <x:f>SQRT((Inputs!$C$52+B85)^2+(Inputs!$C$52+Y85/1000)^2-2*(Inputs!$C$52+B85)*(Inputs!$C$52+Y85/1000)*COS(SQRT(A85^2+Inputs!$C$6^2)/Inputs!$C$52))</x:f>
        <x:v>401.5311788422916</x:v>
      </x:c>
      <x:c r="AB85" s="9">
        <x:f t="shared" si="27"/>
        <x:v>1014.237398909188</x:v>
      </x:c>
      <x:c r="AC85" s="9" t="n">
        <x:f>AB85/Inputs!$C$12</x:f>
        <x:v>569.7962915220157</x:v>
      </x:c>
      <x:c r="AD85" s="9" t="n">
        <x:f>2*AB85/Inputs!$C$21*1000000</x:f>
        <x:v>6.76626360566541</x:v>
      </x:c>
      <x:c r="AE85" s="9">
        <x:f t="shared" si="28"/>
        <x:v>4.4457329275082635</x:v>
      </x:c>
      <x:c r="AF85" s="9" t="n">
        <x:f>DEGREES((2*PI()/Inputs!$C$13)*Inputs!$C$15*SIN(RADIANS(AE85)))</x:f>
        <x:v>27.905342868215158</x:v>
      </x:c>
      <x:c r="AG85" s="9">
        <x:f t="shared" si="29"/>
        <x:v>0.98993451977113611</x:v>
      </x:c>
      <x:c r="AH85" s="9">
        <x:f t="shared" si="30"/>
        <x:v>-4.3935313040349554E-2</x:v>
      </x:c>
      <x:c r="AI85" s="9">
        <x:f t="shared" si="31"/>
        <x:v>-281.24600627624397</x:v>
      </x:c>
      <x:c r="AJ85" s="9">
        <x:f t="shared" si="32"/>
        <x:v>-3.3397630781739966</x:v>
      </x:c>
      <x:c r="AK85" s="9">
        <x:f t="shared" si="33"/>
        <x:v>502.35210241340155</x:v>
      </x:c>
      <x:c r="AL85" s="9" t="n">
        <x:f>1000*(AA86-AA84)/(A86-A84)*Inputs!$C$11</x:f>
        <x:v>-478.51718714287017</x:v>
      </x:c>
      <x:c r="AM85" s="9" t="n">
        <x:f>-2*AL85/Inputs!$C$13</x:f>
        <x:v>191.40687485714807</x:v>
      </x:c>
      <x:c r="AN85" s="9" t="n">
        <x:f>-2*AL85/Inputs!$C$14</x:f>
        <x:v>28.739770999571785</x:v>
      </x:c>
      <x:c r="AO85" s="9">
        <x:f t="shared" si="34"/>
        <x:v>191.40687485532908</x:v>
      </x:c>
      <x:c r="AP85" s="9">
        <x:f t="shared" si="35"/>
        <x:v>28.739770999298663</x:v>
      </x:c>
      <x:c r="AQ85" s="9" t="n">
        <x:f>IF(OR(Inputs!$C$27=TRUE,Inputs!$C$27="TRUE",Inputs!$C$27=1),Inputs!$C$46/Inputs!$C$12,0)</x:f>
        <x:v>42.13483146067416</x:v>
      </x:c>
      <x:c r="AR85" s="9">
        <x:f t="shared" si="36"/>
        <x:v>527.66146006134159</x:v>
      </x:c>
      <x:c r="AS85" s="9">
        <x:f t="shared" si="37"/>
        <x:v>611.93112298268989</x:v>
      </x:c>
    </x:row>
    <x:row r="86">
      <x:c r="A86" s="9" t="n">
        <x:f>Inputs!$C$7+84*(Inputs!$C$8-Inputs!$C$7)/240</x:f>
        <x:v>-18</x:v>
      </x:c>
      <x:c r="B86" s="9" t="n">
        <x:f>Inputs!$C$5+Inputs!$C$9*(A86/Inputs!$C$10)^2</x:f>
        <x:v>400.36</x:v>
      </x:c>
      <x:c r="C86" s="9">
        <x:f t="shared" si="19"/>
        <x:v>400.36</x:v>
      </x:c>
      <x:c r="D86" s="9" t="n">
        <x:f>SQRT((Inputs!$C$52+B86)^2+Inputs!$C$52^2-2*(Inputs!$C$52+B86)*Inputs!$C$52*COS(SQRT(A86^2+Inputs!$C$6^2)/Inputs!$C$52))</x:f>
        <x:v>401.8463865574598</x:v>
      </x:c>
      <x:c r="E86" s="9">
        <x:f t="shared" si="20"/>
        <x:v>1486.3865574598094</x:v>
      </x:c>
      <x:c r="F86" s="9" t="n">
        <x:f>E86/Inputs!$C$12</x:f>
        <x:v>835.0486277864097</x:v>
      </x:c>
      <x:c r="G86" s="9" t="n">
        <x:f>2*E86/Inputs!$C$21*1000000</x:f>
        <x:v>9.916103743075547</x:v>
      </x:c>
      <x:c r="H86" s="9" t="n">
        <x:f>SQRT(A86^2+Inputs!$C$6^2)</x:f>
        <x:v>30.805843601498726</x:v>
      </x:c>
      <x:c r="I86" s="9">
        <x:f t="shared" si="21"/>
        <x:v>4.3999744653546005</x:v>
      </x:c>
      <x:c r="J86" s="9" t="n">
        <x:f>DEGREES((2*PI()/Inputs!$C$13)*Inputs!$C$15*SIN(RADIANS(I86)))</x:f>
        <x:v>27.618690159596383</x:v>
      </x:c>
      <x:c r="K86" s="9">
        <x:f t="shared" si="22"/>
        <x:v>0.98528631886637685</x:v>
      </x:c>
      <x:c r="L86" s="9">
        <x:f t="shared" si="23"/>
        <x:v>-6.4375475381824754E-2</x:v>
      </x:c>
      <x:c r="M86" s="9" t="n">
        <x:f>2*(Inputs!$C$9/(Inputs!$C$10^2))*A86</x:f>
        <x:v>-0.04</x:v>
      </x:c>
      <x:c r="N86" s="9" t="n">
        <x:f>M86*Inputs!$C$11</x:f>
        <x:v>-0.16</x:v>
      </x:c>
      <x:c r="O86" s="9" t="n">
        <x:f>1000*(D87-D85)/(A87-A85)*Inputs!$C$11</x:f>
        <x:v>-384.64663819468115</x:v>
      </x:c>
      <x:c r="P86" s="9" t="n">
        <x:f>-2*O86/Inputs!$C$13</x:f>
        <x:v>153.85865527787246</x:v>
      </x:c>
      <x:c r="Q86" s="9" t="n">
        <x:f>-2*O86/Inputs!$C$14</x:f>
        <x:v>23.101900191872744</x:v>
      </x:c>
      <x:c r="R86" s="9" t="n">
        <x:f>F86-Inputs!$C$16/2</x:f>
        <x:v>820.0486277864097</x:v>
      </x:c>
      <x:c r="S86" s="9" t="n">
        <x:f>F86+Inputs!$C$16/2</x:f>
        <x:v>850.0486277864097</x:v>
      </x:c>
      <x:c r="T86" s="9" t="n">
        <x:f>F86-Inputs!$C$17/2</x:f>
        <x:v>685.0486277864097</x:v>
      </x:c>
      <x:c r="U86" s="9" t="n">
        <x:f>F86+Inputs!$C$17/2</x:f>
        <x:v>985.0486277864097</x:v>
      </x:c>
      <x:c r="V86" s="9">
        <x:f t="shared" si="24"/>
        <x:v>153.85865527787246</x:v>
      </x:c>
      <x:c r="W86" s="9">
        <x:f t="shared" si="25"/>
        <x:v>23.101900191872744</x:v>
      </x:c>
      <x:c r="X86" s="9"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x:f>
        <x:v>-149.12259877495586</x:v>
      </x:c>
      <x:c r="Y86" s="9"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x:f>
        <x:v>392.0220541536099</x:v>
      </x:c>
      <x:c r="Z86" s="9">
        <x:f t="shared" si="26"/>
        <x:v>400.50912259877498</x:v>
      </x:c>
      <x:c r="AA86" s="9" t="n">
        <x:f>SQRT((Inputs!$C$52+B86)^2+(Inputs!$C$52+Y86/1000)^2-2*(Inputs!$C$52+B86)*(Inputs!$C$52+Y86/1000)*COS(SQRT(A86^2+Inputs!$C$6^2)/Inputs!$C$52))</x:f>
        <x:v>401.45618896779814</x:v>
      </x:c>
      <x:c r="AB86" s="9">
        <x:f t="shared" si="27"/>
        <x:v>947.06636902316177</x:v>
      </x:c>
      <x:c r="AC86" s="9" t="n">
        <x:f>AB86/Inputs!$C$12</x:f>
        <x:v>532.0597578781808</x:v>
      </x:c>
      <x:c r="AD86" s="9" t="n">
        <x:f>2*AB86/Inputs!$C$21*1000000</x:f>
        <x:v>6.318146729516203</x:v>
      </x:c>
      <x:c r="AE86" s="9">
        <x:f t="shared" si="28"/>
        <x:v>4.4042700683100708</x:v>
      </x:c>
      <x:c r="AF86" s="9" t="n">
        <x:f>DEGREES((2*PI()/Inputs!$C$13)*Inputs!$C$15*SIN(RADIANS(AE86)))</x:f>
        <x:v>27.645600605826974</x:v>
      </x:c>
      <x:c r="AG86" s="9">
        <x:f t="shared" si="29"/>
        <x:v>0.99059702794289461</x:v>
      </x:c>
      <x:c r="AH86" s="9">
        <x:f t="shared" si="30"/>
        <x:v>-4.1029793516821199E-2</x:v>
      </x:c>
      <x:c r="AI86" s="9">
        <x:f t="shared" si="31"/>
        <x:v>-302.98886990822893</x:v>
      </x:c>
      <x:c r="AJ86" s="9">
        <x:f t="shared" si="32"/>
        <x:v>-3.5979570135593448</x:v>
      </x:c>
      <x:c r="AK86" s="9">
        <x:f t="shared" si="33"/>
        <x:v>541.14465292856573</x:v>
      </x:c>
      <x:c r="AL86" s="9" t="n">
        <x:f>1000*(AA87-AA85)/(A87-A85)*Inputs!$C$11</x:f>
        <x:v>-509.85866365749644</x:v>
      </x:c>
      <x:c r="AM86" s="9" t="n">
        <x:f>-2*AL86/Inputs!$C$13</x:f>
        <x:v>203.94346546299857</x:v>
      </x:c>
      <x:c r="AN86" s="9" t="n">
        <x:f>-2*AL86/Inputs!$C$14</x:f>
        <x:v>30.6221419614112</x:v>
      </x:c>
      <x:c r="AO86" s="9">
        <x:f t="shared" si="34"/>
        <x:v>203.94346546299857</x:v>
      </x:c>
      <x:c r="AP86" s="9">
        <x:f t="shared" si="35"/>
        <x:v>30.622141961411199</x:v>
      </x:c>
      <x:c r="AQ86" s="9" t="n">
        <x:f>IF(OR(Inputs!$C$27=TRUE,Inputs!$C$27="TRUE",Inputs!$C$27=1),Inputs!$C$46/Inputs!$C$12,0)</x:f>
        <x:v>42.13483146067416</x:v>
      </x:c>
      <x:c r="AR86" s="9">
        <x:f t="shared" si="36"/>
        <x:v>489.92492641750664</x:v>
      </x:c>
      <x:c r="AS86" s="9">
        <x:f t="shared" si="37"/>
        <x:v>574.19458933885494</x:v>
      </x:c>
    </x:row>
    <x:row r="87">
      <x:c r="A87" s="9" t="n">
        <x:f>Inputs!$C$7+85*(Inputs!$C$8-Inputs!$C$7)/240</x:f>
        <x:v>-17.5</x:v>
      </x:c>
      <x:c r="B87" s="9" t="n">
        <x:f>Inputs!$C$5+Inputs!$C$9*(A87/Inputs!$C$10)^2</x:f>
        <x:v>400.34027777777777</x:v>
      </x:c>
      <x:c r="C87" s="9">
        <x:f t="shared" si="19"/>
        <x:v>400.34027777777777</x:v>
      </x:c>
      <x:c r="D87" s="9" t="n">
        <x:f>SQRT((Inputs!$C$52+B87)^2+Inputs!$C$52^2-2*(Inputs!$C$52+B87)*Inputs!$C$52*COS(SQRT(A87^2+Inputs!$C$6^2)/Inputs!$C$52))</x:f>
        <x:v>401.79897140831</x:v>
      </x:c>
      <x:c r="E87" s="9">
        <x:f t="shared" si="20"/>
        <x:v>1458.6936305322524</x:v>
      </x:c>
      <x:c r="F87" s="9" t="n">
        <x:f>E87/Inputs!$C$12</x:f>
        <x:v>819.4908036698047</x:v>
      </x:c>
      <x:c r="G87" s="9" t="n">
        <x:f>2*E87/Inputs!$C$21*1000000</x:f>
        <x:v>9.731356420795965</x:v>
      </x:c>
      <x:c r="H87" s="9" t="n">
        <x:f>SQRT(A87^2+Inputs!$C$6^2)</x:f>
        <x:v>30.516389039334257</x:v>
      </x:c>
      <x:c r="I87" s="9">
        <x:f t="shared" si="21"/>
        <x:v>4.3590058781406578</x:v>
      </x:c>
      <x:c r="J87" s="9" t="n">
        <x:f>DEGREES((2*PI()/Inputs!$C$13)*Inputs!$C$15*SIN(RADIANS(I87)))</x:f>
        <x:v>27.3620285475742</x:v>
      </x:c>
      <x:c r="K87" s="9">
        <x:f t="shared" si="22"/>
        <x:v>0.98555726156363421</x:v>
      </x:c>
      <x:c r="L87" s="9">
        <x:f t="shared" si="23"/>
        <x:v>-6.3181378394721641E-2</x:v>
      </x:c>
      <x:c r="M87" s="9" t="n">
        <x:f>2*(Inputs!$C$9/(Inputs!$C$10^2))*A87</x:f>
        <x:v>-0.03888888888888889</x:v>
      </x:c>
      <x:c r="N87" s="9" t="n">
        <x:f>M87*Inputs!$C$11</x:f>
        <x:v>-0.15555555555555556</x:v>
      </x:c>
      <x:c r="O87" s="9" t="n">
        <x:f>1000*(D88-D86)/(A88-A86)*Inputs!$C$11</x:f>
        <x:v>-373.9943672410391</x:v>
      </x:c>
      <x:c r="P87" s="9" t="n">
        <x:f>-2*O87/Inputs!$C$13</x:f>
        <x:v>149.59774689641563</x:v>
      </x:c>
      <x:c r="Q87" s="9" t="n">
        <x:f>-2*O87/Inputs!$C$14</x:f>
        <x:v>22.462124158620966</x:v>
      </x:c>
      <x:c r="R87" s="9" t="n">
        <x:f>F87-Inputs!$C$16/2</x:f>
        <x:v>804.4908036698047</x:v>
      </x:c>
      <x:c r="S87" s="9" t="n">
        <x:f>F87+Inputs!$C$16/2</x:f>
        <x:v>834.4908036698047</x:v>
      </x:c>
      <x:c r="T87" s="9" t="n">
        <x:f>F87-Inputs!$C$17/2</x:f>
        <x:v>669.4908036698047</x:v>
      </x:c>
      <x:c r="U87" s="9" t="n">
        <x:f>F87+Inputs!$C$17/2</x:f>
        <x:v>969.4908036698047</x:v>
      </x:c>
      <x:c r="V87" s="9">
        <x:f t="shared" si="24"/>
        <x:v>149.59774689641563</x:v>
      </x:c>
      <x:c r="W87" s="9">
        <x:f t="shared" si="25"/>
        <x:v>22.462124158620966</x:v>
      </x:c>
      <x:c r="X87" s="9"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x:f>
        <x:v>-139.0731304771746</x:v>
      </x:c>
      <x:c r="Y87" s="9"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x:f>
        <x:v>397.07097057156574</x:v>
      </x:c>
      <x:c r="Z87" s="9">
        <x:f t="shared" si="26"/>
        <x:v>400.47935090825496</x:v>
      </x:c>
      <x:c r="AA87" s="9" t="n">
        <x:f>SQRT((Inputs!$C$52+B87)^2+(Inputs!$C$52+Y87/1000)^2-2*(Inputs!$C$52+B87)*(Inputs!$C$52+Y87/1000)*COS(SQRT(A87^2+Inputs!$C$6^2)/Inputs!$C$52))</x:f>
        <x:v>401.4037141763772</x:v>
      </x:c>
      <x:c r="AB87" s="9">
        <x:f t="shared" si="27"/>
        <x:v>924.36326812224934</x:v>
      </x:c>
      <x:c r="AC87" s="9" t="n">
        <x:f>AB87/Inputs!$C$12</x:f>
        <x:v>519.3052068102525</x:v>
      </x:c>
      <x:c r="AD87" s="9" t="n">
        <x:f>2*AB87/Inputs!$C$21*1000000</x:f>
        <x:v>6.166687943312098</x:v>
      </x:c>
      <x:c r="AE87" s="9">
        <x:f t="shared" si="28"/>
        <x:v>4.3633168747250819</x:v>
      </x:c>
      <x:c r="AF87" s="9" t="n">
        <x:f>DEGREES((2*PI()/Inputs!$C$13)*Inputs!$C$15*SIN(RADIANS(AE87)))</x:f>
        <x:v>27.389036908924687</x:v>
      </x:c>
      <x:c r="AG87" s="9">
        <x:f t="shared" si="29"/>
        <x:v>0.990820461676994</x:v>
      </x:c>
      <x:c r="AH87" s="9">
        <x:f t="shared" si="30"/>
        <x:v>-4.0050332714541552E-2</x:v>
      </x:c>
      <x:c r="AI87" s="9">
        <x:f t="shared" si="31"/>
        <x:v>-300.18559685955222</x:v>
      </x:c>
      <x:c r="AJ87" s="9">
        <x:f t="shared" si="32"/>
        <x:v>-3.5646684774838668</x:v>
      </x:c>
      <x:c r="AK87" s="9">
        <x:f t="shared" si="33"/>
        <x:v>536.14410104874037</x:v>
      </x:c>
      <x:c r="AL87" s="9" t="n">
        <x:f>1000*(AA88-AA86)/(A88-A86)*Inputs!$C$11</x:f>
        <x:v>-331.8564581766168</x:v>
      </x:c>
      <x:c r="AM87" s="9" t="n">
        <x:f>-2*AL87/Inputs!$C$13</x:f>
        <x:v>132.74258327064672</x:v>
      </x:c>
      <x:c r="AN87" s="9" t="n">
        <x:f>-2*AL87/Inputs!$C$14</x:f>
        <x:v>19.931318809406417</x:v>
      </x:c>
      <x:c r="AO87" s="9">
        <x:f t="shared" si="34"/>
        <x:v>132.74258327064672</x:v>
      </x:c>
      <x:c r="AP87" s="9">
        <x:f t="shared" si="35"/>
        <x:v>19.931318809406417</x:v>
      </x:c>
      <x:c r="AQ87" s="9" t="n">
        <x:f>IF(OR(Inputs!$C$27=TRUE,Inputs!$C$27="TRUE",Inputs!$C$27=1),Inputs!$C$46/Inputs!$C$12,0)</x:f>
        <x:v>42.13483146067416</x:v>
      </x:c>
      <x:c r="AR87" s="9">
        <x:f t="shared" si="36"/>
        <x:v>477.17037534957831</x:v>
      </x:c>
      <x:c r="AS87" s="9">
        <x:f t="shared" si="37"/>
        <x:v>561.44003827092661</x:v>
      </x:c>
    </x:row>
    <x:row r="88">
      <x:c r="A88" s="9" t="n">
        <x:f>Inputs!$C$7+86*(Inputs!$C$8-Inputs!$C$7)/240</x:f>
        <x:v>-17</x:v>
      </x:c>
      <x:c r="B88" s="9" t="n">
        <x:f>Inputs!$C$5+Inputs!$C$9*(A88/Inputs!$C$10)^2</x:f>
        <x:v>400.3211111111111</x:v>
      </x:c>
      <x:c r="C88" s="9">
        <x:f t="shared" si="19"/>
        <x:v>400.32111111111112</x:v>
      </x:c>
      <x:c r="D88" s="9" t="n">
        <x:f>SQRT((Inputs!$C$52+B88)^2+Inputs!$C$52^2-2*(Inputs!$C$52+B88)*Inputs!$C$52*COS(SQRT(A88^2+Inputs!$C$6^2)/Inputs!$C$52))</x:f>
        <x:v>401.75288796564956</x:v>
      </x:c>
      <x:c r="E88" s="9">
        <x:f t="shared" si="20"/>
        <x:v>1431.7768545384411</x:v>
      </x:c>
      <x:c r="F88" s="9" t="n">
        <x:f>E88/Inputs!$C$12</x:f>
        <x:v>804.3690194036186</x:v>
      </x:c>
      <x:c r="G88" s="9" t="n">
        <x:f>2*E88/Inputs!$C$21*1000000</x:f>
        <x:v>9.551787020195425</x:v>
      </x:c>
      <x:c r="H88" s="9" t="n">
        <x:f>SQRT(A88^2+Inputs!$C$6^2)</x:f>
        <x:v>30.23243291566195</x:v>
      </x:c>
      <x:c r="I88" s="9">
        <x:f t="shared" si="21"/>
        <x:v>4.3188053168235525</x:v>
      </x:c>
      <x:c r="J88" s="9" t="n">
        <x:f>DEGREES((2*PI()/Inputs!$C$13)*Inputs!$C$15*SIN(RADIANS(I88)))</x:f>
        <x:v>27.110164894856272</x:v>
      </x:c>
      <x:c r="K88" s="9">
        <x:f t="shared" si="22"/>
        <x:v>0.98582072549317235</x:v>
      </x:c>
      <x:c r="L88" s="9">
        <x:f t="shared" si="23"/>
        <x:v>-6.202055655120494E-2</x:v>
      </x:c>
      <x:c r="M88" s="9" t="n">
        <x:f>2*(Inputs!$C$9/(Inputs!$C$10^2))*A88</x:f>
        <x:v>-0.03777777777777778</x:v>
      </x:c>
      <x:c r="N88" s="9" t="n">
        <x:f>M88*Inputs!$C$11</x:f>
        <x:v>-0.1511111111111111</x:v>
      </x:c>
      <x:c r="O88" s="9" t="n">
        <x:f>1000*(D89-D87)/(A89-A87)*Inputs!$C$11</x:f>
        <x:v>-363.33937246513415</x:v>
      </x:c>
      <x:c r="P88" s="9" t="n">
        <x:f>-2*O88/Inputs!$C$13</x:f>
        <x:v>145.33574898605366</x:v>
      </x:c>
      <x:c r="Q88" s="9" t="n">
        <x:f>-2*O88/Inputs!$C$14</x:f>
        <x:v>21.82218453244049</x:v>
      </x:c>
      <x:c r="R88" s="9" t="n">
        <x:f>F88-Inputs!$C$16/2</x:f>
        <x:v>789.3690194036186</x:v>
      </x:c>
      <x:c r="S88" s="9" t="n">
        <x:f>F88+Inputs!$C$16/2</x:f>
        <x:v>819.3690194036186</x:v>
      </x:c>
      <x:c r="T88" s="9" t="n">
        <x:f>F88-Inputs!$C$17/2</x:f>
        <x:v>654.3690194036186</x:v>
      </x:c>
      <x:c r="U88" s="9" t="n">
        <x:f>F88+Inputs!$C$17/2</x:f>
        <x:v>954.3690194036186</x:v>
      </x:c>
      <x:c r="V88" s="9">
        <x:f t="shared" si="24"/>
        <x:v>145.33574898605366</x:v>
      </x:c>
      <x:c r="W88" s="9">
        <x:f t="shared" si="25"/>
        <x:v>21.822184532440492</x:v>
      </x:c>
      <x:c r="X88" s="9"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x:f>
        <x:v>-125.70874899839603</x:v>
      </x:c>
      <x:c r="Y88" s="9"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x:f>
        <x:v>381.37310246850825</x:v>
      </x:c>
      <x:c r="Z88" s="9">
        <x:f t="shared" si="26"/>
        <x:v>400.44681986010954</x:v>
      </x:c>
      <x:c r="AA88" s="9" t="n">
        <x:f>SQRT((Inputs!$C$52+B88)^2+(Inputs!$C$52+Y88/1000)^2-2*(Inputs!$C$52+B88)*(Inputs!$C$52+Y88/1000)*COS(SQRT(A88^2+Inputs!$C$6^2)/Inputs!$C$52))</x:f>
        <x:v>401.373224853254</x:v>
      </x:c>
      <x:c r="AB88" s="9">
        <x:f t="shared" si="27"/>
        <x:v>926.40499314444469</x:v>
      </x:c>
      <x:c r="AC88" s="9" t="n">
        <x:f>AB88/Inputs!$C$12</x:f>
        <x:v>520.4522433395757</x:v>
      </x:c>
      <x:c r="AD88" s="9" t="n">
        <x:f>2*AB88/Inputs!$C$21*1000000</x:f>
        <x:v>6.180308866505539</x:v>
      </x:c>
      <x:c r="AE88" s="9">
        <x:f t="shared" si="28"/>
        <x:v>4.3229080237770967</x:v>
      </x:c>
      <x:c r="AF88" s="9" t="n">
        <x:f>DEGREES((2*PI()/Inputs!$C$13)*Inputs!$C$15*SIN(RADIANS(AE88)))</x:f>
        <x:v>27.135869695802725</x:v>
      </x:c>
      <x:c r="AG88" s="9">
        <x:f t="shared" si="29"/>
        <x:v>0.99079955980080514</x:v>
      </x:c>
      <x:c r="AH88" s="9">
        <x:f t="shared" si="30"/>
        <x:v>-4.0141950374760933E-2</x:v>
      </x:c>
      <x:c r="AI88" s="9">
        <x:f t="shared" si="31"/>
        <x:v>-283.91677606404289</x:v>
      </x:c>
      <x:c r="AJ88" s="9">
        <x:f t="shared" si="32"/>
        <x:v>-3.3714781536898863</x:v>
      </x:c>
      <x:c r="AK88" s="9">
        <x:f t="shared" si="33"/>
        <x:v>507.08185146690425</x:v>
      </x:c>
      <x:c r="AL88" s="9" t="n">
        <x:f>1000*(AA89-AA87)/(A89-A87)*Inputs!$C$11</x:f>
        <x:v>-324.0654424416789</x:v>
      </x:c>
      <x:c r="AM88" s="9" t="n">
        <x:f>-2*AL88/Inputs!$C$13</x:f>
        <x:v>129.62617697667156</x:v>
      </x:c>
      <x:c r="AN88" s="9" t="n">
        <x:f>-2*AL88/Inputs!$C$14</x:f>
        <x:v>19.463389936437174</x:v>
      </x:c>
      <x:c r="AO88" s="9">
        <x:f t="shared" si="34"/>
        <x:v>129.62617697667156</x:v>
      </x:c>
      <x:c r="AP88" s="9">
        <x:f t="shared" si="35"/>
        <x:v>19.463389936437174</x:v>
      </x:c>
      <x:c r="AQ88" s="9" t="n">
        <x:f>IF(OR(Inputs!$C$27=TRUE,Inputs!$C$27="TRUE",Inputs!$C$27=1),Inputs!$C$46/Inputs!$C$12,0)</x:f>
        <x:v>42.13483146067416</x:v>
      </x:c>
      <x:c r="AR88" s="9">
        <x:f t="shared" si="36"/>
        <x:v>478.31741187890157</x:v>
      </x:c>
      <x:c r="AS88" s="9">
        <x:f t="shared" si="37"/>
        <x:v>562.58707480024987</x:v>
      </x:c>
    </x:row>
    <x:row r="89">
      <x:c r="A89" s="9" t="n">
        <x:f>Inputs!$C$7+87*(Inputs!$C$8-Inputs!$C$7)/240</x:f>
        <x:v>-16.5</x:v>
      </x:c>
      <x:c r="B89" s="9" t="n">
        <x:f>Inputs!$C$5+Inputs!$C$9*(A89/Inputs!$C$10)^2</x:f>
        <x:v>400.3025</x:v>
      </x:c>
      <x:c r="C89" s="9">
        <x:f t="shared" si="19"/>
        <x:v>400.30250000000001</x:v>
      </x:c>
      <x:c r="D89" s="9" t="n">
        <x:f>SQRT((Inputs!$C$52+B89)^2+Inputs!$C$52^2-2*(Inputs!$C$52+B89)*Inputs!$C$52*COS(SQRT(A89^2+Inputs!$C$6^2)/Inputs!$C$52))</x:f>
        <x:v>401.70813656519374</x:v>
      </x:c>
      <x:c r="E89" s="9">
        <x:f t="shared" si="20"/>
        <x:v>1405.6365651937313</x:v>
      </x:c>
      <x:c r="F89" s="9" t="n">
        <x:f>E89/Inputs!$C$12</x:f>
        <x:v>789.6834635919838</x:v>
      </x:c>
      <x:c r="G89" s="9" t="n">
        <x:f>2*E89/Inputs!$C$21*1000000</x:f>
        <x:v>9.377397780925705</x:v>
      </x:c>
      <x:c r="H89" s="9" t="n">
        <x:f>SQRT(A89^2+Inputs!$C$6^2)</x:f>
        <x:v>29.95413160150032</x:v>
      </x:c>
      <x:c r="I89" s="9">
        <x:f t="shared" si="21"/>
        <x:v>4.2793956023743185</x:v>
      </x:c>
      <x:c r="J89" s="9" t="n">
        <x:f>DEGREES((2*PI()/Inputs!$C$13)*Inputs!$C$15*SIN(RADIANS(I89)))</x:f>
        <x:v>26.863243082603024</x:v>
      </x:c>
      <x:c r="K89" s="9">
        <x:f t="shared" si="22"/>
        <x:v>0.98607669762025285</x:v>
      </x:c>
      <x:c r="L89" s="9">
        <x:f t="shared" si="23"/>
        <x:v>-6.089304067098239E-2</x:v>
      </x:c>
      <x:c r="M89" s="9" t="n">
        <x:f>2*(Inputs!$C$9/(Inputs!$C$10^2))*A89</x:f>
        <x:v>-0.03666666666666667</x:v>
      </x:c>
      <x:c r="N89" s="9" t="n">
        <x:f>M89*Inputs!$C$11</x:f>
        <x:v>-0.14666666666666667</x:v>
      </x:c>
      <x:c r="O89" s="9" t="n">
        <x:f>1000*(D90-D88)/(A90-A88)*Inputs!$C$11</x:f>
        <x:v>-352.68173018312154</x:v>
      </x:c>
      <x:c r="P89" s="9" t="n">
        <x:f>-2*O89/Inputs!$C$13</x:f>
        <x:v>141.07269207324862</x:v>
      </x:c>
      <x:c r="Q89" s="9" t="n">
        <x:f>-2*O89/Inputs!$C$14</x:f>
        <x:v>21.18208589688418</x:v>
      </x:c>
      <x:c r="R89" s="9" t="n">
        <x:f>F89-Inputs!$C$16/2</x:f>
        <x:v>774.6834635919838</x:v>
      </x:c>
      <x:c r="S89" s="9" t="n">
        <x:f>F89+Inputs!$C$16/2</x:f>
        <x:v>804.6834635919838</x:v>
      </x:c>
      <x:c r="T89" s="9" t="n">
        <x:f>F89-Inputs!$C$17/2</x:f>
        <x:v>639.6834635919838</x:v>
      </x:c>
      <x:c r="U89" s="9" t="n">
        <x:f>F89+Inputs!$C$17/2</x:f>
        <x:v>939.6834635919838</x:v>
      </x:c>
      <x:c r="V89" s="9">
        <x:f t="shared" si="24"/>
        <x:v>141.07269207324862</x:v>
      </x:c>
      <x:c r="W89" s="9">
        <x:f t="shared" si="25"/>
        <x:v>21.182085896884178</x:v>
      </x:c>
      <x:c r="X89" s="9"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x:f>
        <x:v>-123.86861357235706</x:v>
      </x:c>
      <x:c r="Y89" s="9"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x:f>
        <x:v>387.1431058674635</x:v>
      </x:c>
      <x:c r="Z89" s="9">
        <x:f t="shared" si="26"/>
        <x:v>400.42636861357238</x:v>
      </x:c>
      <x:c r="AA89" s="9" t="n">
        <x:f>SQRT((Inputs!$C$52+B89)^2+(Inputs!$C$52+Y89/1000)^2-2*(Inputs!$C$52+B89)*(Inputs!$C$52+Y89/1000)*COS(SQRT(A89^2+Inputs!$C$6^2)/Inputs!$C$52))</x:f>
        <x:v>401.3226978157668</x:v>
      </x:c>
      <x:c r="AB89" s="9">
        <x:f t="shared" si="27"/>
        <x:v>896.32920219440848</x:v>
      </x:c>
      <x:c r="AC89" s="9" t="n">
        <x:f>AB89/Inputs!$C$12</x:f>
        <x:v>503.5557315698924</x:v>
      </x:c>
      <x:c r="AD89" s="9" t="n">
        <x:f>2*AB89/Inputs!$C$21*1000000</x:f>
        <x:v>5.979664786593187</x:v>
      </x:c>
      <x:c r="AE89" s="9">
        <x:f t="shared" si="28"/>
        <x:v>4.2835229133307626</x:v>
      </x:c>
      <x:c r="AF89" s="9" t="n">
        <x:f>DEGREES((2*PI()/Inputs!$C$13)*Inputs!$C$15*SIN(RADIANS(AE89)))</x:f>
        <x:v>26.88910337303045</x:v>
      </x:c>
      <x:c r="AG89" s="9">
        <x:f t="shared" si="29"/>
        <x:v>0.99109613453056233</x:v>
      </x:c>
      <x:c r="AH89" s="9">
        <x:f t="shared" si="30"/>
        <x:v>-3.8842176931231154E-2</x:v>
      </x:c>
      <x:c r="AI89" s="9">
        <x:f t="shared" si="31"/>
        <x:v>-286.12773202209144</x:v>
      </x:c>
      <x:c r="AJ89" s="9">
        <x:f t="shared" si="32"/>
        <x:v>-3.3977329943325181</x:v>
      </x:c>
      <x:c r="AK89" s="9">
        <x:f t="shared" si="33"/>
        <x:v>511.01171943982052</x:v>
      </x:c>
      <x:c r="AL89" s="9" t="n">
        <x:f>1000*(AA90-AA88)/(A90-A88)*Inputs!$C$11</x:f>
        <x:v>-480.06397771155207</x:v>
      </x:c>
      <x:c r="AM89" s="9" t="n">
        <x:f>-2*AL89/Inputs!$C$13</x:f>
        <x:v>192.02559108462083</x:v>
      </x:c>
      <x:c r="AN89" s="9" t="n">
        <x:f>-2*AL89/Inputs!$C$14</x:f>
        <x:v>28.832671334027154</x:v>
      </x:c>
      <x:c r="AO89" s="9">
        <x:f t="shared" si="34"/>
        <x:v>192.02559108462083</x:v>
      </x:c>
      <x:c r="AP89" s="9">
        <x:f t="shared" si="35"/>
        <x:v>28.832671334027154</x:v>
      </x:c>
      <x:c r="AQ89" s="9" t="n">
        <x:f>IF(OR(Inputs!$C$27=TRUE,Inputs!$C$27="TRUE",Inputs!$C$27=1),Inputs!$C$46/Inputs!$C$12,0)</x:f>
        <x:v>42.13483146067416</x:v>
      </x:c>
      <x:c r="AR89" s="9">
        <x:f t="shared" si="36"/>
        <x:v>461.42090010921822</x:v>
      </x:c>
      <x:c r="AS89" s="9">
        <x:f t="shared" si="37"/>
        <x:v>545.69056303056652</x:v>
      </x:c>
    </x:row>
    <x:row r="90">
      <x:c r="A90" s="9" t="n">
        <x:f>Inputs!$C$7+88*(Inputs!$C$8-Inputs!$C$7)/240</x:f>
        <x:v>-16</x:v>
      </x:c>
      <x:c r="B90" s="9" t="n">
        <x:f>Inputs!$C$5+Inputs!$C$9*(A90/Inputs!$C$10)^2</x:f>
        <x:v>400.28444444444443</x:v>
      </x:c>
      <x:c r="C90" s="9">
        <x:f t="shared" si="19"/>
        <x:v>400.28444444444443</x:v>
      </x:c>
      <x:c r="D90" s="9" t="n">
        <x:f>SQRT((Inputs!$C$52+B90)^2+Inputs!$C$52^2-2*(Inputs!$C$52+B90)*Inputs!$C$52*COS(SQRT(A90^2+Inputs!$C$6^2)/Inputs!$C$52))</x:f>
        <x:v>401.6647175331038</x:v>
      </x:c>
      <x:c r="E90" s="9">
        <x:f t="shared" si="20"/>
        <x:v>1380.2730886593508</x:v>
      </x:c>
      <x:c r="F90" s="9" t="n">
        <x:f>E90/Inputs!$C$12</x:f>
        <x:v>775.4343194715455</x:v>
      </x:c>
      <x:c r="G90" s="9" t="n">
        <x:f>2*E90/Inputs!$C$21*1000000</x:f>
        <x:v>9.2081908789003</x:v>
      </x:c>
      <x:c r="H90" s="9" t="n">
        <x:f>SQRT(A90^2+Inputs!$C$6^2)</x:f>
        <x:v>29.68164415931166</x:v>
      </x:c>
      <x:c r="I90" s="9">
        <x:f t="shared" si="21"/>
        <x:v>4.2407999364952262</x:v>
      </x:c>
      <x:c r="J90" s="9" t="n">
        <x:f>DEGREES((2*PI()/Inputs!$C$13)*Inputs!$C$15*SIN(RADIANS(I90)))</x:f>
        <x:v>26.621409377803502</x:v>
      </x:c>
      <x:c r="K90" s="9">
        <x:f t="shared" si="22"/>
        <x:v>0.98632516527137304</x:v>
      </x:c>
      <x:c r="L90" s="9">
        <x:f t="shared" si="23"/>
        <x:v>-5.9798860702752601E-2</x:v>
      </x:c>
      <x:c r="M90" s="9" t="n">
        <x:f>2*(Inputs!$C$9/(Inputs!$C$10^2))*A90</x:f>
        <x:v>-0.035555555555555556</x:v>
      </x:c>
      <x:c r="N90" s="9" t="n">
        <x:f>M90*Inputs!$C$11</x:f>
        <x:v>-0.14222222222222222</x:v>
      </x:c>
      <x:c r="O90" s="9" t="n">
        <x:f>1000*(D91-D89)/(A91-A89)*Inputs!$C$11</x:f>
        <x:v>-342.02151684144155</x:v>
      </x:c>
      <x:c r="P90" s="9" t="n">
        <x:f>-2*O90/Inputs!$C$13</x:f>
        <x:v>136.80860673657662</x:v>
      </x:c>
      <x:c r="Q90" s="9" t="n">
        <x:f>-2*O90/Inputs!$C$14</x:f>
        <x:v>20.541832843329825</x:v>
      </x:c>
      <x:c r="R90" s="9" t="n">
        <x:f>F90-Inputs!$C$16/2</x:f>
        <x:v>760.4343194715455</x:v>
      </x:c>
      <x:c r="S90" s="9" t="n">
        <x:f>F90+Inputs!$C$16/2</x:f>
        <x:v>790.4343194715455</x:v>
      </x:c>
      <x:c r="T90" s="9" t="n">
        <x:f>F90-Inputs!$C$17/2</x:f>
        <x:v>625.4343194715455</x:v>
      </x:c>
      <x:c r="U90" s="9" t="n">
        <x:f>F90+Inputs!$C$17/2</x:f>
        <x:v>925.4343194715455</x:v>
      </x:c>
      <x:c r="V90" s="9">
        <x:f t="shared" si="24"/>
        <x:v>136.80860673657662</x:v>
      </x:c>
      <x:c r="W90" s="9">
        <x:f t="shared" si="25"/>
        <x:v>20.541832843329825</x:v>
      </x:c>
      <x:c r="X90" s="9"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x:f>
        <x:v>-97.48037396441562</x:v>
      </x:c>
      <x:c r="Y90" s="9"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x:f>
        <x:v>413.2956148642764</x:v>
      </x:c>
      <x:c r="Z90" s="9">
        <x:f t="shared" si="26"/>
        <x:v>400.38192481840883</x:v>
      </x:c>
      <x:c r="AA90" s="9" t="n">
        <x:f>SQRT((Inputs!$C$52+B90)^2+(Inputs!$C$52+Y90/1000)^2-2*(Inputs!$C$52+B90)*(Inputs!$C$52+Y90/1000)*COS(SQRT(A90^2+Inputs!$C$6^2)/Inputs!$C$52))</x:f>
        <x:v>401.2532088588261</x:v>
      </x:c>
      <x:c r="AB90" s="9">
        <x:f t="shared" si="27"/>
        <x:v>871.28404041726526</x:v>
      </x:c>
      <x:c r="AC90" s="9" t="n">
        <x:f>AB90/Inputs!$C$12</x:f>
        <x:v>489.48541596475576</x:v>
      </x:c>
      <x:c r="AD90" s="9" t="n">
        <x:f>2*AB90/Inputs!$C$21*1000000</x:f>
        <x:v>5.812581452047504</x:v>
      </x:c>
      <x:c r="AE90" s="9">
        <x:f t="shared" si="28"/>
        <x:v>4.245167092933551</x:v>
      </x:c>
      <x:c r="AF90" s="9" t="n">
        <x:f>DEGREES((2*PI()/Inputs!$C$13)*Inputs!$C$15*SIN(RADIANS(AE90)))</x:f>
        <x:v>26.648773825817333</x:v>
      </x:c>
      <x:c r="AG90" s="9">
        <x:f t="shared" si="29"/>
        <x:v>0.99134262098163084</x:v>
      </x:c>
      <x:c r="AH90" s="9">
        <x:f t="shared" si="30"/>
        <x:v>-3.7762217151218337E-2</x:v>
      </x:c>
      <x:c r="AI90" s="9">
        <x:f t="shared" si="31"/>
        <x:v>-285.94890350678969</x:v>
      </x:c>
      <x:c r="AJ90" s="9">
        <x:f t="shared" si="32"/>
        <x:v>-3.3956094268527961</x:v>
      </x:c>
      <x:c r="AK90" s="9">
        <x:f t="shared" si="33"/>
        <x:v>510.77598882869199</x:v>
      </x:c>
      <x:c r="AL90" s="9" t="n">
        <x:f>1000*(AA91-AA89)/(A91-A89)*Inputs!$C$11</x:f>
        <x:v>-414.10085948609776</x:v>
      </x:c>
      <x:c r="AM90" s="9" t="n">
        <x:f>-2*AL90/Inputs!$C$13</x:f>
        <x:v>165.6403437944391</x:v>
      </x:c>
      <x:c r="AN90" s="9" t="n">
        <x:f>-2*AL90/Inputs!$C$14</x:f>
        <x:v>24.870922491657524</x:v>
      </x:c>
      <x:c r="AO90" s="9">
        <x:f t="shared" si="34"/>
        <x:v>165.6403437944391</x:v>
      </x:c>
      <x:c r="AP90" s="9">
        <x:f t="shared" si="35"/>
        <x:v>24.870922491657524</x:v>
      </x:c>
      <x:c r="AQ90" s="9" t="n">
        <x:f>IF(OR(Inputs!$C$27=TRUE,Inputs!$C$27="TRUE",Inputs!$C$27=1),Inputs!$C$46/Inputs!$C$12,0)</x:f>
        <x:v>42.13483146067416</x:v>
      </x:c>
      <x:c r="AR90" s="9">
        <x:f t="shared" si="36"/>
        <x:v>447.35058450408161</x:v>
      </x:c>
      <x:c r="AS90" s="9">
        <x:f t="shared" si="37"/>
        <x:v>531.62024742542997</x:v>
      </x:c>
    </x:row>
    <x:row r="91">
      <x:c r="A91" s="9" t="n">
        <x:f>Inputs!$C$7+89*(Inputs!$C$8-Inputs!$C$7)/240</x:f>
        <x:v>-15.5</x:v>
      </x:c>
      <x:c r="B91" s="9" t="n">
        <x:f>Inputs!$C$5+Inputs!$C$9*(A91/Inputs!$C$10)^2</x:f>
        <x:v>400.26694444444445</x:v>
      </x:c>
      <x:c r="C91" s="9">
        <x:f t="shared" si="19"/>
        <x:v>400.26694444444445</x:v>
      </x:c>
      <x:c r="D91" s="9" t="n">
        <x:f>SQRT((Inputs!$C$52+B91)^2+Inputs!$C$52^2-2*(Inputs!$C$52+B91)*Inputs!$C$52*COS(SQRT(A91^2+Inputs!$C$6^2)/Inputs!$C$52))</x:f>
        <x:v>401.6226311859834</x:v>
      </x:c>
      <x:c r="E91" s="9">
        <x:f t="shared" si="20"/>
        <x:v>1355.686741538932</x:v>
      </x:c>
      <x:c r="F91" s="9" t="n">
        <x:f>E91/Inputs!$C$12</x:f>
        <x:v>761.6217649095123</x:v>
      </x:c>
      <x:c r="G91" s="9" t="n">
        <x:f>2*E91/Inputs!$C$21*1000000</x:f>
        <x:v>9.044168426271296</x:v>
      </x:c>
      <x:c r="H91" s="9" t="n">
        <x:f>SQRT(A91^2+Inputs!$C$6^2)</x:f>
        <x:v>29.415132160165456</x:v>
      </x:c>
      <x:c r="I91" s="9">
        <x:f t="shared" si="21"/>
        <x:v>4.2030418750829472</x:v>
      </x:c>
      <x:c r="J91" s="9" t="n">
        <x:f>DEGREES((2*PI()/Inputs!$C$13)*Inputs!$C$15*SIN(RADIANS(I91)))</x:f>
        <x:v>26.38481226611161</x:v>
      </x:c>
      <x:c r="K91" s="9">
        <x:f t="shared" si="22"/>
        <x:v>0.98656611613558876</x:v>
      </x:c>
      <x:c r="L91" s="9">
        <x:f t="shared" si="23"/>
        <x:v>-5.8738045722776966E-2</x:v>
      </x:c>
      <x:c r="M91" s="9" t="n">
        <x:f>2*(Inputs!$C$9/(Inputs!$C$10^2))*A91</x:f>
        <x:v>-0.034444444444444444</x:v>
      </x:c>
      <x:c r="N91" s="9" t="n">
        <x:f>M91*Inputs!$C$11</x:f>
        <x:v>-0.13777777777777778</x:v>
      </x:c>
      <x:c r="O91" s="9" t="n">
        <x:f>1000*(D92-D90)/(A92-A90)*Inputs!$C$11</x:f>
        <x:v>-331.3588089863515</x:v>
      </x:c>
      <x:c r="P91" s="9" t="n">
        <x:f>-2*O91/Inputs!$C$13</x:f>
        <x:v>132.5435235945406</x:v>
      </x:c>
      <x:c r="Q91" s="9" t="n">
        <x:f>-2*O91/Inputs!$C$14</x:f>
        <x:v>19.901429969150243</x:v>
      </x:c>
      <x:c r="R91" s="9" t="n">
        <x:f>F91-Inputs!$C$16/2</x:f>
        <x:v>746.6217649095123</x:v>
      </x:c>
      <x:c r="S91" s="9" t="n">
        <x:f>F91+Inputs!$C$16/2</x:f>
        <x:v>776.6217649095123</x:v>
      </x:c>
      <x:c r="T91" s="9" t="n">
        <x:f>F91-Inputs!$C$17/2</x:f>
        <x:v>611.6217649095123</x:v>
      </x:c>
      <x:c r="U91" s="9" t="n">
        <x:f>F91+Inputs!$C$17/2</x:f>
        <x:v>911.6217649095123</x:v>
      </x:c>
      <x:c r="V91" s="9">
        <x:f t="shared" si="24"/>
        <x:v>132.5435235945406</x:v>
      </x:c>
      <x:c r="W91" s="9">
        <x:f t="shared" si="25"/>
        <x:v>19.901429969150243</x:v>
      </x:c>
      <x:c r="X91" s="9"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x:f>
        <x:v>-109.31712972071381</x:v>
      </x:c>
      <x:c r="Y91" s="9"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x:f>
        <x:v>405.1793484681727</x:v>
      </x:c>
      <x:c r="Z91" s="9">
        <x:f t="shared" si="26"/>
        <x:v>400.37626157416514</x:v>
      </x:c>
      <x:c r="AA91" s="9" t="n">
        <x:f>SQRT((Inputs!$C$52+B91)^2+(Inputs!$C$52+Y91/1000)^2-2*(Inputs!$C$52+B91)*(Inputs!$C$52+Y91/1000)*COS(SQRT(A91^2+Inputs!$C$6^2)/Inputs!$C$52))</x:f>
        <x:v>401.21917260089526</x:v>
      </x:c>
      <x:c r="AB91" s="9">
        <x:f t="shared" si="27"/>
        <x:v>842.91102673012119</x:v>
      </x:c>
      <x:c r="AC91" s="9" t="n">
        <x:f>AB91/Inputs!$C$12</x:f>
        <x:v>473.54552063489956</x:v>
      </x:c>
      <x:c r="AD91" s="9" t="n">
        <x:f>2*AB91/Inputs!$C$21*1000000</x:f>
        <x:v>5.623297079275565</x:v>
      </x:c>
      <x:c r="AE91" s="9">
        <x:f t="shared" si="28"/>
        <x:v>4.2072855257691311</x:v>
      </x:c>
      <x:c r="AF91" s="9" t="n">
        <x:f>DEGREES((2*PI()/Inputs!$C$13)*Inputs!$C$15*SIN(RADIANS(AE91)))</x:f>
        <x:v>26.411404127822436</x:v>
      </x:c>
      <x:c r="AG91" s="9">
        <x:f t="shared" si="29"/>
        <x:v>0.99162294798066764</x:v>
      </x:c>
      <x:c r="AH91" s="9">
        <x:f t="shared" si="30"/>
        <x:v>-3.6534314140427279E-2</x:v>
      </x:c>
      <x:c r="AI91" s="9">
        <x:f t="shared" si="31"/>
        <x:v>-288.07624427461275</x:v>
      </x:c>
      <x:c r="AJ91" s="9">
        <x:f t="shared" si="32"/>
        <x:v>-3.4208713469957317</x:v>
      </x:c>
      <x:c r="AK91" s="9">
        <x:f t="shared" si="33"/>
        <x:v>514.4964781888865</x:v>
      </x:c>
      <x:c r="AL91" s="9" t="n">
        <x:f>1000*(AA92-AA90)/(A92-A90)*Inputs!$C$11</x:f>
        <x:v>-344.89099039433313</x:v>
      </x:c>
      <x:c r="AM91" s="9" t="n">
        <x:f>-2*AL91/Inputs!$C$13</x:f>
        <x:v>137.95639615773325</x:v>
      </x:c>
      <x:c r="AN91" s="9" t="n">
        <x:f>-2*AL91/Inputs!$C$14</x:f>
        <x:v>20.714173597257247</x:v>
      </x:c>
      <x:c r="AO91" s="9">
        <x:f t="shared" si="34"/>
        <x:v>137.95639615773325</x:v>
      </x:c>
      <x:c r="AP91" s="9">
        <x:f t="shared" si="35"/>
        <x:v>20.714173597257247</x:v>
      </x:c>
      <x:c r="AQ91" s="9" t="n">
        <x:f>IF(OR(Inputs!$C$27=TRUE,Inputs!$C$27="TRUE",Inputs!$C$27=1),Inputs!$C$46/Inputs!$C$12,0)</x:f>
        <x:v>42.13483146067416</x:v>
      </x:c>
      <x:c r="AR91" s="9">
        <x:f t="shared" si="36"/>
        <x:v>431.41068917422541</x:v>
      </x:c>
      <x:c r="AS91" s="9">
        <x:f t="shared" si="37"/>
        <x:v>515.68035209557377</x:v>
      </x:c>
    </x:row>
    <x:row r="92">
      <x:c r="A92" s="9" t="n">
        <x:f>Inputs!$C$7+90*(Inputs!$C$8-Inputs!$C$7)/240</x:f>
        <x:v>-15</x:v>
      </x:c>
      <x:c r="B92" s="9" t="n">
        <x:f>Inputs!$C$5+Inputs!$C$9*(A92/Inputs!$C$10)^2</x:f>
        <x:v>400.25</x:v>
      </x:c>
      <x:c r="C92" s="9">
        <x:f t="shared" si="19"/>
        <x:v>400.25</x:v>
      </x:c>
      <x:c r="D92" s="9" t="n">
        <x:f>SQRT((Inputs!$C$52+B92)^2+Inputs!$C$52^2-2*(Inputs!$C$52+B92)*Inputs!$C$52*COS(SQRT(A92^2+Inputs!$C$6^2)/Inputs!$C$52))</x:f>
        <x:v>401.5818778308572</x:v>
      </x:c>
      <x:c r="E92" s="9">
        <x:f t="shared" si="20"/>
        <x:v>1331.877830857195</x:v>
      </x:c>
      <x:c r="F92" s="9" t="n">
        <x:f>E92/Inputs!$C$12</x:f>
        <x:v>748.2459723916826</x:v>
      </x:c>
      <x:c r="G92" s="9" t="n">
        <x:f>2*E92/Inputs!$C$21*1000000</x:f>
        <x:v>8.885332471287153</x:v>
      </x:c>
      <x:c r="H92" s="9" t="n">
        <x:f>SQRT(A92^2+Inputs!$C$6^2)</x:f>
        <x:v>29.154759474226502</x:v>
      </x:c>
      <x:c r="I92" s="9">
        <x:f t="shared" si="21"/>
        <x:v>4.1661452978542997</x:v>
      </x:c>
      <x:c r="J92" s="9" t="n">
        <x:f>DEGREES((2*PI()/Inputs!$C$13)*Inputs!$C$15*SIN(RADIANS(I92)))</x:f>
        <x:v>26.153602260558007</x:v>
      </x:c>
      <x:c r="K92" s="9">
        <x:f t="shared" si="22"/>
        <x:v>0.98679953826597866</x:v>
      </x:c>
      <x:c r="L92" s="9">
        <x:f t="shared" si="23"/>
        <x:v>-5.7710623932708614E-2</x:v>
      </x:c>
      <x:c r="M92" s="9" t="n">
        <x:f>2*(Inputs!$C$9/(Inputs!$C$10^2))*A92</x:f>
        <x:v>-0.03333333333333333</x:v>
      </x:c>
      <x:c r="N92" s="9" t="n">
        <x:f>M92*Inputs!$C$11</x:f>
        <x:v>-0.13333333333333333</x:v>
      </x:c>
      <x:c r="O92" s="9" t="n">
        <x:f>1000*(D93-D91)/(A93-A91)*Inputs!$C$11</x:f>
        <x:v>-320.69368331076475</x:v>
      </x:c>
      <x:c r="P92" s="9" t="n">
        <x:f>-2*O92/Inputs!$C$13</x:f>
        <x:v>128.2774733243059</x:v>
      </x:c>
      <x:c r="Q92" s="9" t="n">
        <x:f>-2*O92/Inputs!$C$14</x:f>
        <x:v>19.260881880526412</x:v>
      </x:c>
      <x:c r="R92" s="9" t="n">
        <x:f>F92-Inputs!$C$16/2</x:f>
        <x:v>733.2459723916826</x:v>
      </x:c>
      <x:c r="S92" s="9" t="n">
        <x:f>F92+Inputs!$C$16/2</x:f>
        <x:v>763.2459723916826</x:v>
      </x:c>
      <x:c r="T92" s="9" t="n">
        <x:f>F92-Inputs!$C$17/2</x:f>
        <x:v>598.2459723916826</x:v>
      </x:c>
      <x:c r="U92" s="9" t="n">
        <x:f>F92+Inputs!$C$17/2</x:f>
        <x:v>898.2459723916826</x:v>
      </x:c>
      <x:c r="V92" s="9">
        <x:f t="shared" si="24"/>
        <x:v>128.2774733243059</x:v>
      </x:c>
      <x:c r="W92" s="9">
        <x:f t="shared" si="25"/>
        <x:v>19.260881880526412</x:v>
      </x:c>
      <x:c r="X92" s="9"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x:f>
        <x:v>-90.49530902944495</x:v>
      </x:c>
      <x:c r="Y92" s="9"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x:f>
        <x:v>416.63024006091615</x:v>
      </x:c>
      <x:c r="Z92" s="9">
        <x:f t="shared" si="26"/>
        <x:v>400.34049530902945</x:v>
      </x:c>
      <x:c r="AA92" s="9" t="n">
        <x:f>SQRT((Inputs!$C$52+B92)^2+(Inputs!$C$52+Y92/1000)^2-2*(Inputs!$C$52+B92)*(Inputs!$C$52+Y92/1000)*COS(SQRT(A92^2+Inputs!$C$6^2)/Inputs!$C$52))</x:f>
        <x:v>401.1669861112275</x:v>
      </x:c>
      <x:c r="AB92" s="9">
        <x:f t="shared" si="27"/>
        <x:v>826.49080219806592</x:v>
      </x:c>
      <x:c r="AC92" s="9" t="n">
        <x:f>AB92/Inputs!$C$12</x:f>
        <x:v>464.32067539217184</x:v>
      </x:c>
      <x:c r="AD92" s="9" t="n">
        <x:f>2*AB92/Inputs!$C$21*1000000</x:f>
        <x:v>5.513753132495855</x:v>
      </x:c>
      <x:c r="AE92" s="9">
        <x:f t="shared" si="28"/>
        <x:v>4.170471152282782</x:v>
      </x:c>
      <x:c r="AF92" s="9" t="n">
        <x:f>DEGREES((2*PI()/Inputs!$C$13)*Inputs!$C$15*SIN(RADIANS(AE92)))</x:f>
        <x:v>26.180710509558434</x:v>
      </x:c>
      <x:c r="AG92" s="9">
        <x:f t="shared" si="29"/>
        <x:v>0.99178456640653179</x:v>
      </x:c>
      <x:c r="AH92" s="9">
        <x:f t="shared" si="30"/>
        <x:v>-3.5826542387291341E-2</x:v>
      </x:c>
      <x:c r="AI92" s="9">
        <x:f t="shared" si="31"/>
        <x:v>-283.92529699951075</x:v>
      </x:c>
      <x:c r="AJ92" s="9">
        <x:f t="shared" si="32"/>
        <x:v>-3.3715793387912987</x:v>
      </x:c>
      <x:c r="AK92" s="9">
        <x:f t="shared" si="33"/>
        <x:v>507.12554909036112</x:v>
      </x:c>
      <x:c r="AL92" s="9" t="n">
        <x:f>1000*(AA93-AA91)/(A93-A91)*Inputs!$C$11</x:f>
        <x:v>-401.13729368113127</x:v>
      </x:c>
      <x:c r="AM92" s="9" t="n">
        <x:f>-2*AL92/Inputs!$C$13</x:f>
        <x:v>160.4549174724525</x:v>
      </x:c>
      <x:c r="AN92" s="9" t="n">
        <x:f>-2*AL92/Inputs!$C$14</x:f>
        <x:v>24.092329950818698</x:v>
      </x:c>
      <x:c r="AO92" s="9">
        <x:f t="shared" si="34"/>
        <x:v>160.45491747245251</x:v>
      </x:c>
      <x:c r="AP92" s="9">
        <x:f t="shared" si="35"/>
        <x:v>24.092329950818698</x:v>
      </x:c>
      <x:c r="AQ92" s="9" t="n">
        <x:f>IF(OR(Inputs!$C$27=TRUE,Inputs!$C$27="TRUE",Inputs!$C$27=1),Inputs!$C$46/Inputs!$C$12,0)</x:f>
        <x:v>42.13483146067416</x:v>
      </x:c>
      <x:c r="AR92" s="9">
        <x:f t="shared" si="36"/>
        <x:v>422.18584393149769</x:v>
      </x:c>
      <x:c r="AS92" s="9">
        <x:f t="shared" si="37"/>
        <x:v>506.45550685284599</x:v>
      </x:c>
    </x:row>
    <x:row r="93">
      <x:c r="A93" s="9" t="n">
        <x:f>Inputs!$C$7+91*(Inputs!$C$8-Inputs!$C$7)/240</x:f>
        <x:v>-14.5</x:v>
      </x:c>
      <x:c r="B93" s="9" t="n">
        <x:f>Inputs!$C$5+Inputs!$C$9*(A93/Inputs!$C$10)^2</x:f>
        <x:v>400.2336111111111</x:v>
      </x:c>
      <x:c r="C93" s="9">
        <x:f t="shared" si="19"/>
        <x:v>400.23361111111109</x:v>
      </x:c>
      <x:c r="D93" s="9" t="n">
        <x:f>SQRT((Inputs!$C$52+B93)^2+Inputs!$C$52^2-2*(Inputs!$C$52+B93)*Inputs!$C$52*COS(SQRT(A93^2+Inputs!$C$6^2)/Inputs!$C$52))</x:f>
        <x:v>401.5424577651557</x:v>
      </x:c>
      <x:c r="E93" s="9">
        <x:f t="shared" si="20"/>
        <x:v>1308.8466540446007</x:v>
      </x:c>
      <x:c r="F93" s="9" t="n">
        <x:f>E93/Inputs!$C$12</x:f>
        <x:v>735.3071090138205</x:v>
      </x:c>
      <x:c r="G93" s="9" t="n">
        <x:f>2*E93/Inputs!$C$21*1000000</x:f>
        <x:v>8.73168499819032</x:v>
      </x:c>
      <x:c r="H93" s="9" t="n">
        <x:f>SQRT(A93^2+Inputs!$C$6^2)</x:f>
        <x:v>28.90069203323685</x:v>
      </x:c>
      <x:c r="I93" s="9">
        <x:f t="shared" si="21"/>
        <x:v>4.1301343739438137</x:v>
      </x:c>
      <x:c r="J93" s="9" t="n">
        <x:f>DEGREES((2*PI()/Inputs!$C$13)*Inputs!$C$15*SIN(RADIANS(I93)))</x:f>
        <x:v>25.927931684939455</x:v>
      </x:c>
      <x:c r="K93" s="9">
        <x:f t="shared" si="22"/>
        <x:v>0.98702542008101235</x:v>
      </x:c>
      <x:c r="L93" s="9">
        <x:f t="shared" si="23"/>
        <x:v>-5.6716622657724022E-2</x:v>
      </x:c>
      <x:c r="M93" s="9" t="n">
        <x:f>2*(Inputs!$C$9/(Inputs!$C$10^2))*A93</x:f>
        <x:v>-0.03222222222222222</x:v>
      </x:c>
      <x:c r="N93" s="9" t="n">
        <x:f>M93*Inputs!$C$11</x:f>
        <x:v>-0.1288888888888889</x:v>
      </x:c>
      <x:c r="O93" s="9" t="n">
        <x:f>1000*(D94-D92)/(A94-A92)*Inputs!$C$11</x:f>
        <x:v>-310.026216641063</x:v>
      </x:c>
      <x:c r="P93" s="9" t="n">
        <x:f>-2*O93/Inputs!$C$13</x:f>
        <x:v>124.0104866564252</x:v>
      </x:c>
      <x:c r="Q93" s="9" t="n">
        <x:f>-2*O93/Inputs!$C$14</x:f>
        <x:v>18.62019319165544</x:v>
      </x:c>
      <x:c r="R93" s="9" t="n">
        <x:f>F93-Inputs!$C$16/2</x:f>
        <x:v>720.3071090138205</x:v>
      </x:c>
      <x:c r="S93" s="9" t="n">
        <x:f>F93+Inputs!$C$16/2</x:f>
        <x:v>750.3071090138205</x:v>
      </x:c>
      <x:c r="T93" s="9" t="n">
        <x:f>F93-Inputs!$C$17/2</x:f>
        <x:v>585.3071090138205</x:v>
      </x:c>
      <x:c r="U93" s="9" t="n">
        <x:f>F93+Inputs!$C$17/2</x:f>
        <x:v>885.3071090138205</x:v>
      </x:c>
      <x:c r="V93" s="9">
        <x:f t="shared" si="24"/>
        <x:v>124.0104866564252</x:v>
      </x:c>
      <x:c r="W93" s="9">
        <x:f t="shared" si="25"/>
        <x:v>18.620193191655439</x:v>
      </x:c>
      <x:c r="X93" s="9"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x:f>
        <x:v>-86.65248482679937</x:v>
      </x:c>
      <x:c r="Y93" s="9"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x:f>
        <x:v>425.31373753688456</x:v>
      </x:c>
      <x:c r="Z93" s="9">
        <x:f t="shared" si="26"/>
        <x:v>400.32026359593789</x:v>
      </x:c>
      <x:c r="AA93" s="9" t="n">
        <x:f>SQRT((Inputs!$C$52+B93)^2+(Inputs!$C$52+Y93/1000)^2-2*(Inputs!$C$52+B93)*(Inputs!$C$52+Y93/1000)*COS(SQRT(A93^2+Inputs!$C$6^2)/Inputs!$C$52))</x:f>
        <x:v>401.118888277475</x:v>
      </x:c>
      <x:c r="AB93" s="9">
        <x:f t="shared" si="27"/>
        <x:v>798.62468153709187</x:v>
      </x:c>
      <x:c r="AC93" s="9" t="n">
        <x:f>AB93/Inputs!$C$12</x:f>
        <x:v>448.6655514253325</x:v>
      </x:c>
      <x:c r="AD93" s="9" t="n">
        <x:f>2*AB93/Inputs!$C$21*1000000</x:f>
        <x:v>5.327850385996648</x:v>
      </x:c>
      <x:c r="AE93" s="9">
        <x:f t="shared" si="28"/>
        <x:v>4.1345127585057444</x:v>
      </x:c>
      <x:c r="AF93" s="9" t="n">
        <x:f>DEGREES((2*PI()/Inputs!$C$13)*Inputs!$C$15*SIN(RADIANS(AE93)))</x:f>
        <x:v>25.95537036790056</x:v>
      </x:c>
      <x:c r="AG93" s="9">
        <x:f t="shared" si="29"/>
        <x:v>0.99205978291780406</x:v>
      </x:c>
      <x:c r="AH93" s="9">
        <x:f t="shared" si="30"/>
        <x:v>-3.4621558609388606E-2</x:v>
      </x:c>
      <x:c r="AI93" s="9">
        <x:f t="shared" si="31"/>
        <x:v>-286.64155758848801</x:v>
      </x:c>
      <x:c r="AJ93" s="9">
        <x:f t="shared" si="32"/>
        <x:v>-3.4038346121936716</x:v>
      </x:c>
      <x:c r="AK93" s="9">
        <x:f t="shared" si="33"/>
        <x:v>511.96622236368393</x:v>
      </x:c>
      <x:c r="AL93" s="9" t="n">
        <x:f>1000*(AA94-AA92)/(A94-A92)*Inputs!$C$11</x:f>
        <x:v>-327.5011007988269</x:v>
      </x:c>
      <x:c r="AM93" s="9" t="n">
        <x:f>-2*AL93/Inputs!$C$13</x:f>
        <x:v>131.00044031953075</x:v>
      </x:c>
      <x:c r="AN93" s="9" t="n">
        <x:f>-2*AL93/Inputs!$C$14</x:f>
        <x:v>19.669735783713328</x:v>
      </x:c>
      <x:c r="AO93" s="9">
        <x:f t="shared" si="34"/>
        <x:v>131.00044031953075</x:v>
      </x:c>
      <x:c r="AP93" s="9">
        <x:f t="shared" si="35"/>
        <x:v>19.669735783713328</x:v>
      </x:c>
      <x:c r="AQ93" s="9" t="n">
        <x:f>IF(OR(Inputs!$C$27=TRUE,Inputs!$C$27="TRUE",Inputs!$C$27=1),Inputs!$C$46/Inputs!$C$12,0)</x:f>
        <x:v>42.13483146067416</x:v>
      </x:c>
      <x:c r="AR93" s="9">
        <x:f t="shared" si="36"/>
        <x:v>406.53071996465837</x:v>
      </x:c>
      <x:c r="AS93" s="9">
        <x:f t="shared" si="37"/>
        <x:v>490.80038288600667</x:v>
      </x:c>
    </x:row>
    <x:row r="94">
      <x:c r="A94" s="9" t="n">
        <x:f>Inputs!$C$7+92*(Inputs!$C$8-Inputs!$C$7)/240</x:f>
        <x:v>-14</x:v>
      </x:c>
      <x:c r="B94" s="9" t="n">
        <x:f>Inputs!$C$5+Inputs!$C$9*(A94/Inputs!$C$10)^2</x:f>
        <x:v>400.21777777777777</x:v>
      </x:c>
      <x:c r="C94" s="9">
        <x:f t="shared" si="19"/>
        <x:v>400.21777777777777</x:v>
      </x:c>
      <x:c r="D94" s="9" t="n">
        <x:f>SQRT((Inputs!$C$52+B94)^2+Inputs!$C$52^2-2*(Inputs!$C$52+B94)*Inputs!$C$52*COS(SQRT(A94^2+Inputs!$C$6^2)/Inputs!$C$52))</x:f>
        <x:v>401.50437127669693</x:v>
      </x:c>
      <x:c r="E94" s="9">
        <x:f t="shared" si="20"/>
        <x:v>1286.5934989191601</x:v>
      </x:c>
      <x:c r="F94" s="9" t="n">
        <x:f>E94/Inputs!$C$12</x:f>
        <x:v>722.8053364714383</x:v>
      </x:c>
      <x:c r="G94" s="9" t="n">
        <x:f>2*E94/Inputs!$C$21*1000000</x:f>
        <x:v>8.583227927095885</x:v>
      </x:c>
      <x:c r="H94" s="9" t="n">
        <x:f>SQRT(A94^2+Inputs!$C$6^2)</x:f>
        <x:v>28.653097563788805</x:v>
      </x:c>
      <x:c r="I94" s="9">
        <x:f t="shared" si="21"/>
        <x:v>4.0950335233008293</x:v>
      </x:c>
      <x:c r="J94" s="9" t="n">
        <x:f>DEGREES((2*PI()/Inputs!$C$13)*Inputs!$C$15*SIN(RADIANS(I94)))</x:f>
        <x:v>25.707954430803454</x:v>
      </x:c>
      <x:c r="K94" s="9">
        <x:f t="shared" si="22"/>
        <x:v>0.9872437503659115</x:v>
      </x:c>
      <x:c r="L94" s="9">
        <x:f t="shared" si="23"/>
        <x:v>-5.5756068344563793E-2</x:v>
      </x:c>
      <x:c r="M94" s="9" t="n">
        <x:f>2*(Inputs!$C$9/(Inputs!$C$10^2))*A94</x:f>
        <x:v>-0.03111111111111111</x:v>
      </x:c>
      <x:c r="N94" s="9" t="n">
        <x:f>M94*Inputs!$C$11</x:f>
        <x:v>-0.12444444444444444</x:v>
      </x:c>
      <x:c r="O94" s="9" t="n">
        <x:f>1000*(D95-D93)/(A95-A93)*Inputs!$C$11</x:f>
        <x:v>-299.356485882754</x:v>
      </x:c>
      <x:c r="P94" s="9" t="n">
        <x:f>-2*O94/Inputs!$C$13</x:f>
        <x:v>119.7425943531016</x:v>
      </x:c>
      <x:c r="Q94" s="9" t="n">
        <x:f>-2*O94/Inputs!$C$14</x:f>
        <x:v>17.979368521486727</x:v>
      </x:c>
      <x:c r="R94" s="9" t="n">
        <x:f>F94-Inputs!$C$16/2</x:f>
        <x:v>707.8053364714383</x:v>
      </x:c>
      <x:c r="S94" s="9" t="n">
        <x:f>F94+Inputs!$C$16/2</x:f>
        <x:v>737.8053364714383</x:v>
      </x:c>
      <x:c r="T94" s="9" t="n">
        <x:f>F94-Inputs!$C$17/2</x:f>
        <x:v>572.8053364714383</x:v>
      </x:c>
      <x:c r="U94" s="9" t="n">
        <x:f>F94+Inputs!$C$17/2</x:f>
        <x:v>872.8053364714383</x:v>
      </x:c>
      <x:c r="V94" s="9">
        <x:f t="shared" si="24"/>
        <x:v>119.74259435310159</x:v>
      </x:c>
      <x:c r="W94" s="9">
        <x:f t="shared" si="25"/>
        <x:v>17.979368521486727</x:v>
      </x:c>
      <x:c r="X94" s="9"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x:f>
        <x:v>-84.36597258140502</x:v>
      </x:c>
      <x:c r="Y94" s="9"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x:f>
        <x:v>420.9575928892744</x:v>
      </x:c>
      <x:c r="Z94" s="9">
        <x:f t="shared" si="26"/>
        <x:v>400.30214375035916</x:v>
      </x:c>
      <x:c r="AA94" s="9" t="n">
        <x:f>SQRT((Inputs!$C$52+B94)^2+(Inputs!$C$52+Y94/1000)^2-2*(Inputs!$C$52+B94)*(Inputs!$C$52+Y94/1000)*COS(SQRT(A94^2+Inputs!$C$6^2)/Inputs!$C$52))</x:f>
        <x:v>401.0851108360278</x:v>
      </x:c>
      <x:c r="AB94" s="9">
        <x:f t="shared" si="27"/>
        <x:v>782.96708566864481</x:v>
      </x:c>
      <x:c r="AC94" s="9" t="n">
        <x:f>AB94/Inputs!$C$12</x:f>
        <x:v>439.86914925204763</x:v>
      </x:c>
      <x:c r="AD94" s="9" t="n">
        <x:f>2*AB94/Inputs!$C$21*1000000</x:f>
        <x:v>5.22339415001991</x:v>
      </x:c>
      <x:c r="AE94" s="9">
        <x:f t="shared" si="28"/>
        <x:v>4.0993306103383205</x:v>
      </x:c>
      <x:c r="AF94" s="9" t="n">
        <x:f>DEGREES((2*PI()/Inputs!$C$13)*Inputs!$C$15*SIN(RADIANS(AE94)))</x:f>
        <x:v>25.734884822532617</x:v>
      </x:c>
      <x:c r="AG94" s="9">
        <x:f t="shared" si="29"/>
        <x:v>0.99221434677202014</x:v>
      </x:c>
      <x:c r="AH94" s="9">
        <x:f t="shared" si="30"/>
        <x:v>-3.3944976396083223E-2</x:v>
      </x:c>
      <x:c r="AI94" s="9">
        <x:f t="shared" si="31"/>
        <x:v>-282.93618721939066</x:v>
      </x:c>
      <x:c r="AJ94" s="9">
        <x:f t="shared" si="32"/>
        <x:v>-3.3598337770759752</x:v>
      </x:c>
      <x:c r="AK94" s="9">
        <x:f t="shared" si="33"/>
        <x:v>505.3235654706794</x:v>
      </x:c>
      <x:c r="AL94" s="9" t="n">
        <x:f>1000*(AA95-AA93)/(A95-A93)*Inputs!$C$11</x:f>
        <x:v>-273.5175129585059</x:v>
      </x:c>
      <x:c r="AM94" s="9" t="n">
        <x:f>-2*AL94/Inputs!$C$13</x:f>
        <x:v>109.40700518340236</x:v>
      </x:c>
      <x:c r="AN94" s="9" t="n">
        <x:f>-2*AL94/Inputs!$C$14</x:f>
        <x:v>16.427478255766122</x:v>
      </x:c>
      <x:c r="AO94" s="9">
        <x:f t="shared" si="34"/>
        <x:v>109.40700518340236</x:v>
      </x:c>
      <x:c r="AP94" s="9">
        <x:f t="shared" si="35"/>
        <x:v>16.427478255766122</x:v>
      </x:c>
      <x:c r="AQ94" s="9" t="n">
        <x:f>IF(OR(Inputs!$C$27=TRUE,Inputs!$C$27="TRUE",Inputs!$C$27=1),Inputs!$C$46/Inputs!$C$12,0)</x:f>
        <x:v>42.13483146067416</x:v>
      </x:c>
      <x:c r="AR94" s="9">
        <x:f t="shared" si="36"/>
        <x:v>397.73431779137348</x:v>
      </x:c>
      <x:c r="AS94" s="9">
        <x:f t="shared" si="37"/>
        <x:v>482.00398071272178</x:v>
      </x:c>
    </x:row>
    <x:row r="95">
      <x:c r="A95" s="9" t="n">
        <x:f>Inputs!$C$7+93*(Inputs!$C$8-Inputs!$C$7)/240</x:f>
        <x:v>-13.5</x:v>
      </x:c>
      <x:c r="B95" s="9" t="n">
        <x:f>Inputs!$C$5+Inputs!$C$9*(A95/Inputs!$C$10)^2</x:f>
        <x:v>400.2025</x:v>
      </x:c>
      <x:c r="C95" s="9">
        <x:f t="shared" si="19"/>
        <x:v>400.20249999999999</x:v>
      </x:c>
      <x:c r="D95" s="9" t="n">
        <x:f>SQRT((Inputs!$C$52+B95)^2+Inputs!$C$52^2-2*(Inputs!$C$52+B95)*Inputs!$C$52*COS(SQRT(A95^2+Inputs!$C$6^2)/Inputs!$C$52))</x:f>
        <x:v>401.467618643685</x:v>
      </x:c>
      <x:c r="E95" s="9">
        <x:f t="shared" si="20"/>
        <x:v>1265.1186436850139</x:v>
      </x:c>
      <x:c r="F95" s="9" t="n">
        <x:f>E95/Inputs!$C$12</x:f>
        <x:v>710.7408110589965</x:v>
      </x:c>
      <x:c r="G95" s="9" t="n">
        <x:f>2*E95/Inputs!$C$21*1000000</x:f>
        <x:v>8.439963113982099</x:v>
      </x:c>
      <x:c r="H95" s="9" t="n">
        <x:f>SQRT(A95^2+Inputs!$C$6^2)</x:f>
        <x:v>28.412145290350743</x:v>
      </x:c>
      <x:c r="I95" s="9">
        <x:f t="shared" si="21"/>
        <x:v>4.0608673737375272</x:v>
      </x:c>
      <x:c r="J95" s="9" t="n">
        <x:f>DEGREES((2*PI()/Inputs!$C$13)*Inputs!$C$15*SIN(RADIANS(I95)))</x:f>
        <x:v>25.49382568709516</x:v>
      </x:c>
      <x:c r="K95" s="9">
        <x:f t="shared" si="22"/>
        <x:v>0.98745451827381159</x:v>
      </x:c>
      <x:c r="L95" s="9">
        <x:f t="shared" si="23"/>
        <x:v>-5.4828986560327947E-2</x:v>
      </x:c>
      <x:c r="M95" s="9" t="n">
        <x:f>2*(Inputs!$C$9/(Inputs!$C$10^2))*A95</x:f>
        <x:v>-0.03</x:v>
      </x:c>
      <x:c r="N95" s="9" t="n">
        <x:f>M95*Inputs!$C$11</x:f>
        <x:v>-0.12</x:v>
      </x:c>
      <x:c r="O95" s="9" t="n">
        <x:f>1000*(D96-D94)/(A96-A94)*Inputs!$C$11</x:f>
        <x:v>-288.68456805867027</x:v>
      </x:c>
      <x:c r="P95" s="9" t="n">
        <x:f>-2*O95/Inputs!$C$13</x:f>
        <x:v>115.4738272234681</x:v>
      </x:c>
      <x:c r="Q95" s="9" t="n">
        <x:f>-2*O95/Inputs!$C$14</x:f>
        <x:v>17.338412496016232</x:v>
      </x:c>
      <x:c r="R95" s="9" t="n">
        <x:f>F95-Inputs!$C$16/2</x:f>
        <x:v>695.7408110589965</x:v>
      </x:c>
      <x:c r="S95" s="9" t="n">
        <x:f>F95+Inputs!$C$16/2</x:f>
        <x:v>725.7408110589965</x:v>
      </x:c>
      <x:c r="T95" s="9" t="n">
        <x:f>F95-Inputs!$C$17/2</x:f>
        <x:v>560.7408110589965</x:v>
      </x:c>
      <x:c r="U95" s="9" t="n">
        <x:f>F95+Inputs!$C$17/2</x:f>
        <x:v>860.7408110589965</x:v>
      </x:c>
      <x:c r="V95" s="9">
        <x:f t="shared" si="24"/>
        <x:v>115.47382722346811</x:v>
      </x:c>
      <x:c r="W95" s="9">
        <x:f t="shared" si="25"/>
        <x:v>17.338412496016232</x:v>
      </x:c>
      <x:c r="X95" s="9"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x:f>
        <x:v>-61.03205493353448</x:v>
      </x:c>
      <x:c r="Y95" s="9"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x:f>
        <x:v>418.7700178970381</x:v>
      </x:c>
      <x:c r="Z95" s="9">
        <x:f t="shared" si="26"/>
        <x:v>400.26353205493353</x:v>
      </x:c>
      <x:c r="AA95" s="9" t="n">
        <x:f>SQRT((Inputs!$C$52+B95)^2+(Inputs!$C$52+Y95/1000)^2-2*(Inputs!$C$52+B95)*(Inputs!$C$52+Y95/1000)*COS(SQRT(A95^2+Inputs!$C$6^2)/Inputs!$C$52))</x:f>
        <x:v>401.05050889923535</x:v>
      </x:c>
      <x:c r="AB95" s="9">
        <x:f t="shared" si="27"/>
        <x:v>786.9768443018188</x:v>
      </x:c>
      <x:c r="AC95" s="9" t="n">
        <x:f>AB95/Inputs!$C$12</x:f>
        <x:v>442.1218226414712</x:v>
      </x:c>
      <x:c r="AD95" s="9" t="n">
        <x:f>2*AB95/Inputs!$C$21*1000000</x:f>
        <x:v>5.250144380228663</x:v>
      </x:c>
      <x:c r="AE95" s="9">
        <x:f t="shared" si="28"/>
        <x:v>4.0651068441442169</x:v>
      </x:c>
      <x:c r="AF95" s="9" t="n">
        <x:f>DEGREES((2*PI()/Inputs!$C$13)*Inputs!$C$15*SIN(RADIANS(AE95)))</x:f>
        <x:v>25.520396119185655</x:v>
      </x:c>
      <x:c r="AG95" s="9">
        <x:f t="shared" si="29"/>
        <x:v>0.9921739188239348</x:v>
      </x:c>
      <x:c r="AH95" s="9">
        <x:f t="shared" si="30"/>
        <x:v>-3.4121934051749375E-2</x:v>
      </x:c>
      <x:c r="AI95" s="9">
        <x:f t="shared" si="31"/>
        <x:v>-268.61898841752532</x:v>
      </x:c>
      <x:c r="AJ95" s="9">
        <x:f t="shared" si="32"/>
        <x:v>-3.1898187337534356</x:v>
      </x:c>
      <x:c r="AK95" s="9">
        <x:f t="shared" si="33"/>
        <x:v>479.80207283057257</x:v>
      </x:c>
      <x:c r="AL95" s="9" t="n">
        <x:f>1000*(AA96-AA94)/(A96-A94)*Inputs!$C$11</x:f>
        <x:v>-336.4272171961602</x:v>
      </x:c>
      <x:c r="AM95" s="9" t="n">
        <x:f>-2*AL95/Inputs!$C$13</x:f>
        <x:v>134.57088687846408</x:v>
      </x:c>
      <x:c r="AN95" s="9" t="n">
        <x:f>-2*AL95/Inputs!$C$14</x:f>
        <x:v>20.205838870640253</x:v>
      </x:c>
      <x:c r="AO95" s="9">
        <x:f t="shared" si="34"/>
        <x:v>134.57088687846408</x:v>
      </x:c>
      <x:c r="AP95" s="9">
        <x:f t="shared" si="35"/>
        <x:v>20.205838870640253</x:v>
      </x:c>
      <x:c r="AQ95" s="9" t="n">
        <x:f>IF(OR(Inputs!$C$27=TRUE,Inputs!$C$27="TRUE",Inputs!$C$27=1),Inputs!$C$46/Inputs!$C$12,0)</x:f>
        <x:v>42.13483146067416</x:v>
      </x:c>
      <x:c r="AR95" s="9">
        <x:f t="shared" si="36"/>
        <x:v>399.98699118079708</x:v>
      </x:c>
      <x:c r="AS95" s="9">
        <x:f t="shared" si="37"/>
        <x:v>484.25665410214538</x:v>
      </x:c>
    </x:row>
    <x:row r="96">
      <x:c r="A96" s="9" t="n">
        <x:f>Inputs!$C$7+94*(Inputs!$C$8-Inputs!$C$7)/240</x:f>
        <x:v>-13</x:v>
      </x:c>
      <x:c r="B96" s="9" t="n">
        <x:f>Inputs!$C$5+Inputs!$C$9*(A96/Inputs!$C$10)^2</x:f>
        <x:v>400.1877777777778</x:v>
      </x:c>
      <x:c r="C96" s="9">
        <x:f t="shared" si="19"/>
        <x:v>400.1877777777778</x:v>
      </x:c>
      <x:c r="D96" s="9" t="n">
        <x:f>SQRT((Inputs!$C$52+B96)^2+Inputs!$C$52^2-2*(Inputs!$C$52+B96)*Inputs!$C$52*COS(SQRT(A96^2+Inputs!$C$6^2)/Inputs!$C$52))</x:f>
        <x:v>401.43220013468226</x:v>
      </x:c>
      <x:c r="E96" s="9">
        <x:f t="shared" si="20"/>
        <x:v>1244.4223569044652</x:v>
      </x:c>
      <x:c r="F96" s="9" t="n">
        <x:f>E96/Inputs!$C$12</x:f>
        <x:v>699.1136836541939</x:v>
      </x:c>
      <x:c r="G96" s="9" t="n">
        <x:f>2*E96/Inputs!$C$21*1000000</x:f>
        <x:v>8.301892350503795</x:v>
      </x:c>
      <x:c r="H96" s="9" t="n">
        <x:f>SQRT(A96^2+Inputs!$C$6^2)</x:f>
        <x:v>28.178005607210743</x:v>
      </x:c>
      <x:c r="I96" s="9">
        <x:f t="shared" si="21"/>
        <x:v>4.0276607135085563</x:v>
      </x:c>
      <x:c r="J96" s="9" t="n">
        <x:f>DEGREES((2*PI()/Inputs!$C$13)*Inputs!$C$15*SIN(RADIANS(I96)))</x:f>
        <x:v>25.285701641717207</x:v>
      </x:c>
      <x:c r="K96" s="9">
        <x:f t="shared" si="22"/>
        <x:v>0.98765771332714303</x:v>
      </x:c>
      <x:c r="L96" s="9">
        <x:f t="shared" si="23"/>
        <x:v>-5.3935401990182485E-2</x:v>
      </x:c>
      <x:c r="M96" s="9" t="n">
        <x:f>2*(Inputs!$C$9/(Inputs!$C$10^2))*A96</x:f>
        <x:v>-0.028888888888888888</x:v>
      </x:c>
      <x:c r="N96" s="9" t="n">
        <x:f>M96*Inputs!$C$11</x:f>
        <x:v>-0.11555555555555555</x:v>
      </x:c>
      <x:c r="O96" s="9" t="n">
        <x:f>1000*(D97-D95)/(A97-A95)*Inputs!$C$11</x:f>
        <x:v>-278.01054033716355</x:v>
      </x:c>
      <x:c r="P96" s="9" t="n">
        <x:f>-2*O96/Inputs!$C$13</x:f>
        <x:v>111.20421613486542</x:v>
      </x:c>
      <x:c r="Q96" s="9" t="n">
        <x:f>-2*O96/Inputs!$C$14</x:f>
        <x:v>16.697329749979794</x:v>
      </x:c>
      <x:c r="R96" s="9" t="n">
        <x:f>F96-Inputs!$C$16/2</x:f>
        <x:v>684.1136836541939</x:v>
      </x:c>
      <x:c r="S96" s="9" t="n">
        <x:f>F96+Inputs!$C$16/2</x:f>
        <x:v>714.1136836541939</x:v>
      </x:c>
      <x:c r="T96" s="9" t="n">
        <x:f>F96-Inputs!$C$17/2</x:f>
        <x:v>549.1136836541939</x:v>
      </x:c>
      <x:c r="U96" s="9" t="n">
        <x:f>F96+Inputs!$C$17/2</x:f>
        <x:v>849.1136836541939</x:v>
      </x:c>
      <x:c r="V96" s="9">
        <x:f t="shared" si="24"/>
        <x:v>111.20421613486542</x:v>
      </x:c>
      <x:c r="W96" s="9">
        <x:f t="shared" si="25"/>
        <x:v>16.697329749979794</x:v>
      </x:c>
      <x:c r="X96" s="9"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x:f>
        <x:v>-64.09243482429542</x:v>
      </x:c>
      <x:c r="Y96" s="9"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x:f>
        <x:v>432.8844458249992</x:v>
      </x:c>
      <x:c r="Z96" s="9">
        <x:f t="shared" si="26"/>
        <x:v>400.25187021260211</x:v>
      </x:c>
      <x:c r="AA96" s="9" t="n">
        <x:f>SQRT((Inputs!$C$52+B96)^2+(Inputs!$C$52+Y96/1000)^2-2*(Inputs!$C$52+B96)*(Inputs!$C$52+Y96/1000)*COS(SQRT(A96^2+Inputs!$C$6^2)/Inputs!$C$52))</x:f>
        <x:v>401.00100403172877</x:v>
      </x:c>
      <x:c r="AB96" s="9">
        <x:f t="shared" si="27"/>
        <x:v>749.133819126655</x:v>
      </x:c>
      <x:c r="AC96" s="9" t="n">
        <x:f>AB96/Inputs!$C$12</x:f>
        <x:v>420.8616961385702</x:v>
      </x:c>
      <x:c r="AD96" s="9" t="n">
        <x:f>2*AB96/Inputs!$C$21*1000000</x:f>
        <x:v>4.9976828911863755</x:v>
      </x:c>
      <x:c r="AE96" s="9">
        <x:f t="shared" si="28"/>
        <x:v>4.0320077880807439</x:v>
      </x:c>
      <x:c r="AF96" s="9" t="n">
        <x:f>DEGREES((2*PI()/Inputs!$C$13)*Inputs!$C$15*SIN(RADIANS(AE96)))</x:f>
        <x:v>25.31294758674893</x:v>
      </x:c>
      <x:c r="AG96" s="9">
        <x:f t="shared" si="29"/>
        <x:v>0.99254827621137953</x:v>
      </x:c>
      <x:c r="AH96" s="9">
        <x:f t="shared" si="30"/>
        <x:v>-3.2483605524344122E-2</x:v>
      </x:c>
      <x:c r="AI96" s="9">
        <x:f t="shared" si="31"/>
        <x:v>-278.25198751562368</x:v>
      </x:c>
      <x:c r="AJ96" s="9">
        <x:f t="shared" si="32"/>
        <x:v>-3.3042094593174198</x:v>
      </x:c>
      <x:c r="AK96" s="9">
        <x:f t="shared" si="33"/>
        <x:v>496.97688064939285</x:v>
      </x:c>
      <x:c r="AL96" s="9" t="n">
        <x:f>1000*(AA97-AA95)/(A97-A95)*Inputs!$C$11</x:f>
        <x:v>-398.1533994065103</x:v>
      </x:c>
      <x:c r="AM96" s="9" t="n">
        <x:f>-2*AL96/Inputs!$C$13</x:f>
        <x:v>159.26135976260412</x:v>
      </x:c>
      <x:c r="AN96" s="9" t="n">
        <x:f>-2*AL96/Inputs!$C$14</x:f>
        <x:v>23.91311708147209</x:v>
      </x:c>
      <x:c r="AO96" s="9">
        <x:f t="shared" si="34"/>
        <x:v>159.26135976260412</x:v>
      </x:c>
      <x:c r="AP96" s="9">
        <x:f t="shared" si="35"/>
        <x:v>23.913117081472091</x:v>
      </x:c>
      <x:c r="AQ96" s="9" t="n">
        <x:f>IF(OR(Inputs!$C$27=TRUE,Inputs!$C$27="TRUE",Inputs!$C$27=1),Inputs!$C$46/Inputs!$C$12,0)</x:f>
        <x:v>42.13483146067416</x:v>
      </x:c>
      <x:c r="AR96" s="9">
        <x:f t="shared" si="36"/>
        <x:v>378.72686467789606</x:v>
      </x:c>
      <x:c r="AS96" s="9">
        <x:f t="shared" si="37"/>
        <x:v>462.99652759924436</x:v>
      </x:c>
    </x:row>
    <x:row r="97">
      <x:c r="A97" s="9" t="n">
        <x:f>Inputs!$C$7+95*(Inputs!$C$8-Inputs!$C$7)/240</x:f>
        <x:v>-12.5</x:v>
      </x:c>
      <x:c r="B97" s="9" t="n">
        <x:f>Inputs!$C$5+Inputs!$C$9*(A97/Inputs!$C$10)^2</x:f>
        <x:v>400.1736111111111</x:v>
      </x:c>
      <x:c r="C97" s="9">
        <x:f t="shared" si="19"/>
        <x:v>400.17361111111109</x:v>
      </x:c>
      <x:c r="D97" s="9" t="n">
        <x:f>SQRT((Inputs!$C$52+B97)^2+Inputs!$C$52^2-2*(Inputs!$C$52+B97)*Inputs!$C$52*COS(SQRT(A97^2+Inputs!$C$6^2)/Inputs!$C$52))</x:f>
        <x:v>401.3981160086007</x:v>
      </x:c>
      <x:c r="E97" s="9">
        <x:f t="shared" si="20"/>
        <x:v>1224.5048974896235</x:v>
      </x:c>
      <x:c r="F97" s="9" t="n">
        <x:f>E97/Inputs!$C$12</x:f>
        <x:v>687.9240997132716</x:v>
      </x:c>
      <x:c r="G97" s="9" t="n">
        <x:f>2*E97/Inputs!$C$21*1000000</x:f>
        <x:v>8.169017363936645</x:v>
      </x:c>
      <x:c r="H97" s="9" t="n">
        <x:f>SQRT(A97^2+Inputs!$C$6^2)</x:f>
        <x:v>27.95084971874737</x:v>
      </x:c>
      <x:c r="I97" s="9">
        <x:f t="shared" si="21"/>
        <x:v>3.9954384393380811</x:v>
      </x:c>
      <x:c r="J97" s="9" t="n">
        <x:f>DEGREES((2*PI()/Inputs!$C$13)*Inputs!$C$15*SIN(RADIANS(I97)))</x:f>
        <x:v>25.083739154474603</x:v>
      </x:c>
      <x:c r="K97" s="9">
        <x:f t="shared" si="22"/>
        <x:v>0.98785332541878812</x:v>
      </x:c>
      <x:c r="L97" s="9">
        <x:f t="shared" si="23"/>
        <x:v>-5.3075338435927766E-2</x:v>
      </x:c>
      <x:c r="M97" s="9" t="n">
        <x:f>2*(Inputs!$C$9/(Inputs!$C$10^2))*A97</x:f>
        <x:v>-0.027777777777777776</x:v>
      </x:c>
      <x:c r="N97" s="9" t="n">
        <x:f>M97*Inputs!$C$11</x:f>
        <x:v>-0.1111111111111111</x:v>
      </x:c>
      <x:c r="O97" s="9" t="n">
        <x:f>1000*(D98-D96)/(A98-A96)*Inputs!$C$11</x:f>
        <x:v>-267.334479958663</x:v>
      </x:c>
      <x:c r="P97" s="9" t="n">
        <x:f>-2*O97/Inputs!$C$13</x:f>
        <x:v>106.9337919834652</x:v>
      </x:c>
      <x:c r="Q97" s="9" t="n">
        <x:f>-2*O97/Inputs!$C$14</x:f>
        <x:v>16.056124922442223</x:v>
      </x:c>
      <x:c r="R97" s="9" t="n">
        <x:f>F97-Inputs!$C$16/2</x:f>
        <x:v>672.9240997132716</x:v>
      </x:c>
      <x:c r="S97" s="9" t="n">
        <x:f>F97+Inputs!$C$16/2</x:f>
        <x:v>702.9240997132716</x:v>
      </x:c>
      <x:c r="T97" s="9" t="n">
        <x:f>F97-Inputs!$C$17/2</x:f>
        <x:v>537.9240997132716</x:v>
      </x:c>
      <x:c r="U97" s="9" t="n">
        <x:f>F97+Inputs!$C$17/2</x:f>
        <x:v>837.9240997132716</x:v>
      </x:c>
      <x:c r="V97" s="9">
        <x:f t="shared" si="24"/>
        <x:v>106.9337919834652</x:v>
      </x:c>
      <x:c r="W97" s="9">
        <x:f t="shared" si="25"/>
        <x:v>16.056124922442223</x:v>
      </x:c>
      <x:c r="X97" s="9"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x:f>
        <x:v>-70.18392228131138</x:v>
      </x:c>
      <x:c r="Y97" s="9"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x:f>
        <x:v>448.8683161255995</x:v>
      </x:c>
      <x:c r="Z97" s="9">
        <x:f t="shared" si="26"/>
        <x:v>400.24379503339242</x:v>
      </x:c>
      <x:c r="AA97" s="9" t="n">
        <x:f>SQRT((Inputs!$C$52+B97)^2+(Inputs!$C$52+Y97/1000)^2-2*(Inputs!$C$52+B97)*(Inputs!$C$52+Y97/1000)*COS(SQRT(A97^2+Inputs!$C$6^2)/Inputs!$C$52))</x:f>
        <x:v>400.9509705493837</x:v>
      </x:c>
      <x:c r="AB97" s="9">
        <x:f t="shared" si="27"/>
        <x:v>707.17551599130957</x:v>
      </x:c>
      <x:c r="AC97" s="9" t="n">
        <x:f>AB97/Inputs!$C$12</x:f>
        <x:v>397.2896157254548</x:v>
      </x:c>
      <x:c r="AD97" s="9" t="n">
        <x:f>2*AB97/Inputs!$C$21*1000000</x:f>
        <x:v>4.71776722275855</x:v>
      </x:c>
      <x:c r="AE97" s="9">
        <x:f t="shared" si="28"/>
        <x:v>3.9999105358231075</x:v>
      </x:c>
      <x:c r="AF97" s="9" t="n">
        <x:f>DEGREES((2*PI()/Inputs!$C$13)*Inputs!$C$15*SIN(RADIANS(AE97)))</x:f>
        <x:v>25.111769797148796</x:v>
      </x:c>
      <x:c r="AG97" s="9">
        <x:f t="shared" si="29"/>
        <x:v>0.99296366039605455</x:v>
      </x:c>
      <x:c r="AH97" s="9">
        <x:f t="shared" si="30"/>
        <x:v>-3.0666451383086504E-2</x:v>
      </x:c>
      <x:c r="AI97" s="9">
        <x:f t="shared" si="31"/>
        <x:v>-290.63448398781685</x:v>
      </x:c>
      <x:c r="AJ97" s="9">
        <x:f t="shared" si="32"/>
        <x:v>-3.4512501411780949</x:v>
      </x:c>
      <x:c r="AK97" s="9">
        <x:f t="shared" si="33"/>
        <x:v>519.05223840691087</x:v>
      </x:c>
      <x:c r="AL97" s="9" t="n">
        <x:f>1000*(AA98-AA96)/(A98-A96)*Inputs!$C$11</x:f>
        <x:v>-287.89803836184547</x:v>
      </x:c>
      <x:c r="AM97" s="9" t="n">
        <x:f>-2*AL97/Inputs!$C$13</x:f>
        <x:v>115.15921534473819</x:v>
      </x:c>
      <x:c r="AN97" s="9" t="n">
        <x:f>-2*AL97/Inputs!$C$14</x:f>
        <x:v>17.291173475185914</x:v>
      </x:c>
      <x:c r="AO97" s="9">
        <x:f t="shared" si="34"/>
        <x:v>115.15921534473819</x:v>
      </x:c>
      <x:c r="AP97" s="9">
        <x:f t="shared" si="35"/>
        <x:v>17.291173475185914</x:v>
      </x:c>
      <x:c r="AQ97" s="9" t="n">
        <x:f>IF(OR(Inputs!$C$27=TRUE,Inputs!$C$27="TRUE",Inputs!$C$27=1),Inputs!$C$46/Inputs!$C$12,0)</x:f>
        <x:v>42.13483146067416</x:v>
      </x:c>
      <x:c r="AR97" s="9">
        <x:f t="shared" si="36"/>
        <x:v>355.15478426478063</x:v>
      </x:c>
      <x:c r="AS97" s="9">
        <x:f t="shared" si="37"/>
        <x:v>439.42444718612893</x:v>
      </x:c>
    </x:row>
    <x:row r="98">
      <x:c r="A98" s="9" t="n">
        <x:f>Inputs!$C$7+96*(Inputs!$C$8-Inputs!$C$7)/240</x:f>
        <x:v>-12</x:v>
      </x:c>
      <x:c r="B98" s="9" t="n">
        <x:f>Inputs!$C$5+Inputs!$C$9*(A98/Inputs!$C$10)^2</x:f>
        <x:v>400.16</x:v>
      </x:c>
      <x:c r="C98" s="9">
        <x:f t="shared" si="19"/>
        <x:v>400.16</x:v>
      </x:c>
      <x:c r="D98" s="9" t="n">
        <x:f>SQRT((Inputs!$C$52+B98)^2+Inputs!$C$52^2-2*(Inputs!$C$52+B98)*Inputs!$C$52*COS(SQRT(A98^2+Inputs!$C$6^2)/Inputs!$C$52))</x:f>
        <x:v>401.3653665146926</x:v>
      </x:c>
      <x:c r="E98" s="9">
        <x:f t="shared" si="20"/>
        <x:v>1205.3665146925709</x:v>
      </x:c>
      <x:c r="F98" s="9" t="n">
        <x:f>E98/Inputs!$C$12</x:f>
        <x:v>677.1721992654893</x:v>
      </x:c>
      <x:c r="G98" s="9" t="n">
        <x:f>2*E98/Inputs!$C$21*1000000</x:f>
        <x:v>8.041339817111549</x:v>
      </x:c>
      <x:c r="H98" s="9" t="n">
        <x:f>SQRT(A98^2+Inputs!$C$6^2)</x:f>
        <x:v>27.730849247724095</x:v>
      </x:c>
      <x:c r="I98" s="9">
        <x:f t="shared" si="21"/>
        <x:v>3.9642254998513842</x:v>
      </x:c>
      <x:c r="J98" s="9" t="n">
        <x:f>DEGREES((2*PI()/Inputs!$C$13)*Inputs!$C$15*SIN(RADIANS(I98)))</x:f>
        <x:v>24.888095401136177</x:v>
      </x:c>
      <x:c r="K98" s="9">
        <x:f t="shared" si="22"/>
        <x:v>0.98804134481321326</x:v>
      </x:c>
      <x:c r="L98" s="9">
        <x:f t="shared" si="23"/>
        <x:v>-5.224881881455036E-2</x:v>
      </x:c>
      <x:c r="M98" s="9" t="n">
        <x:f>2*(Inputs!$C$9/(Inputs!$C$10^2))*A98</x:f>
        <x:v>-0.026666666666666665</x:v>
      </x:c>
      <x:c r="N98" s="9" t="n">
        <x:f>M98*Inputs!$C$11</x:f>
        <x:v>-0.10666666666666666</x:v>
      </x:c>
      <x:c r="O98" s="9" t="n">
        <x:f>1000*(D99-D97)/(A99-A97)*Inputs!$C$11</x:f>
        <x:v>-256.65646427364663</x:v>
      </x:c>
      <x:c r="P98" s="9" t="n">
        <x:f>-2*O98/Inputs!$C$13</x:f>
        <x:v>102.66258570945865</x:v>
      </x:c>
      <x:c r="Q98" s="9" t="n">
        <x:f>-2*O98/Inputs!$C$14</x:f>
        <x:v>15.414802659077877</x:v>
      </x:c>
      <x:c r="R98" s="9" t="n">
        <x:f>F98-Inputs!$C$16/2</x:f>
        <x:v>662.1721992654893</x:v>
      </x:c>
      <x:c r="S98" s="9" t="n">
        <x:f>F98+Inputs!$C$16/2</x:f>
        <x:v>692.1721992654893</x:v>
      </x:c>
      <x:c r="T98" s="9" t="n">
        <x:f>F98-Inputs!$C$17/2</x:f>
        <x:v>527.1721992654893</x:v>
      </x:c>
      <x:c r="U98" s="9" t="n">
        <x:f>F98+Inputs!$C$17/2</x:f>
        <x:v>827.1721992654893</x:v>
      </x:c>
      <x:c r="V98" s="9">
        <x:f t="shared" si="24"/>
        <x:v>102.66258570945865</x:v>
      </x:c>
      <x:c r="W98" s="9">
        <x:f t="shared" si="25"/>
        <x:v>15.414802659077877</x:v>
      </x:c>
      <x:c r="X98" s="9"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x:f>
        <x:v>-47.55794552962975</x:v>
      </x:c>
      <x:c r="Y98" s="9"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x:f>
        <x:v>437.9918993099811</x:v>
      </x:c>
      <x:c r="Z98" s="9">
        <x:f t="shared" si="26"/>
        <x:v>400.20755794552963</x:v>
      </x:c>
      <x:c r="AA98" s="9" t="n">
        <x:f>SQRT((Inputs!$C$52+B98)^2+(Inputs!$C$52+Y98/1000)^2-2*(Inputs!$C$52+B98)*(Inputs!$C$52+Y98/1000)*COS(SQRT(A98^2+Inputs!$C$6^2)/Inputs!$C$52))</x:f>
        <x:v>400.9290295221383</x:v>
      </x:c>
      <x:c r="AB98" s="9">
        <x:f t="shared" si="27"/>
        <x:v>721.47157660867833</x:v>
      </x:c>
      <x:c r="AC98" s="9" t="n">
        <x:f>AB98/Inputs!$C$12</x:f>
        <x:v>405.32111045431367</x:v>
      </x:c>
      <x:c r="AD98" s="9" t="n">
        <x:f>2*AB98/Inputs!$C$21*1000000</x:f>
        <x:v>4.813140273253161</x:v>
      </x:c>
      <x:c r="AE98" s="9">
        <x:f t="shared" si="28"/>
        <x:v>3.9685553932433759</x:v>
      </x:c>
      <x:c r="AF98" s="9" t="n">
        <x:f>DEGREES((2*PI()/Inputs!$C$13)*Inputs!$C$15*SIN(RADIANS(AE98)))</x:f>
        <x:v>24.91523576093884</x:v>
      </x:c>
      <x:c r="AG98" s="9">
        <x:f t="shared" si="29"/>
        <x:v>0.99282140800727314</x:v>
      </x:c>
      <x:c r="AH98" s="9">
        <x:f t="shared" si="30"/>
        <x:v>-3.1288668042623285E-2</x:v>
      </x:c>
      <x:c r="AI98" s="9">
        <x:f t="shared" si="31"/>
        <x:v>-271.85108881117566</x:v>
      </x:c>
      <x:c r="AJ98" s="9">
        <x:f t="shared" si="32"/>
        <x:v>-3.2281995438583877</x:v>
      </x:c>
      <x:c r="AK98" s="9">
        <x:f t="shared" si="33"/>
        <x:v>485.54984483964768</x:v>
      </x:c>
      <x:c r="AL98" s="9" t="n">
        <x:f>1000*(AA99-AA97)/(A99-A97)*Inputs!$C$11</x:f>
        <x:v>-296.88723128629135</x:v>
      </x:c>
      <x:c r="AM98" s="9" t="n">
        <x:f>-2*AL98/Inputs!$C$13</x:f>
        <x:v>118.75489251451654</x:v>
      </x:c>
      <x:c r="AN98" s="9" t="n">
        <x:f>-2*AL98/Inputs!$C$14</x:f>
        <x:v>17.831064942119603</x:v>
      </x:c>
      <x:c r="AO98" s="9">
        <x:f t="shared" si="34"/>
        <x:v>118.75489251451654</x:v>
      </x:c>
      <x:c r="AP98" s="9">
        <x:f t="shared" si="35"/>
        <x:v>17.831064942119603</x:v>
      </x:c>
      <x:c r="AQ98" s="9" t="n">
        <x:f>IF(OR(Inputs!$C$27=TRUE,Inputs!$C$27="TRUE",Inputs!$C$27=1),Inputs!$C$46/Inputs!$C$12,0)</x:f>
        <x:v>42.13483146067416</x:v>
      </x:c>
      <x:c r="AR98" s="9">
        <x:f t="shared" si="36"/>
        <x:v>363.18627899363952</x:v>
      </x:c>
      <x:c r="AS98" s="9">
        <x:f t="shared" si="37"/>
        <x:v>447.45594191498782</x:v>
      </x:c>
    </x:row>
    <x:row r="99">
      <x:c r="A99" s="9" t="n">
        <x:f>Inputs!$C$7+97*(Inputs!$C$8-Inputs!$C$7)/240</x:f>
        <x:v>-11.5</x:v>
      </x:c>
      <x:c r="B99" s="9" t="n">
        <x:f>Inputs!$C$5+Inputs!$C$9*(A99/Inputs!$C$10)^2</x:f>
        <x:v>400.14694444444444</x:v>
      </x:c>
      <x:c r="C99" s="9">
        <x:f t="shared" si="19"/>
        <x:v>400.14694444444444</x:v>
      </x:c>
      <x:c r="D99" s="9" t="n">
        <x:f>SQRT((Inputs!$C$52+B99)^2+Inputs!$C$52^2-2*(Inputs!$C$52+B99)*Inputs!$C$52*COS(SQRT(A99^2+Inputs!$C$6^2)/Inputs!$C$52))</x:f>
        <x:v>401.3339518925323</x:v>
      </x:c>
      <x:c r="E99" s="9">
        <x:f t="shared" si="20"/>
        <x:v>1187.0074480878543</x:v>
      </x:c>
      <x:c r="F99" s="9" t="n">
        <x:f>E99/Inputs!$C$12</x:f>
        <x:v>666.8581169032889</x:v>
      </x:c>
      <x:c r="G99" s="9" t="n">
        <x:f>2*E99/Inputs!$C$21*1000000</x:f>
        <x:v>7.918861308297851</x:v>
      </x:c>
      <x:c r="H99" s="9" t="n">
        <x:f>SQRT(A99^2+Inputs!$C$6^2)</x:f>
        <x:v>27.518175811634027</x:v>
      </x:c>
      <x:c r="I99" s="9">
        <x:f t="shared" si="21"/>
        <x:v>3.934046834415676</x:v>
      </x:c>
      <x:c r="J99" s="9" t="n">
        <x:f>DEGREES((2*PI()/Inputs!$C$13)*Inputs!$C$15*SIN(RADIANS(I99)))</x:f>
        <x:v>24.69892748864289</x:v>
      </x:c>
      <x:c r="K99" s="9">
        <x:f t="shared" si="22"/>
        <x:v>0.9882217621476409</x:v>
      </x:c>
      <x:c r="L99" s="9">
        <x:f t="shared" si="23"/>
        <x:v>-5.1455865156474059E-2</x:v>
      </x:c>
      <x:c r="M99" s="9" t="n">
        <x:f>2*(Inputs!$C$9/(Inputs!$C$10^2))*A99</x:f>
        <x:v>-0.025555555555555557</x:v>
      </x:c>
      <x:c r="N99" s="9" t="n">
        <x:f>M99*Inputs!$C$11</x:f>
        <x:v>-0.10222222222222223</x:v>
      </x:c>
      <x:c r="O99" s="9" t="n">
        <x:f>1000*(D100-D98)/(A100-A98)*Inputs!$C$11</x:f>
        <x:v>-245.97657072126822</x:v>
      </x:c>
      <x:c r="P99" s="9" t="n">
        <x:f>-2*O99/Inputs!$C$13</x:f>
        <x:v>98.39062828850729</x:v>
      </x:c>
      <x:c r="Q99" s="9" t="n">
        <x:f>-2*O99/Inputs!$C$14</x:f>
        <x:v>14.77336761088698</x:v>
      </x:c>
      <x:c r="R99" s="9" t="n">
        <x:f>F99-Inputs!$C$16/2</x:f>
        <x:v>651.8581169032889</x:v>
      </x:c>
      <x:c r="S99" s="9" t="n">
        <x:f>F99+Inputs!$C$16/2</x:f>
        <x:v>681.8581169032889</x:v>
      </x:c>
      <x:c r="T99" s="9" t="n">
        <x:f>F99-Inputs!$C$17/2</x:f>
        <x:v>516.8581169032889</x:v>
      </x:c>
      <x:c r="U99" s="9" t="n">
        <x:f>F99+Inputs!$C$17/2</x:f>
        <x:v>816.8581169032889</x:v>
      </x:c>
      <x:c r="V99" s="9">
        <x:f t="shared" si="24"/>
        <x:v>98.390628288507287</x:v>
      </x:c>
      <x:c r="W99" s="9">
        <x:f t="shared" si="25"/>
        <x:v>14.77336761088698</x:v>
      </x:c>
      <x:c r="X99" s="9"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x:f>
        <x:v>-48.06780811544866</x:v>
      </x:c>
      <x:c r="Y99" s="9"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x:f>
        <x:v>458.910891472728</x:v>
      </x:c>
      <x:c r="Z99" s="9">
        <x:f t="shared" si="26"/>
        <x:v>400.19501225255988</x:v>
      </x:c>
      <x:c r="AA99" s="9" t="n">
        <x:f>SQRT((Inputs!$C$52+B99)^2+(Inputs!$C$52+Y99/1000)^2-2*(Inputs!$C$52+B99)*(Inputs!$C$52+Y99/1000)*COS(SQRT(A99^2+Inputs!$C$6^2)/Inputs!$C$52))</x:f>
        <x:v>400.87674874156215</x:v>
      </x:c>
      <x:c r="AB99" s="9">
        <x:f t="shared" si="27"/>
        <x:v>681.7364890022759</x:v>
      </x:c>
      <x:c r="AC99" s="9" t="n">
        <x:f>AB99/Inputs!$C$12</x:f>
        <x:v>382.99802752936847</x:v>
      </x:c>
      <x:c r="AD99" s="9" t="n">
        <x:f>2*AB99/Inputs!$C$21*1000000</x:f>
        <x:v>4.548056302352181</x:v>
      </x:c>
      <x:c r="AE99" s="9">
        <x:f t="shared" si="28"/>
        <x:v>3.9385495918937536</x:v>
      </x:c>
      <x:c r="AF99" s="9" t="n">
        <x:f>DEGREES((2*PI()/Inputs!$C$13)*Inputs!$C$15*SIN(RADIANS(AE99)))</x:f>
        <x:v>24.72715240793741</x:v>
      </x:c>
      <x:c r="AG99" s="9">
        <x:f t="shared" si="29"/>
        <x:v>0.9932148780758645</x:v>
      </x:c>
      <x:c r="AH99" s="9">
        <x:f t="shared" si="30"/>
        <x:v>-2.9567834611567614E-2</x:v>
      </x:c>
      <x:c r="AI99" s="9">
        <x:f t="shared" si="31"/>
        <x:v>-283.8600893739204</x:v>
      </x:c>
      <x:c r="AJ99" s="9">
        <x:f t="shared" si="32"/>
        <x:v>-3.3708050059456696</x:v>
      </x:c>
      <x:c r="AK99" s="9">
        <x:f t="shared" si="33"/>
        <x:v>506.97869958820121</x:v>
      </x:c>
      <x:c r="AL99" s="9" t="n">
        <x:f>1000*(AA100-AA98)/(A100-A98)*Inputs!$C$11</x:f>
        <x:v>-344.0100667696697</x:v>
      </x:c>
      <x:c r="AM99" s="9" t="n">
        <x:f>-2*AL99/Inputs!$C$13</x:f>
        <x:v>137.6040267078679</x:v>
      </x:c>
      <x:c r="AN99" s="9" t="n">
        <x:f>-2*AL99/Inputs!$C$14</x:f>
        <x:v>20.661265271451636</x:v>
      </x:c>
      <x:c r="AO99" s="9">
        <x:f t="shared" si="34"/>
        <x:v>137.60402670786789</x:v>
      </x:c>
      <x:c r="AP99" s="9">
        <x:f t="shared" si="35"/>
        <x:v>20.661265271451636</x:v>
      </x:c>
      <x:c r="AQ99" s="9" t="n">
        <x:f>IF(OR(Inputs!$C$27=TRUE,Inputs!$C$27="TRUE",Inputs!$C$27=1),Inputs!$C$46/Inputs!$C$12,0)</x:f>
        <x:v>42.13483146067416</x:v>
      </x:c>
      <x:c r="AR99" s="9">
        <x:f t="shared" si="36"/>
        <x:v>340.86319606869432</x:v>
      </x:c>
      <x:c r="AS99" s="9">
        <x:f t="shared" si="37"/>
        <x:v>425.13285899004262</x:v>
      </x:c>
    </x:row>
    <x:row r="100">
      <x:c r="A100" s="9" t="n">
        <x:f>Inputs!$C$7+98*(Inputs!$C$8-Inputs!$C$7)/240</x:f>
        <x:v>-11</x:v>
      </x:c>
      <x:c r="B100" s="9" t="n">
        <x:f>Inputs!$C$5+Inputs!$C$9*(A100/Inputs!$C$10)^2</x:f>
        <x:v>400.13444444444445</x:v>
      </x:c>
      <x:c r="C100" s="9">
        <x:f t="shared" si="19"/>
        <x:v>400.13444444444445</x:v>
      </x:c>
      <x:c r="D100" s="9" t="n">
        <x:f>SQRT((Inputs!$C$52+B100)^2+Inputs!$C$52^2-2*(Inputs!$C$52+B100)*Inputs!$C$52*COS(SQRT(A100^2+Inputs!$C$6^2)/Inputs!$C$52))</x:f>
        <x:v>401.3038723720123</x:v>
      </x:c>
      <x:c r="E100" s="9">
        <x:f t="shared" si="20"/>
        <x:v>1169.4279275678241</x:v>
      </x:c>
      <x:c r="F100" s="9" t="n">
        <x:f>E100/Inputs!$C$12</x:f>
        <x:v>656.9819817796764</x:v>
      </x:c>
      <x:c r="G100" s="9" t="n">
        <x:f>2*E100/Inputs!$C$21*1000000</x:f>
        <x:v>7.801583371172226</x:v>
      </x:c>
      <x:c r="H100" s="9" t="n">
        <x:f>SQRT(A100^2+Inputs!$C$6^2)</x:f>
        <x:v>27.313000567495326</x:v>
      </x:c>
      <x:c r="I100" s="9">
        <x:f t="shared" si="21"/>
        <x:v>3.9049273074484554</x:v>
      </x:c>
      <x:c r="J100" s="9" t="n">
        <x:f>DEGREES((2*PI()/Inputs!$C$13)*Inputs!$C$15*SIN(RADIANS(I100)))</x:f>
        <x:v>24.516392041831022</x:v>
      </x:c>
      <x:c r="K100" s="9">
        <x:f t="shared" si="22"/>
        <x:v>0.98839456843305284</x:v>
      </x:c>
      <x:c r="L100" s="9">
        <x:f t="shared" si="23"/>
        <x:v>-5.0696498604425384E-2</x:v>
      </x:c>
      <x:c r="M100" s="9" t="n">
        <x:f>2*(Inputs!$C$9/(Inputs!$C$10^2))*A100</x:f>
        <x:v>-0.024444444444444446</x:v>
      </x:c>
      <x:c r="N100" s="9" t="n">
        <x:f>M100*Inputs!$C$11</x:f>
        <x:v>-0.09777777777777778</x:v>
      </x:c>
      <x:c r="O100" s="9" t="n">
        <x:f>1000*(D101-D99)/(A101-A99)*Inputs!$C$11</x:f>
        <x:v>-235.2948768477745</x:v>
      </x:c>
      <x:c r="P100" s="9" t="n">
        <x:f>-2*O100/Inputs!$C$13</x:f>
        <x:v>94.1179507391098</x:v>
      </x:c>
      <x:c r="Q100" s="9" t="n">
        <x:f>-2*O100/Inputs!$C$14</x:f>
        <x:v>14.131824435301773</x:v>
      </x:c>
      <x:c r="R100" s="9" t="n">
        <x:f>F100-Inputs!$C$16/2</x:f>
        <x:v>641.9819817796764</x:v>
      </x:c>
      <x:c r="S100" s="9" t="n">
        <x:f>F100+Inputs!$C$16/2</x:f>
        <x:v>671.9819817796764</x:v>
      </x:c>
      <x:c r="T100" s="9" t="n">
        <x:f>F100-Inputs!$C$17/2</x:f>
        <x:v>506.9819817796764</x:v>
      </x:c>
      <x:c r="U100" s="9" t="n">
        <x:f>F100+Inputs!$C$17/2</x:f>
        <x:v>806.9819817796764</x:v>
      </x:c>
      <x:c r="V100" s="9">
        <x:f t="shared" si="24"/>
        <x:v>94.117950739109801</x:v>
      </x:c>
      <x:c r="W100" s="9">
        <x:f t="shared" si="25"/>
        <x:v>14.131824435301773</x:v>
      </x:c>
      <x:c r="X100" s="9"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x:f>
        <x:v>-43.28983557333215</x:v>
      </x:c>
      <x:c r="Y100" s="9"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x:f>
        <x:v>462.5412492822977</x:v>
      </x:c>
      <x:c r="Z100" s="9">
        <x:f t="shared" si="26"/>
        <x:v>400.17773428001777</x:v>
      </x:c>
      <x:c r="AA100" s="9" t="n">
        <x:f>SQRT((Inputs!$C$52+B100)^2+(Inputs!$C$52+Y100/1000)^2-2*(Inputs!$C$52+B100)*(Inputs!$C$52+Y100/1000)*COS(SQRT(A100^2+Inputs!$C$6^2)/Inputs!$C$52))</x:f>
        <x:v>400.8430270054459</x:v>
      </x:c>
      <x:c r="AB100" s="9">
        <x:f t="shared" si="27"/>
        <x:v>665.29272542811668</x:v>
      </x:c>
      <x:c r="AC100" s="9" t="n">
        <x:f>AB100/Inputs!$C$12</x:f>
        <x:v>373.75995810568355</x:v>
      </x:c>
      <x:c r="AD100" s="9" t="n">
        <x:f>2*AB100/Inputs!$C$21*1000000</x:f>
        <x:v>4.438355319986846</x:v>
      </x:c>
      <x:c r="AE100" s="9">
        <x:f t="shared" si="28"/>
        <x:v>3.9094324837280885</x:v>
      </x:c>
      <x:c r="AF100" s="9" t="n">
        <x:f>DEGREES((2*PI()/Inputs!$C$13)*Inputs!$C$15*SIN(RADIANS(AE100)))</x:f>
        <x:v>24.54463310695499</x:v>
      </x:c>
      <x:c r="AG100" s="9">
        <x:f t="shared" si="29"/>
        <x:v>0.99337757476715205</x:v>
      </x:c>
      <x:c r="AH100" s="9">
        <x:f t="shared" si="30"/>
        <x:v>-2.8856483118140253E-2</x:v>
      </x:c>
      <x:c r="AI100" s="9">
        <x:f t="shared" si="31"/>
        <x:v>-283.22202367399285</x:v>
      </x:c>
      <x:c r="AJ100" s="9">
        <x:f t="shared" si="32"/>
        <x:v>-3.3632280511853798</x:v>
      </x:c>
      <x:c r="AK100" s="9">
        <x:f t="shared" si="33"/>
        <x:v>505.83108485567897</x:v>
      </x:c>
      <x:c r="AL100" s="9" t="n">
        <x:f>1000*(AA101-AA99)/(A101-A99)*Inputs!$C$11</x:f>
        <x:v>-280.0928895742345</x:v>
      </x:c>
      <x:c r="AM100" s="9" t="n">
        <x:f>-2*AL100/Inputs!$C$13</x:f>
        <x:v>112.0371558296938</x:v>
      </x:c>
      <x:c r="AN100" s="9" t="n">
        <x:f>-2*AL100/Inputs!$C$14</x:f>
        <x:v>16.822395770224297</x:v>
      </x:c>
      <x:c r="AO100" s="9">
        <x:f t="shared" si="34"/>
        <x:v>112.0371558296938</x:v>
      </x:c>
      <x:c r="AP100" s="9">
        <x:f t="shared" si="35"/>
        <x:v>16.822395770224297</x:v>
      </x:c>
      <x:c r="AQ100" s="9" t="n">
        <x:f>IF(OR(Inputs!$C$27=TRUE,Inputs!$C$27="TRUE",Inputs!$C$27=1),Inputs!$C$46/Inputs!$C$12,0)</x:f>
        <x:v>42.13483146067416</x:v>
      </x:c>
      <x:c r="AR100" s="9">
        <x:f t="shared" si="36"/>
        <x:v>331.6251266450094</x:v>
      </x:c>
      <x:c r="AS100" s="9">
        <x:f t="shared" si="37"/>
        <x:v>415.8947895663577</x:v>
      </x:c>
    </x:row>
    <x:row r="101">
      <x:c r="A101" s="9" t="n">
        <x:f>Inputs!$C$7+99*(Inputs!$C$8-Inputs!$C$7)/240</x:f>
        <x:v>-10.5</x:v>
      </x:c>
      <x:c r="B101" s="9" t="n">
        <x:f>Inputs!$C$5+Inputs!$C$9*(A101/Inputs!$C$10)^2</x:f>
        <x:v>400.1225</x:v>
      </x:c>
      <x:c r="C101" s="9">
        <x:f t="shared" si="19"/>
        <x:v>400.1225</x:v>
      </x:c>
      <x:c r="D101" s="9" t="n">
        <x:f>SQRT((Inputs!$C$52+B101)^2+Inputs!$C$52^2-2*(Inputs!$C$52+B101)*Inputs!$C$52*COS(SQRT(A101^2+Inputs!$C$6^2)/Inputs!$C$52))</x:f>
        <x:v>401.27512817332035</x:v>
      </x:c>
      <x:c r="E101" s="9">
        <x:f t="shared" si="20"/>
        <x:v>1152.6281733203518</x:v>
      </x:c>
      <x:c r="F101" s="9" t="n">
        <x:f>E101/Inputs!$C$12</x:f>
        <x:v>647.5439175957033</x:v>
      </x:c>
      <x:c r="G101" s="9" t="n">
        <x:f>2*E101/Inputs!$C$21*1000000</x:f>
        <x:v>7.689507474670039</x:v>
      </x:c>
      <x:c r="H101" s="9" t="n">
        <x:f>SQRT(A101^2+Inputs!$C$6^2)</x:f>
        <x:v>27.115493725912497</x:v>
      </x:c>
      <x:c r="I101" s="9">
        <x:f t="shared" si="21"/>
        <x:v>3.8768916383114718</x:v>
      </x:c>
      <x:c r="J101" s="9" t="n">
        <x:f>DEGREES((2*PI()/Inputs!$C$13)*Inputs!$C$15*SIN(RADIANS(I101)))</x:f>
        <x:v>24.340644762413287</x:v>
      </x:c>
      <x:c r="K101" s="9">
        <x:f t="shared" si="22"/>
        <x:v>0.988559755055337</x:v>
      </x:c>
      <x:c r="L101" s="9">
        <x:f t="shared" si="23"/>
        <x:v>-4.9970739411541142E-2</x:v>
      </x:c>
      <x:c r="M101" s="9" t="n">
        <x:f>2*(Inputs!$C$9/(Inputs!$C$10^2))*A101</x:f>
        <x:v>-0.023333333333333334</x:v>
      </x:c>
      <x:c r="N101" s="9" t="n">
        <x:f>M101*Inputs!$C$11</x:f>
        <x:v>-0.09333333333333334</x:v>
      </x:c>
      <x:c r="O101" s="9" t="n">
        <x:f>1000*(D102-D100)/(A102-A100)*Inputs!$C$11</x:f>
        <x:v>-224.61146028399526</x:v>
      </x:c>
      <x:c r="P101" s="9" t="n">
        <x:f>-2*O101/Inputs!$C$13</x:f>
        <x:v>89.8445841135981</x:v>
      </x:c>
      <x:c r="Q101" s="9" t="n">
        <x:f>-2*O101/Inputs!$C$14</x:f>
        <x:v>13.490177794834551</x:v>
      </x:c>
      <x:c r="R101" s="9" t="n">
        <x:f>F101-Inputs!$C$16/2</x:f>
        <x:v>632.5439175957033</x:v>
      </x:c>
      <x:c r="S101" s="9" t="n">
        <x:f>F101+Inputs!$C$16/2</x:f>
        <x:v>662.5439175957033</x:v>
      </x:c>
      <x:c r="T101" s="9" t="n">
        <x:f>F101-Inputs!$C$17/2</x:f>
        <x:v>497.5439175957033</x:v>
      </x:c>
      <x:c r="U101" s="9" t="n">
        <x:f>F101+Inputs!$C$17/2</x:f>
        <x:v>797.5439175957033</x:v>
      </x:c>
      <x:c r="V101" s="9">
        <x:f t="shared" si="24"/>
        <x:v>89.844584113598103</x:v>
      </x:c>
      <x:c r="W101" s="9">
        <x:f t="shared" si="25"/>
        <x:v>13.490177794834551</x:v>
      </x:c>
      <x:c r="X101" s="9"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x:f>
        <x:v>-52.09631463655199</x:v>
      </x:c>
      <x:c r="Y101" s="9"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x:f>
        <x:v>470.10163194835394</x:v>
      </x:c>
      <x:c r="Z101" s="9">
        <x:f t="shared" si="26"/>
        <x:v>400.17459631463657</x:v>
      </x:c>
      <x:c r="AA101" s="9" t="n">
        <x:f>SQRT((Inputs!$C$52+B101)^2+(Inputs!$C$52+Y101/1000)^2-2*(Inputs!$C$52+B101)*(Inputs!$C$52+Y101/1000)*COS(SQRT(A101^2+Inputs!$C$6^2)/Inputs!$C$52))</x:f>
        <x:v>400.8067255191686</x:v>
      </x:c>
      <x:c r="AB101" s="9">
        <x:f t="shared" si="27"/>
        <x:v>632.12920453202059</x:v>
      </x:c>
      <x:c r="AC101" s="9" t="n">
        <x:f>AB101/Inputs!$C$12</x:f>
        <x:v>355.1287665910228</x:v>
      </x:c>
      <x:c r="AD101" s="9" t="n">
        <x:f>2*AB101/Inputs!$C$21*1000000</x:f>
        <x:v>4.217112123161021</x:v>
      </x:c>
      <x:c r="AE101" s="9">
        <x:f t="shared" si="28"/>
        <x:v>3.8814380027204494</x:v>
      </x:c>
      <x:c r="AF101" s="9" t="n">
        <x:f>DEGREES((2*PI()/Inputs!$C$13)*Inputs!$C$15*SIN(RADIANS(AE101)))</x:f>
        <x:v>24.369144967017967</x:v>
      </x:c>
      <x:c r="AG101" s="9">
        <x:f t="shared" si="29"/>
        <x:v>0.99370633974303701</x:v>
      </x:c>
      <x:c r="AH101" s="9">
        <x:f t="shared" si="30"/>
        <x:v>-2.741939417458731E-2</x:v>
      </x:c>
      <x:c r="AI101" s="9">
        <x:f t="shared" si="31"/>
        <x:v>-292.41515100468052</x:v>
      </x:c>
      <x:c r="AJ101" s="9">
        <x:f t="shared" si="32"/>
        <x:v>-3.472395351509018</x:v>
      </x:c>
      <x:c r="AK101" s="9">
        <x:f t="shared" si="33"/>
        <x:v>522.19794658490605</x:v>
      </x:c>
      <x:c r="AL101" s="9" t="n">
        <x:f>1000*(AA102-AA100)/(A102-A100)*Inputs!$C$11</x:f>
        <x:v>-260.5659174446373</x:v>
      </x:c>
      <x:c r="AM101" s="9" t="n">
        <x:f>-2*AL101/Inputs!$C$13</x:f>
        <x:v>104.22636697785492</x:v>
      </x:c>
      <x:c r="AN101" s="9" t="n">
        <x:f>-2*AL101/Inputs!$C$14</x:f>
        <x:v>15.64960465132957</x:v>
      </x:c>
      <x:c r="AO101" s="9">
        <x:f t="shared" si="34"/>
        <x:v>104.22636697594498</x:v>
      </x:c>
      <x:c r="AP101" s="9">
        <x:f t="shared" si="35"/>
        <x:v>15.649604651042791</x:v>
      </x:c>
      <x:c r="AQ101" s="9" t="n">
        <x:f>IF(OR(Inputs!$C$27=TRUE,Inputs!$C$27="TRUE",Inputs!$C$27=1),Inputs!$C$46/Inputs!$C$12,0)</x:f>
        <x:v>42.13483146067416</x:v>
      </x:c>
      <x:c r="AR101" s="9">
        <x:f t="shared" si="36"/>
        <x:v>312.99393513034863</x:v>
      </x:c>
      <x:c r="AS101" s="9">
        <x:f t="shared" si="37"/>
        <x:v>397.26359805169693</x:v>
      </x:c>
    </x:row>
    <x:row r="102">
      <x:c r="A102" s="9" t="n">
        <x:f>Inputs!$C$7+100*(Inputs!$C$8-Inputs!$C$7)/240</x:f>
        <x:v>-10</x:v>
      </x:c>
      <x:c r="B102" s="9" t="n">
        <x:f>Inputs!$C$5+Inputs!$C$9*(A102/Inputs!$C$10)^2</x:f>
        <x:v>400.1111111111111</x:v>
      </x:c>
      <x:c r="C102" s="9">
        <x:f t="shared" si="19"/>
        <x:v>400.11111111111109</x:v>
      </x:c>
      <x:c r="D102" s="9" t="n">
        <x:f>SQRT((Inputs!$C$52+B102)^2+Inputs!$C$52^2-2*(Inputs!$C$52+B102)*Inputs!$C$52*COS(SQRT(A102^2+Inputs!$C$6^2)/Inputs!$C$52))</x:f>
        <x:v>401.2477195069413</x:v>
      </x:c>
      <x:c r="E102" s="9">
        <x:f t="shared" si="20"/>
        <x:v>1136.6083958301942</x:v>
      </x:c>
      <x:c r="F102" s="9" t="n">
        <x:f>E102/Inputs!$C$12</x:f>
        <x:v>638.5440426012327</x:v>
      </x:c>
      <x:c r="G102" s="9" t="n">
        <x:f>2*E102/Inputs!$C$21*1000000</x:f>
        <x:v>7.5826350229944355</x:v>
      </x:c>
      <x:c r="H102" s="9" t="n">
        <x:f>SQRT(A102^2+Inputs!$C$6^2)</x:f>
        <x:v>26.92582403567252</x:v>
      </x:c>
      <x:c r="I102" s="9">
        <x:f t="shared" si="21"/>
        <x:v>3.8499643269735215</x:v>
      </x:c>
      <x:c r="J102" s="9" t="n">
        <x:f>DEGREES((2*PI()/Inputs!$C$13)*Inputs!$C$15*SIN(RADIANS(I102)))</x:f>
        <x:v>24.171839961370843</x:v>
      </x:c>
      <x:c r="K102" s="9">
        <x:f t="shared" si="22"/>
        <x:v>0.98871731377615735</x:v>
      </x:c>
      <x:c r="L102" s="9">
        <x:f t="shared" si="23"/>
        <x:v>-4.9278606940563963E-2</x:v>
      </x:c>
      <x:c r="M102" s="9" t="n">
        <x:f>2*(Inputs!$C$9/(Inputs!$C$10^2))*A102</x:f>
        <x:v>-0.022222222222222223</x:v>
      </x:c>
      <x:c r="N102" s="9" t="n">
        <x:f>M102*Inputs!$C$11</x:f>
        <x:v>-0.08888888888888889</x:v>
      </x:c>
      <x:c r="O102" s="9" t="n">
        <x:f>1000*(D103-D101)/(A103-A101)*Inputs!$C$11</x:f>
        <x:v>-213.92639874261477</x:v>
      </x:c>
      <x:c r="P102" s="9" t="n">
        <x:f>-2*O102/Inputs!$C$13</x:f>
        <x:v>85.5705594970459</x:v>
      </x:c>
      <x:c r="Q102" s="9" t="n">
        <x:f>-2*O102/Inputs!$C$14</x:f>
        <x:v>12.8484323569138</x:v>
      </x:c>
      <x:c r="R102" s="9" t="n">
        <x:f>F102-Inputs!$C$16/2</x:f>
        <x:v>623.5440426012327</x:v>
      </x:c>
      <x:c r="S102" s="9" t="n">
        <x:f>F102+Inputs!$C$16/2</x:f>
        <x:v>653.5440426012327</x:v>
      </x:c>
      <x:c r="T102" s="9" t="n">
        <x:f>F102-Inputs!$C$17/2</x:f>
        <x:v>488.5440426012327</x:v>
      </x:c>
      <x:c r="U102" s="9" t="n">
        <x:f>F102+Inputs!$C$17/2</x:f>
        <x:v>788.5440426012327</x:v>
      </x:c>
      <x:c r="V102" s="9">
        <x:f t="shared" si="24"/>
        <x:v>85.570559497045906</x:v>
      </x:c>
      <x:c r="W102" s="9">
        <x:f t="shared" si="25"/>
        <x:v>12.848432356913801</x:v>
      </x:c>
      <x:c r="X102" s="9"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x:f>
        <x:v>-49.423131521111884</x:v>
      </x:c>
      <x:c r="Y102" s="9"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x:f>
        <x:v>471.5144848829251</x:v>
      </x:c>
      <x:c r="Z102" s="9">
        <x:f t="shared" si="26"/>
        <x:v>400.1605342426322</x:v>
      </x:c>
      <x:c r="AA102" s="9" t="n">
        <x:f>SQRT((Inputs!$C$52+B102)^2+(Inputs!$C$52+Y102/1000)^2-2*(Inputs!$C$52+B102)*(Inputs!$C$52+Y102/1000)*COS(SQRT(A102^2+Inputs!$C$6^2)/Inputs!$C$52))</x:f>
        <x:v>400.77788552608473</x:v>
      </x:c>
      <x:c r="AB102" s="9">
        <x:f t="shared" si="27"/>
        <x:v>617.35128345372914</x:v>
      </x:c>
      <x:c r="AC102" s="9" t="n">
        <x:f>AB102/Inputs!$C$12</x:f>
        <x:v>346.8265637380501</x:v>
      </x:c>
      <x:c r="AD102" s="9" t="n">
        <x:f>2*AB102/Inputs!$C$21*1000000</x:f>
        <x:v>4.118524445693221</x:v>
      </x:c>
      <x:c r="AE102" s="9">
        <x:f t="shared" si="28"/>
        <x:v>3.8544930199199281</x:v>
      </x:c>
      <x:c r="AF102" s="9" t="n">
        <x:f>DEGREES((2*PI()/Inputs!$C$13)*Inputs!$C$15*SIN(RADIANS(AE102)))</x:f>
        <x:v>24.200230289148678</x:v>
      </x:c>
      <x:c r="AG102" s="9">
        <x:f t="shared" si="29"/>
        <x:v>0.99385269163590273</x:v>
      </x:c>
      <x:c r="AH102" s="9">
        <x:f t="shared" si="30"/>
        <x:v>-2.6779817501904016E-2</x:v>
      </x:c>
      <x:c r="AI102" s="9">
        <x:f t="shared" si="31"/>
        <x:v>-291.71747886318263</x:v>
      </x:c>
      <x:c r="AJ102" s="9">
        <x:f t="shared" si="32"/>
        <x:v>-3.4641105773012146</x:v>
      </x:c>
      <x:c r="AK102" s="9">
        <x:f t="shared" si="33"/>
        <x:v>520.93761640423349</x:v>
      </x:c>
      <x:c r="AL102" s="9" t="n">
        <x:f>1000*(AA103-AA101)/(A103-A101)*Inputs!$C$11</x:f>
        <x:v>-216.02295813136152</x:v>
      </x:c>
      <x:c r="AM102" s="9" t="n">
        <x:f>-2*AL102/Inputs!$C$13</x:f>
        <x:v>86.40918325254461</x:v>
      </x:c>
      <x:c r="AN102" s="9" t="n">
        <x:f>-2*AL102/Inputs!$C$14</x:f>
        <x:v>12.974351839721415</x:v>
      </x:c>
      <x:c r="AO102" s="9">
        <x:f t="shared" si="34"/>
        <x:v>86.409183252544608</x:v>
      </x:c>
      <x:c r="AP102" s="9">
        <x:f t="shared" si="35"/>
        <x:v>12.974351839721415</x:v>
      </x:c>
      <x:c r="AQ102" s="9" t="n">
        <x:f>IF(OR(Inputs!$C$27=TRUE,Inputs!$C$27="TRUE",Inputs!$C$27=1),Inputs!$C$46/Inputs!$C$12,0)</x:f>
        <x:v>42.13483146067416</x:v>
      </x:c>
      <x:c r="AR102" s="9">
        <x:f t="shared" si="36"/>
        <x:v>304.69173227737593</x:v>
      </x:c>
      <x:c r="AS102" s="9">
        <x:f t="shared" si="37"/>
        <x:v>388.96139519872423</x:v>
      </x:c>
    </x:row>
    <x:row r="103">
      <x:c r="A103" s="9" t="n">
        <x:f>Inputs!$C$7+101*(Inputs!$C$8-Inputs!$C$7)/240</x:f>
        <x:v>-9.5</x:v>
      </x:c>
      <x:c r="B103" s="9" t="n">
        <x:f>Inputs!$C$5+Inputs!$C$9*(A103/Inputs!$C$10)^2</x:f>
        <x:v>400.10027777777776</x:v>
      </x:c>
      <x:c r="C103" s="9">
        <x:f t="shared" si="19"/>
        <x:v>400.10027777777776</x:v>
      </x:c>
      <x:c r="D103" s="9" t="n">
        <x:f>SQRT((Inputs!$C$52+B103)^2+Inputs!$C$52^2-2*(Inputs!$C$52+B103)*Inputs!$C$52*COS(SQRT(A103^2+Inputs!$C$6^2)/Inputs!$C$52))</x:f>
        <x:v>401.2216465736347</x:v>
      </x:c>
      <x:c r="E103" s="9">
        <x:f t="shared" si="20"/>
        <x:v>1121.368795856938</x:v>
      </x:c>
      <x:c r="F103" s="9" t="n">
        <x:f>E103/Inputs!$C$12</x:f>
        <x:v>629.9824695825495</x:v>
      </x:c>
      <x:c r="G103" s="9" t="n">
        <x:f>2*E103/Inputs!$C$21*1000000</x:f>
        <x:v>7.4809673554692155</x:v>
      </x:c>
      <x:c r="H103" s="9" t="n">
        <x:f>SQRT(A103^2+Inputs!$C$6^2)</x:f>
        <x:v>26.744158240632665</x:v>
      </x:c>
      <x:c r="I103" s="9">
        <x:f t="shared" si="21"/>
        <x:v>3.8241695756954894</x:v>
      </x:c>
      <x:c r="J103" s="9" t="n">
        <x:f>DEGREES((2*PI()/Inputs!$C$13)*Inputs!$C$15*SIN(RADIANS(I103)))</x:f>
        <x:v>24.010130066350158</x:v>
      </x:c>
      <x:c r="K103" s="9">
        <x:f t="shared" si="22"/>
        <x:v>0.98886723673401933</x:v>
      </x:c>
      <x:c r="L103" s="9">
        <x:f t="shared" si="23"/>
        <x:v>-4.8620119662050265E-2</x:v>
      </x:c>
      <x:c r="M103" s="9" t="n">
        <x:f>2*(Inputs!$C$9/(Inputs!$C$10^2))*A103</x:f>
        <x:v>-0.021111111111111112</x:v>
      </x:c>
      <x:c r="N103" s="9" t="n">
        <x:f>M103*Inputs!$C$11</x:f>
        <x:v>-0.08444444444444445</x:v>
      </x:c>
      <x:c r="O103" s="9" t="n">
        <x:f>1000*(D104-D102)/(A104-A102)*Inputs!$C$11</x:f>
        <x:v>-203.23977003636173</x:v>
      </x:c>
      <x:c r="P103" s="9" t="n">
        <x:f>-2*O103/Inputs!$C$13</x:f>
        <x:v>81.2959080145447</x:v>
      </x:c>
      <x:c r="Q103" s="9" t="n">
        <x:f>-2*O103/Inputs!$C$14</x:f>
        <x:v>12.206592794976682</x:v>
      </x:c>
      <x:c r="R103" s="9" t="n">
        <x:f>F103-Inputs!$C$16/2</x:f>
        <x:v>614.9824695825495</x:v>
      </x:c>
      <x:c r="S103" s="9" t="n">
        <x:f>F103+Inputs!$C$16/2</x:f>
        <x:v>644.9824695825495</x:v>
      </x:c>
      <x:c r="T103" s="9" t="n">
        <x:f>F103-Inputs!$C$17/2</x:f>
        <x:v>479.98246958254947</x:v>
      </x:c>
      <x:c r="U103" s="9" t="n">
        <x:f>F103+Inputs!$C$17/2</x:f>
        <x:v>779.9824695825495</x:v>
      </x:c>
      <x:c r="V103" s="9">
        <x:f t="shared" si="24"/>
        <x:v>81.295908014544693</x:v>
      </x:c>
      <x:c r="W103" s="9">
        <x:f t="shared" si="25"/>
        <x:v>12.206592794976682</x:v>
      </x:c>
      <x:c r="X103" s="9"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x:f>
        <x:v>-32.277557975083496</x:v>
      </x:c>
      <x:c r="Y103" s="9"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x:f>
        <x:v>470.5815738170562</x:v>
      </x:c>
      <x:c r="Z103" s="9">
        <x:f t="shared" si="26"/>
        <x:v>400.13255533575284</x:v>
      </x:c>
      <x:c r="AA103" s="9" t="n">
        <x:f>SQRT((Inputs!$C$52+B103)^2+(Inputs!$C$52+Y103/1000)^2-2*(Inputs!$C$52+B103)*(Inputs!$C$52+Y103/1000)*COS(SQRT(A103^2+Inputs!$C$6^2)/Inputs!$C$52))</x:f>
        <x:v>400.75271977963575</x:v>
      </x:c>
      <x:c r="AB103" s="9">
        <x:f t="shared" si="27"/>
        <x:v>620.16444388291347</x:v>
      </x:c>
      <x:c r="AC103" s="9" t="n">
        <x:f>AB103/Inputs!$C$12</x:f>
        <x:v>348.406990945457</x:v>
      </x:c>
      <x:c r="AD103" s="9" t="n">
        <x:f>2*AB103/Inputs!$C$21*1000000</x:f>
        <x:v>4.137291831957383</x:v>
      </x:c>
      <x:c r="AE103" s="9">
        <x:f t="shared" si="28"/>
        <x:v>3.8286593185218871</x:v>
      </x:c>
      <x:c r="AF103" s="9" t="n">
        <x:f>DEGREES((2*PI()/Inputs!$C$13)*Inputs!$C$15*SIN(RADIANS(AE103)))</x:f>
        <x:v>24.03827706727071</x:v>
      </x:c>
      <x:c r="AG103" s="9">
        <x:f t="shared" si="29"/>
        <x:v>0.99382435759408705</x:v>
      </x:c>
      <x:c r="AH103" s="9">
        <x:f t="shared" si="30"/>
        <x:v>-2.6903633571684227E-2</x:v>
      </x:c>
      <x:c r="AI103" s="9">
        <x:f t="shared" si="31"/>
        <x:v>-281.57547863709249</x:v>
      </x:c>
      <x:c r="AJ103" s="9">
        <x:f t="shared" si="32"/>
        <x:v>-3.3436755235118323</x:v>
      </x:c>
      <x:c r="AK103" s="9">
        <x:f t="shared" si="33"/>
        <x:v>502.85913179213969</x:v>
      </x:c>
      <x:c r="AL103" s="9" t="n">
        <x:f>1000*(AA104-AA102)/(A104-A102)*Inputs!$C$11</x:f>
        <x:v>-239.7033450286017</x:v>
      </x:c>
      <x:c r="AM103" s="9" t="n">
        <x:f>-2*AL103/Inputs!$C$13</x:f>
        <x:v>95.88133801144068</x:v>
      </x:c>
      <x:c r="AN103" s="9" t="n">
        <x:f>-2*AL103/Inputs!$C$14</x:f>
        <x:v>14.396597299015118</x:v>
      </x:c>
      <x:c r="AO103" s="9">
        <x:f t="shared" si="34"/>
        <x:v>95.881338013350614</x:v>
      </x:c>
      <x:c r="AP103" s="9">
        <x:f t="shared" si="35"/>
        <x:v>14.396597299301895</x:v>
      </x:c>
      <x:c r="AQ103" s="9" t="n">
        <x:f>IF(OR(Inputs!$C$27=TRUE,Inputs!$C$27="TRUE",Inputs!$C$27=1),Inputs!$C$46/Inputs!$C$12,0)</x:f>
        <x:v>42.13483146067416</x:v>
      </x:c>
      <x:c r="AR103" s="9">
        <x:f t="shared" si="36"/>
        <x:v>306.27215948478283</x:v>
      </x:c>
      <x:c r="AS103" s="9">
        <x:f t="shared" si="37"/>
        <x:v>390.54182240613113</x:v>
      </x:c>
    </x:row>
    <x:row r="104">
      <x:c r="A104" s="9" t="n">
        <x:f>Inputs!$C$7+102*(Inputs!$C$8-Inputs!$C$7)/240</x:f>
        <x:v>-9</x:v>
      </x:c>
      <x:c r="B104" s="9" t="n">
        <x:f>Inputs!$C$5+Inputs!$C$9*(A104/Inputs!$C$10)^2</x:f>
        <x:v>400.09</x:v>
      </x:c>
      <x:c r="C104" s="9">
        <x:f t="shared" si="19"/>
        <x:v>400.09</x:v>
      </x:c>
      <x:c r="D104" s="9" t="n">
        <x:f>SQRT((Inputs!$C$52+B104)^2+Inputs!$C$52^2-2*(Inputs!$C$52+B104)*Inputs!$C$52*COS(SQRT(A104^2+Inputs!$C$6^2)/Inputs!$C$52))</x:f>
        <x:v>401.1969095644322</x:v>
      </x:c>
      <x:c r="E104" s="9">
        <x:f t="shared" si="20"/>
        <x:v>1106.9095644322147</x:v>
      </x:c>
      <x:c r="F104" s="9" t="n">
        <x:f>E104/Inputs!$C$12</x:f>
        <x:v>621.8593058607947</x:v>
      </x:c>
      <x:c r="G104" s="9" t="n">
        <x:f>2*E104/Inputs!$C$21*1000000</x:f>
        <x:v>7.3845057465202455</x:v>
      </x:c>
      <x:c r="H104" s="9" t="n">
        <x:f>SQRT(A104^2+Inputs!$C$6^2)</x:f>
        <x:v>26.570660511172846</x:v>
      </x:c>
      <x:c r="I104" s="9">
        <x:f t="shared" si="21"/>
        <x:v>3.7995312070651801</x:v>
      </x:c>
      <x:c r="J104" s="9" t="n">
        <x:f>DEGREES((2*PI()/Inputs!$C$13)*Inputs!$C$15*SIN(RADIANS(I104)))</x:f>
        <x:v>23.85566510612477</x:v>
      </x:c>
      <x:c r="K104" s="9">
        <x:f t="shared" si="22"/>
        <x:v>0.98900951644510726</x:v>
      </x:c>
      <x:c r="L104" s="9">
        <x:f t="shared" si="23"/>
        <x:v>-4.7995295153449892E-2</x:v>
      </x:c>
      <x:c r="M104" s="9" t="n">
        <x:f>2*(Inputs!$C$9/(Inputs!$C$10^2))*A104</x:f>
        <x:v>-0.02</x:v>
      </x:c>
      <x:c r="N104" s="9" t="n">
        <x:f>M104*Inputs!$C$11</x:f>
        <x:v>-0.08</x:v>
      </x:c>
      <x:c r="O104" s="9" t="n">
        <x:f>1000*(D105-D103)/(A105-A103)*Inputs!$C$11</x:f>
        <x:v>-192.55165201866475</x:v>
      </x:c>
      <x:c r="P104" s="9" t="n">
        <x:f>-2*O104/Inputs!$C$13</x:f>
        <x:v>77.0206608074659</x:v>
      </x:c>
      <x:c r="Q104" s="9" t="n">
        <x:f>-2*O104/Inputs!$C$14</x:f>
        <x:v>11.564663784904791</x:v>
      </x:c>
      <x:c r="R104" s="9" t="n">
        <x:f>F104-Inputs!$C$16/2</x:f>
        <x:v>606.8593058607947</x:v>
      </x:c>
      <x:c r="S104" s="9" t="n">
        <x:f>F104+Inputs!$C$16/2</x:f>
        <x:v>636.8593058607947</x:v>
      </x:c>
      <x:c r="T104" s="9" t="n">
        <x:f>F104-Inputs!$C$17/2</x:f>
        <x:v>471.85930586079473</x:v>
      </x:c>
      <x:c r="U104" s="9" t="n">
        <x:f>F104+Inputs!$C$17/2</x:f>
        <x:v>771.8593058607947</x:v>
      </x:c>
      <x:c r="V104" s="9">
        <x:f t="shared" si="24"/>
        <x:v>77.020660807465902</x:v>
      </x:c>
      <x:c r="W104" s="9">
        <x:f t="shared" si="25"/>
        <x:v>11.564663784904791</x:v>
      </x:c>
      <x:c r="X104" s="9"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x:f>
        <x:v>-47.4214748383975</x:v>
      </x:c>
      <x:c r="Y104" s="9"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x:f>
        <x:v>480.618285675218</x:v>
      </x:c>
      <x:c r="Z104" s="9">
        <x:f t="shared" si="26"/>
        <x:v>400.13742147483839</x:v>
      </x:c>
      <x:c r="AA104" s="9" t="n">
        <x:f>SQRT((Inputs!$C$52+B104)^2+(Inputs!$C$52+Y104/1000)^2-2*(Inputs!$C$52+B104)*(Inputs!$C$52+Y104/1000)*COS(SQRT(A104^2+Inputs!$C$6^2)/Inputs!$C$52))</x:f>
        <x:v>400.7179596898276</x:v>
      </x:c>
      <x:c r="AB104" s="9">
        <x:f t="shared" si="27"/>
        <x:v>580.53821498918978</x:v>
      </x:c>
      <x:c r="AC104" s="9" t="n">
        <x:f>AB104/Inputs!$C$12</x:f>
        <x:v>326.14506460066843</x:v>
      </x:c>
      <x:c r="AD104" s="9" t="n">
        <x:f>2*AB104/Inputs!$C$21*1000000</x:f>
        <x:v>3.872934088216387</x:v>
      </x:c>
      <x:c r="AE104" s="9">
        <x:f t="shared" si="28"/>
        <x:v>3.8040875704738526</x:v>
      </x:c>
      <x:c r="AF104" s="9" t="n">
        <x:f>DEGREES((2*PI()/Inputs!$C$13)*Inputs!$C$15*SIN(RADIANS(AE104)))</x:f>
        <x:v>23.884230581198143</x:v>
      </x:c>
      <x:c r="AG104" s="9">
        <x:f t="shared" si="29"/>
        <x:v>0.99421760027376926</x:v>
      </x:c>
      <x:c r="AH104" s="9">
        <x:f t="shared" si="30"/>
        <x:v>-2.5185529711890704E-2</x:v>
      </x:c>
      <x:c r="AI104" s="9">
        <x:f t="shared" si="31"/>
        <x:v>-295.7142412601263</x:v>
      </x:c>
      <x:c r="AJ104" s="9">
        <x:f t="shared" si="32"/>
        <x:v>-3.5115716583038585</x:v>
      </x:c>
      <x:c r="AK104" s="9">
        <x:f t="shared" si="33"/>
        <x:v>528.03976051361542</x:v>
      </x:c>
      <x:c r="AL104" s="9" t="n">
        <x:f>1000*(AA105-AA103)/(A105-A103)*Inputs!$C$11</x:f>
        <x:v>-153.0099908070497</x:v>
      </x:c>
      <x:c r="AM104" s="9" t="n">
        <x:f>-2*AL104/Inputs!$C$13</x:f>
        <x:v>61.203996322819876</x:v>
      </x:c>
      <x:c r="AN104" s="9" t="n">
        <x:f>-2*AL104/Inputs!$C$14</x:f>
        <x:v>9.189789237660642</x:v>
      </x:c>
      <x:c r="AO104" s="9">
        <x:f t="shared" si="34"/>
        <x:v>61.203996322819876</x:v>
      </x:c>
      <x:c r="AP104" s="9">
        <x:f t="shared" si="35"/>
        <x:v>9.1897892376606425</x:v>
      </x:c>
      <x:c r="AQ104" s="9" t="n">
        <x:f>IF(OR(Inputs!$C$27=TRUE,Inputs!$C$27="TRUE",Inputs!$C$27=1),Inputs!$C$46/Inputs!$C$12,0)</x:f>
        <x:v>42.13483146067416</x:v>
      </x:c>
      <x:c r="AR104" s="9">
        <x:f t="shared" si="36"/>
        <x:v>284.01023313999428</x:v>
      </x:c>
      <x:c r="AS104" s="9">
        <x:f t="shared" si="37"/>
        <x:v>368.27989606134258</x:v>
      </x:c>
    </x:row>
    <x:row r="105">
      <x:c r="A105" s="9" t="n">
        <x:f>Inputs!$C$7+103*(Inputs!$C$8-Inputs!$C$7)/240</x:f>
        <x:v>-8.5</x:v>
      </x:c>
      <x:c r="B105" s="9" t="n">
        <x:f>Inputs!$C$5+Inputs!$C$9*(A105/Inputs!$C$10)^2</x:f>
        <x:v>400.0802777777778</x:v>
      </x:c>
      <x:c r="C105" s="9">
        <x:f t="shared" si="19"/>
        <x:v>400.08027777777778</x:v>
      </x:c>
      <x:c r="D105" s="9" t="n">
        <x:f>SQRT((Inputs!$C$52+B105)^2+Inputs!$C$52^2-2*(Inputs!$C$52+B105)*Inputs!$C$52*COS(SQRT(A105^2+Inputs!$C$6^2)/Inputs!$C$52))</x:f>
        <x:v>401.17350866063003</x:v>
      </x:c>
      <x:c r="E105" s="9">
        <x:f t="shared" si="20"/>
        <x:v>1093.2308828522537</x:v>
      </x:c>
      <x:c r="F105" s="9" t="n">
        <x:f>E105/Inputs!$C$12</x:f>
        <x:v>614.1746532877829</x:v>
      </x:c>
      <x:c r="G105" s="9" t="n">
        <x:f>2*E105/Inputs!$C$21*1000000</x:f>
        <x:v>7.29325140562578</x:v>
      </x:c>
      <x:c r="H105" s="9" t="n">
        <x:f>SQRT(A105^2+Inputs!$C$6^2)</x:f>
        <x:v>26.405491853021786</x:v>
      </x:c>
      <x:c r="I105" s="9">
        <x:f t="shared" si="21"/>
        <x:v>3.7760725787865743</x:v>
      </x:c>
      <x:c r="J105" s="9" t="n">
        <x:f>DEGREES((2*PI()/Inputs!$C$13)*Inputs!$C$15*SIN(RADIANS(I105)))</x:f>
        <x:v>23.708592174666432</x:v>
      </x:c>
      <x:c r="K105" s="9">
        <x:f t="shared" si="22"/>
        <x:v>0.98914414580412702</x:v>
      </x:c>
      <x:c r="L105" s="9">
        <x:f t="shared" si="23"/>
        <x:v>-4.7404150098032463E-2</x:v>
      </x:c>
      <x:c r="M105" s="9" t="n">
        <x:f>2*(Inputs!$C$9/(Inputs!$C$10^2))*A105</x:f>
        <x:v>-0.01888888888888889</x:v>
      </x:c>
      <x:c r="N105" s="9" t="n">
        <x:f>M105*Inputs!$C$11</x:f>
        <x:v>-0.07555555555555556</x:v>
      </x:c>
      <x:c r="O105" s="9" t="n">
        <x:f>1000*(D106-D104)/(A106-A104)*Inputs!$C$11</x:f>
        <x:v>-181.8621226407231</x:v>
      </x:c>
      <x:c r="P105" s="9" t="n">
        <x:f>-2*O105/Inputs!$C$13</x:f>
        <x:v>72.74484905628924</x:v>
      </x:c>
      <x:c r="Q105" s="9" t="n">
        <x:f>-2*O105/Inputs!$C$14</x:f>
        <x:v>10.92265000845184</x:v>
      </x:c>
      <x:c r="R105" s="9" t="n">
        <x:f>F105-Inputs!$C$16/2</x:f>
        <x:v>599.1746532877829</x:v>
      </x:c>
      <x:c r="S105" s="9" t="n">
        <x:f>F105+Inputs!$C$16/2</x:f>
        <x:v>629.1746532877829</x:v>
      </x:c>
      <x:c r="T105" s="9" t="n">
        <x:f>F105-Inputs!$C$17/2</x:f>
        <x:v>464.1746532877829</x:v>
      </x:c>
      <x:c r="U105" s="9" t="n">
        <x:f>F105+Inputs!$C$17/2</x:f>
        <x:v>764.1746532877829</x:v>
      </x:c>
      <x:c r="V105" s="9">
        <x:f t="shared" si="24"/>
        <x:v>72.74484905628924</x:v>
      </x:c>
      <x:c r="W105" s="9">
        <x:f t="shared" si="25"/>
        <x:v>10.922650008451839</x:v>
      </x:c>
      <x:c r="X105" s="9"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x:f>
        <x:v>-61.84832289166857</x:v>
      </x:c>
      <x:c r="Y105" s="9"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x:f>
        <x:v>460.6206107904381</x:v>
      </x:c>
      <x:c r="Z105" s="9">
        <x:f t="shared" si="26"/>
        <x:v>400.14212610066943</x:v>
      </x:c>
      <x:c r="AA105" s="9" t="n">
        <x:f>SQRT((Inputs!$C$52+B105)^2+(Inputs!$C$52+Y105/1000)^2-2*(Inputs!$C$52+B105)*(Inputs!$C$52+Y105/1000)*COS(SQRT(A105^2+Inputs!$C$6^2)/Inputs!$C$52))</x:f>
        <x:v>400.714467281934</x:v>
      </x:c>
      <x:c r="AB105" s="9">
        <x:f t="shared" si="27"/>
        <x:v>572.34118126456224</x:v>
      </x:c>
      <x:c r="AC105" s="9" t="n">
        <x:f>AB105/Inputs!$C$12</x:f>
        <x:v>321.53998947447315</x:v>
      </x:c>
      <x:c r="AD105" s="9" t="n">
        <x:f>2*AB105/Inputs!$C$21*1000000</x:f>
        <x:v>3.8182493654631044</x:v>
      </x:c>
      <x:c r="AE105" s="9">
        <x:f t="shared" si="28"/>
        <x:v>3.7804124455522796</x:v>
      </x:c>
      <x:c r="AF105" s="9" t="n">
        <x:f>DEGREES((2*PI()/Inputs!$C$13)*Inputs!$C$15*SIN(RADIANS(AE105)))</x:f>
        <x:v>23.735801096075644</x:v>
      </x:c>
      <x:c r="AG105" s="9">
        <x:f t="shared" si="29"/>
        <x:v>0.99429902156072436</x:v>
      </x:c>
      <x:c r="AH105" s="9">
        <x:f t="shared" si="30"/>
        <x:v>-2.4829879522543036E-2</x:v>
      </x:c>
      <x:c r="AI105" s="9">
        <x:f t="shared" si="31"/>
        <x:v>-292.63466381330977</x:v>
      </x:c>
      <x:c r="AJ105" s="9">
        <x:f t="shared" si="32"/>
        <x:v>-3.4750020401626753</x:v>
      </x:c>
      <x:c r="AK105" s="9">
        <x:f t="shared" si="33"/>
        <x:v>522.46893368210669</x:v>
      </x:c>
      <x:c r="AL105" s="9" t="n">
        <x:f>1000*(AA106-AA104)/(A106-A104)*Inputs!$C$11</x:f>
        <x:v>-162.27947085280903</x:v>
      </x:c>
      <x:c r="AM105" s="9" t="n">
        <x:f>-2*AL105/Inputs!$C$13</x:f>
        <x:v>64.91178834112361</x:v>
      </x:c>
      <x:c r="AN105" s="9" t="n">
        <x:f>-2*AL105/Inputs!$C$14</x:f>
        <x:v>9.746514765934476</x:v>
      </x:c>
      <x:c r="AO105" s="9">
        <x:f t="shared" si="34"/>
        <x:v>64.911788341123611</x:v>
      </x:c>
      <x:c r="AP105" s="9">
        <x:f t="shared" si="35"/>
        <x:v>9.7465147659344762</x:v>
      </x:c>
      <x:c r="AQ105" s="9" t="n">
        <x:f>IF(OR(Inputs!$C$27=TRUE,Inputs!$C$27="TRUE",Inputs!$C$27=1),Inputs!$C$46/Inputs!$C$12,0)</x:f>
        <x:v>42.13483146067416</x:v>
      </x:c>
      <x:c r="AR105" s="9">
        <x:f t="shared" si="36"/>
        <x:v>279.405158013799</x:v>
      </x:c>
      <x:c r="AS105" s="9">
        <x:f t="shared" si="37"/>
        <x:v>363.6748209351473</x:v>
      </x:c>
    </x:row>
    <x:row r="106">
      <x:c r="A106" s="9" t="n">
        <x:f>Inputs!$C$7+104*(Inputs!$C$8-Inputs!$C$7)/240</x:f>
        <x:v>-8</x:v>
      </x:c>
      <x:c r="B106" s="9" t="n">
        <x:f>Inputs!$C$5+Inputs!$C$9*(A106/Inputs!$C$10)^2</x:f>
        <x:v>400.0711111111111</x:v>
      </x:c>
      <x:c r="C106" s="9">
        <x:f t="shared" si="19"/>
        <x:v>400.07111111111112</x:v>
      </x:c>
      <x:c r="D106" s="9" t="n">
        <x:f>SQRT((Inputs!$C$52+B106)^2+Inputs!$C$52^2-2*(Inputs!$C$52+B106)*Inputs!$C$52*COS(SQRT(A106^2+Inputs!$C$6^2)/Inputs!$C$52))</x:f>
        <x:v>401.151444033772</x:v>
      </x:c>
      <x:c r="E106" s="9">
        <x:f t="shared" si="20"/>
        <x:v>1080.3329226608867</x:v>
      </x:c>
      <x:c r="F106" s="9" t="n">
        <x:f>E106/Inputs!$C$12</x:f>
        <x:v>606.9286082364532</x:v>
      </x:c>
      <x:c r="G106" s="9" t="n">
        <x:f>2*E106/Inputs!$C$21*1000000</x:f>
        <x:v>7.207205477203076</x:v>
      </x:c>
      <x:c r="H106" s="9" t="n">
        <x:f>SQRT(A106^2+Inputs!$C$6^2)</x:f>
        <x:v>26.248809496813376</x:v>
      </x:c>
      <x:c r="I106" s="9">
        <x:f t="shared" si="21"/>
        <x:v>3.7538164957068103</x:v>
      </x:c>
      <x:c r="J106" s="9" t="n">
        <x:f>DEGREES((2*PI()/Inputs!$C$13)*Inputs!$C$15*SIN(RADIANS(I106)))</x:f>
        <x:v>23.56905487786457</x:v>
      </x:c>
      <x:c r="K106" s="9">
        <x:f t="shared" si="22"/>
        <x:v>0.98927111808520884</x:v>
      </x:c>
      <x:c r="L106" s="9">
        <x:f t="shared" si="23"/>
        <x:v>-4.6846700283418599E-2</x:v>
      </x:c>
      <x:c r="M106" s="9" t="n">
        <x:f>2*(Inputs!$C$9/(Inputs!$C$10^2))*A106</x:f>
        <x:v>-0.017777777777777778</x:v>
      </x:c>
      <x:c r="N106" s="9" t="n">
        <x:f>M106*Inputs!$C$11</x:f>
        <x:v>-0.07111111111111111</x:v>
      </x:c>
      <x:c r="O106" s="9" t="n">
        <x:f>1000*(D107-D105)/(A107-A105)*Inputs!$C$11</x:f>
        <x:v>-171.1712599292241</x:v>
      </x:c>
      <x:c r="P106" s="9" t="n">
        <x:f>-2*O106/Inputs!$C$13</x:f>
        <x:v>68.46850397168964</x:v>
      </x:c>
      <x:c r="Q106" s="9" t="n">
        <x:f>-2*O106/Inputs!$C$14</x:f>
        <x:v>10.280556151905353</x:v>
      </x:c>
      <x:c r="R106" s="9" t="n">
        <x:f>F106-Inputs!$C$16/2</x:f>
        <x:v>591.9286082364532</x:v>
      </x:c>
      <x:c r="S106" s="9" t="n">
        <x:f>F106+Inputs!$C$16/2</x:f>
        <x:v>621.9286082364532</x:v>
      </x:c>
      <x:c r="T106" s="9" t="n">
        <x:f>F106-Inputs!$C$17/2</x:f>
        <x:v>456.9286082364532</x:v>
      </x:c>
      <x:c r="U106" s="9" t="n">
        <x:f>F106+Inputs!$C$17/2</x:f>
        <x:v>756.9286082364532</x:v>
      </x:c>
      <x:c r="V106" s="9">
        <x:f t="shared" si="24"/>
        <x:v>68.468503971689643</x:v>
      </x:c>
      <x:c r="W106" s="9">
        <x:f t="shared" si="25"/>
        <x:v>10.280556151905353</x:v>
      </x:c>
      <x:c r="X106" s="9"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x:f>
        <x:v>-39.34099577037003</x:v>
      </x:c>
      <x:c r="Y106" s="9"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x:f>
        <x:v>475.6659223963138</x:v>
      </x:c>
      <x:c r="Z106" s="9">
        <x:f t="shared" si="26"/>
        <x:v>400.1104521068815</x:v>
      </x:c>
      <x:c r="AA106" s="9" t="n">
        <x:f>SQRT((Inputs!$C$52+B106)^2+(Inputs!$C$52+Y106/1000)^2-2*(Inputs!$C$52+B106)*(Inputs!$C$52+Y106/1000)*COS(SQRT(A106^2+Inputs!$C$6^2)/Inputs!$C$52))</x:f>
        <x:v>400.6773898221144</x:v>
      </x:c>
      <x:c r="AB106" s="9">
        <x:f t="shared" si="27"/>
        <x:v>566.93771523288206</x:v>
      </x:c>
      <x:c r="AC106" s="9" t="n">
        <x:f>AB106/Inputs!$C$12</x:f>
        <x:v>318.5043344004955</x:v>
      </x:c>
      <x:c r="AD106" s="9" t="n">
        <x:f>2*AB106/Inputs!$C$21*1000000</x:f>
        <x:v>3.7822013203072777</x:v>
      </x:c>
      <x:c r="AE106" s="9">
        <x:f t="shared" si="28"/>
        <x:v>3.758272122844037</x:v>
      </x:c>
      <x:c r="AF106" s="9" t="n">
        <x:f>DEGREES((2*PI()/Inputs!$C$13)*Inputs!$C$15*SIN(RADIANS(AE106)))</x:f>
        <x:v>23.596990274926846</x:v>
      </x:c>
      <x:c r="AG106" s="9">
        <x:f t="shared" si="29"/>
        <x:v>0.99435220870372942</x:v>
      </x:c>
      <x:c r="AH106" s="9">
        <x:f t="shared" si="30"/>
        <x:v>-2.4597572495858082E-2</x:v>
      </x:c>
      <x:c r="AI106" s="9">
        <x:f t="shared" si="31"/>
        <x:v>-288.42427383595771</x:v>
      </x:c>
      <x:c r="AJ106" s="9">
        <x:f t="shared" si="32"/>
        <x:v>-3.4250041568957985</x:v>
      </x:c>
      <x:c r="AK106" s="9">
        <x:f t="shared" si="33"/>
        <x:v>515.00691816668382</x:v>
      </x:c>
      <x:c r="AL106" s="9" t="n">
        <x:f>1000*(AA107-AA105)/(A107-A105)*Inputs!$C$11</x:f>
        <x:v>-209.75978813908114</x:v>
      </x:c>
      <x:c r="AM106" s="9" t="n">
        <x:f>-2*AL106/Inputs!$C$13</x:f>
        <x:v>83.90391525563246</x:v>
      </x:c>
      <x:c r="AN106" s="9" t="n">
        <x:f>-2*AL106/Inputs!$C$14</x:f>
        <x:v>12.598185473818688</x:v>
      </x:c>
      <x:c r="AO106" s="9">
        <x:f t="shared" si="34"/>
        <x:v>83.903915255632455</x:v>
      </x:c>
      <x:c r="AP106" s="9">
        <x:f t="shared" si="35"/>
        <x:v>12.598185473818688</x:v>
      </x:c>
      <x:c r="AQ106" s="9" t="n">
        <x:f>IF(OR(Inputs!$C$27=TRUE,Inputs!$C$27="TRUE",Inputs!$C$27=1),Inputs!$C$46/Inputs!$C$12,0)</x:f>
        <x:v>42.13483146067416</x:v>
      </x:c>
      <x:c r="AR106" s="9">
        <x:f t="shared" si="36"/>
        <x:v>276.36950293982136</x:v>
      </x:c>
      <x:c r="AS106" s="9">
        <x:f t="shared" si="37"/>
        <x:v>360.63916586116966</x:v>
      </x:c>
    </x:row>
    <x:row r="107">
      <x:c r="A107" s="9" t="n">
        <x:f>Inputs!$C$7+105*(Inputs!$C$8-Inputs!$C$7)/240</x:f>
        <x:v>-7.5</x:v>
      </x:c>
      <x:c r="B107" s="9" t="n">
        <x:f>Inputs!$C$5+Inputs!$C$9*(A107/Inputs!$C$10)^2</x:f>
        <x:v>400.0625</x:v>
      </x:c>
      <x:c r="C107" s="9">
        <x:f t="shared" si="19"/>
        <x:v>400.0625</x:v>
      </x:c>
      <x:c r="D107" s="9" t="n">
        <x:f>SQRT((Inputs!$C$52+B107)^2+Inputs!$C$52^2-2*(Inputs!$C$52+B107)*Inputs!$C$52*COS(SQRT(A107^2+Inputs!$C$6^2)/Inputs!$C$52))</x:f>
        <x:v>401.1307158456477</x:v>
      </x:c>
      <x:c r="E107" s="9">
        <x:f t="shared" si="20"/>
        <x:v>1068.2158456477282</x:v>
      </x:c>
      <x:c r="F107" s="9" t="n">
        <x:f>E107/Inputs!$C$12</x:f>
        <x:v>600.1212615998473</x:v>
      </x:c>
      <x:c r="G107" s="9" t="n">
        <x:f>2*E107/Inputs!$C$21*1000000</x:f>
        <x:v>7.126369040596266</x:v>
      </x:c>
      <x:c r="H107" s="9" t="n">
        <x:f>SQRT(A107^2+Inputs!$C$6^2)</x:f>
        <x:v>26.100766272276374</x:v>
      </x:c>
      <x:c r="I107" s="9">
        <x:f t="shared" si="21"/>
        <x:v>3.7327851196426791</x:v>
      </x:c>
      <x:c r="J107" s="9" t="n">
        <x:f>DEGREES((2*PI()/Inputs!$C$13)*Inputs!$C$15*SIN(RADIANS(I107)))</x:f>
        <x:v>23.437192766426364</x:v>
      </x:c>
      <x:c r="K107" s="9">
        <x:f t="shared" si="22"/>
        <x:v>0.98939042694261548</x:v>
      </x:c>
      <x:c r="L107" s="9">
        <x:f t="shared" si="23"/>
        <x:v>-4.6322960600834844E-2</x:v>
      </x:c>
      <x:c r="M107" s="9" t="n">
        <x:f>2*(Inputs!$C$9/(Inputs!$C$10^2))*A107</x:f>
        <x:v>-0.016666666666666666</x:v>
      </x:c>
      <x:c r="N107" s="9" t="n">
        <x:f>M107*Inputs!$C$11</x:f>
        <x:v>-0.06666666666666667</x:v>
      </x:c>
      <x:c r="O107" s="9" t="n">
        <x:f>1000*(D108-D106)/(A108-A106)*Inputs!$C$11</x:f>
        <x:v>-160.4791419626963</x:v>
      </x:c>
      <x:c r="P107" s="9" t="n">
        <x:f>-2*O107/Inputs!$C$13</x:f>
        <x:v>64.19165678507852</x:v>
      </x:c>
      <x:c r="Q107" s="9" t="n">
        <x:f>-2*O107/Inputs!$C$14</x:f>
        <x:v>9.638386904666445</x:v>
      </x:c>
      <x:c r="R107" s="9" t="n">
        <x:f>F107-Inputs!$C$16/2</x:f>
        <x:v>585.1212615998473</x:v>
      </x:c>
      <x:c r="S107" s="9" t="n">
        <x:f>F107+Inputs!$C$16/2</x:f>
        <x:v>615.1212615998473</x:v>
      </x:c>
      <x:c r="T107" s="9" t="n">
        <x:f>F107-Inputs!$C$17/2</x:f>
        <x:v>450.12126159984734</x:v>
      </x:c>
      <x:c r="U107" s="9" t="n">
        <x:f>F107+Inputs!$C$17/2</x:f>
        <x:v>750.1212615998473</x:v>
      </x:c>
      <x:c r="V107" s="9">
        <x:f t="shared" si="24"/>
        <x:v>64.191656785078521</x:v>
      </x:c>
      <x:c r="W107" s="9">
        <x:f t="shared" si="25"/>
        <x:v>9.6383869046664454</x:v>
      </x:c>
      <x:c r="X107" s="9"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x:f>
        <x:v>-43.22381145165265</x:v>
      </x:c>
      <x:c r="Y107" s="9"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x:f>
        <x:v>470.2640951439132</x:v>
      </x:c>
      <x:c r="Z107" s="9">
        <x:f t="shared" si="26"/>
        <x:v>400.10572381145164</x:v>
      </x:c>
      <x:c r="AA107" s="9" t="n">
        <x:f>SQRT((Inputs!$C$52+B107)^2+(Inputs!$C$52+Y107/1000)^2-2*(Inputs!$C$52+B107)*(Inputs!$C$52+Y107/1000)*COS(SQRT(A107^2+Inputs!$C$6^2)/Inputs!$C$52))</x:f>
        <x:v>400.6620273348992</x:v>
      </x:c>
      <x:c r="AB107" s="9">
        <x:f t="shared" si="27"/>
        <x:v>556.30352344758194</x:v>
      </x:c>
      <x:c r="AC107" s="9" t="n">
        <x:f>AB107/Inputs!$C$12</x:f>
        <x:v>312.5300693525741</x:v>
      </x:c>
      <x:c r="AD107" s="9" t="n">
        <x:f>2*AB107/Inputs!$C$21*1000000</x:f>
        <x:v>3.7112576290867327</x:v>
      </x:c>
      <x:c r="AE107" s="9">
        <x:f t="shared" si="28"/>
        <x:v>3.7371656431463349</x:v>
      </x:c>
      <x:c r="AF107" s="9" t="n">
        <x:f>DEGREES((2*PI()/Inputs!$C$13)*Inputs!$C$15*SIN(RADIANS(AE107)))</x:f>
        <x:v>23.464657948210338</x:v>
      </x:c>
      <x:c r="AG107" s="9">
        <x:f t="shared" si="29"/>
        <x:v>0.99445771299305896</x:v>
      </x:c>
      <x:c r="AH107" s="9">
        <x:f t="shared" si="30"/>
        <x:v>-2.4136795121247716E-2</x:v>
      </x:c>
      <x:c r="AI107" s="9">
        <x:f t="shared" si="31"/>
        <x:v>-287.59119224727323</x:v>
      </x:c>
      <x:c r="AJ107" s="9">
        <x:f t="shared" si="32"/>
        <x:v>-3.4151114115095336</x:v>
      </x:c>
      <x:c r="AK107" s="9">
        <x:f t="shared" si="33"/>
        <x:v>513.48790659556585</x:v>
      </x:c>
      <x:c r="AL107" s="9" t="n">
        <x:f>1000*(AA108-AA106)/(A108-A106)*Inputs!$C$11</x:f>
        <x:v>-30.21739786731814</x:v>
      </x:c>
      <x:c r="AM107" s="9" t="n">
        <x:f>-2*AL107/Inputs!$C$13</x:f>
        <x:v>12.086959146927256</x:v>
      </x:c>
      <x:c r="AN107" s="9" t="n">
        <x:f>-2*AL107/Inputs!$C$14</x:f>
        <x:v>1.8148587307698585</x:v>
      </x:c>
      <x:c r="AO107" s="9">
        <x:f t="shared" si="34"/>
        <x:v>12.086959146927256</x:v>
      </x:c>
      <x:c r="AP107" s="9">
        <x:f t="shared" si="35"/>
        <x:v>1.8148587307698585</x:v>
      </x:c>
      <x:c r="AQ107" s="9" t="n">
        <x:f>IF(OR(Inputs!$C$27=TRUE,Inputs!$C$27="TRUE",Inputs!$C$27=1),Inputs!$C$46/Inputs!$C$12,0)</x:f>
        <x:v>42.13483146067416</x:v>
      </x:c>
      <x:c r="AR107" s="9">
        <x:f t="shared" si="36"/>
        <x:v>270.39523789189997</x:v>
      </x:c>
      <x:c r="AS107" s="9">
        <x:f t="shared" si="37"/>
        <x:v>354.66490081324827</x:v>
      </x:c>
    </x:row>
    <x:row r="108">
      <x:c r="A108" s="9" t="n">
        <x:f>Inputs!$C$7+106*(Inputs!$C$8-Inputs!$C$7)/240</x:f>
        <x:v>-7</x:v>
      </x:c>
      <x:c r="B108" s="9" t="n">
        <x:f>Inputs!$C$5+Inputs!$C$9*(A108/Inputs!$C$10)^2</x:f>
        <x:v>400.05444444444447</x:v>
      </x:c>
      <x:c r="C108" s="9">
        <x:f t="shared" si="19"/>
        <x:v>400.05444444444447</x:v>
      </x:c>
      <x:c r="D108" s="9" t="n">
        <x:f>SQRT((Inputs!$C$52+B108)^2+Inputs!$C$52^2-2*(Inputs!$C$52+B108)*Inputs!$C$52*COS(SQRT(A108^2+Inputs!$C$6^2)/Inputs!$C$52))</x:f>
        <x:v>401.11132424828133</x:v>
      </x:c>
      <x:c r="E108" s="9">
        <x:f t="shared" si="20"/>
        <x:v>1056.8798038368641</x:v>
      </x:c>
      <x:c r="F108" s="9" t="n">
        <x:f>E108/Inputs!$C$12</x:f>
        <x:v>593.7526987847551</x:v>
      </x:c>
      <x:c r="G108" s="9" t="n">
        <x:f>2*E108/Inputs!$C$21*1000000</x:f>
        <x:v>7.05074311000088</x:v>
      </x:c>
      <x:c r="H108" s="9" t="n">
        <x:f>SQRT(A108^2+Inputs!$C$6^2)</x:f>
        <x:v>25.96150997149434</x:v>
      </x:c>
      <x:c r="I108" s="9">
        <x:f t="shared" si="21"/>
        <x:v>3.7129998776451707</x:v>
      </x:c>
      <x:c r="J108" s="9" t="n">
        <x:f>DEGREES((2*PI()/Inputs!$C$13)*Inputs!$C$15*SIN(RADIANS(I108)))</x:f>
        <x:v>23.31314075897189</x:v>
      </x:c>
      <x:c r="K108" s="9">
        <x:f t="shared" si="22"/>
        <x:v>0.9895020664115125</x:v>
      </x:c>
      <x:c r="L108" s="9">
        <x:f t="shared" si="23"/>
        <x:v>-4.5832945043962958E-2</x:v>
      </x:c>
      <x:c r="M108" s="9" t="n">
        <x:f>2*(Inputs!$C$9/(Inputs!$C$10^2))*A108</x:f>
        <x:v>-0.015555555555555555</x:v>
      </x:c>
      <x:c r="N108" s="9" t="n">
        <x:f>M108*Inputs!$C$11</x:f>
        <x:v>-0.06222222222222222</x:v>
      </x:c>
      <x:c r="O108" s="9" t="n">
        <x:f>1000*(D109-D107)/(A109-A107)*Inputs!$C$11</x:f>
        <x:v>-149.78584691539254</x:v>
      </x:c>
      <x:c r="P108" s="9" t="n">
        <x:f>-2*O108/Inputs!$C$13</x:f>
        <x:v>59.914338766157016</x:v>
      </x:c>
      <x:c r="Q108" s="9" t="n">
        <x:f>-2*O108/Inputs!$C$14</x:f>
        <x:v>8.996146961885438</x:v>
      </x:c>
      <x:c r="R108" s="9" t="n">
        <x:f>F108-Inputs!$C$16/2</x:f>
        <x:v>578.7526987847551</x:v>
      </x:c>
      <x:c r="S108" s="9" t="n">
        <x:f>F108+Inputs!$C$16/2</x:f>
        <x:v>608.7526987847551</x:v>
      </x:c>
      <x:c r="T108" s="9" t="n">
        <x:f>F108-Inputs!$C$17/2</x:f>
        <x:v>443.7526987847551</x:v>
      </x:c>
      <x:c r="U108" s="9" t="n">
        <x:f>F108+Inputs!$C$17/2</x:f>
        <x:v>743.7526987847551</x:v>
      </x:c>
      <x:c r="V108" s="9">
        <x:f t="shared" si="24"/>
        <x:v>59.914338766157016</x:v>
      </x:c>
      <x:c r="W108" s="9">
        <x:f t="shared" si="25"/>
        <x:v>8.9961469618854384</x:v>
      </x:c>
      <x:c r="X108" s="9"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x:f>
        <x:v>-48.04634011268098</x:v>
      </x:c>
      <x:c r="Y108" s="9"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x:f>
        <x:v>442.95708145426426</x:v>
      </x:c>
      <x:c r="Z108" s="9">
        <x:f t="shared" si="26"/>
        <x:v>400.10249078455718</x:v>
      </x:c>
      <x:c r="AA108" s="9" t="n">
        <x:f>SQRT((Inputs!$C$52+B108)^2+(Inputs!$C$52+Y108/1000)^2-2*(Inputs!$C$52+B108)*(Inputs!$C$52+Y108/1000)*COS(SQRT(A108^2+Inputs!$C$6^2)/Inputs!$C$52))</x:f>
        <x:v>400.66983547264755</x:v>
      </x:c>
      <x:c r="AB108" s="9">
        <x:f t="shared" si="27"/>
        <x:v>567.34468809037253</x:v>
      </x:c>
      <x:c r="AC108" s="9" t="n">
        <x:f>AB108/Inputs!$C$12</x:f>
        <x:v>318.73297083728795</x:v>
      </x:c>
      <x:c r="AD108" s="9" t="n">
        <x:f>2*AB108/Inputs!$C$21*1000000</x:f>
        <x:v>3.784916350966858</x:v>
      </x:c>
      <x:c r="AE108" s="9">
        <x:f t="shared" si="28"/>
        <x:v>3.7171040918511129</x:v>
      </x:c>
      <x:c r="AF108" s="9" t="n">
        <x:f>DEGREES((2*PI()/Inputs!$C$13)*Inputs!$C$15*SIN(RADIANS(AE108)))</x:f>
        <x:v>23.338874108222917</x:v>
      </x:c>
      <x:c r="AG108" s="9">
        <x:f t="shared" si="29"/>
        <x:v>0.99434805674838111</x:v>
      </x:c>
      <x:c r="AH108" s="9">
        <x:f t="shared" si="30"/>
        <x:v>-2.4615706664472693E-2</x:v>
      </x:c>
      <x:c r="AI108" s="9">
        <x:f t="shared" si="31"/>
        <x:v>-275.01972794746717</x:v>
      </x:c>
      <x:c r="AJ108" s="9">
        <x:f t="shared" si="32"/>
        <x:v>-3.265826759034022</x:v>
      </x:c>
      <x:c r="AK108" s="9">
        <x:f t="shared" si="33"/>
        <x:v>491.00342156694524</x:v>
      </x:c>
      <x:c r="AL108" s="9" t="n">
        <x:f>1000*(AA109-AA107)/(A109-A107)*Inputs!$C$11</x:f>
        <x:v>-92.28828727555083</x:v>
      </x:c>
      <x:c r="AM108" s="9" t="n">
        <x:f>-2*AL108/Inputs!$C$13</x:f>
        <x:v>36.91531491022033</x:v>
      </x:c>
      <x:c r="AN108" s="9" t="n">
        <x:f>-2*AL108/Inputs!$C$14</x:f>
        <x:v>5.54284007660966</x:v>
      </x:c>
      <x:c r="AO108" s="9">
        <x:f t="shared" si="34"/>
        <x:v>36.915314910220332</x:v>
      </x:c>
      <x:c r="AP108" s="9">
        <x:f t="shared" si="35"/>
        <x:v>5.5428400766096599</x:v>
      </x:c>
      <x:c r="AQ108" s="9" t="n">
        <x:f>IF(OR(Inputs!$C$27=TRUE,Inputs!$C$27="TRUE",Inputs!$C$27=1),Inputs!$C$46/Inputs!$C$12,0)</x:f>
        <x:v>42.13483146067416</x:v>
      </x:c>
      <x:c r="AR108" s="9">
        <x:f t="shared" si="36"/>
        <x:v>276.5981393766138</x:v>
      </x:c>
      <x:c r="AS108" s="9">
        <x:f t="shared" si="37"/>
        <x:v>360.8678022979621</x:v>
      </x:c>
    </x:row>
    <x:row r="109">
      <x:c r="A109" s="9" t="n">
        <x:f>Inputs!$C$7+107*(Inputs!$C$8-Inputs!$C$7)/240</x:f>
        <x:v>-6.5</x:v>
      </x:c>
      <x:c r="B109" s="9" t="n">
        <x:f>Inputs!$C$5+Inputs!$C$9*(A109/Inputs!$C$10)^2</x:f>
        <x:v>400.0469444444444</x:v>
      </x:c>
      <x:c r="C109" s="9">
        <x:f t="shared" si="19"/>
        <x:v>400.04694444444442</x:v>
      </x:c>
      <x:c r="D109" s="9" t="n">
        <x:f>SQRT((Inputs!$C$52+B109)^2+Inputs!$C$52^2-2*(Inputs!$C$52+B109)*Inputs!$C$52*COS(SQRT(A109^2+Inputs!$C$6^2)/Inputs!$C$52))</x:f>
        <x:v>401.0932693839189</x:v>
      </x:c>
      <x:c r="E109" s="9">
        <x:f t="shared" si="20"/>
        <x:v>1046.3249394744594</x:v>
      </x:c>
      <x:c r="F109" s="9" t="n">
        <x:f>E109/Inputs!$C$12</x:f>
        <x:v>587.8229997047524</x:v>
      </x:c>
      <x:c r="G109" s="9" t="n">
        <x:f>2*E109/Inputs!$C$21*1000000</x:f>
        <x:v>6.980328634381184</x:v>
      </x:c>
      <x:c r="H109" s="9" t="n">
        <x:f>SQRT(A109^2+Inputs!$C$6^2)</x:f>
        <x:v>25.83118270617898</x:v>
      </x:c>
      <x:c r="I109" s="9">
        <x:f t="shared" si="21"/>
        <x:v>3.6944813694132979</x:v>
      </x:c>
      <x:c r="J109" s="9" t="n">
        <x:f>DEGREES((2*PI()/Inputs!$C$13)*Inputs!$C$15*SIN(RADIANS(I109)))</x:f>
        <x:v>23.19702855979598</x:v>
      </x:c>
      <x:c r="K109" s="9">
        <x:f t="shared" si="22"/>
        <x:v>0.98960603090870347</x:v>
      </x:c>
      <x:c r="L109" s="9">
        <x:f t="shared" si="23"/>
        <x:v>-4.537666670781193E-2</x:v>
      </x:c>
      <x:c r="M109" s="9" t="n">
        <x:f>2*(Inputs!$C$9/(Inputs!$C$10^2))*A109</x:f>
        <x:v>-0.014444444444444444</x:v>
      </x:c>
      <x:c r="N109" s="9" t="n">
        <x:f>M109*Inputs!$C$11</x:f>
        <x:v>-0.057777777777777775</x:v>
      </x:c>
      <x:c r="O109" s="9" t="n">
        <x:f>1000*(D110-D108)/(A110-A108)*Inputs!$C$11</x:f>
        <x:v>-139.0914529733891</x:v>
      </x:c>
      <x:c r="P109" s="9" t="n">
        <x:f>-2*O109/Inputs!$C$13</x:f>
        <x:v>55.63658118935564</x:v>
      </x:c>
      <x:c r="Q109" s="9" t="n">
        <x:f>-2*O109/Inputs!$C$14</x:f>
        <x:v>8.353841019422768</x:v>
      </x:c>
      <x:c r="R109" s="9" t="n">
        <x:f>F109-Inputs!$C$16/2</x:f>
        <x:v>572.8229997047524</x:v>
      </x:c>
      <x:c r="S109" s="9" t="n">
        <x:f>F109+Inputs!$C$16/2</x:f>
        <x:v>602.8229997047524</x:v>
      </x:c>
      <x:c r="T109" s="9" t="n">
        <x:f>F109-Inputs!$C$17/2</x:f>
        <x:v>437.8229997047524</x:v>
      </x:c>
      <x:c r="U109" s="9" t="n">
        <x:f>F109+Inputs!$C$17/2</x:f>
        <x:v>737.8229997047524</x:v>
      </x:c>
      <x:c r="V109" s="9">
        <x:f t="shared" si="24"/>
        <x:v>55.636581189355638</x:v>
      </x:c>
      <x:c r="W109" s="9">
        <x:f t="shared" si="25"/>
        <x:v>8.3538410194227684</x:v>
      </x:c>
      <x:c r="X109" s="9"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x:f>
        <x:v>-59.466303655605586</x:v>
      </x:c>
      <x:c r="Y109" s="9"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x:f>
        <x:v>455.8100478474453</x:v>
      </x:c>
      <x:c r="Z109" s="9">
        <x:f t="shared" si="26"/>
        <x:v>400.10641074810002</x:v>
      </x:c>
      <x:c r="AA109" s="9" t="n">
        <x:f>SQRT((Inputs!$C$52+B109)^2+(Inputs!$C$52+Y109/1000)^2-2*(Inputs!$C$52+B109)*(Inputs!$C$52+Y109/1000)*COS(SQRT(A109^2+Inputs!$C$6^2)/Inputs!$C$52))</x:f>
        <x:v>400.63895526308033</x:v>
      </x:c>
      <x:c r="AB109" s="9">
        <x:f t="shared" si="27"/>
        <x:v>532.54451498031585</x:v>
      </x:c>
      <x:c r="AC109" s="9" t="n">
        <x:f>AB109/Inputs!$C$12</x:f>
        <x:v>299.1823117866943</x:v>
      </x:c>
      <x:c r="AD109" s="9" t="n">
        <x:f>2*AB109/Inputs!$C$21*1000000</x:f>
        <x:v>3.5527545858429557</x:v>
      </x:c>
      <x:c r="AE109" s="9">
        <x:f t="shared" si="28"/>
        <x:v>3.6986839398815357</x:v>
      </x:c>
      <x:c r="AF109" s="9" t="n">
        <x:f>DEGREES((2*PI()/Inputs!$C$13)*Inputs!$C$15*SIN(RADIANS(AE109)))</x:f>
        <x:v>23.223379151193264</x:v>
      </x:c>
      <x:c r="AG109" s="9">
        <x:f t="shared" si="29"/>
        <x:v>0.99469363993657867</x:v>
      </x:c>
      <x:c r="AH109" s="9">
        <x:f t="shared" si="30"/>
        <x:v>-2.3106589249457573E-2</x:v>
      </x:c>
      <x:c r="AI109" s="9">
        <x:f t="shared" si="31"/>
        <x:v>-288.64068791805812</x:v>
      </x:c>
      <x:c r="AJ109" s="9">
        <x:f t="shared" si="32"/>
        <x:v>-3.4275740485382284</x:v>
      </x:c>
      <x:c r="AK109" s="9">
        <x:f t="shared" si="33"/>
        <x:v>515.27635150305082</x:v>
      </x:c>
      <x:c r="AL109" s="9" t="n">
        <x:f>1000*(AA110-AA108)/(A110-A108)*Inputs!$C$11</x:f>
        <x:v>-158.3269913469394</x:v>
      </x:c>
      <x:c r="AM109" s="9" t="n">
        <x:f>-2*AL109/Inputs!$C$13</x:f>
        <x:v>63.33079653877576</x:v>
      </x:c>
      <x:c r="AN109" s="9" t="n">
        <x:f>-2*AL109/Inputs!$C$14</x:f>
        <x:v>9.50912860942579</x:v>
      </x:c>
      <x:c r="AO109" s="9">
        <x:f t="shared" si="34"/>
        <x:v>63.330796538775758</x:v>
      </x:c>
      <x:c r="AP109" s="9">
        <x:f t="shared" si="35"/>
        <x:v>9.5091286094257903</x:v>
      </x:c>
      <x:c r="AQ109" s="9" t="n">
        <x:f>IF(OR(Inputs!$C$27=TRUE,Inputs!$C$27="TRUE",Inputs!$C$27=1),Inputs!$C$46/Inputs!$C$12,0)</x:f>
        <x:v>42.13483146067416</x:v>
      </x:c>
      <x:c r="AR109" s="9">
        <x:f t="shared" si="36"/>
        <x:v>257.04748032602015</x:v>
      </x:c>
      <x:c r="AS109" s="9">
        <x:f t="shared" si="37"/>
        <x:v>341.31714324736845</x:v>
      </x:c>
    </x:row>
    <x:row r="110">
      <x:c r="A110" s="9" t="n">
        <x:f>Inputs!$C$7+108*(Inputs!$C$8-Inputs!$C$7)/240</x:f>
        <x:v>-6</x:v>
      </x:c>
      <x:c r="B110" s="9" t="n">
        <x:f>Inputs!$C$5+Inputs!$C$9*(A110/Inputs!$C$10)^2</x:f>
        <x:v>400.04</x:v>
      </x:c>
      <x:c r="C110" s="9">
        <x:f t="shared" si="19"/>
        <x:v>400.04</x:v>
      </x:c>
      <x:c r="D110" s="9" t="n">
        <x:f>SQRT((Inputs!$C$52+B110)^2+Inputs!$C$52^2-2*(Inputs!$C$52+B110)*Inputs!$C$52*COS(SQRT(A110^2+Inputs!$C$6^2)/Inputs!$C$52))</x:f>
        <x:v>401.076551385038</x:v>
      </x:c>
      <x:c r="E110" s="9">
        <x:f t="shared" si="20"/>
        <x:v>1036.5513850379671</x:v>
      </x:c>
      <x:c r="F110" s="9" t="n">
        <x:f>E110/Inputs!$C$12</x:f>
        <x:v>582.3322387853748</x:v>
      </x:c>
      <x:c r="G110" s="9" t="n">
        <x:f>2*E110/Inputs!$C$21*1000000</x:f>
        <x:v>6.915126497531617</x:v>
      </x:c>
      <x:c r="H110" s="9" t="n">
        <x:f>SQRT(A110^2+Inputs!$C$6^2)</x:f>
        <x:v>25.709920264364882</x:v>
      </x:c>
      <x:c r="I110" s="9">
        <x:f t="shared" si="21"/>
        <x:v>3.6772492746351846</x:v>
      </x:c>
      <x:c r="J110" s="9" t="n">
        <x:f>DEGREES((2*PI()/Inputs!$C$13)*Inputs!$C$15*SIN(RADIANS(I110)))</x:f>
        <x:v>23.0889800761876</x:v>
      </x:c>
      <x:c r="K110" s="9">
        <x:f t="shared" si="22"/>
        <x:v>0.98970231523311669</x:v>
      </x:c>
      <x:c r="L110" s="9">
        <x:f t="shared" si="23"/>
        <x:v>-4.4954137788546386E-2</x:v>
      </x:c>
      <x:c r="M110" s="9" t="n">
        <x:f>2*(Inputs!$C$9/(Inputs!$C$10^2))*A110</x:f>
        <x:v>-0.013333333333333332</x:v>
      </x:c>
      <x:c r="N110" s="9" t="n">
        <x:f>M110*Inputs!$C$11</x:f>
        <x:v>-0.05333333333333333</x:v>
      </x:c>
      <x:c r="O110" s="9" t="n">
        <x:f>1000*(D111-D109)/(A111-A109)*Inputs!$C$11</x:f>
        <x:v>-128.3960383966587</x:v>
      </x:c>
      <x:c r="P110" s="9" t="n">
        <x:f>-2*O110/Inputs!$C$13</x:f>
        <x:v>51.35841535866348</x:v>
      </x:c>
      <x:c r="Q110" s="9" t="n">
        <x:f>-2*O110/Inputs!$C$14</x:f>
        <x:v>7.711473777577099</x:v>
      </x:c>
      <x:c r="R110" s="9" t="n">
        <x:f>F110-Inputs!$C$16/2</x:f>
        <x:v>567.3322387853748</x:v>
      </x:c>
      <x:c r="S110" s="9" t="n">
        <x:f>F110+Inputs!$C$16/2</x:f>
        <x:v>597.3322387853748</x:v>
      </x:c>
      <x:c r="T110" s="9" t="n">
        <x:f>F110-Inputs!$C$17/2</x:f>
        <x:v>432.3322387853748</x:v>
      </x:c>
      <x:c r="U110" s="9" t="n">
        <x:f>F110+Inputs!$C$17/2</x:f>
        <x:v>732.3322387853748</x:v>
      </x:c>
      <x:c r="V110" s="9">
        <x:f t="shared" si="24"/>
        <x:v>51.358415358663478</x:v>
      </x:c>
      <x:c r="W110" s="9">
        <x:f t="shared" si="25"/>
        <x:v>7.7114737775770994</x:v>
      </x:c>
      <x:c r="X110" s="9"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x:f>
        <x:v>-61.0986453608147</x:v>
      </x:c>
      <x:c r="Y110" s="9"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x:f>
        <x:v>447.7534427220802</x:v>
      </x:c>
      <x:c r="Z110" s="9">
        <x:f t="shared" si="26"/>
        <x:v>400.10109864536076</x:v>
      </x:c>
      <x:c r="AA110" s="9" t="n">
        <x:f>SQRT((Inputs!$C$52+B110)^2+(Inputs!$C$52+Y110/1000)^2-2*(Inputs!$C$52+B110)*(Inputs!$C$52+Y110/1000)*COS(SQRT(A110^2+Inputs!$C$6^2)/Inputs!$C$52))</x:f>
        <x:v>400.6302537248108</x:v>
      </x:c>
      <x:c r="AB110" s="9">
        <x:f t="shared" si="27"/>
        <x:v>529.15507945004947</x:v>
      </x:c>
      <x:c r="AC110" s="9" t="n">
        <x:f>AB110/Inputs!$C$12</x:f>
        <x:v>297.27813452249967</x:v>
      </x:c>
      <x:c r="AD110" s="9" t="n">
        <x:f>2*AB110/Inputs!$C$21*1000000</x:f>
        <x:v>3.5301427059252406</x:v>
      </x:c>
      <x:c r="AE110" s="9">
        <x:f t="shared" si="28"/>
        <x:v>3.6813584028841206</x:v>
      </x:c>
      <x:c r="AF110" s="9" t="n">
        <x:f>DEGREES((2*PI()/Inputs!$C$13)*Inputs!$C$15*SIN(RADIANS(AE110)))</x:f>
        <x:v>23.114745275139505</x:v>
      </x:c>
      <x:c r="AG110" s="9">
        <x:f t="shared" si="29"/>
        <x:v>0.99472723160482568</x:v>
      </x:c>
      <x:c r="AH110" s="9">
        <x:f t="shared" si="30"/>
        <x:v>-2.2959926706928951E-2</x:v>
      </x:c>
      <x:c r="AI110" s="9">
        <x:f t="shared" si="31"/>
        <x:v>-285.05410426287511</x:v>
      </x:c>
      <x:c r="AJ110" s="9">
        <x:f t="shared" si="32"/>
        <x:v>-3.3849837916063761</x:v>
      </x:c>
      <x:c r="AK110" s="9">
        <x:f t="shared" si="33"/>
        <x:v>508.85208808269846</x:v>
      </x:c>
      <x:c r="AL110" s="9" t="n">
        <x:f>1000*(AA111-AA109)/(A111-A109)*Inputs!$C$11</x:f>
        <x:v>-54.43067836222326</x:v>
      </x:c>
      <x:c r="AM110" s="9" t="n">
        <x:f>-2*AL110/Inputs!$C$13</x:f>
        <x:v>21.772271344889305</x:v>
      </x:c>
      <x:c r="AN110" s="9" t="n">
        <x:f>-2*AL110/Inputs!$C$14</x:f>
        <x:v>3.269109811544941</x:v>
      </x:c>
      <x:c r="AO110" s="9">
        <x:f t="shared" si="34"/>
        <x:v>21.772271344889305</x:v>
      </x:c>
      <x:c r="AP110" s="9">
        <x:f t="shared" si="35"/>
        <x:v>3.2691098115449408</x:v>
      </x:c>
      <x:c r="AQ110" s="9" t="n">
        <x:f>IF(OR(Inputs!$C$27=TRUE,Inputs!$C$27="TRUE",Inputs!$C$27=1),Inputs!$C$46/Inputs!$C$12,0)</x:f>
        <x:v>42.13483146067416</x:v>
      </x:c>
      <x:c r="AR110" s="9">
        <x:f t="shared" si="36"/>
        <x:v>255.14330306182552</x:v>
      </x:c>
      <x:c r="AS110" s="9">
        <x:f t="shared" si="37"/>
        <x:v>339.41296598317382</x:v>
      </x:c>
    </x:row>
    <x:row r="111">
      <x:c r="A111" s="9" t="n">
        <x:f>Inputs!$C$7+109*(Inputs!$C$8-Inputs!$C$7)/240</x:f>
        <x:v>-5.5</x:v>
      </x:c>
      <x:c r="B111" s="9" t="n">
        <x:f>Inputs!$C$5+Inputs!$C$9*(A111/Inputs!$C$10)^2</x:f>
        <x:v>400.0336111111111</x:v>
      </x:c>
      <x:c r="C111" s="9">
        <x:f t="shared" si="19"/>
        <x:v>400.0336111111111</x:v>
      </x:c>
      <x:c r="D111" s="9" t="n">
        <x:f>SQRT((Inputs!$C$52+B111)^2+Inputs!$C$52^2-2*(Inputs!$C$52+B111)*Inputs!$C$52*COS(SQRT(A111^2+Inputs!$C$6^2)/Inputs!$C$52))</x:f>
        <x:v>401.0611703743197</x:v>
      </x:c>
      <x:c r="E111" s="9">
        <x:f t="shared" si="20"/>
        <x:v>1027.5592632086159</x:v>
      </x:c>
      <x:c r="F111" s="9" t="n">
        <x:f>E111/Inputs!$C$12</x:f>
        <x:v>577.2804849486606</x:v>
      </x:c>
      <x:c r="G111" s="9" t="n">
        <x:f>2*E111/Inputs!$C$21*1000000</x:f>
        <x:v>6.855137517893235</x:v>
      </x:c>
      <x:c r="H111" s="9" t="n">
        <x:f>SQRT(A111^2+Inputs!$C$6^2)</x:f>
        <x:v>25.59785147234041</x:v>
      </x:c>
      <x:c r="I111" s="9">
        <x:f t="shared" si="21"/>
        <x:v>3.6613222610928524</x:v>
      </x:c>
      <x:c r="J111" s="9" t="n">
        <x:f>DEGREES((2*PI()/Inputs!$C$13)*Inputs!$C$15*SIN(RADIANS(I111)))</x:f>
        <x:v>22.989112840565028</x:v>
      </x:c>
      <x:c r="K111" s="9">
        <x:f t="shared" si="22"/>
        <x:v>0.98979091456661594</x:v>
      </x:c>
      <x:c r="L111" s="9">
        <x:f t="shared" si="23"/>
        <x:v>-4.4565369581760272E-2</x:v>
      </x:c>
      <x:c r="M111" s="9" t="n">
        <x:f>2*(Inputs!$C$9/(Inputs!$C$10^2))*A111</x:f>
        <x:v>-0.012222222222222223</x:v>
      </x:c>
      <x:c r="N111" s="9" t="n">
        <x:f>M111*Inputs!$C$11</x:f>
        <x:v>-0.04888888888888889</x:v>
      </x:c>
      <x:c r="O111" s="9" t="n">
        <x:f>1000*(D112-D110)/(A112-A110)*Inputs!$C$11</x:f>
        <x:v>-117.69968152384536</x:v>
      </x:c>
      <x:c r="P111" s="9" t="n">
        <x:f>-2*O111/Inputs!$C$13</x:f>
        <x:v>47.07987260953814</x:v>
      </x:c>
      <x:c r="Q111" s="9" t="n">
        <x:f>-2*O111/Inputs!$C$14</x:f>
        <x:v>7.069049941372094</x:v>
      </x:c>
      <x:c r="R111" s="9" t="n">
        <x:f>F111-Inputs!$C$16/2</x:f>
        <x:v>562.2804849486606</x:v>
      </x:c>
      <x:c r="S111" s="9" t="n">
        <x:f>F111+Inputs!$C$16/2</x:f>
        <x:v>592.2804849486606</x:v>
      </x:c>
      <x:c r="T111" s="9" t="n">
        <x:f>F111-Inputs!$C$17/2</x:f>
        <x:v>427.2804849486606</x:v>
      </x:c>
      <x:c r="U111" s="9" t="n">
        <x:f>F111+Inputs!$C$17/2</x:f>
        <x:v>727.2804849486606</x:v>
      </x:c>
      <x:c r="V111" s="9">
        <x:f t="shared" si="24"/>
        <x:v>47.079872609538143</x:v>
      </x:c>
      <x:c r="W111" s="9">
        <x:f t="shared" si="25"/>
        <x:v>7.0690499413720937</x:v>
      </x:c>
      <x:c r="X111" s="9"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x:f>
        <x:v>-63.59054434613801</x:v>
      </x:c>
      <x:c r="Y111" s="9"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x:f>
        <x:v>437.23203216912464</x:v>
      </x:c>
      <x:c r="Z111" s="9">
        <x:f t="shared" si="26"/>
        <x:v>400.09720165545724</x:v>
      </x:c>
      <x:c r="AA111" s="9" t="n">
        <x:f>SQRT((Inputs!$C$52+B111)^2+(Inputs!$C$52+Y111/1000)^2-2*(Inputs!$C$52+B111)*(Inputs!$C$52+Y111/1000)*COS(SQRT(A111^2+Inputs!$C$6^2)/Inputs!$C$52))</x:f>
        <x:v>400.6253475934898</x:v>
      </x:c>
      <x:c r="AB111" s="9">
        <x:f t="shared" si="27"/>
        <x:v>528.14593803253729</x:v>
      </x:c>
      <x:c r="AC111" s="9" t="n">
        <x:f>AB111/Inputs!$C$12</x:f>
        <x:v>296.7112011418749</x:v>
      </x:c>
      <x:c r="AD111" s="9" t="n">
        <x:f>2*AB111/Inputs!$C$21*1000000</x:f>
        <x:v>3.523410439048052</x:v>
      </x:c>
      <x:c r="AE111" s="9">
        <x:f t="shared" si="28"/>
        <x:v>3.6653175069632837</x:v>
      </x:c>
      <x:c r="AF111" s="9" t="n">
        <x:f>DEGREES((2*PI()/Inputs!$C$13)*Inputs!$C$15*SIN(RADIANS(AE111)))</x:f>
        <x:v>23.014164418685684</x:v>
      </x:c>
      <x:c r="AG111" s="9">
        <x:f t="shared" si="29"/>
        <x:v>0.99473720298988244</x:v>
      </x:c>
      <x:c r="AH111" s="9">
        <x:f t="shared" si="30"/>
        <x:v>-2.2916392201543304E-2</x:v>
      </x:c>
      <x:c r="AI111" s="9">
        <x:f t="shared" si="31"/>
        <x:v>-280.56928380678573</x:v>
      </x:c>
      <x:c r="AJ111" s="9">
        <x:f t="shared" si="32"/>
        <x:v>-3.3317270788451832</x:v>
      </x:c>
      <x:c r="AK111" s="9">
        <x:f t="shared" si="33"/>
        <x:v>500.82257651526265</x:v>
      </x:c>
      <x:c r="AL111" s="9" t="n">
        <x:f>1000*(AA112-AA110)/(A112-A110)*Inputs!$C$11</x:f>
        <x:v>-33.03477638928598</x:v>
      </x:c>
      <x:c r="AM111" s="9" t="n">
        <x:f>-2*AL111/Inputs!$C$13</x:f>
        <x:v>13.213910555714392</x:v>
      </x:c>
      <x:c r="AN111" s="9" t="n">
        <x:f>-2*AL111/Inputs!$C$14</x:f>
        <x:v>1.98407065401117</x:v>
      </x:c>
      <x:c r="AO111" s="9">
        <x:f t="shared" si="34"/>
        <x:v>13.213910555714392</x:v>
      </x:c>
      <x:c r="AP111" s="9">
        <x:f t="shared" si="35"/>
        <x:v>1.9840706540111701</x:v>
      </x:c>
      <x:c r="AQ111" s="9" t="n">
        <x:f>IF(OR(Inputs!$C$27=TRUE,Inputs!$C$27="TRUE",Inputs!$C$27=1),Inputs!$C$46/Inputs!$C$12,0)</x:f>
        <x:v>42.13483146067416</x:v>
      </x:c>
      <x:c r="AR111" s="9">
        <x:f t="shared" si="36"/>
        <x:v>254.57636968120073</x:v>
      </x:c>
      <x:c r="AS111" s="9">
        <x:f t="shared" si="37"/>
        <x:v>338.84603260254903</x:v>
      </x:c>
    </x:row>
    <x:row r="112">
      <x:c r="A112" s="9" t="n">
        <x:f>Inputs!$C$7+110*(Inputs!$C$8-Inputs!$C$7)/240</x:f>
        <x:v>-5</x:v>
      </x:c>
      <x:c r="B112" s="9" t="n">
        <x:f>Inputs!$C$5+Inputs!$C$9*(A112/Inputs!$C$10)^2</x:f>
        <x:v>400.02777777777777</x:v>
      </x:c>
      <x:c r="C112" s="9">
        <x:f t="shared" si="19"/>
        <x:v>400.02777777777777</x:v>
      </x:c>
      <x:c r="D112" s="9" t="n">
        <x:f>SQRT((Inputs!$C$52+B112)^2+Inputs!$C$52^2-2*(Inputs!$C$52+B112)*Inputs!$C$52*COS(SQRT(A112^2+Inputs!$C$6^2)/Inputs!$C$52))</x:f>
        <x:v>401.047126464657</x:v>
      </x:c>
      <x:c r="E112" s="9">
        <x:f t="shared" si="20"/>
        <x:v>1019.3486868792547</x:v>
      </x:c>
      <x:c r="F112" s="9" t="n">
        <x:f>E112/Inputs!$C$12</x:f>
        <x:v>572.6678016175588</x:v>
      </x:c>
      <x:c r="G112" s="9" t="n">
        <x:f>2*E112/Inputs!$C$21*1000000</x:f>
        <x:v>6.80036244860606</x:v>
      </x:c>
      <x:c r="H112" s="9" t="n">
        <x:f>SQRT(A112^2+Inputs!$C$6^2)</x:f>
        <x:v>25.495097567963924</x:v>
      </x:c>
      <x:c r="I112" s="9">
        <x:f t="shared" si="21"/>
        <x:v>3.6467178944150929</x:v>
      </x:c>
      <x:c r="J112" s="9" t="n">
        <x:f>DEGREES((2*PI()/Inputs!$C$13)*Inputs!$C$15*SIN(RADIANS(I112)))</x:f>
        <x:v>22.897537442986597</x:v>
      </x:c>
      <x:c r="K112" s="9">
        <x:f t="shared" si="22"/>
        <x:v>0.98987182447441868</x:v>
      </x:c>
      <x:c r="L112" s="9">
        <x:f t="shared" si="23"/>
        <x:v>-4.4210372482339007E-2</x:v>
      </x:c>
      <x:c r="M112" s="9" t="n">
        <x:f>2*(Inputs!$C$9/(Inputs!$C$10^2))*A112</x:f>
        <x:v>-0.011111111111111112</x:v>
      </x:c>
      <x:c r="N112" s="9" t="n">
        <x:f>M112*Inputs!$C$11</x:f>
        <x:v>-0.044444444444444446</x:v>
      </x:c>
      <x:c r="O112" s="9" t="n">
        <x:f>1000*(D113-D111)/(A113-A111)*Inputs!$C$11</x:f>
        <x:v>-107.00246068472552</x:v>
      </x:c>
      <x:c r="P112" s="9" t="n">
        <x:f>-2*O112/Inputs!$C$13</x:f>
        <x:v>42.80098427389021</x:v>
      </x:c>
      <x:c r="Q112" s="9" t="n">
        <x:f>-2*O112/Inputs!$C$14</x:f>
        <x:v>6.426574215298831</x:v>
      </x:c>
      <x:c r="R112" s="9" t="n">
        <x:f>F112-Inputs!$C$16/2</x:f>
        <x:v>557.6678016175588</x:v>
      </x:c>
      <x:c r="S112" s="9" t="n">
        <x:f>F112+Inputs!$C$16/2</x:f>
        <x:v>587.6678016175588</x:v>
      </x:c>
      <x:c r="T112" s="9" t="n">
        <x:f>F112-Inputs!$C$17/2</x:f>
        <x:v>422.6678016175588</x:v>
      </x:c>
      <x:c r="U112" s="9" t="n">
        <x:f>F112+Inputs!$C$17/2</x:f>
        <x:v>722.6678016175588</x:v>
      </x:c>
      <x:c r="V112" s="9">
        <x:f t="shared" si="24"/>
        <x:v>42.800984273890208</x:v>
      </x:c>
      <x:c r="W112" s="9">
        <x:f t="shared" si="25"/>
        <x:v>6.4265742152988308</x:v>
      </x:c>
      <x:c r="X112" s="9"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x:f>
        <x:v>-73.64560445817172</x:v>
      </x:c>
      <x:c r="Y112" s="9"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x:f>
        <x:v>426.4950993655156</x:v>
      </x:c>
      <x:c r="Z112" s="9">
        <x:f t="shared" si="26"/>
        <x:v>400.10142338223596</x:v>
      </x:c>
      <x:c r="AA112" s="9" t="n">
        <x:f>SQRT((Inputs!$C$52+B112)^2+(Inputs!$C$52+Y112/1000)^2-2*(Inputs!$C$52+B112)*(Inputs!$C$52+Y112/1000)*COS(SQRT(A112^2+Inputs!$C$6^2)/Inputs!$C$52))</x:f>
        <x:v>400.6219950307135</x:v>
      </x:c>
      <x:c r="AB112" s="9">
        <x:f t="shared" si="27"/>
        <x:v>520.57164847752802</x:v>
      </x:c>
      <x:c r="AC112" s="9" t="n">
        <x:f>AB112/Inputs!$C$12</x:f>
        <x:v>292.4559822907461</x:v>
      </x:c>
      <x:c r="AD112" s="9" t="n">
        <x:f>2*AB112/Inputs!$C$21*1000000</x:f>
        <x:v>3.4728802182043417</x:v>
      </x:c>
      <x:c r="AE112" s="9">
        <x:f t="shared" si="28"/>
        <x:v>3.6505995227884935</x:v>
      </x:c>
      <x:c r="AF112" s="9" t="n">
        <x:f>DEGREES((2*PI()/Inputs!$C$13)*Inputs!$C$15*SIN(RADIANS(AE112)))</x:f>
        <x:v>22.92187699792033</x:v>
      </x:c>
      <x:c r="AG112" s="9">
        <x:f t="shared" si="29"/>
        <x:v>0.99481248777430642</x:v>
      </x:c>
      <x:c r="AH112" s="9">
        <x:f t="shared" si="30"/>
        <x:v>-2.2587717159004841E-2</x:v>
      </x:c>
      <x:c r="AI112" s="9">
        <x:f t="shared" si="31"/>
        <x:v>-280.2118193268127</x:v>
      </x:c>
      <x:c r="AJ112" s="9">
        <x:f t="shared" si="32"/>
        <x:v>-3.327482230401718</x:v>
      </x:c>
      <x:c r="AK112" s="9">
        <x:f t="shared" si="33"/>
        <x:v>500.14070382368732</x:v>
      </x:c>
      <x:c r="AL112" s="9" t="n">
        <x:f>1000*(AA113-AA111)/(A113-A111)*Inputs!$C$11</x:f>
        <x:v>-51.55954101815041</x:v>
      </x:c>
      <x:c r="AM112" s="9" t="n">
        <x:f>-2*AL112/Inputs!$C$13</x:f>
        <x:v>20.623816407260165</x:v>
      </x:c>
      <x:c r="AN112" s="9" t="n">
        <x:f>-2*AL112/Inputs!$C$14</x:f>
        <x:v>3.096669130219244</x:v>
      </x:c>
      <x:c r="AO112" s="9">
        <x:f t="shared" si="34"/>
        <x:v>20.623816407260165</x:v>
      </x:c>
      <x:c r="AP112" s="9">
        <x:f t="shared" si="35"/>
        <x:v>3.0966691302192442</x:v>
      </x:c>
      <x:c r="AQ112" s="9" t="n">
        <x:f>IF(OR(Inputs!$C$27=TRUE,Inputs!$C$27="TRUE",Inputs!$C$27=1),Inputs!$C$46/Inputs!$C$12,0)</x:f>
        <x:v>42.13483146067416</x:v>
      </x:c>
      <x:c r="AR112" s="9">
        <x:f t="shared" si="36"/>
        <x:v>250.32115083007193</x:v>
      </x:c>
      <x:c r="AS112" s="9">
        <x:f t="shared" si="37"/>
        <x:v>334.59081375142023</x:v>
      </x:c>
    </x:row>
    <x:row r="113">
      <x:c r="A113" s="9" t="n">
        <x:f>Inputs!$C$7+111*(Inputs!$C$8-Inputs!$C$7)/240</x:f>
        <x:v>-4.5</x:v>
      </x:c>
      <x:c r="B113" s="9" t="n">
        <x:f>Inputs!$C$5+Inputs!$C$9*(A113/Inputs!$C$10)^2</x:f>
        <x:v>400.0225</x:v>
      </x:c>
      <x:c r="C113" s="9">
        <x:f t="shared" si="19"/>
        <x:v>400.02249999999998</x:v>
      </x:c>
      <x:c r="D113" s="9" t="n">
        <x:f>SQRT((Inputs!$C$52+B113)^2+Inputs!$C$52^2-2*(Inputs!$C$52+B113)*Inputs!$C$52*COS(SQRT(A113^2+Inputs!$C$6^2)/Inputs!$C$52))</x:f>
        <x:v>401.03441975914853</x:v>
      </x:c>
      <x:c r="E113" s="9">
        <x:f t="shared" si="20"/>
        <x:v>1011.9197591485545</x:v>
      </x:c>
      <x:c r="F113" s="9" t="n">
        <x:f>E113/Inputs!$C$12</x:f>
        <x:v>568.494246712671</x:v>
      </x:c>
      <x:c r="G113" s="9" t="n">
        <x:f>2*E113/Inputs!$C$21*1000000</x:f>
        <x:v>6.75080197747039</x:v>
      </x:c>
      <x:c r="H113" s="9" t="n">
        <x:f>SQRT(A113^2+Inputs!$C$6^2)</x:f>
        <x:v>25.401771591761076</x:v>
      </x:c>
      <x:c r="I113" s="9">
        <x:f t="shared" si="21"/>
        <x:v>3.6334525503982564</x:v>
      </x:c>
      <x:c r="J113" s="9" t="n">
        <x:f>DEGREES((2*PI()/Inputs!$C$13)*Inputs!$C$15*SIN(RADIANS(I113)))</x:f>
        <x:v>22.814356979819124</x:v>
      </x:c>
      <x:c r="K113" s="9">
        <x:f t="shared" si="22"/>
        <x:v>0.98994504090561397</x:v>
      </x:c>
      <x:c r="L113" s="9">
        <x:f t="shared" si="23"/>
        <x:v>-4.3889155983749824E-2</x:v>
      </x:c>
      <x:c r="M113" s="9" t="n">
        <x:f>2*(Inputs!$C$9/(Inputs!$C$10^2))*A113</x:f>
        <x:v>-0.01</x:v>
      </x:c>
      <x:c r="N113" s="9" t="n">
        <x:f>M113*Inputs!$C$11</x:f>
        <x:v>-0.04</x:v>
      </x:c>
      <x:c r="O113" s="9" t="n">
        <x:f>1000*(D114-D112)/(A114-A112)*Inputs!$C$11</x:f>
        <x:v>-96.30445428069834</x:v>
      </x:c>
      <x:c r="P113" s="9" t="n">
        <x:f>-2*O113/Inputs!$C$13</x:f>
        <x:v>38.521781712279335</x:v>
      </x:c>
      <x:c r="Q113" s="9" t="n">
        <x:f>-2*O113/Inputs!$C$14</x:f>
        <x:v>5.784051308150051</x:v>
      </x:c>
      <x:c r="R113" s="9" t="n">
        <x:f>F113-Inputs!$C$16/2</x:f>
        <x:v>553.494246712671</x:v>
      </x:c>
      <x:c r="S113" s="9" t="n">
        <x:f>F113+Inputs!$C$16/2</x:f>
        <x:v>583.494246712671</x:v>
      </x:c>
      <x:c r="T113" s="9" t="n">
        <x:f>F113-Inputs!$C$17/2</x:f>
        <x:v>418.49424671267104</x:v>
      </x:c>
      <x:c r="U113" s="9" t="n">
        <x:f>F113+Inputs!$C$17/2</x:f>
        <x:v>718.494246712671</x:v>
      </x:c>
      <x:c r="V113" s="9">
        <x:f t="shared" si="24"/>
        <x:v>38.521781712279335</x:v>
      </x:c>
      <x:c r="W113" s="9">
        <x:f t="shared" si="25"/>
        <x:v>5.7840513081500511</x:v>
      </x:c>
      <x:c r="X113" s="9"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x:f>
        <x:v>-73.08935088189128</x:v>
      </x:c>
      <x:c r="Y113" s="9"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x:f>
        <x:v>423.30568039510905</x:v>
      </x:c>
      <x:c r="Z113" s="9">
        <x:f t="shared" si="26"/>
        <x:v>400.09558935088188</x:v>
      </x:c>
      <x:c r="AA113" s="9" t="n">
        <x:f>SQRT((Inputs!$C$52+B113)^2+(Inputs!$C$52+Y113/1000)^2-2*(Inputs!$C$52+B113)*(Inputs!$C$52+Y113/1000)*COS(SQRT(A113^2+Inputs!$C$6^2)/Inputs!$C$52))</x:f>
        <x:v>400.61245770823524</x:v>
      </x:c>
      <x:c r="AB113" s="9">
        <x:f t="shared" si="27"/>
        <x:v>516.8683573533599</x:v>
      </x:c>
      <x:c r="AC113" s="9" t="n">
        <x:f>AB113/Inputs!$C$12</x:f>
        <x:v>290.37548165919094</x:v>
      </x:c>
      <x:c r="AD113" s="9" t="n">
        <x:f>2*AB113/Inputs!$C$21*1000000</x:f>
        <x:v>3.4481745191425723</x:v>
      </x:c>
      <x:c r="AE113" s="9">
        <x:f t="shared" si="28"/>
        <x:v>3.6372912325514273</x:v>
      </x:c>
      <x:c r="AF113" s="9" t="n">
        <x:f>DEGREES((2*PI()/Inputs!$C$13)*Inputs!$C$15*SIN(RADIANS(AE113)))</x:f>
        <x:v>22.83842759793839</x:v>
      </x:c>
      <x:c r="AG113" s="9">
        <x:f t="shared" si="29"/>
        <x:v>0.99484919736516841</x:v>
      </x:c>
      <x:c r="AH113" s="9">
        <x:f t="shared" si="30"/>
        <x:v>-2.2427461042448207E-2</x:v>
      </x:c>
      <x:c r="AI113" s="9">
        <x:f t="shared" si="31"/>
        <x:v>-278.1187650534801</x:v>
      </x:c>
      <x:c r="AJ113" s="9">
        <x:f t="shared" si="32"/>
        <x:v>-3.3026274583278177</x:v>
      </x:c>
      <x:c r="AK113" s="9">
        <x:f t="shared" si="33"/>
        <x:v>496.39503127696042</x:v>
      </x:c>
      <x:c r="AL113" s="9" t="n">
        <x:f>1000*(AA114-AA112)/(A114-A112)*Inputs!$C$11</x:f>
        <x:v>-94.46415557863475</x:v>
      </x:c>
      <x:c r="AM113" s="9" t="n">
        <x:f>-2*AL113/Inputs!$C$13</x:f>
        <x:v>37.7856622314539</x:v>
      </x:c>
      <x:c r="AN113" s="9" t="n">
        <x:f>-2*AL113/Inputs!$C$14</x:f>
        <x:v>5.67352285757566</x:v>
      </x:c>
      <x:c r="AO113" s="9">
        <x:f t="shared" si="34"/>
        <x:v>37.785662231453898</x:v>
      </x:c>
      <x:c r="AP113" s="9">
        <x:f t="shared" si="35"/>
        <x:v>5.6735228575756604</x:v>
      </x:c>
      <x:c r="AQ113" s="9" t="n">
        <x:f>IF(OR(Inputs!$C$27=TRUE,Inputs!$C$27="TRUE",Inputs!$C$27=1),Inputs!$C$46/Inputs!$C$12,0)</x:f>
        <x:v>42.13483146067416</x:v>
      </x:c>
      <x:c r="AR113" s="9">
        <x:f t="shared" si="36"/>
        <x:v>248.24065019851679</x:v>
      </x:c>
      <x:c r="AS113" s="9">
        <x:f t="shared" si="37"/>
        <x:v>332.51031311986509</x:v>
      </x:c>
    </x:row>
    <x:row r="114">
      <x:c r="A114" s="9" t="n">
        <x:f>Inputs!$C$7+112*(Inputs!$C$8-Inputs!$C$7)/240</x:f>
        <x:v>-4</x:v>
      </x:c>
      <x:c r="B114" s="9" t="n">
        <x:f>Inputs!$C$5+Inputs!$C$9*(A114/Inputs!$C$10)^2</x:f>
        <x:v>400.0177777777778</x:v>
      </x:c>
      <x:c r="C114" s="9">
        <x:f t="shared" si="19"/>
        <x:v>400.01777777777778</x:v>
      </x:c>
      <x:c r="D114" s="9" t="n">
        <x:f>SQRT((Inputs!$C$52+B114)^2+Inputs!$C$52^2-2*(Inputs!$C$52+B114)*Inputs!$C$52*COS(SQRT(A114^2+Inputs!$C$6^2)/Inputs!$C$52))</x:f>
        <x:v>401.02305035108685</x:v>
      </x:c>
      <x:c r="E114" s="9">
        <x:f t="shared" si="20"/>
        <x:v>1005.272573309071</x:v>
      </x:c>
      <x:c r="F114" s="9" t="n">
        <x:f>E114/Inputs!$C$12</x:f>
        <x:v>564.7598726455456</x:v>
      </x:c>
      <x:c r="G114" s="9" t="n">
        <x:f>2*E114/Inputs!$C$21*1000000</x:f>
        <x:v>6.706456726867165</x:v>
      </x:c>
      <x:c r="H114" s="9" t="n">
        <x:f>SQRT(A114^2+Inputs!$C$6^2)</x:f>
        <x:v>25.317977802344327</x:v>
      </x:c>
      <x:c r="I114" s="9">
        <x:f t="shared" si="21"/>
        <x:v>3.62154133083556</x:v>
      </x:c>
      <x:c r="J114" s="9" t="n">
        <x:f>DEGREES((2*PI()/Inputs!$C$13)*Inputs!$C$15*SIN(RADIANS(I114)))</x:f>
        <x:v>22.739666524476903</x:v>
      </x:c>
      <x:c r="K114" s="9">
        <x:f t="shared" si="22"/>
        <x:v>0.99001056019369926</x:v>
      </x:c>
      <x:c r="L114" s="9">
        <x:f t="shared" si="23"/>
        <x:v>-4.3601728677114676E-2</x:v>
      </x:c>
      <x:c r="M114" s="9" t="n">
        <x:f>2*(Inputs!$C$9/(Inputs!$C$10^2))*A114</x:f>
        <x:v>-0.008888888888888889</x:v>
      </x:c>
      <x:c r="N114" s="9" t="n">
        <x:f>M114*Inputs!$C$11</x:f>
        <x:v>-0.035555555555555556</x:v>
      </x:c>
      <x:c r="O114" s="9" t="n">
        <x:f>1000*(D115-D113)/(A115-A113)*Inputs!$C$11</x:f>
        <x:v>-85.60574078887839</x:v>
      </x:c>
      <x:c r="P114" s="9" t="n">
        <x:f>-2*O114/Inputs!$C$13</x:f>
        <x:v>34.24229631555136</x:v>
      </x:c>
      <x:c r="Q114" s="9" t="n">
        <x:f>-2*O114/Inputs!$C$14</x:f>
        <x:v>5.14148593326597</x:v>
      </x:c>
      <x:c r="R114" s="9" t="n">
        <x:f>F114-Inputs!$C$16/2</x:f>
        <x:v>549.7598726455456</x:v>
      </x:c>
      <x:c r="S114" s="9" t="n">
        <x:f>F114+Inputs!$C$16/2</x:f>
        <x:v>579.7598726455456</x:v>
      </x:c>
      <x:c r="T114" s="9" t="n">
        <x:f>F114-Inputs!$C$17/2</x:f>
        <x:v>414.75987264554556</x:v>
      </x:c>
      <x:c r="U114" s="9" t="n">
        <x:f>F114+Inputs!$C$17/2</x:f>
        <x:v>714.7598726455456</x:v>
      </x:c>
      <x:c r="V114" s="9">
        <x:f t="shared" si="24"/>
        <x:v>34.242296315551357</x:v>
      </x:c>
      <x:c r="W114" s="9">
        <x:f t="shared" si="25"/>
        <x:v>5.1414859332659697</x:v>
      </x:c>
      <x:c r="X114" s="9"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x:f>
        <x:v>-74.23673097551541</x:v>
      </x:c>
      <x:c r="Y114" s="9"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x:f>
        <x:v>426.0147467563934</x:v>
      </x:c>
      <x:c r="Z114" s="9">
        <x:f t="shared" si="26"/>
        <x:v>400.09201450875332</x:v>
      </x:c>
      <x:c r="AA114" s="9" t="n">
        <x:f>SQRT((Inputs!$C$52+B114)^2+(Inputs!$C$52+Y114/1000)^2-2*(Inputs!$C$52+B114)*(Inputs!$C$52+Y114/1000)*COS(SQRT(A114^2+Inputs!$C$6^2)/Inputs!$C$52))</x:f>
        <x:v>400.59837899181883</x:v>
      </x:c>
      <x:c r="AB114" s="9">
        <x:f t="shared" si="27"/>
        <x:v>506.36448306551074</x:v>
      </x:c>
      <x:c r="AC114" s="9" t="n">
        <x:f>AB114/Inputs!$C$12</x:f>
        <x:v>284.4744286884892</x:v>
      </x:c>
      <x:c r="AD114" s="9" t="n">
        <x:f>2*AB114/Inputs!$C$21*1000000</x:f>
        <x:v>3.3781002126845414</x:v>
      </x:c>
      <x:c r="AE114" s="9">
        <x:f t="shared" si="28"/>
        <x:v>3.6253920544596827</x:v>
      </x:c>
      <x:c r="AF114" s="9" t="n">
        <x:f>DEGREES((2*PI()/Inputs!$C$13)*Inputs!$C$15*SIN(RADIANS(AE114)))</x:f>
        <x:v>22.763812967390944</x:v>
      </x:c>
      <x:c r="AG114" s="9">
        <x:f t="shared" si="29"/>
        <x:v>0.99495349720939097</x:v>
      </x:c>
      <x:c r="AH114" s="9">
        <x:f t="shared" si="30"/>
        <x:v>-2.1972171209197734E-2</x:v>
      </x:c>
      <x:c r="AI114" s="9">
        <x:f t="shared" si="31"/>
        <x:v>-280.28544395705637</x:v>
      </x:c>
      <x:c r="AJ114" s="9">
        <x:f t="shared" si="32"/>
        <x:v>-3.3283565141826235</x:v>
      </x:c>
      <x:c r="AK114" s="9">
        <x:f t="shared" si="33"/>
        <x:v>500.25147773185967</x:v>
      </x:c>
      <x:c r="AL114" s="9" t="n">
        <x:f>1000*(AA115-AA113)/(A115-A113)*Inputs!$C$11</x:f>
        <x:v>-12.539654399688516</x:v>
      </x:c>
      <x:c r="AM114" s="9" t="n">
        <x:f>-2*AL114/Inputs!$C$13</x:f>
        <x:v>5.015861759875406</x:v>
      </x:c>
      <x:c r="AN114" s="9" t="n">
        <x:f>-2*AL114/Inputs!$C$14</x:f>
        <x:v>0.7531323963776887</x:v>
      </x:c>
      <x:c r="AO114" s="9">
        <x:f t="shared" si="34"/>
        <x:v>5.0158617579654674</x:v>
      </x:c>
      <x:c r="AP114" s="9">
        <x:f t="shared" si="35"/>
        <x:v>0.75313239609091109</x:v>
      </x:c>
      <x:c r="AQ114" s="9" t="n">
        <x:f>IF(OR(Inputs!$C$27=TRUE,Inputs!$C$27="TRUE",Inputs!$C$27=1),Inputs!$C$46/Inputs!$C$12,0)</x:f>
        <x:v>42.13483146067416</x:v>
      </x:c>
      <x:c r="AR114" s="9">
        <x:f t="shared" si="36"/>
        <x:v>242.33959722781503</x:v>
      </x:c>
      <x:c r="AS114" s="9">
        <x:f t="shared" si="37"/>
        <x:v>326.60926014916333</x:v>
      </x:c>
    </x:row>
    <x:row r="115">
      <x:c r="A115" s="9" t="n">
        <x:f>Inputs!$C$7+113*(Inputs!$C$8-Inputs!$C$7)/240</x:f>
        <x:v>-3.5</x:v>
      </x:c>
      <x:c r="B115" s="9" t="n">
        <x:f>Inputs!$C$5+Inputs!$C$9*(A115/Inputs!$C$10)^2</x:f>
        <x:v>400.0136111111111</x:v>
      </x:c>
      <x:c r="C115" s="9">
        <x:f t="shared" si="19"/>
        <x:v>400.01361111111112</x:v>
      </x:c>
      <x:c r="D115" s="9" t="n">
        <x:f>SQRT((Inputs!$C$52+B115)^2+Inputs!$C$52^2-2*(Inputs!$C$52+B115)*Inputs!$C$52*COS(SQRT(A115^2+Inputs!$C$6^2)/Inputs!$C$52))</x:f>
        <x:v>401.0130183239513</x:v>
      </x:c>
      <x:c r="E115" s="9">
        <x:f t="shared" si="20"/>
        <x:v>999.40721284019673</x:v>
      </x:c>
      <x:c r="F115" s="9" t="n">
        <x:f>E115/Inputs!$C$12</x:f>
        <x:v>561.4647263147173</x:v>
      </x:c>
      <x:c r="G115" s="9" t="n">
        <x:f>2*E115/Inputs!$C$21*1000000</x:f>
        <x:v>6.667327253710944</x:v>
      </x:c>
      <x:c r="H115" s="9" t="n">
        <x:f>SQRT(A115^2+Inputs!$C$6^2)</x:f>
        <x:v>25.243811122728676</x:v>
      </x:c>
      <x:c r="I115" s="9">
        <x:f t="shared" si="21"/>
        <x:v>3.6109979838002473</x:v>
      </x:c>
      <x:c r="J115" s="9" t="n">
        <x:f>DEGREES((2*PI()/Inputs!$C$13)*Inputs!$C$15*SIN(RADIANS(I115)))</x:f>
        <x:v>22.673552626173688</x:v>
      </x:c>
      <x:c r="K115" s="9">
        <x:f t="shared" si="22"/>
        <x:v>0.9900683790570276</x:v>
      </x:c>
      <x:c r="L115" s="9">
        <x:f t="shared" si="23"/>
        <x:v>-4.3348098250541325E-2</x:v>
      </x:c>
      <x:c r="M115" s="9" t="n">
        <x:f>2*(Inputs!$C$9/(Inputs!$C$10^2))*A115</x:f>
        <x:v>-0.0077777777777777776</x:v>
      </x:c>
      <x:c r="N115" s="9" t="n">
        <x:f>M115*Inputs!$C$11</x:f>
        <x:v>-0.03111111111111111</x:v>
      </x:c>
      <x:c r="O115" s="9" t="n">
        <x:f>1000*(D116-D114)/(A116-A114)*Inputs!$C$11</x:f>
        <x:v>-74.90639867137361</x:v>
      </x:c>
      <x:c r="P115" s="9" t="n">
        <x:f>-2*O115/Inputs!$C$13</x:f>
        <x:v>29.962559468549443</x:v>
      </x:c>
      <x:c r="Q115" s="9" t="n">
        <x:f>-2*O115/Inputs!$C$14</x:f>
        <x:v>4.498882803085502</x:v>
      </x:c>
      <x:c r="R115" s="9" t="n">
        <x:f>F115-Inputs!$C$16/2</x:f>
        <x:v>546.4647263147173</x:v>
      </x:c>
      <x:c r="S115" s="9" t="n">
        <x:f>F115+Inputs!$C$16/2</x:f>
        <x:v>576.4647263147173</x:v>
      </x:c>
      <x:c r="T115" s="9" t="n">
        <x:f>F115-Inputs!$C$17/2</x:f>
        <x:v>411.46472631471727</x:v>
      </x:c>
      <x:c r="U115" s="9" t="n">
        <x:f>F115+Inputs!$C$17/2</x:f>
        <x:v>711.4647263147173</x:v>
      </x:c>
      <x:c r="V115" s="9">
        <x:f t="shared" si="24"/>
        <x:v>29.962559468549443</x:v>
      </x:c>
      <x:c r="W115" s="9">
        <x:f t="shared" si="25"/>
        <x:v>4.4988828030855021</x:v>
      </x:c>
      <x:c r="X115" s="9"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x:f>
        <x:v>-78.64906809360804</x:v>
      </x:c>
      <x:c r="Y115" s="9"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x:f>
        <x:v>404.9650488225026</x:v>
      </x:c>
      <x:c r="Z115" s="9">
        <x:f t="shared" si="26"/>
        <x:v>400.09226017920474</x:v>
      </x:c>
      <x:c r="AA115" s="9" t="n">
        <x:f>SQRT((Inputs!$C$52+B115)^2+(Inputs!$C$52+Y115/1000)^2-2*(Inputs!$C$52+B115)*(Inputs!$C$52+Y115/1000)*COS(SQRT(A115^2+Inputs!$C$6^2)/Inputs!$C$52))</x:f>
        <x:v>400.6093227946353</x:v>
      </x:c>
      <x:c r="AB115" s="9">
        <x:f t="shared" si="27"/>
        <x:v>517.06261543176879</x:v>
      </x:c>
      <x:c r="AC115" s="9" t="n">
        <x:f>AB115/Inputs!$C$12</x:f>
        <x:v>290.48461541110606</x:v>
      </x:c>
      <x:c r="AD115" s="9" t="n">
        <x:f>2*AB115/Inputs!$C$21*1000000</x:f>
        <x:v>3.4494704695457603</x:v>
      </x:c>
      <x:c r="AE115" s="9">
        <x:f t="shared" si="28"/>
        <x:v>3.6146476869659181</x:v>
      </x:c>
      <x:c r="AF115" s="9" t="n">
        <x:f>DEGREES((2*PI()/Inputs!$C$13)*Inputs!$C$15*SIN(RADIANS(AE115)))</x:f>
        <x:v>22.696438814060098</x:v>
      </x:c>
      <x:c r="AG115" s="9">
        <x:f t="shared" si="29"/>
        <x:v>0.99484722500942391</x:v>
      </x:c>
      <x:c r="AH115" s="9">
        <x:f t="shared" si="30"/>
        <x:v>-2.2436071232490841E-2</x:v>
      </x:c>
      <x:c r="AI115" s="9">
        <x:f t="shared" si="31"/>
        <x:v>-270.98011090361121</x:v>
      </x:c>
      <x:c r="AJ115" s="9">
        <x:f t="shared" si="32"/>
        <x:v>-3.2178567841651837</x:v>
      </x:c>
      <x:c r="AK115" s="9">
        <x:f t="shared" si="33"/>
        <x:v>483.61411691601234</x:v>
      </x:c>
      <x:c r="AL115" s="9" t="n">
        <x:f>1000*(AA116-AA114)/(A116-A114)*Inputs!$C$11</x:f>
        <x:v>-51.568681529261085</x:v>
      </x:c>
      <x:c r="AM115" s="9" t="n">
        <x:f>-2*AL115/Inputs!$C$13</x:f>
        <x:v>20.627472611704434</x:v>
      </x:c>
      <x:c r="AN115" s="9" t="n">
        <x:f>-2*AL115/Inputs!$C$14</x:f>
        <x:v>3.0972181098655307</x:v>
      </x:c>
      <x:c r="AO115" s="9">
        <x:f t="shared" si="34"/>
        <x:v>20.627472613523423</x:v>
      </x:c>
      <x:c r="AP115" s="9">
        <x:f t="shared" si="35"/>
        <x:v>3.0972181101386522</x:v>
      </x:c>
      <x:c r="AQ115" s="9" t="n">
        <x:f>IF(OR(Inputs!$C$27=TRUE,Inputs!$C$27="TRUE",Inputs!$C$27=1),Inputs!$C$46/Inputs!$C$12,0)</x:f>
        <x:v>42.13483146067416</x:v>
      </x:c>
      <x:c r="AR115" s="9">
        <x:f t="shared" si="36"/>
        <x:v>248.34978395043191</x:v>
      </x:c>
      <x:c r="AS115" s="9">
        <x:f t="shared" si="37"/>
        <x:v>332.61944687178021</x:v>
      </x:c>
    </x:row>
    <x:row r="116">
      <x:c r="A116" s="9" t="n">
        <x:f>Inputs!$C$7+114*(Inputs!$C$8-Inputs!$C$7)/240</x:f>
        <x:v>-3</x:v>
      </x:c>
      <x:c r="B116" s="9" t="n">
        <x:f>Inputs!$C$5+Inputs!$C$9*(A116/Inputs!$C$10)^2</x:f>
        <x:v>400.01</x:v>
      </x:c>
      <x:c r="C116" s="9">
        <x:f t="shared" si="19"/>
        <x:v>400.01</x:v>
      </x:c>
      <x:c r="D116" s="9" t="n">
        <x:f>SQRT((Inputs!$C$52+B116)^2+Inputs!$C$52^2-2*(Inputs!$C$52+B116)*Inputs!$C$52*COS(SQRT(A116^2+Inputs!$C$6^2)/Inputs!$C$52))</x:f>
        <x:v>401.004323751419</x:v>
      </x:c>
      <x:c r="E116" s="9">
        <x:f t="shared" si="20"/>
        <x:v>994.3237514190173</x:v>
      </x:c>
      <x:c r="F116" s="9" t="n">
        <x:f>E116/Inputs!$C$12</x:f>
        <x:v>558.6088491118074</x:v>
      </x:c>
      <x:c r="G116" s="9" t="n">
        <x:f>2*E116/Inputs!$C$21*1000000</x:f>
        <x:v>6.633414049522335</x:v>
      </x:c>
      <x:c r="H116" s="9" t="n">
        <x:f>SQRT(A116^2+Inputs!$C$6^2)</x:f>
        <x:v>25.179356624028344</x:v>
      </x:c>
      <x:c r="I116" s="9">
        <x:f t="shared" si="21"/>
        <x:v>3.6018348293149773</x:v>
      </x:c>
      <x:c r="J116" s="9" t="n">
        <x:f>DEGREES((2*PI()/Inputs!$C$13)*Inputs!$C$15*SIN(RADIANS(I116)))</x:f>
        <x:v>22.616092842548554</x:v>
      </x:c>
      <x:c r="K116" s="9">
        <x:f t="shared" si="22"/>
        <x:v>0.99011849459904366</x:v>
      </x:c>
      <x:c r="L116" s="9">
        <x:f t="shared" si="23"/>
        <x:v>-4.3128271489245543E-2</x:v>
      </x:c>
      <x:c r="M116" s="9" t="n">
        <x:f>2*(Inputs!$C$9/(Inputs!$C$10^2))*A116</x:f>
        <x:v>-0.006666666666666666</x:v>
      </x:c>
      <x:c r="N116" s="9" t="n">
        <x:f>M116*Inputs!$C$11</x:f>
        <x:v>-0.026666666666666665</x:v>
      </x:c>
      <x:c r="O116" s="9" t="n">
        <x:f>1000*(D117-D115)/(A117-A115)*Inputs!$C$11</x:f>
        <x:v>-64.20650642598957</x:v>
      </x:c>
      <x:c r="P116" s="9" t="n">
        <x:f>-2*O116/Inputs!$C$13</x:f>
        <x:v>25.68260257039583</x:v>
      </x:c>
      <x:c r="Q116" s="9" t="n">
        <x:f>-2*O116/Inputs!$C$14</x:f>
        <x:v>3.8562466321915663</x:v>
      </x:c>
      <x:c r="R116" s="9" t="n">
        <x:f>F116-Inputs!$C$16/2</x:f>
        <x:v>543.6088491118074</x:v>
      </x:c>
      <x:c r="S116" s="9" t="n">
        <x:f>F116+Inputs!$C$16/2</x:f>
        <x:v>573.6088491118074</x:v>
      </x:c>
      <x:c r="T116" s="9" t="n">
        <x:f>F116-Inputs!$C$17/2</x:f>
        <x:v>408.60884911180744</x:v>
      </x:c>
      <x:c r="U116" s="9" t="n">
        <x:f>F116+Inputs!$C$17/2</x:f>
        <x:v>708.6088491118074</x:v>
      </x:c>
      <x:c r="V116" s="9">
        <x:f t="shared" si="24"/>
        <x:v>25.682602570395829</x:v>
      </x:c>
      <x:c r="W116" s="9">
        <x:f t="shared" si="25"/>
        <x:v>3.8562466321915663</x:v>
      </x:c>
      <x:c r="X116" s="9"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x:f>
        <x:v>-67.68197739460362</x:v>
      </x:c>
      <x:c r="Y116" s="9"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x:f>
        <x:v>420.14741895617453</x:v>
      </x:c>
      <x:c r="Z116" s="9">
        <x:f t="shared" si="26"/>
        <x:v>400.0776819773946</x:v>
      </x:c>
      <x:c r="AA116" s="9" t="n">
        <x:f>SQRT((Inputs!$C$52+B116)^2+(Inputs!$C$52+Y116/1000)^2-2*(Inputs!$C$52+B116)*(Inputs!$C$52+Y116/1000)*COS(SQRT(A116^2+Inputs!$C$6^2)/Inputs!$C$52))</x:f>
        <x:v>400.5854868214365</x:v>
      </x:c>
      <x:c r="AB116" s="9">
        <x:f t="shared" si="27"/>
        <x:v>507.80484404077697</x:v>
      </x:c>
      <x:c r="AC116" s="9" t="n">
        <x:f>AB116/Inputs!$C$12</x:f>
        <x:v>285.2836202476275</x:v>
      </x:c>
      <x:c r="AD116" s="9" t="n">
        <x:f>2*AB116/Inputs!$C$21*1000000</x:f>
        <x:v>3.3877092667940096</x:v>
      </x:c>
      <x:c r="AE116" s="9">
        <x:f t="shared" si="28"/>
        <x:v>3.6056119812389578</x:v>
      </x:c>
      <x:c r="AF116" s="9" t="n">
        <x:f>DEGREES((2*PI()/Inputs!$C$13)*Inputs!$C$15*SIN(RADIANS(AE116)))</x:f>
        <x:v>22.639778460368397</x:v>
      </x:c>
      <x:c r="AG116" s="9">
        <x:f t="shared" si="29"/>
        <x:v>0.99493900709619243</x:v>
      </x:c>
      <x:c r="AH116" s="9">
        <x:f t="shared" si="30"/>
        <x:v>-2.2035420617804221E-2</x:v>
      </x:c>
      <x:c r="AI116" s="9">
        <x:f t="shared" si="31"/>
        <x:v>-273.32522886417996</x:v>
      </x:c>
      <x:c r="AJ116" s="9">
        <x:f t="shared" si="32"/>
        <x:v>-3.2457047827283252</x:v>
      </x:c>
      <x:c r="AK116" s="9">
        <x:f t="shared" si="33"/>
        <x:v>487.8293963505817</x:v>
      </x:c>
      <x:c r="AL116" s="9" t="n">
        <x:f>1000*(AA117-AA115)/(A117-A115)*Inputs!$C$11</x:f>
        <x:v>-128.09968959595608</x:v>
      </x:c>
      <x:c r="AM116" s="9" t="n">
        <x:f>-2*AL116/Inputs!$C$13</x:f>
        <x:v>51.23987583838243</x:v>
      </x:c>
      <x:c r="AN116" s="9" t="n">
        <x:f>-2*AL116/Inputs!$C$14</x:f>
        <x:v>7.6936750508081735</x:v>
      </x:c>
      <x:c r="AO116" s="9">
        <x:f t="shared" si="34"/>
        <x:v>51.23987584029237</x:v>
      </x:c>
      <x:c r="AP116" s="9">
        <x:f t="shared" si="35"/>
        <x:v>7.6936750510949512</x:v>
      </x:c>
      <x:c r="AQ116" s="9" t="n">
        <x:f>IF(OR(Inputs!$C$27=TRUE,Inputs!$C$27="TRUE",Inputs!$C$27=1),Inputs!$C$46/Inputs!$C$12,0)</x:f>
        <x:v>42.13483146067416</x:v>
      </x:c>
      <x:c r="AR116" s="9">
        <x:f t="shared" si="36"/>
        <x:v>243.14878878695333</x:v>
      </x:c>
      <x:c r="AS116" s="9">
        <x:f t="shared" si="37"/>
        <x:v>327.41845170830163</x:v>
      </x:c>
    </x:row>
    <x:row r="117">
      <x:c r="A117" s="9" t="n">
        <x:f>Inputs!$C$7+115*(Inputs!$C$8-Inputs!$C$7)/240</x:f>
        <x:v>-2.5</x:v>
      </x:c>
      <x:c r="B117" s="9" t="n">
        <x:f>Inputs!$C$5+Inputs!$C$9*(A117/Inputs!$C$10)^2</x:f>
        <x:v>400.00694444444446</x:v>
      </x:c>
      <x:c r="C117" s="9">
        <x:f t="shared" si="19"/>
        <x:v>400.00694444444446</x:v>
      </x:c>
      <x:c r="D117" s="9" t="n">
        <x:f>SQRT((Inputs!$C$52+B117)^2+Inputs!$C$52^2-2*(Inputs!$C$52+B117)*Inputs!$C$52*COS(SQRT(A117^2+Inputs!$C$6^2)/Inputs!$C$52))</x:f>
        <x:v>400.9969666973448</x:v>
      </x:c>
      <x:c r="E117" s="9">
        <x:f t="shared" si="20"/>
        <x:v>990.02225290035994</x:v>
      </x:c>
      <x:c r="F117" s="9" t="n">
        <x:f>E117/Inputs!$C$12</x:f>
        <x:v>556.1922769103146</x:v>
      </x:c>
      <x:c r="G117" s="9" t="n">
        <x:f>2*E117/Inputs!$C$21*1000000</x:f>
        <x:v>6.604717540294893</x:v>
      </x:c>
      <x:c r="H117" s="9" t="n">
        <x:f>SQRT(A117^2+Inputs!$C$6^2)</x:f>
        <x:v>25.124689052802225</x:v>
      </x:c>
      <x:c r="I117" s="9">
        <x:f t="shared" si="21"/>
        <x:v>3.5940626913086393</x:v>
      </x:c>
      <x:c r="J117" s="9" t="n">
        <x:f>DEGREES((2*PI()/Inputs!$C$13)*Inputs!$C$15*SIN(RADIANS(I117)))</x:f>
        <x:v>22.567355311830532</x:v>
      </x:c>
      <x:c r="K117" s="9">
        <x:f t="shared" si="22"/>
        <x:v>0.99016090430877812</x:v>
      </x:c>
      <x:c r="L117" s="9">
        <x:f t="shared" si="23"/>
        <x:v>-4.2942254274404359E-2</x:v>
      </x:c>
      <x:c r="M117" s="9" t="n">
        <x:f>2*(Inputs!$C$9/(Inputs!$C$10^2))*A117</x:f>
        <x:v>-0.005555555555555556</x:v>
      </x:c>
      <x:c r="N117" s="9" t="n">
        <x:f>M117*Inputs!$C$11</x:f>
        <x:v>-0.022222222222222223</x:v>
      </x:c>
      <x:c r="O117" s="9" t="n">
        <x:f>1000*(D118-D116)/(A118-A116)*Inputs!$C$11</x:f>
        <x:v>-53.506142605556306</x:v>
      </x:c>
      <x:c r="P117" s="9" t="n">
        <x:f>-2*O117/Inputs!$C$13</x:f>
        <x:v>21.402457042222522</x:v>
      </x:c>
      <x:c r="Q117" s="9" t="n">
        <x:f>-2*O117/Inputs!$C$14</x:f>
        <x:v>3.2135821384718506</x:v>
      </x:c>
      <x:c r="R117" s="9" t="n">
        <x:f>F117-Inputs!$C$16/2</x:f>
        <x:v>541.1922769103146</x:v>
      </x:c>
      <x:c r="S117" s="9" t="n">
        <x:f>F117+Inputs!$C$16/2</x:f>
        <x:v>571.1922769103146</x:v>
      </x:c>
      <x:c r="T117" s="9" t="n">
        <x:f>F117-Inputs!$C$17/2</x:f>
        <x:v>406.1922769103146</x:v>
      </x:c>
      <x:c r="U117" s="9" t="n">
        <x:f>F117+Inputs!$C$17/2</x:f>
        <x:v>706.1922769103146</x:v>
      </x:c>
      <x:c r="V117" s="9">
        <x:f t="shared" si="24"/>
        <x:v>21.402457042222522</x:v>
      </x:c>
      <x:c r="W117" s="9">
        <x:f t="shared" si="25"/>
        <x:v>3.2135821384718506</x:v>
      </x:c>
      <x:c r="X117" s="9"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x:f>
        <x:v>-49.83449295863612</x:v>
      </x:c>
      <x:c r="Y117" s="9"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x:f>
        <x:v>420.97624209793275</x:v>
      </x:c>
      <x:c r="Z117" s="9">
        <x:f t="shared" si="26"/>
        <x:v>400.05677893740307</x:v>
      </x:c>
      <x:c r="AA117" s="9" t="n">
        <x:f>SQRT((Inputs!$C$52+B117)^2+(Inputs!$C$52+Y117/1000)^2-2*(Inputs!$C$52+B117)*(Inputs!$C$52+Y117/1000)*COS(SQRT(A117^2+Inputs!$C$6^2)/Inputs!$C$52))</x:f>
        <x:v>400.57729787223633</x:v>
      </x:c>
      <x:c r="AB117" s="9">
        <x:f t="shared" si="27"/>
        <x:v>520.51893483326239</x:v>
      </x:c>
      <x:c r="AC117" s="9" t="n">
        <x:f>AB117/Inputs!$C$12</x:f>
        <x:v>292.4263678838553</x:v>
      </x:c>
      <x:c r="AD117" s="9" t="n">
        <x:f>2*AB117/Inputs!$C$21*1000000</x:f>
        <x:v>3.472528550623261</x:v>
      </x:c>
      <x:c r="AE117" s="9">
        <x:f t="shared" si="28"/>
        <x:v>3.5978392075694416</x:v>
      </x:c>
      <x:c r="AF117" s="9" t="n">
        <x:f>DEGREES((2*PI()/Inputs!$C$13)*Inputs!$C$15*SIN(RADIANS(AE117)))</x:f>
        <x:v>22.59103714566535</x:v>
      </x:c>
      <x:c r="AG117" s="9">
        <x:f t="shared" si="29"/>
        <x:v>0.99481243439799927</x:v>
      </x:c>
      <x:c r="AH117" s="9">
        <x:f t="shared" si="30"/>
        <x:v>-2.2587950178157366E-2</x:v>
      </x:c>
      <x:c r="AI117" s="9">
        <x:f t="shared" si="31"/>
        <x:v>-263.76590902645933</x:v>
      </x:c>
      <x:c r="AJ117" s="9">
        <x:f t="shared" si="32"/>
        <x:v>-3.1321889896716324</x:v>
      </x:c>
      <x:c r="AK117" s="9">
        <x:f t="shared" si="33"/>
        <x:v>470.81073505647066</x:v>
      </x:c>
      <x:c r="AL117" s="9" t="n">
        <x:f>1000*(AA118-AA116)/(A118-A116)*Inputs!$C$11</x:f>
        <x:v>-116.69334565840472</x:v>
      </x:c>
      <x:c r="AM117" s="9" t="n">
        <x:f>-2*AL117/Inputs!$C$13</x:f>
        <x:v>46.67733826336189</x:v>
      </x:c>
      <x:c r="AN117" s="9" t="n">
        <x:f>-2*AL117/Inputs!$C$14</x:f>
        <x:v>7.008609348853137</x:v>
      </x:c>
      <x:c r="AO117" s="9">
        <x:f t="shared" si="34"/>
        <x:v>46.6773382615429</x:v>
      </x:c>
      <x:c r="AP117" s="9">
        <x:f t="shared" si="35"/>
        <x:v>7.0086093485800154</x:v>
      </x:c>
      <x:c r="AQ117" s="9" t="n">
        <x:f>IF(OR(Inputs!$C$27=TRUE,Inputs!$C$27="TRUE",Inputs!$C$27=1),Inputs!$C$46/Inputs!$C$12,0)</x:f>
        <x:v>42.13483146067416</x:v>
      </x:c>
      <x:c r="AR117" s="9">
        <x:f t="shared" si="36"/>
        <x:v>250.29153642318113</x:v>
      </x:c>
      <x:c r="AS117" s="9">
        <x:f t="shared" si="37"/>
        <x:v>334.56119934452943</x:v>
      </x:c>
    </x:row>
    <x:row r="118">
      <x:c r="A118" s="9" t="n">
        <x:f>Inputs!$C$7+116*(Inputs!$C$8-Inputs!$C$7)/240</x:f>
        <x:v>-2</x:v>
      </x:c>
      <x:c r="B118" s="9" t="n">
        <x:f>Inputs!$C$5+Inputs!$C$9*(A118/Inputs!$C$10)^2</x:f>
        <x:v>400.00444444444446</x:v>
      </x:c>
      <x:c r="C118" s="9">
        <x:f t="shared" si="19"/>
        <x:v>400.00444444444446</x:v>
      </x:c>
      <x:c r="D118" s="9" t="n">
        <x:f>SQRT((Inputs!$C$52+B118)^2+Inputs!$C$52^2-2*(Inputs!$C$52+B118)*Inputs!$C$52*COS(SQRT(A118^2+Inputs!$C$6^2)/Inputs!$C$52))</x:f>
        <x:v>400.9909472157676</x:v>
      </x:c>
      <x:c r="E118" s="9">
        <x:f t="shared" si="20"/>
        <x:v>986.50277132315978</x:v>
      </x:c>
      <x:c r="F118" s="9" t="n">
        <x:f>E118/Inputs!$C$12</x:f>
        <x:v>554.2150400691909</x:v>
      </x:c>
      <x:c r="G118" s="9" t="n">
        <x:f>2*E118/Inputs!$C$21*1000000</x:f>
        <x:v>6.581238086537586</x:v>
      </x:c>
      <x:c r="H118" s="9" t="n">
        <x:f>SQRT(A118^2+Inputs!$C$6^2)</x:f>
        <x:v>25.079872407968907</x:v>
      </x:c>
      <x:c r="I118" s="9">
        <x:f t="shared" si="21"/>
        <x:v>3.5876908367118432</x:v>
      </x:c>
      <x:c r="J118" s="9" t="n">
        <x:f>DEGREES((2*PI()/Inputs!$C$13)*Inputs!$C$15*SIN(RADIANS(I118)))</x:f>
        <x:v>22.52739836989279</x:v>
      </x:c>
      <x:c r="K118" s="9">
        <x:f t="shared" si="22"/>
        <x:v>0.99019560606104562</x:v>
      </x:c>
      <x:c r="L118" s="9">
        <x:f t="shared" si="23"/>
        <x:v>-4.2790051583174026E-2</x:v>
      </x:c>
      <x:c r="M118" s="9" t="n">
        <x:f>2*(Inputs!$C$9/(Inputs!$C$10^2))*A118</x:f>
        <x:v>-0.0044444444444444444</x:v>
      </x:c>
      <x:c r="N118" s="9" t="n">
        <x:f>M118*Inputs!$C$11</x:f>
        <x:v>-0.017777777777777778</x:v>
      </x:c>
      <x:c r="O118" s="9" t="n">
        <x:f>1000*(D119-D117)/(A119-A117)*Inputs!$C$11</x:f>
        <x:v>-42.805385754263625</x:v>
      </x:c>
      <x:c r="P118" s="9" t="n">
        <x:f>-2*O118/Inputs!$C$13</x:f>
        <x:v>17.12215430170545</x:v>
      </x:c>
      <x:c r="Q118" s="9" t="n">
        <x:f>-2*O118/Inputs!$C$14</x:f>
        <x:v>2.570894039295113</x:v>
      </x:c>
      <x:c r="R118" s="9" t="n">
        <x:f>F118-Inputs!$C$16/2</x:f>
        <x:v>539.2150400691909</x:v>
      </x:c>
      <x:c r="S118" s="9" t="n">
        <x:f>F118+Inputs!$C$16/2</x:f>
        <x:v>569.2150400691909</x:v>
      </x:c>
      <x:c r="T118" s="9" t="n">
        <x:f>F118-Inputs!$C$17/2</x:f>
        <x:v>404.2150400691909</x:v>
      </x:c>
      <x:c r="U118" s="9" t="n">
        <x:f>F118+Inputs!$C$17/2</x:f>
        <x:v>704.2150400691909</x:v>
      </x:c>
      <x:c r="V118" s="9">
        <x:f t="shared" si="24"/>
        <x:v>17.12215430170545</x:v>
      </x:c>
      <x:c r="W118" s="9">
        <x:f t="shared" si="25"/>
        <x:v>2.570894039295113</x:v>
      </x:c>
      <x:c r="X118" s="9"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x:f>
        <x:v>-59.60727995622125</x:v>
      </x:c>
      <x:c r="Y118" s="9"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x:f>
        <x:v>435.98300826713626</x:v>
      </x:c>
      <x:c r="Z118" s="9">
        <x:f t="shared" si="26"/>
        <x:v>400.06405172440066</x:v>
      </x:c>
      <x:c r="AA118" s="9" t="n">
        <x:f>SQRT((Inputs!$C$52+B118)^2+(Inputs!$C$52+Y118/1000)^2-2*(Inputs!$C$52+B118)*(Inputs!$C$52+Y118/1000)*COS(SQRT(A118^2+Inputs!$C$6^2)/Inputs!$C$52))</x:f>
        <x:v>400.5563134850219</x:v>
      </x:c>
      <x:c r="AB118" s="9">
        <x:f t="shared" si="27"/>
        <x:v>492.26176062126115</x:v>
      </x:c>
      <x:c r="AC118" s="9" t="n">
        <x:f>AB118/Inputs!$C$12</x:f>
        <x:v>276.5515509108209</x:v>
      </x:c>
      <x:c r="AD118" s="9" t="n">
        <x:f>2*AB118/Inputs!$C$21*1000000</x:f>
        <x:v>3.2840169756456055</x:v>
      </x:c>
      <x:c r="AE118" s="9">
        <x:f t="shared" si="28"/>
        <x:v>3.5915952493438992</x:v>
      </x:c>
      <x:c r="AF118" s="9" t="n">
        <x:f>DEGREES((2*PI()/Inputs!$C$13)*Inputs!$C$15*SIN(RADIANS(AE118)))</x:f>
        <x:v>22.55188238742539</x:v>
      </x:c>
      <x:c r="AG118" s="9">
        <x:f t="shared" si="29"/>
        <x:v>0.9950932735975252</x:v>
      </x:c>
      <x:c r="AH118" s="9">
        <x:f t="shared" si="30"/>
        <x:v>-2.1362093948126402E-2</x:v>
      </x:c>
      <x:c r="AI118" s="9">
        <x:f t="shared" si="31"/>
        <x:v>-277.66348915837</x:v>
      </x:c>
      <x:c r="AJ118" s="9">
        <x:f t="shared" si="32"/>
        <x:v>-3.2972211108919804</x:v>
      </x:c>
      <x:c r="AK118" s="9">
        <x:f t="shared" si="33"/>
        <x:v>495.5902882233575</x:v>
      </x:c>
      <x:c r="AL118" s="9" t="n">
        <x:f>1000*(AA119-AA117)/(A119-A117)*Inputs!$C$11</x:f>
        <x:v>-83.23139808589985</x:v>
      </x:c>
      <x:c r="AM118" s="9" t="n">
        <x:f>-2*AL118/Inputs!$C$13</x:f>
        <x:v>33.29255923435994</x:v>
      </x:c>
      <x:c r="AN118" s="9" t="n">
        <x:f>-2*AL118/Inputs!$C$14</x:f>
        <x:v>4.998882767921914</x:v>
      </x:c>
      <x:c r="AO118" s="9">
        <x:f t="shared" si="34"/>
        <x:v>33.292559234359942</x:v>
      </x:c>
      <x:c r="AP118" s="9">
        <x:f t="shared" si="35"/>
        <x:v>4.9988827679219137</x:v>
      </x:c>
      <x:c r="AQ118" s="9" t="n">
        <x:f>IF(OR(Inputs!$C$27=TRUE,Inputs!$C$27="TRUE",Inputs!$C$27=1),Inputs!$C$46/Inputs!$C$12,0)</x:f>
        <x:v>42.13483146067416</x:v>
      </x:c>
      <x:c r="AR118" s="9">
        <x:f t="shared" si="36"/>
        <x:v>234.41671945014673</x:v>
      </x:c>
      <x:c r="AS118" s="9">
        <x:f t="shared" si="37"/>
        <x:v>318.68638237149503</x:v>
      </x:c>
    </x:row>
    <x:row r="119">
      <x:c r="A119" s="9" t="n">
        <x:f>Inputs!$C$7+117*(Inputs!$C$8-Inputs!$C$7)/240</x:f>
        <x:v>-1.5</x:v>
      </x:c>
      <x:c r="B119" s="9" t="n">
        <x:f>Inputs!$C$5+Inputs!$C$9*(A119/Inputs!$C$10)^2</x:f>
        <x:v>400.0025</x:v>
      </x:c>
      <x:c r="C119" s="9">
        <x:f t="shared" si="19"/>
        <x:v>400.0025</x:v>
      </x:c>
      <x:c r="D119" s="9" t="n">
        <x:f>SQRT((Inputs!$C$52+B119)^2+Inputs!$C$52^2-2*(Inputs!$C$52+B119)*Inputs!$C$52*COS(SQRT(A119^2+Inputs!$C$6^2)/Inputs!$C$52))</x:f>
        <x:v>400.98626535090625</x:v>
      </x:c>
      <x:c r="E119" s="9">
        <x:f t="shared" si="20"/>
        <x:v>983.76535090625339</x:v>
      </x:c>
      <x:c r="F119" s="9" t="n">
        <x:f>E119/Inputs!$C$12</x:f>
        <x:v>552.6771634304794</x:v>
      </x:c>
      <x:c r="G119" s="9" t="n">
        <x:f>2*E119/Inputs!$C$21*1000000</x:f>
        <x:v>6.562975983246739</x:v>
      </x:c>
      <x:c r="H119" s="9" t="n">
        <x:f>SQRT(A119^2+Inputs!$C$6^2)</x:f>
        <x:v>25.04495957273639</x:v>
      </x:c>
      <x:c r="I119" s="9">
        <x:f t="shared" si="21"/>
        <x:v>3.5827269224738951</x:v>
      </x:c>
      <x:c r="J119" s="9" t="n">
        <x:f>DEGREES((2*PI()/Inputs!$C$13)*Inputs!$C$15*SIN(RADIANS(I119)))</x:f>
        <x:v>22.49627021711709</x:v>
      </x:c>
      <x:c r="K119" s="9">
        <x:f t="shared" si="22"/>
        <x:v>0.99022259811670676</x:v>
      </x:c>
      <x:c r="L119" s="9">
        <x:f t="shared" si="23"/>
        <x:v>-4.2671667488290856E-2</x:v>
      </x:c>
      <x:c r="M119" s="9" t="n">
        <x:f>2*(Inputs!$C$9/(Inputs!$C$10^2))*A119</x:f>
        <x:v>-0.003333333333333333</x:v>
      </x:c>
      <x:c r="N119" s="9" t="n">
        <x:f>M119*Inputs!$C$11</x:f>
        <x:v>-0.013333333333333332</x:v>
      </x:c>
      <x:c r="O119" s="9" t="n">
        <x:f>1000*(D120-D118)/(A120-A118)*Inputs!$C$11</x:f>
        <x:v>-32.10431447382689</x:v>
      </x:c>
      <x:c r="P119" s="9" t="n">
        <x:f>-2*O119/Inputs!$C$13</x:f>
        <x:v>12.841725789530756</x:v>
      </x:c>
      <x:c r="Q119" s="9" t="n">
        <x:f>-2*O119/Inputs!$C$14</x:f>
        <x:v>1.9281870554850986</x:v>
      </x:c>
      <x:c r="R119" s="9" t="n">
        <x:f>F119-Inputs!$C$16/2</x:f>
        <x:v>537.6771634304794</x:v>
      </x:c>
      <x:c r="S119" s="9" t="n">
        <x:f>F119+Inputs!$C$16/2</x:f>
        <x:v>567.6771634304794</x:v>
      </x:c>
      <x:c r="T119" s="9" t="n">
        <x:f>F119-Inputs!$C$17/2</x:f>
        <x:v>402.67716343047937</x:v>
      </x:c>
      <x:c r="U119" s="9" t="n">
        <x:f>F119+Inputs!$C$17/2</x:f>
        <x:v>702.6771634304794</x:v>
      </x:c>
      <x:c r="V119" s="9">
        <x:f t="shared" si="24"/>
        <x:v>12.841725789530756</x:v>
      </x:c>
      <x:c r="W119" s="9">
        <x:f t="shared" si="25"/>
        <x:v>1.9281870554850986</x:v>
      </x:c>
      <x:c r="X119" s="9"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x:f>
        <x:v>-34.15455011761312</x:v>
      </x:c>
      <x:c r="Y119" s="9"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x:f>
        <x:v>431.10580672292525</x:v>
      </x:c>
      <x:c r="Z119" s="9">
        <x:f t="shared" si="26"/>
        <x:v>400.03665455011759</x:v>
      </x:c>
      <x:c r="AA119" s="9" t="n">
        <x:f>SQRT((Inputs!$C$52+B119)^2+(Inputs!$C$52+Y119/1000)^2-2*(Inputs!$C$52+B119)*(Inputs!$C$52+Y119/1000)*COS(SQRT(A119^2+Inputs!$C$6^2)/Inputs!$C$52))</x:f>
        <x:v>400.55649002271485</x:v>
      </x:c>
      <x:c r="AB119" s="9">
        <x:f t="shared" si="27"/>
        <x:v>519.83547259726492</x:v>
      </x:c>
      <x:c r="AC119" s="9" t="n">
        <x:f>AB119/Inputs!$C$12</x:f>
        <x:v>292.0424003355421</x:v>
      </x:c>
      <x:c r="AD119" s="9" t="n">
        <x:f>2*AB119/Inputs!$C$21*1000000</x:f>
        <x:v>3.467968981376209</x:v>
      </x:c>
      <x:c r="AE119" s="9">
        <x:f t="shared" si="28"/>
        <x:v>3.5865823158301713</x:v>
      </x:c>
      <x:c r="AF119" s="9" t="n">
        <x:f>DEGREES((2*PI()/Inputs!$C$13)*Inputs!$C$15*SIN(RADIANS(AE119)))</x:f>
        <x:v>22.520446973684773</x:v>
      </x:c>
      <x:c r="AG119" s="9">
        <x:f t="shared" si="29"/>
        <x:v>0.99481896401460435</x:v>
      </x:c>
      <x:c r="AH119" s="9">
        <x:f t="shared" si="30"/>
        <x:v>-2.2559444632227584E-2</x:v>
      </x:c>
      <x:c r="AI119" s="9">
        <x:f t="shared" si="31"/>
        <x:v>-260.63476309493728</x:v>
      </x:c>
      <x:c r="AJ119" s="9">
        <x:f t="shared" si="32"/>
        <x:v>-3.0950070018705298</x:v>
      </x:c>
      <x:c r="AK119" s="9">
        <x:f t="shared" si="33"/>
        <x:v>465.26035684053835</x:v>
      </x:c>
      <x:c r="AL119" s="9" t="n">
        <x:f>1000*(AA120-AA118)/(A120-A118)*Inputs!$C$11</x:f>
        <x:v>-52.11369318749348</x:v>
      </x:c>
      <x:c r="AM119" s="9" t="n">
        <x:f>-2*AL119/Inputs!$C$13</x:f>
        <x:v>20.845477274997393</x:v>
      </x:c>
      <x:c r="AN119" s="9" t="n">
        <x:f>-2*AL119/Inputs!$C$14</x:f>
        <x:v>3.1299515427924014</x:v>
      </x:c>
      <x:c r="AO119" s="9">
        <x:f t="shared" si="34"/>
        <x:v>20.845477274997393</x:v>
      </x:c>
      <x:c r="AP119" s="9">
        <x:f t="shared" si="35"/>
        <x:v>3.1299515427924014</x:v>
      </x:c>
      <x:c r="AQ119" s="9" t="n">
        <x:f>IF(OR(Inputs!$C$27=TRUE,Inputs!$C$27="TRUE",Inputs!$C$27=1),Inputs!$C$46/Inputs!$C$12,0)</x:f>
        <x:v>42.13483146067416</x:v>
      </x:c>
      <x:c r="AR119" s="9">
        <x:f t="shared" si="36"/>
        <x:v>249.90756887486793</x:v>
      </x:c>
      <x:c r="AS119" s="9">
        <x:f t="shared" si="37"/>
        <x:v>334.17723179621623</x:v>
      </x:c>
    </x:row>
    <x:row r="120">
      <x:c r="A120" s="9" t="n">
        <x:f>Inputs!$C$7+118*(Inputs!$C$8-Inputs!$C$7)/240</x:f>
        <x:v>-1</x:v>
      </x:c>
      <x:c r="B120" s="9" t="n">
        <x:f>Inputs!$C$5+Inputs!$C$9*(A120/Inputs!$C$10)^2</x:f>
        <x:v>400.00111111111113</x:v>
      </x:c>
      <x:c r="C120" s="9">
        <x:f t="shared" si="19"/>
        <x:v>400.00111111111113</x:v>
      </x:c>
      <x:c r="D120" s="9" t="n">
        <x:f>SQRT((Inputs!$C$52+B120)^2+Inputs!$C$52^2-2*(Inputs!$C$52+B120)*Inputs!$C$52*COS(SQRT(A120^2+Inputs!$C$6^2)/Inputs!$C$52))</x:f>
        <x:v>400.98292113714916</x:v>
      </x:c>
      <x:c r="E120" s="9">
        <x:f t="shared" si="20"/>
        <x:v>981.81002603803336</x:v>
      </x:c>
      <x:c r="F120" s="9" t="n">
        <x:f>E120/Inputs!$C$12</x:f>
        <x:v>551.5786663135019</x:v>
      </x:c>
      <x:c r="G120" s="9" t="n">
        <x:f>2*E120/Inputs!$C$21*1000000</x:f>
        <x:v>6.549931459837014</x:v>
      </x:c>
      <x:c r="H120" s="9" t="n">
        <x:f>SQRT(A120^2+Inputs!$C$6^2)</x:f>
        <x:v>25.019992006393608</x:v>
      </x:c>
      <x:c r="I120" s="9">
        <x:f t="shared" si="21"/>
        <x:v>3.5791769511981175</x:v>
      </x:c>
      <x:c r="J120" s="9" t="n">
        <x:f>DEGREES((2*PI()/Inputs!$C$13)*Inputs!$C$15*SIN(RADIANS(I120)))</x:f>
        <x:v>22.474008639448687</x:v>
      </x:c>
      <x:c r="K120" s="9">
        <x:f t="shared" si="22"/>
        <x:v>0.99024187912295081</x:v>
      </x:c>
      <x:c r="L120" s="9">
        <x:f t="shared" si="23"/>
        <x:v>-4.258710515744546E-2</x:v>
      </x:c>
      <x:c r="M120" s="9" t="n">
        <x:f>2*(Inputs!$C$9/(Inputs!$C$10^2))*A120</x:f>
        <x:v>-0.0022222222222222222</x:v>
      </x:c>
      <x:c r="N120" s="9" t="n">
        <x:f>M120*Inputs!$C$11</x:f>
        <x:v>-0.008888888888888889</x:v>
      </x:c>
      <x:c r="O120" s="9" t="n">
        <x:f>1000*(D121-D119)/(A121-A119)*Inputs!$C$11</x:f>
        <x:v>-21.403007352773784</x:v>
      </x:c>
      <x:c r="P120" s="9" t="n">
        <x:f>-2*O120/Inputs!$C$13</x:f>
        <x:v>8.561202941109514</x:v>
      </x:c>
      <x:c r="Q120" s="9" t="n">
        <x:f>-2*O120/Inputs!$C$14</x:f>
        <x:v>1.2854659070735006</x:v>
      </x:c>
      <x:c r="R120" s="9" t="n">
        <x:f>F120-Inputs!$C$16/2</x:f>
        <x:v>536.5786663135019</x:v>
      </x:c>
      <x:c r="S120" s="9" t="n">
        <x:f>F120+Inputs!$C$16/2</x:f>
        <x:v>566.5786663135019</x:v>
      </x:c>
      <x:c r="T120" s="9" t="n">
        <x:f>F120-Inputs!$C$17/2</x:f>
        <x:v>401.5786663135019</x:v>
      </x:c>
      <x:c r="U120" s="9" t="n">
        <x:f>F120+Inputs!$C$17/2</x:f>
        <x:v>701.5786663135019</x:v>
      </x:c>
      <x:c r="V120" s="9">
        <x:f t="shared" si="24"/>
        <x:v>8.5612029411095136</x:v>
      </x:c>
      <x:c r="W120" s="9">
        <x:f t="shared" si="25"/>
        <x:v>1.2854659070735006</x:v>
      </x:c>
      <x:c r="X120" s="9"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x:f>
        <x:v>-38.26579288799343</x:v>
      </x:c>
      <x:c r="Y120" s="9"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x:f>
        <x:v>440.9944102420088</x:v>
      </x:c>
      <x:c r="Z120" s="9">
        <x:f t="shared" si="26"/>
        <x:v>400.03937690399914</x:v>
      </x:c>
      <x:c r="AA120" s="9" t="n">
        <x:f>SQRT((Inputs!$C$52+B120)^2+(Inputs!$C$52+Y120/1000)^2-2*(Inputs!$C$52+B120)*(Inputs!$C$52+Y120/1000)*COS(SQRT(A120^2+Inputs!$C$6^2)/Inputs!$C$52))</x:f>
        <x:v>400.54328506172504</x:v>
      </x:c>
      <x:c r="AB120" s="9">
        <x:f t="shared" si="27"/>
        <x:v>503.90815772590258</x:v>
      </x:c>
      <x:c r="AC120" s="9" t="n">
        <x:f>AB120/Inputs!$C$12</x:f>
        <x:v>283.0944706325295</x:v>
      </x:c>
      <x:c r="AD120" s="9" t="n">
        <x:f>2*AB120/Inputs!$C$21*1000000</x:f>
        <x:v>3.3617133738961678</x:v>
      </x:c>
      <x:c r="AE120" s="9">
        <x:f t="shared" si="28"/>
        <x:v>3.5831170021090575</x:v>
      </x:c>
      <x:c r="AF120" s="9" t="n">
        <x:f>DEGREES((2*PI()/Inputs!$C$13)*Inputs!$C$15*SIN(RADIANS(AE120)))</x:f>
        <x:v>22.498716369136744</x:v>
      </x:c>
      <x:c r="AG120" s="9">
        <x:f t="shared" si="29"/>
        <x:v>0.99497724163691126</x:v>
      </x:c>
      <x:c r="AH120" s="9">
        <x:f t="shared" si="30"/>
        <x:v>-2.1868528668809804E-2</x:v>
      </x:c>
      <x:c r="AI120" s="9">
        <x:f t="shared" si="31"/>
        <x:v>-268.48419568097239</x:v>
      </x:c>
      <x:c r="AJ120" s="9">
        <x:f t="shared" si="32"/>
        <x:v>-3.188218085940846</x:v>
      </x:c>
      <x:c r="AK120" s="9">
        <x:f t="shared" si="33"/>
        <x:v>479.26020313000225</x:v>
      </x:c>
      <x:c r="AL120" s="9" t="n">
        <x:f>1000*(AA121-AA119)/(A121-A119)*Inputs!$C$11</x:f>
        <x:v>-193.39645675700012</x:v>
      </x:c>
      <x:c r="AM120" s="9" t="n">
        <x:f>-2*AL120/Inputs!$C$13</x:f>
        <x:v>77.35858270280005</x:v>
      </x:c>
      <x:c r="AN120" s="9" t="n">
        <x:f>-2*AL120/Inputs!$C$14</x:f>
        <x:v>11.615402808228236</x:v>
      </x:c>
      <x:c r="AO120" s="9">
        <x:f t="shared" si="34"/>
        <x:v>77.358582702800049</x:v>
      </x:c>
      <x:c r="AP120" s="9">
        <x:f t="shared" si="35"/>
        <x:v>11.615402808228236</x:v>
      </x:c>
      <x:c r="AQ120" s="9" t="n">
        <x:f>IF(OR(Inputs!$C$27=TRUE,Inputs!$C$27="TRUE",Inputs!$C$27=1),Inputs!$C$46/Inputs!$C$12,0)</x:f>
        <x:v>42.13483146067416</x:v>
      </x:c>
      <x:c r="AR120" s="9">
        <x:f t="shared" si="36"/>
        <x:v>240.95963917185537</x:v>
      </x:c>
      <x:c r="AS120" s="9">
        <x:f t="shared" si="37"/>
        <x:v>325.22930209320367</x:v>
      </x:c>
    </x:row>
    <x:row r="121">
      <x:c r="A121" s="9" t="n">
        <x:f>Inputs!$C$7+119*(Inputs!$C$8-Inputs!$C$7)/240</x:f>
        <x:v>-0.5</x:v>
      </x:c>
      <x:c r="B121" s="9" t="n">
        <x:f>Inputs!$C$5+Inputs!$C$9*(A121/Inputs!$C$10)^2</x:f>
        <x:v>400.0002777777778</x:v>
      </x:c>
      <x:c r="C121" s="9">
        <x:f t="shared" si="19"/>
        <x:v>400.0002777777778</x:v>
      </x:c>
      <x:c r="D121" s="9" t="n">
        <x:f>SQRT((Inputs!$C$52+B121)^2+Inputs!$C$52^2-2*(Inputs!$C$52+B121)*Inputs!$C$52*COS(SQRT(A121^2+Inputs!$C$6^2)/Inputs!$C$52))</x:f>
        <x:v>400.98091459906806</x:v>
      </x:c>
      <x:c r="E121" s="9">
        <x:f t="shared" si="20"/>
        <x:v>980.6368212902612</x:v>
      </x:c>
      <x:c r="F121" s="9" t="n">
        <x:f>E121/Inputs!$C$12</x:f>
        <x:v>550.9195625226187</x:v>
      </x:c>
      <x:c r="G121" s="9" t="n">
        <x:f>2*E121/Inputs!$C$21*1000000</x:f>
        <x:v>6.542104680233558</x:v>
      </x:c>
      <x:c r="H121" s="9" t="n">
        <x:f>SQRT(A121^2+Inputs!$C$6^2)</x:f>
        <x:v>25.004999500099974</x:v>
      </x:c>
      <x:c r="I121" s="9">
        <x:f t="shared" si="21"/>
        <x:v>3.577045235990127</x:v>
      </x:c>
      <x:c r="J121" s="9" t="n">
        <x:f>DEGREES((2*PI()/Inputs!$C$13)*Inputs!$C$15*SIN(RADIANS(I121)))</x:f>
        <x:v>22.460640787379383</x:v>
      </x:c>
      <x:c r="K121" s="9">
        <x:f t="shared" si="22"/>
        <x:v>0.99025344811329841</x:v>
      </x:c>
      <x:c r="L121" s="9">
        <x:f t="shared" si="23"/>
        <x:v>-4.2536366853748245E-2</x:v>
      </x:c>
      <x:c r="M121" s="9" t="n">
        <x:f>2*(Inputs!$C$9/(Inputs!$C$10^2))*A121</x:f>
        <x:v>-0.0011111111111111111</x:v>
      </x:c>
      <x:c r="N121" s="9" t="n">
        <x:f>M121*Inputs!$C$11</x:f>
        <x:v>-0.0044444444444444444</x:v>
      </x:c>
      <x:c r="O121" s="9" t="n">
        <x:f>1000*(D122-D120)/(A122-A120)*Inputs!$C$11</x:f>
        <x:v>-10.701542982587853</x:v>
      </x:c>
      <x:c r="P121" s="9" t="n">
        <x:f>-2*O121/Inputs!$C$13</x:f>
        <x:v>4.280617193035141</x:v>
      </x:c>
      <x:c r="Q121" s="9" t="n">
        <x:f>-2*O121/Inputs!$C$14</x:f>
        <x:v>0.6427353142695408</x:v>
      </x:c>
      <x:c r="R121" s="9" t="n">
        <x:f>F121-Inputs!$C$16/2</x:f>
        <x:v>535.9195625226187</x:v>
      </x:c>
      <x:c r="S121" s="9" t="n">
        <x:f>F121+Inputs!$C$16/2</x:f>
        <x:v>565.9195625226187</x:v>
      </x:c>
      <x:c r="T121" s="9" t="n">
        <x:f>F121-Inputs!$C$17/2</x:f>
        <x:v>400.91956252261866</x:v>
      </x:c>
      <x:c r="U121" s="9" t="n">
        <x:f>F121+Inputs!$C$17/2</x:f>
        <x:v>700.9195625226187</x:v>
      </x:c>
      <x:c r="V121" s="9">
        <x:f t="shared" si="24"/>
        <x:v>4.2806171930351411</x:v>
      </x:c>
      <x:c r="W121" s="9">
        <x:f t="shared" si="25"/>
        <x:v>0.64273531426954078</x:v>
      </x:c>
      <x:c r="X121" s="9"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x:f>
        <x:v>-15.949828195457984</x:v>
      </x:c>
      <x:c r="Y121" s="9"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x:f>
        <x:v>474.23278667183286</x:v>
      </x:c>
      <x:c r="Z121" s="9">
        <x:f t="shared" si="26"/>
        <x:v>400.01622760597326</x:v>
      </x:c>
      <x:c r="AA121" s="9" t="n">
        <x:f>SQRT((Inputs!$C$52+B121)^2+(Inputs!$C$52+Y121/1000)^2-2*(Inputs!$C$52+B121)*(Inputs!$C$52+Y121/1000)*COS(SQRT(A121^2+Inputs!$C$6^2)/Inputs!$C$52))</x:f>
        <x:v>400.5081409085256</x:v>
      </x:c>
      <x:c r="AB121" s="9">
        <x:f t="shared" si="27"/>
        <x:v>491.91330255234789</x:v>
      </x:c>
      <x:c r="AC121" s="9" t="n">
        <x:f>AB121/Inputs!$C$12</x:f>
        <x:v>276.35578795075725</x:v>
      </x:c>
      <x:c r="AD121" s="9" t="n">
        <x:f>2*AB121/Inputs!$C$21*1000000</x:f>
        <x:v>3.281692313636175</x:v>
      </x:c>
      <x:c r="AE121" s="9">
        <x:f t="shared" si="28"/>
        <x:v>3.5812801035288899</x:v>
      </x:c>
      <x:c r="AF121" s="9" t="n">
        <x:f>DEGREES((2*PI()/Inputs!$C$13)*Inputs!$C$15*SIN(RADIANS(AE121)))</x:f>
        <x:v>22.48719734502342</x:v>
      </x:c>
      <x:c r="AG121" s="9">
        <x:f t="shared" si="29"/>
        <x:v>0.99509615185905054</x:v>
      </x:c>
      <x:c r="AH121" s="9">
        <x:f t="shared" si="30"/>
        <x:v>-2.1349532198154844E-2</x:v>
      </x:c>
      <x:c r="AI121" s="9">
        <x:f t="shared" si="31"/>
        <x:v>-274.56377457186142</x:v>
      </x:c>
      <x:c r="AJ121" s="9">
        <x:f t="shared" si="32"/>
        <x:v>-3.2604123665973828</x:v>
      </x:c>
      <x:c r="AK121" s="9">
        <x:f t="shared" si="33"/>
        <x:v>490.18261486729085</x:v>
      </x:c>
      <x:c r="AL121" s="9" t="n">
        <x:f>1000*(AA122-AA120)/(A122-A120)*Inputs!$C$11</x:f>
        <x:v>-168.03873810113146</x:v>
      </x:c>
      <x:c r="AM121" s="9" t="n">
        <x:f>-2*AL121/Inputs!$C$13</x:f>
        <x:v>67.21549524045258</x:v>
      </x:c>
      <x:c r="AN121" s="9" t="n">
        <x:f>-2*AL121/Inputs!$C$14</x:f>
        <x:v>10.09241670277066</x:v>
      </x:c>
      <x:c r="AO121" s="9">
        <x:f t="shared" si="34"/>
        <x:v>67.215495240452583</x:v>
      </x:c>
      <x:c r="AP121" s="9">
        <x:f t="shared" si="35"/>
        <x:v>10.092416702770659</x:v>
      </x:c>
      <x:c r="AQ121" s="9" t="n">
        <x:f>IF(OR(Inputs!$C$27=TRUE,Inputs!$C$27="TRUE",Inputs!$C$27=1),Inputs!$C$46/Inputs!$C$12,0)</x:f>
        <x:v>42.13483146067416</x:v>
      </x:c>
      <x:c r="AR121" s="9">
        <x:f t="shared" si="36"/>
        <x:v>234.2209564900831</x:v>
      </x:c>
      <x:c r="AS121" s="9">
        <x:f t="shared" si="37"/>
        <x:v>318.4906194114314</x:v>
      </x:c>
    </x:row>
    <x:row r="122">
      <x:c r="A122" s="9" t="n">
        <x:f>Inputs!$C$7+120*(Inputs!$C$8-Inputs!$C$7)/240</x:f>
        <x:v>0</x:v>
      </x:c>
      <x:c r="B122" s="9" t="n">
        <x:f>Inputs!$C$5+Inputs!$C$9*(A122/Inputs!$C$10)^2</x:f>
        <x:v>400</x:v>
      </x:c>
      <x:c r="C122" s="9">
        <x:f t="shared" si="19"/>
        <x:v>400</x:v>
      </x:c>
      <x:c r="D122" s="9" t="n">
        <x:f>SQRT((Inputs!$C$52+B122)^2+Inputs!$C$52^2-2*(Inputs!$C$52+B122)*Inputs!$C$52*COS(SQRT(A122^2+Inputs!$C$6^2)/Inputs!$C$52))</x:f>
        <x:v>400.9802457514035</x:v>
      </x:c>
      <x:c r="E122" s="9">
        <x:f t="shared" si="20"/>
        <x:v>980.24575140351544</x:v>
      </x:c>
      <x:c r="F122" s="9" t="n">
        <x:f>E122/Inputs!$C$12</x:f>
        <x:v>550.6998603390537</x:v>
      </x:c>
      <x:c r="G122" s="9" t="n">
        <x:f>2*E122/Inputs!$C$21*1000000</x:f>
        <x:v>6.5394957427749265</x:v>
      </x:c>
      <x:c r="H122" s="9" t="n">
        <x:f>SQRT(A122^2+Inputs!$C$6^2)</x:f>
        <x:v>25</x:v>
      </x:c>
      <x:c r="I122" s="9">
        <x:f t="shared" si="21"/>
        <x:v>3.5763343749973511</x:v>
      </x:c>
      <x:c r="J122" s="9" t="n">
        <x:f>DEGREES((2*PI()/Inputs!$C$13)*Inputs!$C$15*SIN(RADIANS(I122)))</x:f>
        <x:v>22.456183015864987</x:v>
      </x:c>
      <x:c r="K122" s="9">
        <x:f t="shared" si="22"/>
        <x:v>0.99025730450784655</x:v>
      </x:c>
      <x:c r="L122" s="9">
        <x:f t="shared" si="23"/>
        <x:v>-4.2519453934996503E-2</x:v>
      </x:c>
      <x:c r="M122" s="9" t="n">
        <x:f>2*(Inputs!$C$9/(Inputs!$C$10^2))*A122</x:f>
        <x:v>0</x:v>
      </x:c>
      <x:c r="N122" s="9" t="n">
        <x:f>M122*Inputs!$C$11</x:f>
        <x:v>0</x:v>
      </x:c>
      <x:c r="O122" s="9" t="n">
        <x:f>1000*(D123-D121)/(A123-A121)*Inputs!$C$11</x:f>
        <x:v>0</x:v>
      </x:c>
      <x:c r="P122" s="9" t="n">
        <x:f>-2*O122/Inputs!$C$13</x:f>
        <x:v>0</x:v>
      </x:c>
      <x:c r="Q122" s="9" t="n">
        <x:f>-2*O122/Inputs!$C$14</x:f>
        <x:v>0</x:v>
      </x:c>
      <x:c r="R122" s="9" t="n">
        <x:f>F122-Inputs!$C$16/2</x:f>
        <x:v>535.6998603390537</x:v>
      </x:c>
      <x:c r="S122" s="9" t="n">
        <x:f>F122+Inputs!$C$16/2</x:f>
        <x:v>565.6998603390537</x:v>
      </x:c>
      <x:c r="T122" s="9" t="n">
        <x:f>F122-Inputs!$C$17/2</x:f>
        <x:v>400.69986033905366</x:v>
      </x:c>
      <x:c r="U122" s="9" t="n">
        <x:f>F122+Inputs!$C$17/2</x:f>
        <x:v>700.6998603390537</x:v>
      </x:c>
      <x:c r="V122" s="9">
        <x:f t="shared" si="24"/>
        <x:v>0</x:v>
      </x:c>
      <x:c r="W122" s="9">
        <x:f t="shared" si="25"/>
        <x:v>0</x:v>
      </x:c>
      <x:c r="X122" s="9"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x:f>
        <x:v>-4.948127387128106</x:v>
      </x:c>
      <x:c r="Y122" s="9"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x:f>
        <x:v>480.44802858922253</x:v>
      </x:c>
      <x:c r="Z122" s="9">
        <x:f t="shared" si="26"/>
        <x:v>400.00494812738714</x:v>
      </x:c>
      <x:c r="AA122" s="9" t="n">
        <x:f>SQRT((Inputs!$C$52+B122)^2+(Inputs!$C$52+Y122/1000)^2-2*(Inputs!$C$52+B122)*(Inputs!$C$52+Y122/1000)*COS(SQRT(A122^2+Inputs!$C$6^2)/Inputs!$C$52))</x:f>
        <x:v>400.50127537719976</x:v>
      </x:c>
      <x:c r="AB122" s="9">
        <x:f t="shared" si="27"/>
        <x:v>496.32724981262299</x:v>
      </x:c>
      <x:c r="AC122" s="9" t="n">
        <x:f>AB122/Inputs!$C$12</x:f>
        <x:v>278.8355336025972</x:v>
      </x:c>
      <x:c r="AD122" s="9" t="n">
        <x:f>2*AB122/Inputs!$C$21*1000000</x:f>
        <x:v>3.3111390001186956</x:v>
      </x:c>
      <x:c r="AE122" s="9">
        <x:f t="shared" si="28"/>
        <x:v>3.5806239655136194</x:v>
      </x:c>
      <x:c r="AF122" s="9" t="n">
        <x:f>DEGREES((2*PI()/Inputs!$C$13)*Inputs!$C$15*SIN(RADIANS(AE122)))</x:f>
        <x:v>22.4830827575369</x:v>
      </x:c>
      <x:c r="AG122" s="9">
        <x:f t="shared" si="29"/>
        <x:v>0.99505214668985897</x:v>
      </x:c>
      <x:c r="AH122" s="9">
        <x:f t="shared" si="30"/>
        <x:v>-2.1541590269125378E-2</x:v>
      </x:c>
      <x:c r="AI122" s="9">
        <x:f t="shared" si="31"/>
        <x:v>-271.86432673645646</x:v>
      </x:c>
      <x:c r="AJ122" s="9">
        <x:f t="shared" si="32"/>
        <x:v>-3.228356742656231</x:v>
      </x:c>
      <x:c r="AK122" s="9">
        <x:f t="shared" si="33"/>
        <x:v>485.39615597635066</x:v>
      </x:c>
      <x:c r="AL122" s="9" t="n">
        <x:f>1000*(AA123-AA121)/(A123-A121)*Inputs!$C$11</x:f>
        <x:v>-33.94468967871944</x:v>
      </x:c>
      <x:c r="AM122" s="9" t="n">
        <x:f>-2*AL122/Inputs!$C$13</x:f>
        <x:v>13.577875871487777</x:v>
      </x:c>
      <x:c r="AN122" s="9" t="n">
        <x:f>-2*AL122/Inputs!$C$14</x:f>
        <x:v>2.0387201008239906</x:v>
      </x:c>
      <x:c r="AO122" s="9">
        <x:f t="shared" si="34"/>
        <x:v>13.577875871487777</x:v>
      </x:c>
      <x:c r="AP122" s="9">
        <x:f t="shared" si="35"/>
        <x:v>2.0387201008239906</x:v>
      </x:c>
      <x:c r="AQ122" s="9" t="n">
        <x:f>IF(OR(Inputs!$C$27=TRUE,Inputs!$C$27="TRUE",Inputs!$C$27=1),Inputs!$C$46/Inputs!$C$12,0)</x:f>
        <x:v>42.13483146067416</x:v>
      </x:c>
      <x:c r="AR122" s="9">
        <x:f t="shared" si="36"/>
        <x:v>236.70070214192305</x:v>
      </x:c>
      <x:c r="AS122" s="9">
        <x:f t="shared" si="37"/>
        <x:v>320.97036506327134</x:v>
      </x:c>
    </x:row>
    <x:row r="123">
      <x:c r="A123" s="9" t="n">
        <x:f>Inputs!$C$7+121*(Inputs!$C$8-Inputs!$C$7)/240</x:f>
        <x:v>0.5</x:v>
      </x:c>
      <x:c r="B123" s="9" t="n">
        <x:f>Inputs!$C$5+Inputs!$C$9*(A123/Inputs!$C$10)^2</x:f>
        <x:v>400.0002777777778</x:v>
      </x:c>
      <x:c r="C123" s="9">
        <x:f t="shared" si="19"/>
        <x:v>400.0002777777778</x:v>
      </x:c>
      <x:c r="D123" s="9" t="n">
        <x:f>SQRT((Inputs!$C$52+B123)^2+Inputs!$C$52^2-2*(Inputs!$C$52+B123)*Inputs!$C$52*COS(SQRT(A123^2+Inputs!$C$6^2)/Inputs!$C$52))</x:f>
        <x:v>400.98091459906806</x:v>
      </x:c>
      <x:c r="E123" s="9">
        <x:f t="shared" si="20"/>
        <x:v>980.6368212902612</x:v>
      </x:c>
      <x:c r="F123" s="9" t="n">
        <x:f>E123/Inputs!$C$12</x:f>
        <x:v>550.9195625226187</x:v>
      </x:c>
      <x:c r="G123" s="9" t="n">
        <x:f>2*E123/Inputs!$C$21*1000000</x:f>
        <x:v>6.542104680233558</x:v>
      </x:c>
      <x:c r="H123" s="9" t="n">
        <x:f>SQRT(A123^2+Inputs!$C$6^2)</x:f>
        <x:v>25.004999500099974</x:v>
      </x:c>
      <x:c r="I123" s="9">
        <x:f t="shared" si="21"/>
        <x:v>3.577045235990127</x:v>
      </x:c>
      <x:c r="J123" s="9" t="n">
        <x:f>DEGREES((2*PI()/Inputs!$C$13)*Inputs!$C$15*SIN(RADIANS(I123)))</x:f>
        <x:v>22.460640787379383</x:v>
      </x:c>
      <x:c r="K123" s="9">
        <x:f t="shared" si="22"/>
        <x:v>0.99025344811329841</x:v>
      </x:c>
      <x:c r="L123" s="9">
        <x:f t="shared" si="23"/>
        <x:v>-4.2536366853748245E-2</x:v>
      </x:c>
      <x:c r="M123" s="9" t="n">
        <x:f>2*(Inputs!$C$9/(Inputs!$C$10^2))*A123</x:f>
        <x:v>0.0011111111111111111</x:v>
      </x:c>
      <x:c r="N123" s="9" t="n">
        <x:f>M123*Inputs!$C$11</x:f>
        <x:v>0.0044444444444444444</x:v>
      </x:c>
      <x:c r="O123" s="9" t="n">
        <x:f>1000*(D124-D122)/(A124-A122)*Inputs!$C$11</x:f>
        <x:v>10.701542982587853</x:v>
      </x:c>
      <x:c r="P123" s="9" t="n">
        <x:f>-2*O123/Inputs!$C$13</x:f>
        <x:v>-4.280617193035141</x:v>
      </x:c>
      <x:c r="Q123" s="9" t="n">
        <x:f>-2*O123/Inputs!$C$14</x:f>
        <x:v>-0.6427353142695408</x:v>
      </x:c>
      <x:c r="R123" s="9" t="n">
        <x:f>F123-Inputs!$C$16/2</x:f>
        <x:v>535.9195625226187</x:v>
      </x:c>
      <x:c r="S123" s="9" t="n">
        <x:f>F123+Inputs!$C$16/2</x:f>
        <x:v>565.9195625226187</x:v>
      </x:c>
      <x:c r="T123" s="9" t="n">
        <x:f>F123-Inputs!$C$17/2</x:f>
        <x:v>400.91956252261866</x:v>
      </x:c>
      <x:c r="U123" s="9" t="n">
        <x:f>F123+Inputs!$C$17/2</x:f>
        <x:v>700.9195625226187</x:v>
      </x:c>
      <x:c r="V123" s="9">
        <x:f t="shared" si="24"/>
        <x:v>4.2806171930351411</x:v>
      </x:c>
      <x:c r="W123" s="9">
        <x:f t="shared" si="25"/>
        <x:v>0.64273531426954078</x:v>
      </x:c>
      <x:c r="X123" s="9"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x:f>
        <x:v>2.259569132321303</x:v>
      </x:c>
      <x:c r="Y123" s="9"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x:f>
        <x:v>482.7451811280071</x:v>
      </x:c>
      <x:c r="Z123" s="9">
        <x:f t="shared" si="26"/>
        <x:v>399.99801820864548</x:v>
      </x:c>
      <x:c r="AA123" s="9" t="n">
        <x:f>SQRT((Inputs!$C$52+B123)^2+(Inputs!$C$52+Y123/1000)^2-2*(Inputs!$C$52+B123)*(Inputs!$C$52+Y123/1000)*COS(SQRT(A123^2+Inputs!$C$6^2)/Inputs!$C$52))</x:f>
        <x:v>400.4996547361059</x:v>
      </x:c>
      <x:c r="AB123" s="9">
        <x:f t="shared" si="27"/>
        <x:v>501.63652746044818</x:v>
      </x:c>
      <x:c r="AC123" s="9" t="n">
        <x:f>AB123/Inputs!$C$12</x:f>
        <x:v>281.8182738541844</x:v>
      </x:c>
      <x:c r="AD123" s="9" t="n">
        <x:f>2*AB123/Inputs!$C$21*1000000</x:f>
        <x:v>3.346558688013747</x:v>
      </x:c>
      <x:c r="AE123" s="9">
        <x:f t="shared" si="28"/>
        <x:v>3.5813562101428889</x:v>
      </x:c>
      <x:c r="AF123" s="9" t="n">
        <x:f>DEGREES((2*PI()/Inputs!$C$13)*Inputs!$C$15*SIN(RADIANS(AE123)))</x:f>
        <x:v>22.48767460314455</x:v>
      </x:c>
      <x:c r="AG123" s="9">
        <x:f t="shared" si="29"/>
        <x:v>0.99499929811649523</x:v>
      </x:c>
      <x:c r="AH123" s="9">
        <x:f t="shared" si="30"/>
        <x:v>-2.1772256102952203E-2</x:v>
      </x:c>
      <x:c r="AI123" s="9">
        <x:f t="shared" si="31"/>
        <x:v>-269.10128866843428</x:v>
      </x:c>
      <x:c r="AJ123" s="9">
        <x:f t="shared" si="32"/>
        <x:v>-3.1955459922198108</x:v>
      </x:c>
      <x:c r="AK123" s="9">
        <x:f t="shared" si="33"/>
        <x:v>480.48561199568582</x:v>
      </x:c>
      <x:c r="AL123" s="9" t="n">
        <x:f>1000*(AA124-AA122)/(A124-A122)*Inputs!$C$11</x:f>
        <x:v>-57.6121768331177</x:v>
      </x:c>
      <x:c r="AM123" s="9" t="n">
        <x:f>-2*AL123/Inputs!$C$13</x:f>
        <x:v>23.04487073324708</x:v>
      </x:c>
      <x:c r="AN123" s="9" t="n">
        <x:f>-2*AL123/Inputs!$C$14</x:f>
        <x:v>3.46019080078785</x:v>
      </x:c>
      <x:c r="AO123" s="9">
        <x:f t="shared" si="34"/>
        <x:v>23.04487073324708</x:v>
      </x:c>
      <x:c r="AP123" s="9">
        <x:f t="shared" si="35"/>
        <x:v>3.4601908007878501</x:v>
      </x:c>
      <x:c r="AQ123" s="9" t="n">
        <x:f>IF(OR(Inputs!$C$27=TRUE,Inputs!$C$27="TRUE",Inputs!$C$27=1),Inputs!$C$46/Inputs!$C$12,0)</x:f>
        <x:v>42.13483146067416</x:v>
      </x:c>
      <x:c r="AR123" s="9">
        <x:f t="shared" si="36"/>
        <x:v>239.68344239351023</x:v>
      </x:c>
      <x:c r="AS123" s="9">
        <x:f t="shared" si="37"/>
        <x:v>323.95310531485853</x:v>
      </x:c>
    </x:row>
    <x:row r="124">
      <x:c r="A124" s="9" t="n">
        <x:f>Inputs!$C$7+122*(Inputs!$C$8-Inputs!$C$7)/240</x:f>
        <x:v>1</x:v>
      </x:c>
      <x:c r="B124" s="9" t="n">
        <x:f>Inputs!$C$5+Inputs!$C$9*(A124/Inputs!$C$10)^2</x:f>
        <x:v>400.00111111111113</x:v>
      </x:c>
      <x:c r="C124" s="9">
        <x:f t="shared" si="19"/>
        <x:v>400.00111111111113</x:v>
      </x:c>
      <x:c r="D124" s="9" t="n">
        <x:f>SQRT((Inputs!$C$52+B124)^2+Inputs!$C$52^2-2*(Inputs!$C$52+B124)*Inputs!$C$52*COS(SQRT(A124^2+Inputs!$C$6^2)/Inputs!$C$52))</x:f>
        <x:v>400.98292113714916</x:v>
      </x:c>
      <x:c r="E124" s="9">
        <x:f t="shared" si="20"/>
        <x:v>981.81002603803336</x:v>
      </x:c>
      <x:c r="F124" s="9" t="n">
        <x:f>E124/Inputs!$C$12</x:f>
        <x:v>551.5786663135019</x:v>
      </x:c>
      <x:c r="G124" s="9" t="n">
        <x:f>2*E124/Inputs!$C$21*1000000</x:f>
        <x:v>6.549931459837014</x:v>
      </x:c>
      <x:c r="H124" s="9" t="n">
        <x:f>SQRT(A124^2+Inputs!$C$6^2)</x:f>
        <x:v>25.019992006393608</x:v>
      </x:c>
      <x:c r="I124" s="9">
        <x:f t="shared" si="21"/>
        <x:v>3.5791769511981175</x:v>
      </x:c>
      <x:c r="J124" s="9" t="n">
        <x:f>DEGREES((2*PI()/Inputs!$C$13)*Inputs!$C$15*SIN(RADIANS(I124)))</x:f>
        <x:v>22.474008639448687</x:v>
      </x:c>
      <x:c r="K124" s="9">
        <x:f t="shared" si="22"/>
        <x:v>0.99024187912295081</x:v>
      </x:c>
      <x:c r="L124" s="9">
        <x:f t="shared" si="23"/>
        <x:v>-4.258710515744546E-2</x:v>
      </x:c>
      <x:c r="M124" s="9" t="n">
        <x:f>2*(Inputs!$C$9/(Inputs!$C$10^2))*A124</x:f>
        <x:v>0.0022222222222222222</x:v>
      </x:c>
      <x:c r="N124" s="9" t="n">
        <x:f>M124*Inputs!$C$11</x:f>
        <x:v>0.008888888888888889</x:v>
      </x:c>
      <x:c r="O124" s="9" t="n">
        <x:f>1000*(D125-D123)/(A125-A123)*Inputs!$C$11</x:f>
        <x:v>21.403007352773784</x:v>
      </x:c>
      <x:c r="P124" s="9" t="n">
        <x:f>-2*O124/Inputs!$C$13</x:f>
        <x:v>-8.561202941109514</x:v>
      </x:c>
      <x:c r="Q124" s="9" t="n">
        <x:f>-2*O124/Inputs!$C$14</x:f>
        <x:v>-1.2854659070735006</x:v>
      </x:c>
      <x:c r="R124" s="9" t="n">
        <x:f>F124-Inputs!$C$16/2</x:f>
        <x:v>536.5786663135019</x:v>
      </x:c>
      <x:c r="S124" s="9" t="n">
        <x:f>F124+Inputs!$C$16/2</x:f>
        <x:v>566.5786663135019</x:v>
      </x:c>
      <x:c r="T124" s="9" t="n">
        <x:f>F124-Inputs!$C$17/2</x:f>
        <x:v>401.5786663135019</x:v>
      </x:c>
      <x:c r="U124" s="9" t="n">
        <x:f>F124+Inputs!$C$17/2</x:f>
        <x:v>701.5786663135019</x:v>
      </x:c>
      <x:c r="V124" s="9">
        <x:f t="shared" si="24"/>
        <x:v>8.5612029411095136</x:v>
      </x:c>
      <x:c r="W124" s="9">
        <x:f t="shared" si="25"/>
        <x:v>1.2854659070735006</x:v>
      </x:c>
      <x:c r="X124" s="9"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x:f>
        <x:v>43.07644622126787</x:v>
      </x:c>
      <x:c r="Y124" s="9"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x:f>
        <x:v>497.58165314697214</x:v>
      </x:c>
      <x:c r="Z124" s="9">
        <x:f t="shared" si="26"/>
        <x:v>399.95803466488985</x:v>
      </x:c>
      <x:c r="AA124" s="9" t="n">
        <x:f>SQRT((Inputs!$C$52+B124)^2+(Inputs!$C$52+Y124/1000)^2-2*(Inputs!$C$52+B124)*(Inputs!$C$52+Y124/1000)*COS(SQRT(A124^2+Inputs!$C$6^2)/Inputs!$C$52))</x:f>
        <x:v>400.4868723329915</x:v>
      </x:c>
      <x:c r="AB124" s="9">
        <x:f t="shared" si="27"/>
        <x:v>528.83766810163024</x:v>
      </x:c>
      <x:c r="AC124" s="9" t="n">
        <x:f>AB124/Inputs!$C$12</x:f>
        <x:v>297.0998135402417</x:v>
      </x:c>
      <x:c r="AD124" s="9" t="n">
        <x:f>2*AB124/Inputs!$C$21*1000000</x:f>
        <x:v>3.528025165340418</x:v>
      </x:c>
      <x:c r="AE124" s="9">
        <x:f t="shared" si="28"/>
        <x:v>3.5836232063166911</x:v>
      </x:c>
      <x:c r="AF124" s="9" t="n">
        <x:f>DEGREES((2*PI()/Inputs!$C$13)*Inputs!$C$15*SIN(RADIANS(AE124)))</x:f>
        <x:v>22.50189072567005</x:v>
      </x:c>
      <x:c r="AG124" s="9">
        <x:f t="shared" si="29"/>
        <x:v>0.99472850531124068</x:v>
      </x:c>
      <x:c r="AH124" s="9">
        <x:f t="shared" si="30"/>
        <x:v>-2.295436575216793E-2</x:v>
      </x:c>
      <x:c r="AI124" s="9">
        <x:f t="shared" si="31"/>
        <x:v>-254.4788527732602</x:v>
      </x:c>
      <x:c r="AJ124" s="9">
        <x:f t="shared" si="32"/>
        <x:v>-3.0219062944965955</x:v>
      </x:c>
      <x:c r="AK124" s="9">
        <x:f t="shared" si="33"/>
        <x:v>454.50520692570427</x:v>
      </x:c>
      <x:c r="AL124" s="9" t="n">
        <x:f>1000*(AA125-AA123)/(A125-A123)*Inputs!$C$11</x:f>
        <x:v>-114.63205463314807</x:v>
      </x:c>
      <x:c r="AM124" s="9" t="n">
        <x:f>-2*AL124/Inputs!$C$13</x:f>
        <x:v>45.85282185325923</x:v>
      </x:c>
      <x:c r="AN124" s="9" t="n">
        <x:f>-2*AL124/Inputs!$C$14</x:f>
        <x:v>6.88480808607496</x:v>
      </x:c>
      <x:c r="AO124" s="9">
        <x:f t="shared" si="34"/>
        <x:v>45.852821853259229</x:v>
      </x:c>
      <x:c r="AP124" s="9">
        <x:f t="shared" si="35"/>
        <x:v>6.8848080860749601</x:v>
      </x:c>
      <x:c r="AQ124" s="9" t="n">
        <x:f>IF(OR(Inputs!$C$27=TRUE,Inputs!$C$27="TRUE",Inputs!$C$27=1),Inputs!$C$46/Inputs!$C$12,0)</x:f>
        <x:v>42.13483146067416</x:v>
      </x:c>
      <x:c r="AR124" s="9">
        <x:f t="shared" si="36"/>
        <x:v>254.96498207956756</x:v>
      </x:c>
      <x:c r="AS124" s="9">
        <x:f t="shared" si="37"/>
        <x:v>339.23464500091586</x:v>
      </x:c>
    </x:row>
    <x:row r="125">
      <x:c r="A125" s="9" t="n">
        <x:f>Inputs!$C$7+123*(Inputs!$C$8-Inputs!$C$7)/240</x:f>
        <x:v>1.5</x:v>
      </x:c>
      <x:c r="B125" s="9" t="n">
        <x:f>Inputs!$C$5+Inputs!$C$9*(A125/Inputs!$C$10)^2</x:f>
        <x:v>400.0025</x:v>
      </x:c>
      <x:c r="C125" s="9">
        <x:f t="shared" si="19"/>
        <x:v>400.0025</x:v>
      </x:c>
      <x:c r="D125" s="9" t="n">
        <x:f>SQRT((Inputs!$C$52+B125)^2+Inputs!$C$52^2-2*(Inputs!$C$52+B125)*Inputs!$C$52*COS(SQRT(A125^2+Inputs!$C$6^2)/Inputs!$C$52))</x:f>
        <x:v>400.98626535090625</x:v>
      </x:c>
      <x:c r="E125" s="9">
        <x:f t="shared" si="20"/>
        <x:v>983.76535090625339</x:v>
      </x:c>
      <x:c r="F125" s="9" t="n">
        <x:f>E125/Inputs!$C$12</x:f>
        <x:v>552.6771634304794</x:v>
      </x:c>
      <x:c r="G125" s="9" t="n">
        <x:f>2*E125/Inputs!$C$21*1000000</x:f>
        <x:v>6.562975983246739</x:v>
      </x:c>
      <x:c r="H125" s="9" t="n">
        <x:f>SQRT(A125^2+Inputs!$C$6^2)</x:f>
        <x:v>25.04495957273639</x:v>
      </x:c>
      <x:c r="I125" s="9">
        <x:f t="shared" si="21"/>
        <x:v>3.5827269224738951</x:v>
      </x:c>
      <x:c r="J125" s="9" t="n">
        <x:f>DEGREES((2*PI()/Inputs!$C$13)*Inputs!$C$15*SIN(RADIANS(I125)))</x:f>
        <x:v>22.49627021711709</x:v>
      </x:c>
      <x:c r="K125" s="9">
        <x:f t="shared" si="22"/>
        <x:v>0.99022259811670676</x:v>
      </x:c>
      <x:c r="L125" s="9">
        <x:f t="shared" si="23"/>
        <x:v>-4.2671667488290856E-2</x:v>
      </x:c>
      <x:c r="M125" s="9" t="n">
        <x:f>2*(Inputs!$C$9/(Inputs!$C$10^2))*A125</x:f>
        <x:v>0.003333333333333333</x:v>
      </x:c>
      <x:c r="N125" s="9" t="n">
        <x:f>M125*Inputs!$C$11</x:f>
        <x:v>0.013333333333333332</x:v>
      </x:c>
      <x:c r="O125" s="9" t="n">
        <x:f>1000*(D126-D124)/(A126-A124)*Inputs!$C$11</x:f>
        <x:v>32.10431447382689</x:v>
      </x:c>
      <x:c r="P125" s="9" t="n">
        <x:f>-2*O125/Inputs!$C$13</x:f>
        <x:v>-12.841725789530756</x:v>
      </x:c>
      <x:c r="Q125" s="9" t="n">
        <x:f>-2*O125/Inputs!$C$14</x:f>
        <x:v>-1.9281870554850986</x:v>
      </x:c>
      <x:c r="R125" s="9" t="n">
        <x:f>F125-Inputs!$C$16/2</x:f>
        <x:v>537.6771634304794</x:v>
      </x:c>
      <x:c r="S125" s="9" t="n">
        <x:f>F125+Inputs!$C$16/2</x:f>
        <x:v>567.6771634304794</x:v>
      </x:c>
      <x:c r="T125" s="9" t="n">
        <x:f>F125-Inputs!$C$17/2</x:f>
        <x:v>402.67716343047937</x:v>
      </x:c>
      <x:c r="U125" s="9" t="n">
        <x:f>F125+Inputs!$C$17/2</x:f>
        <x:v>702.6771634304794</x:v>
      </x:c>
      <x:c r="V125" s="9">
        <x:f t="shared" si="24"/>
        <x:v>12.841725789530756</x:v>
      </x:c>
      <x:c r="W125" s="9">
        <x:f t="shared" si="25"/>
        <x:v>1.9281870554850986</x:v>
      </x:c>
      <x:c r="X125" s="9"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x:f>
        <x:v>46.8149548284789</x:v>
      </x:c>
      <x:c r="Y125" s="9"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x:f>
        <x:v>516.864115303311</x:v>
      </x:c>
      <x:c r="Z125" s="9">
        <x:f t="shared" si="26"/>
        <x:v>399.95568504517149</x:v>
      </x:c>
      <x:c r="AA125" s="9" t="n">
        <x:f>SQRT((Inputs!$C$52+B125)^2+(Inputs!$C$52+Y125/1000)^2-2*(Inputs!$C$52+B125)*(Inputs!$C$52+Y125/1000)*COS(SQRT(A125^2+Inputs!$C$6^2)/Inputs!$C$52))</x:f>
        <x:v>400.47099672244764</x:v>
      </x:c>
      <x:c r="AB125" s="9">
        <x:f t="shared" si="27"/>
        <x:v>515.31167727614502</x:v>
      </x:c>
      <x:c r="AC125" s="9" t="n">
        <x:f>AB125/Inputs!$C$12</x:f>
        <x:v>289.5009422899691</x:v>
      </x:c>
      <x:c r="AD125" s="9" t="n">
        <x:f>2*AB125/Inputs!$C$21*1000000</x:f>
        <x:v>3.437789467513189</x:v>
      </x:c>
      <x:c r="AE125" s="9">
        <x:f t="shared" si="28"/>
        <x:v>3.5873502435956905</x:v>
      </x:c>
      <x:c r="AF125" s="9" t="n">
        <x:f>DEGREES((2*PI()/Inputs!$C$13)*Inputs!$C$15*SIN(RADIANS(AE125)))</x:f>
        <x:v>22.52526255383323</x:v>
      </x:c>
      <x:c r="AG125" s="9">
        <x:f t="shared" si="29"/>
        <x:v>0.99486286989428518</x:v>
      </x:c>
      <x:c r="AH125" s="9">
        <x:f t="shared" si="30"/>
        <x:v>-2.2367774979857782E-2</x:v>
      </x:c>
      <x:c r="AI125" s="9">
        <x:f t="shared" si="31"/>
        <x:v>-263.17622114051028</x:v>
      </x:c>
      <x:c r="AJ125" s="9">
        <x:f t="shared" si="32"/>
        <x:v>-3.1251865157335499</x:v>
      </x:c>
      <x:c r="AK125" s="9">
        <x:f t="shared" si="33"/>
        <x:v>470.04916047483209</x:v>
      </x:c>
      <x:c r="AL125" s="9" t="n">
        <x:f>1000*(AA126-AA124)/(A126-A124)*Inputs!$C$11</x:f>
        <x:v>-115.1080303402523</x:v>
      </x:c>
      <x:c r="AM125" s="9" t="n">
        <x:f>-2*AL125/Inputs!$C$13</x:f>
        <x:v>46.04321213610092</x:v>
      </x:c>
      <x:c r="AN125" s="9" t="n">
        <x:f>-2*AL125/Inputs!$C$14</x:f>
        <x:v>6.91339521563077</x:v>
      </x:c>
      <x:c r="AO125" s="9">
        <x:f t="shared" si="34"/>
        <x:v>46.043212136100919</x:v>
      </x:c>
      <x:c r="AP125" s="9">
        <x:f t="shared" si="35"/>
        <x:v>6.9133952156307696</x:v>
      </x:c>
      <x:c r="AQ125" s="9" t="n">
        <x:f>IF(OR(Inputs!$C$27=TRUE,Inputs!$C$27="TRUE",Inputs!$C$27=1),Inputs!$C$46/Inputs!$C$12,0)</x:f>
        <x:v>42.13483146067416</x:v>
      </x:c>
      <x:c r="AR125" s="9">
        <x:f t="shared" si="36"/>
        <x:v>247.36611082929494</x:v>
      </x:c>
      <x:c r="AS125" s="9">
        <x:f t="shared" si="37"/>
        <x:v>331.63577375064324</x:v>
      </x:c>
    </x:row>
    <x:row r="126">
      <x:c r="A126" s="9" t="n">
        <x:f>Inputs!$C$7+124*(Inputs!$C$8-Inputs!$C$7)/240</x:f>
        <x:v>2</x:v>
      </x:c>
      <x:c r="B126" s="9" t="n">
        <x:f>Inputs!$C$5+Inputs!$C$9*(A126/Inputs!$C$10)^2</x:f>
        <x:v>400.00444444444446</x:v>
      </x:c>
      <x:c r="C126" s="9">
        <x:f t="shared" si="19"/>
        <x:v>400.00444444444446</x:v>
      </x:c>
      <x:c r="D126" s="9" t="n">
        <x:f>SQRT((Inputs!$C$52+B126)^2+Inputs!$C$52^2-2*(Inputs!$C$52+B126)*Inputs!$C$52*COS(SQRT(A126^2+Inputs!$C$6^2)/Inputs!$C$52))</x:f>
        <x:v>400.9909472157676</x:v>
      </x:c>
      <x:c r="E126" s="9">
        <x:f t="shared" si="20"/>
        <x:v>986.50277132315978</x:v>
      </x:c>
      <x:c r="F126" s="9" t="n">
        <x:f>E126/Inputs!$C$12</x:f>
        <x:v>554.2150400691909</x:v>
      </x:c>
      <x:c r="G126" s="9" t="n">
        <x:f>2*E126/Inputs!$C$21*1000000</x:f>
        <x:v>6.581238086537586</x:v>
      </x:c>
      <x:c r="H126" s="9" t="n">
        <x:f>SQRT(A126^2+Inputs!$C$6^2)</x:f>
        <x:v>25.079872407968907</x:v>
      </x:c>
      <x:c r="I126" s="9">
        <x:f t="shared" si="21"/>
        <x:v>3.5876908367118432</x:v>
      </x:c>
      <x:c r="J126" s="9" t="n">
        <x:f>DEGREES((2*PI()/Inputs!$C$13)*Inputs!$C$15*SIN(RADIANS(I126)))</x:f>
        <x:v>22.52739836989279</x:v>
      </x:c>
      <x:c r="K126" s="9">
        <x:f t="shared" si="22"/>
        <x:v>0.99019560606104562</x:v>
      </x:c>
      <x:c r="L126" s="9">
        <x:f t="shared" si="23"/>
        <x:v>-4.2790051583174026E-2</x:v>
      </x:c>
      <x:c r="M126" s="9" t="n">
        <x:f>2*(Inputs!$C$9/(Inputs!$C$10^2))*A126</x:f>
        <x:v>0.0044444444444444444</x:v>
      </x:c>
      <x:c r="N126" s="9" t="n">
        <x:f>M126*Inputs!$C$11</x:f>
        <x:v>0.017777777777777778</x:v>
      </x:c>
      <x:c r="O126" s="9" t="n">
        <x:f>1000*(D127-D125)/(A127-A125)*Inputs!$C$11</x:f>
        <x:v>42.805385754263625</x:v>
      </x:c>
      <x:c r="P126" s="9" t="n">
        <x:f>-2*O126/Inputs!$C$13</x:f>
        <x:v>-17.12215430170545</x:v>
      </x:c>
      <x:c r="Q126" s="9" t="n">
        <x:f>-2*O126/Inputs!$C$14</x:f>
        <x:v>-2.570894039295113</x:v>
      </x:c>
      <x:c r="R126" s="9" t="n">
        <x:f>F126-Inputs!$C$16/2</x:f>
        <x:v>539.2150400691909</x:v>
      </x:c>
      <x:c r="S126" s="9" t="n">
        <x:f>F126+Inputs!$C$16/2</x:f>
        <x:v>569.2150400691909</x:v>
      </x:c>
      <x:c r="T126" s="9" t="n">
        <x:f>F126-Inputs!$C$17/2</x:f>
        <x:v>404.2150400691909</x:v>
      </x:c>
      <x:c r="U126" s="9" t="n">
        <x:f>F126+Inputs!$C$17/2</x:f>
        <x:v>704.2150400691909</x:v>
      </x:c>
      <x:c r="V126" s="9">
        <x:f t="shared" si="24"/>
        <x:v>17.12215430170545</x:v>
      </x:c>
      <x:c r="W126" s="9">
        <x:f t="shared" si="25"/>
        <x:v>2.570894039295113</x:v>
      </x:c>
      <x:c r="X126" s="9"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x:f>
        <x:v>65.55817790320465</x:v>
      </x:c>
      <x:c r="Y126" s="9"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x:f>
        <x:v>534.5064840723982</x:v>
      </x:c>
      <x:c r="Z126" s="9">
        <x:f t="shared" si="26"/>
        <x:v>399.93888626654126</x:v>
      </x:c>
      <x:c r="AA126" s="9" t="n">
        <x:f>SQRT((Inputs!$C$52+B126)^2+(Inputs!$C$52+Y126/1000)^2-2*(Inputs!$C$52+B126)*(Inputs!$C$52+Y126/1000)*COS(SQRT(A126^2+Inputs!$C$6^2)/Inputs!$C$52))</x:f>
        <x:v>400.4580953254064</x:v>
      </x:c>
      <x:c r="AB126" s="9">
        <x:f t="shared" si="27"/>
        <x:v>519.20905886515811</x:v>
      </x:c>
      <x:c r="AC126" s="9" t="n">
        <x:f>AB126/Inputs!$C$12</x:f>
        <x:v>291.6904825085158</x:v>
      </x:c>
      <x:c r="AD126" s="9" t="n">
        <x:f>2*AB126/Inputs!$C$21*1000000</x:f>
        <x:v>3.4637899987808107</x:v>
      </x:c>
      <x:c r="AE126" s="9">
        <x:f t="shared" si="28"/>
        <x:v>3.5924787447746764</x:v>
      </x:c>
      <x:c r="AF126" s="9" t="n">
        <x:f>DEGREES((2*PI()/Inputs!$C$13)*Inputs!$C$15*SIN(RADIANS(AE126)))</x:f>
        <x:v>22.55742264736752</x:v>
      </x:c>
      <x:c r="AG126" s="9">
        <x:f t="shared" si="29"/>
        <x:v>0.99482392613690396</x:v>
      </x:c>
      <x:c r="AH126" s="9">
        <x:f t="shared" si="30"/>
        <x:v>-2.2537782228949869E-2</x:v>
      </x:c>
      <x:c r="AI126" s="9">
        <x:f t="shared" si="31"/>
        <x:v>-262.52455756067508</x:v>
      </x:c>
      <x:c r="AJ126" s="9">
        <x:f t="shared" si="32"/>
        <x:v>-3.1174480877567752</x:v>
      </x:c>
      <x:c r="AK126" s="9">
        <x:f t="shared" si="33"/>
        <x:v>468.94830616919353</x:v>
      </x:c>
      <x:c r="AL126" s="9" t="n">
        <x:f>1000*(AA127-AA125)/(A127-A125)*Inputs!$C$11</x:f>
        <x:v>-88.2120182025119</x:v>
      </x:c>
      <x:c r="AM126" s="9" t="n">
        <x:f>-2*AL126/Inputs!$C$13</x:f>
        <x:v>35.28480728100476</x:v>
      </x:c>
      <x:c r="AN126" s="9" t="n">
        <x:f>-2*AL126/Inputs!$C$14</x:f>
        <x:v>5.2980191112619766</x:v>
      </x:c>
      <x:c r="AO126" s="9">
        <x:f t="shared" si="34"/>
        <x:v>35.28480728100476</x:v>
      </x:c>
      <x:c r="AP126" s="9">
        <x:f t="shared" si="35"/>
        <x:v>5.2980191112619766</x:v>
      </x:c>
      <x:c r="AQ126" s="9" t="n">
        <x:f>IF(OR(Inputs!$C$27=TRUE,Inputs!$C$27="TRUE",Inputs!$C$27=1),Inputs!$C$46/Inputs!$C$12,0)</x:f>
        <x:v>42.13483146067416</x:v>
      </x:c>
      <x:c r="AR126" s="9">
        <x:f t="shared" si="36"/>
        <x:v>249.55565104784165</x:v>
      </x:c>
      <x:c r="AS126" s="9">
        <x:f t="shared" si="37"/>
        <x:v>333.82531396918995</x:v>
      </x:c>
    </x:row>
    <x:row r="127">
      <x:c r="A127" s="9" t="n">
        <x:f>Inputs!$C$7+125*(Inputs!$C$8-Inputs!$C$7)/240</x:f>
        <x:v>2.5</x:v>
      </x:c>
      <x:c r="B127" s="9" t="n">
        <x:f>Inputs!$C$5+Inputs!$C$9*(A127/Inputs!$C$10)^2</x:f>
        <x:v>400.00694444444446</x:v>
      </x:c>
      <x:c r="C127" s="9">
        <x:f t="shared" si="19"/>
        <x:v>400.00694444444446</x:v>
      </x:c>
      <x:c r="D127" s="9" t="n">
        <x:f>SQRT((Inputs!$C$52+B127)^2+Inputs!$C$52^2-2*(Inputs!$C$52+B127)*Inputs!$C$52*COS(SQRT(A127^2+Inputs!$C$6^2)/Inputs!$C$52))</x:f>
        <x:v>400.9969666973448</x:v>
      </x:c>
      <x:c r="E127" s="9">
        <x:f t="shared" si="20"/>
        <x:v>990.02225290035994</x:v>
      </x:c>
      <x:c r="F127" s="9" t="n">
        <x:f>E127/Inputs!$C$12</x:f>
        <x:v>556.1922769103146</x:v>
      </x:c>
      <x:c r="G127" s="9" t="n">
        <x:f>2*E127/Inputs!$C$21*1000000</x:f>
        <x:v>6.604717540294893</x:v>
      </x:c>
      <x:c r="H127" s="9" t="n">
        <x:f>SQRT(A127^2+Inputs!$C$6^2)</x:f>
        <x:v>25.124689052802225</x:v>
      </x:c>
      <x:c r="I127" s="9">
        <x:f t="shared" si="21"/>
        <x:v>3.5940626913086393</x:v>
      </x:c>
      <x:c r="J127" s="9" t="n">
        <x:f>DEGREES((2*PI()/Inputs!$C$13)*Inputs!$C$15*SIN(RADIANS(I127)))</x:f>
        <x:v>22.567355311830532</x:v>
      </x:c>
      <x:c r="K127" s="9">
        <x:f t="shared" si="22"/>
        <x:v>0.99016090430877812</x:v>
      </x:c>
      <x:c r="L127" s="9">
        <x:f t="shared" si="23"/>
        <x:v>-4.2942254274404359E-2</x:v>
      </x:c>
      <x:c r="M127" s="9" t="n">
        <x:f>2*(Inputs!$C$9/(Inputs!$C$10^2))*A127</x:f>
        <x:v>0.005555555555555556</x:v>
      </x:c>
      <x:c r="N127" s="9" t="n">
        <x:f>M127*Inputs!$C$11</x:f>
        <x:v>0.022222222222222223</x:v>
      </x:c>
      <x:c r="O127" s="9" t="n">
        <x:f>1000*(D128-D126)/(A128-A126)*Inputs!$C$11</x:f>
        <x:v>53.506142605556306</x:v>
      </x:c>
      <x:c r="P127" s="9" t="n">
        <x:f>-2*O127/Inputs!$C$13</x:f>
        <x:v>-21.402457042222522</x:v>
      </x:c>
      <x:c r="Q127" s="9" t="n">
        <x:f>-2*O127/Inputs!$C$14</x:f>
        <x:v>-3.2135821384718506</x:v>
      </x:c>
      <x:c r="R127" s="9" t="n">
        <x:f>F127-Inputs!$C$16/2</x:f>
        <x:v>541.1922769103146</x:v>
      </x:c>
      <x:c r="S127" s="9" t="n">
        <x:f>F127+Inputs!$C$16/2</x:f>
        <x:v>571.1922769103146</x:v>
      </x:c>
      <x:c r="T127" s="9" t="n">
        <x:f>F127-Inputs!$C$17/2</x:f>
        <x:v>406.1922769103146</x:v>
      </x:c>
      <x:c r="U127" s="9" t="n">
        <x:f>F127+Inputs!$C$17/2</x:f>
        <x:v>706.1922769103146</x:v>
      </x:c>
      <x:c r="V127" s="9">
        <x:f t="shared" si="24"/>
        <x:v>21.402457042222522</x:v>
      </x:c>
      <x:c r="W127" s="9">
        <x:f t="shared" si="25"/>
        <x:v>3.2135821384718506</x:v>
      </x:c>
      <x:c r="X127" s="9"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x:f>
        <x:v>70.90088362648228</x:v>
      </x:c>
      <x:c r="Y127" s="9"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x:f>
        <x:v>549.7308148691991</x:v>
      </x:c>
      <x:c r="Z127" s="9">
        <x:f t="shared" si="26"/>
        <x:v>399.93604356081795</x:v>
      </x:c>
      <x:c r="AA127" s="9" t="n">
        <x:f>SQRT((Inputs!$C$52+B127)^2+(Inputs!$C$52+Y127/1000)^2-2*(Inputs!$C$52+B127)*(Inputs!$C$52+Y127/1000)*COS(SQRT(A127^2+Inputs!$C$6^2)/Inputs!$C$52))</x:f>
        <x:v>400.448943717897</x:v>
      </x:c>
      <x:c r="AB127" s="9">
        <x:f t="shared" si="27"/>
        <x:v>512.90015707905923</x:v>
      </x:c>
      <x:c r="AC127" s="9" t="n">
        <x:f>AB127/Inputs!$C$12</x:f>
        <x:v>288.1461556623928</x:v>
      </x:c>
      <x:c r="AD127" s="9" t="n">
        <x:f>2*AB127/Inputs!$C$21*1000000</x:f>
        <x:v>3.4217015364613292</x:v>
      </x:c>
      <x:c r="AE127" s="9">
        <x:f t="shared" si="28"/>
        <x:v>3.5989958292968733</x:v>
      </x:c>
      <x:c r="AF127" s="9" t="n">
        <x:f>DEGREES((2*PI()/Inputs!$C$13)*Inputs!$C$15*SIN(RADIANS(AE127)))</x:f>
        <x:v>22.598290086614817</x:v>
      </x:c>
      <x:c r="AG127" s="9">
        <x:f t="shared" si="29"/>
        <x:v>0.99488658304567745</x:v>
      </x:c>
      <x:c r="AH127" s="9">
        <x:f t="shared" si="30"/>
        <x:v>-2.2264259526859724E-2</x:v>
      </x:c>
      <x:c r="AI127" s="9">
        <x:f t="shared" si="31"/>
        <x:v>-268.0461212479218</x:v>
      </x:c>
      <x:c r="AJ127" s="9">
        <x:f t="shared" si="32"/>
        <x:v>-3.183016003833564</x:v>
      </x:c>
      <x:c r="AK127" s="9">
        <x:f t="shared" si="33"/>
        <x:v>478.82993124276595</x:v>
      </x:c>
      <x:c r="AL127" s="9" t="n">
        <x:f>1000*(AA128-AA126)/(A128-A126)*Inputs!$C$11</x:f>
        <x:v>44.24114223934339</x:v>
      </x:c>
      <x:c r="AM127" s="9" t="n">
        <x:f>-2*AL127/Inputs!$C$13</x:f>
        <x:v>-17.696456895737356</x:v>
      </x:c>
      <x:c r="AN127" s="9" t="n">
        <x:f>-2*AL127/Inputs!$C$14</x:f>
        <x:v>-2.657125660020624</x:v>
      </x:c>
      <x:c r="AO127" s="9">
        <x:f t="shared" si="34"/>
        <x:v>17.696456895737356</x:v>
      </x:c>
      <x:c r="AP127" s="9">
        <x:f t="shared" si="35"/>
        <x:v>2.6571256600206241</x:v>
      </x:c>
      <x:c r="AQ127" s="9" t="n">
        <x:f>IF(OR(Inputs!$C$27=TRUE,Inputs!$C$27="TRUE",Inputs!$C$27=1),Inputs!$C$46/Inputs!$C$12,0)</x:f>
        <x:v>42.13483146067416</x:v>
      </x:c>
      <x:c r="AR127" s="9">
        <x:f t="shared" si="36"/>
        <x:v>246.01132420171865</x:v>
      </x:c>
      <x:c r="AS127" s="9">
        <x:f t="shared" si="37"/>
        <x:v>330.28098712306695</x:v>
      </x:c>
    </x:row>
    <x:row r="128">
      <x:c r="A128" s="9" t="n">
        <x:f>Inputs!$C$7+126*(Inputs!$C$8-Inputs!$C$7)/240</x:f>
        <x:v>3</x:v>
      </x:c>
      <x:c r="B128" s="9" t="n">
        <x:f>Inputs!$C$5+Inputs!$C$9*(A128/Inputs!$C$10)^2</x:f>
        <x:v>400.01</x:v>
      </x:c>
      <x:c r="C128" s="9">
        <x:f t="shared" si="19"/>
        <x:v>400.01</x:v>
      </x:c>
      <x:c r="D128" s="9" t="n">
        <x:f>SQRT((Inputs!$C$52+B128)^2+Inputs!$C$52^2-2*(Inputs!$C$52+B128)*Inputs!$C$52*COS(SQRT(A128^2+Inputs!$C$6^2)/Inputs!$C$52))</x:f>
        <x:v>401.004323751419</x:v>
      </x:c>
      <x:c r="E128" s="9">
        <x:f t="shared" si="20"/>
        <x:v>994.3237514190173</x:v>
      </x:c>
      <x:c r="F128" s="9" t="n">
        <x:f>E128/Inputs!$C$12</x:f>
        <x:v>558.6088491118074</x:v>
      </x:c>
      <x:c r="G128" s="9" t="n">
        <x:f>2*E128/Inputs!$C$21*1000000</x:f>
        <x:v>6.633414049522335</x:v>
      </x:c>
      <x:c r="H128" s="9" t="n">
        <x:f>SQRT(A128^2+Inputs!$C$6^2)</x:f>
        <x:v>25.179356624028344</x:v>
      </x:c>
      <x:c r="I128" s="9">
        <x:f t="shared" si="21"/>
        <x:v>3.6018348293149773</x:v>
      </x:c>
      <x:c r="J128" s="9" t="n">
        <x:f>DEGREES((2*PI()/Inputs!$C$13)*Inputs!$C$15*SIN(RADIANS(I128)))</x:f>
        <x:v>22.616092842548554</x:v>
      </x:c>
      <x:c r="K128" s="9">
        <x:f t="shared" si="22"/>
        <x:v>0.99011849459904366</x:v>
      </x:c>
      <x:c r="L128" s="9">
        <x:f t="shared" si="23"/>
        <x:v>-4.3128271489245543E-2</x:v>
      </x:c>
      <x:c r="M128" s="9" t="n">
        <x:f>2*(Inputs!$C$9/(Inputs!$C$10^2))*A128</x:f>
        <x:v>0.006666666666666666</x:v>
      </x:c>
      <x:c r="N128" s="9" t="n">
        <x:f>M128*Inputs!$C$11</x:f>
        <x:v>0.026666666666666665</x:v>
      </x:c>
      <x:c r="O128" s="9" t="n">
        <x:f>1000*(D129-D127)/(A129-A127)*Inputs!$C$11</x:f>
        <x:v>64.20650642598957</x:v>
      </x:c>
      <x:c r="P128" s="9" t="n">
        <x:f>-2*O128/Inputs!$C$13</x:f>
        <x:v>-25.68260257039583</x:v>
      </x:c>
      <x:c r="Q128" s="9" t="n">
        <x:f>-2*O128/Inputs!$C$14</x:f>
        <x:v>-3.8562466321915663</x:v>
      </x:c>
      <x:c r="R128" s="9" t="n">
        <x:f>F128-Inputs!$C$16/2</x:f>
        <x:v>543.6088491118074</x:v>
      </x:c>
      <x:c r="S128" s="9" t="n">
        <x:f>F128+Inputs!$C$16/2</x:f>
        <x:v>573.6088491118074</x:v>
      </x:c>
      <x:c r="T128" s="9" t="n">
        <x:f>F128-Inputs!$C$17/2</x:f>
        <x:v>408.60884911180744</x:v>
      </x:c>
      <x:c r="U128" s="9" t="n">
        <x:f>F128+Inputs!$C$17/2</x:f>
        <x:v>708.6088491118074</x:v>
      </x:c>
      <x:c r="V128" s="9">
        <x:f t="shared" si="24"/>
        <x:v>25.682602570395829</x:v>
      </x:c>
      <x:c r="W128" s="9">
        <x:f t="shared" si="25"/>
        <x:v>3.8562466321915663</x:v>
      </x:c>
      <x:c r="X128" s="9"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x:f>
        <x:v>82.12086586426281</x:v>
      </x:c>
      <x:c r="Y128" s="9"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x:f>
        <x:v>536.8431041026216</x:v>
      </x:c>
      <x:c r="Z128" s="9">
        <x:f t="shared" si="26"/>
        <x:v>399.92787913413571</x:v>
      </x:c>
      <x:c r="AA128" s="9" t="n">
        <x:f>SQRT((Inputs!$C$52+B128)^2+(Inputs!$C$52+Y128/1000)^2-2*(Inputs!$C$52+B128)*(Inputs!$C$52+Y128/1000)*COS(SQRT(A128^2+Inputs!$C$6^2)/Inputs!$C$52))</x:f>
        <x:v>400.46915561096625</x:v>
      </x:c>
      <x:c r="AB128" s="9">
        <x:f t="shared" si="27"/>
        <x:v>541.27647683054647</x:v>
      </x:c>
      <x:c r="AC128" s="9" t="n">
        <x:f>AB128/Inputs!$C$12</x:f>
        <x:v>304.08790833176766</x:v>
      </x:c>
      <x:c r="AD128" s="9" t="n">
        <x:f>2*AB128/Inputs!$C$21*1000000</x:f>
        <x:v>3.611007964920495</x:v>
      </x:c>
      <x:c r="AE128" s="9">
        <x:f t="shared" si="28"/>
        <x:v>3.606662487132426</x:v>
      </x:c>
      <x:c r="AF128" s="9" t="n">
        <x:f>DEGREES((2*PI()/Inputs!$C$13)*Inputs!$C$15*SIN(RADIANS(AE128)))</x:f>
        <x:v>22.646365914506866</x:v>
      </x:c>
      <x:c r="AG128" s="9">
        <x:f t="shared" si="29"/>
        <x:v>0.99460452752451478</x:v>
      </x:c>
      <x:c r="AH128" s="9">
        <x:f t="shared" si="30"/>
        <x:v>-2.3495681538259247E-2</x:v>
      </x:c>
      <x:c r="AI128" s="9">
        <x:f t="shared" si="31"/>
        <x:v>-254.52094078003978</x:v>
      </x:c>
      <x:c r="AJ128" s="9">
        <x:f t="shared" si="32"/>
        <x:v>-3.0224060846018399</x:v>
      </x:c>
      <x:c r="AK128" s="9">
        <x:f t="shared" si="33"/>
        <x:v>454.72223823840488</x:v>
      </x:c>
      <x:c r="AL128" s="9" t="n">
        <x:f>1000*(AA129-AA127)/(A129-A127)*Inputs!$C$11</x:f>
        <x:v>11.68387457710196</x:v>
      </x:c>
      <x:c r="AM128" s="9" t="n">
        <x:f>-2*AL128/Inputs!$C$13</x:f>
        <x:v>-4.673549830840784</x:v>
      </x:c>
      <x:c r="AN128" s="9" t="n">
        <x:f>-2*AL128/Inputs!$C$14</x:f>
        <x:v>-0.7017342088349526</x:v>
      </x:c>
      <x:c r="AO128" s="9">
        <x:f t="shared" si="34"/>
        <x:v>4.6735498308407841</x:v>
      </x:c>
      <x:c r="AP128" s="9">
        <x:f t="shared" si="35"/>
        <x:v>0.70173420883495263</x:v>
      </x:c>
      <x:c r="AQ128" s="9" t="n">
        <x:f>IF(OR(Inputs!$C$27=TRUE,Inputs!$C$27="TRUE",Inputs!$C$27=1),Inputs!$C$46/Inputs!$C$12,0)</x:f>
        <x:v>42.13483146067416</x:v>
      </x:c>
      <x:c r="AR128" s="9">
        <x:f t="shared" si="36"/>
        <x:v>261.95307687109351</x:v>
      </x:c>
      <x:c r="AS128" s="9">
        <x:f t="shared" si="37"/>
        <x:v>346.22273979244181</x:v>
      </x:c>
    </x:row>
    <x:row r="129">
      <x:c r="A129" s="9" t="n">
        <x:f>Inputs!$C$7+127*(Inputs!$C$8-Inputs!$C$7)/240</x:f>
        <x:v>3.5</x:v>
      </x:c>
      <x:c r="B129" s="9" t="n">
        <x:f>Inputs!$C$5+Inputs!$C$9*(A129/Inputs!$C$10)^2</x:f>
        <x:v>400.0136111111111</x:v>
      </x:c>
      <x:c r="C129" s="9">
        <x:f t="shared" si="19"/>
        <x:v>400.01361111111112</x:v>
      </x:c>
      <x:c r="D129" s="9" t="n">
        <x:f>SQRT((Inputs!$C$52+B129)^2+Inputs!$C$52^2-2*(Inputs!$C$52+B129)*Inputs!$C$52*COS(SQRT(A129^2+Inputs!$C$6^2)/Inputs!$C$52))</x:f>
        <x:v>401.0130183239513</x:v>
      </x:c>
      <x:c r="E129" s="9">
        <x:f t="shared" si="20"/>
        <x:v>999.40721284019673</x:v>
      </x:c>
      <x:c r="F129" s="9" t="n">
        <x:f>E129/Inputs!$C$12</x:f>
        <x:v>561.4647263147173</x:v>
      </x:c>
      <x:c r="G129" s="9" t="n">
        <x:f>2*E129/Inputs!$C$21*1000000</x:f>
        <x:v>6.667327253710944</x:v>
      </x:c>
      <x:c r="H129" s="9" t="n">
        <x:f>SQRT(A129^2+Inputs!$C$6^2)</x:f>
        <x:v>25.243811122728676</x:v>
      </x:c>
      <x:c r="I129" s="9">
        <x:f t="shared" si="21"/>
        <x:v>3.6109979838002473</x:v>
      </x:c>
      <x:c r="J129" s="9" t="n">
        <x:f>DEGREES((2*PI()/Inputs!$C$13)*Inputs!$C$15*SIN(RADIANS(I129)))</x:f>
        <x:v>22.673552626173688</x:v>
      </x:c>
      <x:c r="K129" s="9">
        <x:f t="shared" si="22"/>
        <x:v>0.9900683790570276</x:v>
      </x:c>
      <x:c r="L129" s="9">
        <x:f t="shared" si="23"/>
        <x:v>-4.3348098250541325E-2</x:v>
      </x:c>
      <x:c r="M129" s="9" t="n">
        <x:f>2*(Inputs!$C$9/(Inputs!$C$10^2))*A129</x:f>
        <x:v>0.0077777777777777776</x:v>
      </x:c>
      <x:c r="N129" s="9" t="n">
        <x:f>M129*Inputs!$C$11</x:f>
        <x:v>0.03111111111111111</x:v>
      </x:c>
      <x:c r="O129" s="9" t="n">
        <x:f>1000*(D130-D128)/(A130-A128)*Inputs!$C$11</x:f>
        <x:v>74.90639867137361</x:v>
      </x:c>
      <x:c r="P129" s="9" t="n">
        <x:f>-2*O129/Inputs!$C$13</x:f>
        <x:v>-29.962559468549443</x:v>
      </x:c>
      <x:c r="Q129" s="9" t="n">
        <x:f>-2*O129/Inputs!$C$14</x:f>
        <x:v>-4.498882803085502</x:v>
      </x:c>
      <x:c r="R129" s="9" t="n">
        <x:f>F129-Inputs!$C$16/2</x:f>
        <x:v>546.4647263147173</x:v>
      </x:c>
      <x:c r="S129" s="9" t="n">
        <x:f>F129+Inputs!$C$16/2</x:f>
        <x:v>576.4647263147173</x:v>
      </x:c>
      <x:c r="T129" s="9" t="n">
        <x:f>F129-Inputs!$C$17/2</x:f>
        <x:v>411.46472631471727</x:v>
      </x:c>
      <x:c r="U129" s="9" t="n">
        <x:f>F129+Inputs!$C$17/2</x:f>
        <x:v>711.4647263147173</x:v>
      </x:c>
      <x:c r="V129" s="9">
        <x:f t="shared" si="24"/>
        <x:v>29.962559468549443</x:v>
      </x:c>
      <x:c r="W129" s="9">
        <x:f t="shared" si="25"/>
        <x:v>4.4988828030855021</x:v>
      </x:c>
      <x:c r="X129" s="9"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x:f>
        <x:v>98.61636326587373</x:v>
      </x:c>
      <x:c r="Y129" s="9"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x:f>
        <x:v>562.919019674553</x:v>
      </x:c>
      <x:c r="Z129" s="9">
        <x:f t="shared" si="26"/>
        <x:v>399.91499474784524</x:v>
      </x:c>
      <x:c r="AA129" s="9" t="n">
        <x:f>SQRT((Inputs!$C$52+B129)^2+(Inputs!$C$52+Y129/1000)^2-2*(Inputs!$C$52+B129)*(Inputs!$C$52+Y129/1000)*COS(SQRT(A129^2+Inputs!$C$6^2)/Inputs!$C$52))</x:f>
        <x:v>400.4518646865413</x:v>
      </x:c>
      <x:c r="AB129" s="9">
        <x:f t="shared" si="27"/>
        <x:v>536.86993869604294</x:v>
      </x:c>
      <x:c r="AC129" s="9" t="n">
        <x:f>AB129/Inputs!$C$12</x:f>
        <x:v>301.61232511013645</x:v>
      </x:c>
      <x:c r="AD129" s="9" t="n">
        <x:f>2*AB129/Inputs!$C$21*1000000</x:f>
        <x:v>3.5816107068046583</x:v>
      </x:c>
      <x:c r="AE129" s="9">
        <x:f t="shared" si="28"/>
        <x:v>3.6160732279629615</x:v>
      </x:c>
      <x:c r="AF129" s="9" t="n">
        <x:f>DEGREES((2*PI()/Inputs!$C$13)*Inputs!$C$15*SIN(RADIANS(AE129)))</x:f>
        <x:v>22.70537792673739</x:v>
      </x:c>
      <x:c r="AG129" s="9">
        <x:f t="shared" si="29"/>
        <x:v>0.99464813316943468</x:v>
      </x:c>
      <x:c r="AH129" s="9">
        <x:f t="shared" si="30"/>
        <x:v>-2.3305281481536735E-2</x:v>
      </x:c>
      <x:c r="AI129" s="9">
        <x:f t="shared" si="31"/>
        <x:v>-259.85240120458081</x:v>
      </x:c>
      <x:c r="AJ129" s="9">
        <x:f t="shared" si="32"/>
        <x:v>-3.0857165469062857</x:v>
      </x:c>
      <x:c r="AK129" s="9">
        <x:f t="shared" si="33"/>
        <x:v>464.30265640872847</x:v>
      </x:c>
      <x:c r="AL129" s="9" t="n">
        <x:f>1000*(AA130-AA128)/(A130-A128)*Inputs!$C$11</x:f>
        <x:v>-24.01308093726584</x:v>
      </x:c>
      <x:c r="AM129" s="9" t="n">
        <x:f>-2*AL129/Inputs!$C$13</x:f>
        <x:v>9.605232374906336</x:v>
      </x:c>
      <x:c r="AN129" s="9" t="n">
        <x:f>-2*AL129/Inputs!$C$14</x:f>
        <x:v>1.4422270833192699</x:v>
      </x:c>
      <x:c r="AO129" s="9">
        <x:f t="shared" si="34"/>
        <x:v>9.6052323767253256</x:v>
      </x:c>
      <x:c r="AP129" s="9">
        <x:f t="shared" si="35"/>
        <x:v>1.4422270835923914</x:v>
      </x:c>
      <x:c r="AQ129" s="9" t="n">
        <x:f>IF(OR(Inputs!$C$27=TRUE,Inputs!$C$27="TRUE",Inputs!$C$27=1),Inputs!$C$46/Inputs!$C$12,0)</x:f>
        <x:v>42.13483146067416</x:v>
      </x:c>
      <x:c r="AR129" s="9">
        <x:f t="shared" si="36"/>
        <x:v>259.4774936494623</x:v>
      </x:c>
      <x:c r="AS129" s="9">
        <x:f t="shared" si="37"/>
        <x:v>343.7471565708106</x:v>
      </x:c>
    </x:row>
    <x:row r="130">
      <x:c r="A130" s="9" t="n">
        <x:f>Inputs!$C$7+128*(Inputs!$C$8-Inputs!$C$7)/240</x:f>
        <x:v>4</x:v>
      </x:c>
      <x:c r="B130" s="9" t="n">
        <x:f>Inputs!$C$5+Inputs!$C$9*(A130/Inputs!$C$10)^2</x:f>
        <x:v>400.0177777777778</x:v>
      </x:c>
      <x:c r="C130" s="9" t="n">
        <x:f t="shared" ref="C130:C193" si="38">B130</x:f>
        <x:v>400.0177777777778</x:v>
      </x:c>
      <x:c r="D130" s="9" t="n">
        <x:f>SQRT((Inputs!$C$52+B130)^2+Inputs!$C$52^2-2*(Inputs!$C$52+B130)*Inputs!$C$52*COS(SQRT(A130^2+Inputs!$C$6^2)/Inputs!$C$52))</x:f>
        <x:v>401.02305035108685</x:v>
      </x:c>
      <x:c r="E130" s="9" t="n">
        <x:f t="shared" ref="E130:E193" si="39">(D130-C130)*1000</x:f>
        <x:v>1005.272573309071</x:v>
      </x:c>
      <x:c r="F130" s="9" t="n">
        <x:f>E130/Inputs!$C$12</x:f>
        <x:v>564.7598726455456</x:v>
      </x:c>
      <x:c r="G130" s="9" t="n">
        <x:f>2*E130/Inputs!$C$21*1000000</x:f>
        <x:v>6.706456726867165</x:v>
      </x:c>
      <x:c r="H130" s="9" t="n">
        <x:f>SQRT(A130^2+Inputs!$C$6^2)</x:f>
        <x:v>25.317977802344327</x:v>
      </x:c>
      <x:c r="I130" s="9" t="n">
        <x:f t="shared" ref="I130:I193" si="40">DEGREES(ATAN(H130/B130))</x:f>
        <x:v>3.62154133083556</x:v>
      </x:c>
      <x:c r="J130" s="9" t="n">
        <x:f>DEGREES((2*PI()/Inputs!$C$13)*Inputs!$C$15*SIN(RADIANS(I130)))</x:f>
        <x:v>22.739666524476903</x:v>
      </x:c>
      <x:c r="K130" s="9" t="n">
        <x:f t="shared" ref="K130:K193" si="41">(C130/D130)^4</x:f>
        <x:v>0.9900105601936992</x:v>
      </x:c>
      <x:c r="L130" s="9" t="n">
        <x:f t="shared" ref="L130:L193" si="42">10*LOG10(K130)</x:f>
        <x:v>-0.0436017286771152</x:v>
      </x:c>
      <x:c r="M130" s="9" t="n">
        <x:f>2*(Inputs!$C$9/(Inputs!$C$10^2))*A130</x:f>
        <x:v>0.008888888888888889</x:v>
      </x:c>
      <x:c r="N130" s="9" t="n">
        <x:f>M130*Inputs!$C$11</x:f>
        <x:v>0.035555555555555556</x:v>
      </x:c>
      <x:c r="O130" s="9" t="n">
        <x:f>1000*(D131-D129)/(A131-A129)*Inputs!$C$11</x:f>
        <x:v>85.60574078887839</x:v>
      </x:c>
      <x:c r="P130" s="9" t="n">
        <x:f>-2*O130/Inputs!$C$13</x:f>
        <x:v>-34.24229631555136</x:v>
      </x:c>
      <x:c r="Q130" s="9" t="n">
        <x:f>-2*O130/Inputs!$C$14</x:f>
        <x:v>-5.14148593326597</x:v>
      </x:c>
      <x:c r="R130" s="9" t="n">
        <x:f>F130-Inputs!$C$16/2</x:f>
        <x:v>549.7598726455456</x:v>
      </x:c>
      <x:c r="S130" s="9" t="n">
        <x:f>F130+Inputs!$C$16/2</x:f>
        <x:v>579.7598726455456</x:v>
      </x:c>
      <x:c r="T130" s="9" t="n">
        <x:f>F130-Inputs!$C$17/2</x:f>
        <x:v>414.75987264554556</x:v>
      </x:c>
      <x:c r="U130" s="9" t="n">
        <x:f>F130+Inputs!$C$17/2</x:f>
        <x:v>714.7598726455456</x:v>
      </x:c>
      <x:c r="V130" s="9" t="n">
        <x:f t="shared" ref="V130:V193" si="43">ABS(P130)</x:f>
        <x:v>34.24229631555136</x:v>
      </x:c>
      <x:c r="W130" s="9" t="n">
        <x:f t="shared" ref="W130:W193" si="44">ABS(Q130)</x:f>
        <x:v>5.14148593326597</x:v>
      </x:c>
      <x:c r="X130" s="9"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x:f>
        <x:v>96.36311355528144</x:v>
      </x:c>
      <x:c r="Y130" s="9"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x:f>
        <x:v>561.6697690573507</x:v>
      </x:c>
      <x:c r="Z130" s="9" t="n">
        <x:f t="shared" ref="Z130:Z193" si="45">B130-X130/1000</x:f>
        <x:v>399.9214146642225</x:v>
      </x:c>
      <x:c r="AA130" s="9" t="n">
        <x:f>SQRT((Inputs!$C$52+B130)^2+(Inputs!$C$52+Y130/1000)^2-2*(Inputs!$C$52+B130)*(Inputs!$C$52+Y130/1000)*COS(SQRT(A130^2+Inputs!$C$6^2)/Inputs!$C$52))</x:f>
        <x:v>400.46315234073194</x:v>
      </x:c>
      <x:c r="AB130" s="9" t="n">
        <x:f t="shared" ref="AB130:AB193" si="46">(AA130-Z130)*1000</x:f>
        <x:v>541.7376765094559</x:v>
      </x:c>
      <x:c r="AC130" s="9" t="n">
        <x:f>AB130/Inputs!$C$12</x:f>
        <x:v>304.3470092749752</x:v>
      </x:c>
      <x:c r="AD130" s="9" t="n">
        <x:f>2*AB130/Inputs!$C$21*1000000</x:f>
        <x:v>3.6140847579925173</x:v>
      </x:c>
      <x:c r="AE130" s="9" t="n">
        <x:f t="shared" ref="AE130:AE193" si="47">DEGREES(ATAN(H130/(B130-Y130/1000)))</x:f>
        <x:v>3.626619949886558</x:v>
      </x:c>
      <x:c r="AF130" s="9" t="n">
        <x:f>DEGREES((2*PI()/Inputs!$C$13)*Inputs!$C$15*SIN(RADIANS(AE130)))</x:f>
        <x:v>22.771512617245605</x:v>
      </x:c>
      <x:c r="AG130" s="9" t="n">
        <x:f t="shared" ref="AG130:AG193" si="48">(Z130/AA130)^4</x:f>
        <x:v>0.9945998588053261</x:v>
      </x:c>
      <x:c r="AH130" s="9" t="n">
        <x:f t="shared" ref="AH130:AH193" si="49">10*LOG10(AG130)</x:f>
        <x:v>-0.0235160675679216</x:v>
      </x:c>
      <x:c r="AI130" s="9" t="n">
        <x:f t="shared" ref="AI130:AI193" si="50">AC130-F130</x:f>
        <x:v>-260.41286337057034</x:v>
      </x:c>
      <x:c r="AJ130" s="9" t="n">
        <x:f t="shared" ref="AJ130:AJ193" si="51">AD130-G130</x:f>
        <x:v>-3.0923719688746476</x:v>
      </x:c>
      <x:c r="AK130" s="9" t="n">
        <x:f t="shared" ref="AK130:AK193" si="52">Y130-X130</x:f>
        <x:v>465.30665550206925</x:v>
      </x:c>
      <x:c r="AL130" s="9" t="n">
        <x:f>1000*(AA131-AA129)/(A131-A129)*Inputs!$C$11</x:f>
        <x:v>62.86816085889768</x:v>
      </x:c>
      <x:c r="AM130" s="9" t="n">
        <x:f>-2*AL130/Inputs!$C$13</x:f>
        <x:v>-25.147264343559073</x:v>
      </x:c>
      <x:c r="AN130" s="9" t="n">
        <x:f>-2*AL130/Inputs!$C$14</x:f>
        <x:v>-3.7758655170509123</x:v>
      </x:c>
      <x:c r="AO130" s="9" t="n">
        <x:f t="shared" ref="AO130:AO193" si="53">ABS(AM130)</x:f>
        <x:v>25.147264343559073</x:v>
      </x:c>
      <x:c r="AP130" s="9" t="n">
        <x:f t="shared" ref="AP130:AP193" si="54">ABS(AN130)</x:f>
        <x:v>3.7758655170509123</x:v>
      </x:c>
      <x:c r="AQ130" s="9" t="n">
        <x:f>IF(OR(Inputs!$C$27=TRUE,Inputs!$C$27="TRUE",Inputs!$C$27=1),Inputs!$C$46/Inputs!$C$12,0)</x:f>
        <x:v>42.13483146067416</x:v>
      </x:c>
      <x:c r="AR130" s="9" t="n">
        <x:f t="shared" ref="AR130:AR193" si="55">AC130-AQ130</x:f>
        <x:v>262.21217781430107</x:v>
      </x:c>
      <x:c r="AS130" s="9" t="n">
        <x:f t="shared" ref="AS130:AS193" si="56">AC130+AQ130</x:f>
        <x:v>346.48184073564937</x:v>
      </x:c>
    </x:row>
    <x:row r="131">
      <x:c r="A131" s="9" t="n">
        <x:f>Inputs!$C$7+129*(Inputs!$C$8-Inputs!$C$7)/240</x:f>
        <x:v>4.5</x:v>
      </x:c>
      <x:c r="B131" s="9" t="n">
        <x:f>Inputs!$C$5+Inputs!$C$9*(A131/Inputs!$C$10)^2</x:f>
        <x:v>400.0225</x:v>
      </x:c>
      <x:c r="C131" s="9">
        <x:f t="shared" si="38"/>
        <x:v>400.02249999999998</x:v>
      </x:c>
      <x:c r="D131" s="9" t="n">
        <x:f>SQRT((Inputs!$C$52+B131)^2+Inputs!$C$52^2-2*(Inputs!$C$52+B131)*Inputs!$C$52*COS(SQRT(A131^2+Inputs!$C$6^2)/Inputs!$C$52))</x:f>
        <x:v>401.03441975914853</x:v>
      </x:c>
      <x:c r="E131" s="9">
        <x:f t="shared" si="39"/>
        <x:v>1011.9197591485545</x:v>
      </x:c>
      <x:c r="F131" s="9" t="n">
        <x:f>E131/Inputs!$C$12</x:f>
        <x:v>568.494246712671</x:v>
      </x:c>
      <x:c r="G131" s="9" t="n">
        <x:f>2*E131/Inputs!$C$21*1000000</x:f>
        <x:v>6.75080197747039</x:v>
      </x:c>
      <x:c r="H131" s="9" t="n">
        <x:f>SQRT(A131^2+Inputs!$C$6^2)</x:f>
        <x:v>25.401771591761076</x:v>
      </x:c>
      <x:c r="I131" s="9">
        <x:f t="shared" si="40"/>
        <x:v>3.6334525503982564</x:v>
      </x:c>
      <x:c r="J131" s="9" t="n">
        <x:f>DEGREES((2*PI()/Inputs!$C$13)*Inputs!$C$15*SIN(RADIANS(I131)))</x:f>
        <x:v>22.814356979819124</x:v>
      </x:c>
      <x:c r="K131" s="9">
        <x:f t="shared" si="41"/>
        <x:v>0.98994504090561397</x:v>
      </x:c>
      <x:c r="L131" s="9">
        <x:f t="shared" si="42"/>
        <x:v>-4.3889155983749824E-2</x:v>
      </x:c>
      <x:c r="M131" s="9" t="n">
        <x:f>2*(Inputs!$C$9/(Inputs!$C$10^2))*A131</x:f>
        <x:v>0.01</x:v>
      </x:c>
      <x:c r="N131" s="9" t="n">
        <x:f>M131*Inputs!$C$11</x:f>
        <x:v>0.04</x:v>
      </x:c>
      <x:c r="O131" s="9" t="n">
        <x:f>1000*(D132-D130)/(A132-A130)*Inputs!$C$11</x:f>
        <x:v>96.30445428069834</x:v>
      </x:c>
      <x:c r="P131" s="9" t="n">
        <x:f>-2*O131/Inputs!$C$13</x:f>
        <x:v>-38.521781712279335</x:v>
      </x:c>
      <x:c r="Q131" s="9" t="n">
        <x:f>-2*O131/Inputs!$C$14</x:f>
        <x:v>-5.784051308150051</x:v>
      </x:c>
      <x:c r="R131" s="9" t="n">
        <x:f>F131-Inputs!$C$16/2</x:f>
        <x:v>553.494246712671</x:v>
      </x:c>
      <x:c r="S131" s="9" t="n">
        <x:f>F131+Inputs!$C$16/2</x:f>
        <x:v>583.494246712671</x:v>
      </x:c>
      <x:c r="T131" s="9" t="n">
        <x:f>F131-Inputs!$C$17/2</x:f>
        <x:v>418.49424671267104</x:v>
      </x:c>
      <x:c r="U131" s="9" t="n">
        <x:f>F131+Inputs!$C$17/2</x:f>
        <x:v>718.494246712671</x:v>
      </x:c>
      <x:c r="V131" s="9">
        <x:f t="shared" si="43"/>
        <x:v>38.521781712279335</x:v>
      </x:c>
      <x:c r="W131" s="9">
        <x:f t="shared" si="44"/>
        <x:v>5.7840513081500511</x:v>
      </x:c>
      <x:c r="X131" s="9"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x:f>
        <x:v>82.51998590748882</x:v>
      </x:c>
      <x:c r="Y131" s="9"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x:f>
        <x:v>568.6436382247327</x:v>
      </x:c>
      <x:c r="Z131" s="9">
        <x:f t="shared" si="45"/>
        <x:v>399.9399800140925</x:v>
      </x:c>
      <x:c r="AA131" s="9" t="n">
        <x:f>SQRT((Inputs!$C$52+B131)^2+(Inputs!$C$52+Y131/1000)^2-2*(Inputs!$C$52+B131)*(Inputs!$C$52+Y131/1000)*COS(SQRT(A131^2+Inputs!$C$6^2)/Inputs!$C$52))</x:f>
        <x:v>400.467581726756</x:v>
      </x:c>
      <x:c r="AB131" s="9">
        <x:f t="shared" si="46"/>
        <x:v>527.60171266351108</x:v>
      </x:c>
      <x:c r="AC131" s="9" t="n">
        <x:f>AB131/Inputs!$C$12</x:f>
        <x:v>296.4054565525343</x:v>
      </x:c>
      <x:c r="AD131" s="9" t="n">
        <x:f>2*AB131/Inputs!$C$21*1000000</x:f>
        <x:v>3.5197797581919894</x:v>
      </x:c>
      <x:c r="AE131" s="9">
        <x:f t="shared" si="47"/>
        <x:v>3.6386110760189019</x:v>
      </x:c>
      <x:c r="AF131" s="9" t="n">
        <x:f>DEGREES((2*PI()/Inputs!$C$13)*Inputs!$C$15*SIN(RADIANS(AE131)))</x:f>
        <x:v>22.846703708312763</x:v>
      </x:c>
      <x:c r="AG131" s="9">
        <x:f t="shared" si="48"/>
        <x:v>0.99474054822332514</x:v>
      </x:c>
      <x:c r="AH131" s="9">
        <x:f t="shared" si="49"/>
        <x:v>-2.29017871985574E-2</x:v>
      </x:c>
      <x:c r="AI131" s="9">
        <x:f t="shared" si="50"/>
        <x:v>-272.08879016013674</x:v>
      </x:c>
      <x:c r="AJ131" s="9">
        <x:f t="shared" si="51"/>
        <x:v>-3.2310222192784006</x:v>
      </x:c>
      <x:c r="AK131" s="9">
        <x:f t="shared" si="52"/>
        <x:v>486.12365231734213</x:v>
      </x:c>
      <x:c r="AL131" s="9" t="n">
        <x:f>1000*(AA132-AA130)/(A132-A130)*Inputs!$C$11</x:f>
        <x:v>147.65893651724582</x:v>
      </x:c>
      <x:c r="AM131" s="9" t="n">
        <x:f>-2*AL131/Inputs!$C$13</x:f>
        <x:v>-59.06357460689833</x:v>
      </x:c>
      <x:c r="AN131" s="9" t="n">
        <x:f>-2*AL131/Inputs!$C$14</x:f>
        <x:v>-8.86840459563038</x:v>
      </x:c>
      <x:c r="AO131" s="9">
        <x:f t="shared" si="53"/>
        <x:v>59.063574608717317</x:v>
      </x:c>
      <x:c r="AP131" s="9">
        <x:f t="shared" si="54"/>
        <x:v>8.8684045959035025</x:v>
      </x:c>
      <x:c r="AQ131" s="9" t="n">
        <x:f>IF(OR(Inputs!$C$27=TRUE,Inputs!$C$27="TRUE",Inputs!$C$27=1),Inputs!$C$46/Inputs!$C$12,0)</x:f>
        <x:v>42.13483146067416</x:v>
      </x:c>
      <x:c r="AR131" s="9">
        <x:f t="shared" si="55"/>
        <x:v>254.27062509186015</x:v>
      </x:c>
      <x:c r="AS131" s="9">
        <x:f t="shared" si="56"/>
        <x:v>338.54028801320845</x:v>
      </x:c>
    </x:row>
    <x:row r="132">
      <x:c r="A132" s="9" t="n">
        <x:f>Inputs!$C$7+130*(Inputs!$C$8-Inputs!$C$7)/240</x:f>
        <x:v>5</x:v>
      </x:c>
      <x:c r="B132" s="9" t="n">
        <x:f>Inputs!$C$5+Inputs!$C$9*(A132/Inputs!$C$10)^2</x:f>
        <x:v>400.02777777777777</x:v>
      </x:c>
      <x:c r="C132" s="9">
        <x:f t="shared" si="38"/>
        <x:v>400.02777777777777</x:v>
      </x:c>
      <x:c r="D132" s="9" t="n">
        <x:f>SQRT((Inputs!$C$52+B132)^2+Inputs!$C$52^2-2*(Inputs!$C$52+B132)*Inputs!$C$52*COS(SQRT(A132^2+Inputs!$C$6^2)/Inputs!$C$52))</x:f>
        <x:v>401.047126464657</x:v>
      </x:c>
      <x:c r="E132" s="9">
        <x:f t="shared" si="39"/>
        <x:v>1019.3486868792547</x:v>
      </x:c>
      <x:c r="F132" s="9" t="n">
        <x:f>E132/Inputs!$C$12</x:f>
        <x:v>572.6678016175588</x:v>
      </x:c>
      <x:c r="G132" s="9" t="n">
        <x:f>2*E132/Inputs!$C$21*1000000</x:f>
        <x:v>6.80036244860606</x:v>
      </x:c>
      <x:c r="H132" s="9" t="n">
        <x:f>SQRT(A132^2+Inputs!$C$6^2)</x:f>
        <x:v>25.495097567963924</x:v>
      </x:c>
      <x:c r="I132" s="9">
        <x:f t="shared" si="40"/>
        <x:v>3.6467178944150929</x:v>
      </x:c>
      <x:c r="J132" s="9" t="n">
        <x:f>DEGREES((2*PI()/Inputs!$C$13)*Inputs!$C$15*SIN(RADIANS(I132)))</x:f>
        <x:v>22.897537442986597</x:v>
      </x:c>
      <x:c r="K132" s="9">
        <x:f t="shared" si="41"/>
        <x:v>0.98987182447441868</x:v>
      </x:c>
      <x:c r="L132" s="9">
        <x:f t="shared" si="42"/>
        <x:v>-4.4210372482339007E-2</x:v>
      </x:c>
      <x:c r="M132" s="9" t="n">
        <x:f>2*(Inputs!$C$9/(Inputs!$C$10^2))*A132</x:f>
        <x:v>0.011111111111111112</x:v>
      </x:c>
      <x:c r="N132" s="9" t="n">
        <x:f>M132*Inputs!$C$11</x:f>
        <x:v>0.044444444444444446</x:v>
      </x:c>
      <x:c r="O132" s="9" t="n">
        <x:f>1000*(D133-D131)/(A133-A131)*Inputs!$C$11</x:f>
        <x:v>107.00246068472552</x:v>
      </x:c>
      <x:c r="P132" s="9" t="n">
        <x:f>-2*O132/Inputs!$C$13</x:f>
        <x:v>-42.80098427389021</x:v>
      </x:c>
      <x:c r="Q132" s="9" t="n">
        <x:f>-2*O132/Inputs!$C$14</x:f>
        <x:v>-6.426574215298831</x:v>
      </x:c>
      <x:c r="R132" s="9" t="n">
        <x:f>F132-Inputs!$C$16/2</x:f>
        <x:v>557.6678016175588</x:v>
      </x:c>
      <x:c r="S132" s="9" t="n">
        <x:f>F132+Inputs!$C$16/2</x:f>
        <x:v>587.6678016175588</x:v>
      </x:c>
      <x:c r="T132" s="9" t="n">
        <x:f>F132-Inputs!$C$17/2</x:f>
        <x:v>422.6678016175588</x:v>
      </x:c>
      <x:c r="U132" s="9" t="n">
        <x:f>F132+Inputs!$C$17/2</x:f>
        <x:v>722.6678016175588</x:v>
      </x:c>
      <x:c r="V132" s="9">
        <x:f t="shared" si="43"/>
        <x:v>42.800984273890208</x:v>
      </x:c>
      <x:c r="W132" s="9">
        <x:f t="shared" si="44"/>
        <x:v>6.4265742152988308</x:v>
      </x:c>
      <x:c r="X132" s="9"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x:f>
        <x:v>98.94976350623145</x:v>
      </x:c>
      <x:c r="Y132" s="9"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x:f>
        <x:v>548.8146920903409</x:v>
      </x:c>
      <x:c r="Z132" s="9">
        <x:f t="shared" si="45"/>
        <x:v>399.92882801427152</x:v>
      </x:c>
      <x:c r="AA132" s="9" t="n">
        <x:f>SQRT((Inputs!$C$52+B132)^2+(Inputs!$C$52+Y132/1000)^2-2*(Inputs!$C$52+B132)*(Inputs!$C$52+Y132/1000)*COS(SQRT(A132^2+Inputs!$C$6^2)/Inputs!$C$52))</x:f>
        <x:v>400.50006707486125</x:v>
      </x:c>
      <x:c r="AB132" s="9">
        <x:f t="shared" si="46"/>
        <x:v>571.23906058973262</x:v>
      </x:c>
      <x:c r="AC132" s="9" t="n">
        <x:f>AB132/Inputs!$C$12</x:f>
        <x:v>320.9208205560296</x:v>
      </x:c>
      <x:c r="AD132" s="9" t="n">
        <x:f>2*AB132/Inputs!$C$21*1000000</x:f>
        <x:v>3.8108968077491303</x:v>
      </x:c>
      <x:c r="AE132" s="9">
        <x:f t="shared" si="47"/>
        <x:v>3.6517143042935203</x:v>
      </x:c>
      <x:c r="AF132" s="9" t="n">
        <x:f>DEGREES((2*PI()/Inputs!$C$13)*Inputs!$C$15*SIN(RADIANS(AE132)))</x:f>
        <x:v>22.928867159679463</x:v>
      </x:c>
      <x:c r="AG132" s="9">
        <x:f t="shared" si="48"/>
        <x:v>0.99430693655955726</x:v>
      </x:c>
      <x:c r="AH132" s="9">
        <x:f t="shared" si="49"/>
        <x:v>-2.4795308165624565E-2</x:v>
      </x:c>
      <x:c r="AI132" s="9">
        <x:f t="shared" si="50"/>
        <x:v>-251.7469810615292</x:v>
      </x:c>
      <x:c r="AJ132" s="9">
        <x:f t="shared" si="51"/>
        <x:v>-2.9894656408569293</x:v>
      </x:c>
      <x:c r="AK132" s="9">
        <x:f t="shared" si="52"/>
        <x:v>449.86492858410952</x:v>
      </x:c>
      <x:c r="AL132" s="9" t="n">
        <x:f>1000*(AA133-AA131)/(A133-A131)*Inputs!$C$11</x:f>
        <x:v>223.22699008077507</x:v>
      </x:c>
      <x:c r="AM132" s="9" t="n">
        <x:f>-2*AL132/Inputs!$C$13</x:f>
        <x:v>-89.29079603231003</x:v>
      </x:c>
      <x:c r="AN132" s="9" t="n">
        <x:f>-2*AL132/Inputs!$C$14</x:f>
        <x:v>-13.407026431277783</x:v>
      </x:c>
      <x:c r="AO132" s="9">
        <x:f t="shared" si="53"/>
        <x:v>89.290796032310027</x:v>
      </x:c>
      <x:c r="AP132" s="9">
        <x:f t="shared" si="54"/>
        <x:v>13.407026431277783</x:v>
      </x:c>
      <x:c r="AQ132" s="9" t="n">
        <x:f>IF(OR(Inputs!$C$27=TRUE,Inputs!$C$27="TRUE",Inputs!$C$27=1),Inputs!$C$46/Inputs!$C$12,0)</x:f>
        <x:v>42.13483146067416</x:v>
      </x:c>
      <x:c r="AR132" s="9">
        <x:f t="shared" si="55"/>
        <x:v>278.78598909535543</x:v>
      </x:c>
      <x:c r="AS132" s="9">
        <x:f t="shared" si="56"/>
        <x:v>363.05565201670373</x:v>
      </x:c>
    </x:row>
    <x:row r="133">
      <x:c r="A133" s="9" t="n">
        <x:f>Inputs!$C$7+131*(Inputs!$C$8-Inputs!$C$7)/240</x:f>
        <x:v>5.5</x:v>
      </x:c>
      <x:c r="B133" s="9" t="n">
        <x:f>Inputs!$C$5+Inputs!$C$9*(A133/Inputs!$C$10)^2</x:f>
        <x:v>400.0336111111111</x:v>
      </x:c>
      <x:c r="C133" s="9">
        <x:f t="shared" si="38"/>
        <x:v>400.0336111111111</x:v>
      </x:c>
      <x:c r="D133" s="9" t="n">
        <x:f>SQRT((Inputs!$C$52+B133)^2+Inputs!$C$52^2-2*(Inputs!$C$52+B133)*Inputs!$C$52*COS(SQRT(A133^2+Inputs!$C$6^2)/Inputs!$C$52))</x:f>
        <x:v>401.0611703743197</x:v>
      </x:c>
      <x:c r="E133" s="9">
        <x:f t="shared" si="39"/>
        <x:v>1027.5592632086159</x:v>
      </x:c>
      <x:c r="F133" s="9" t="n">
        <x:f>E133/Inputs!$C$12</x:f>
        <x:v>577.2804849486606</x:v>
      </x:c>
      <x:c r="G133" s="9" t="n">
        <x:f>2*E133/Inputs!$C$21*1000000</x:f>
        <x:v>6.855137517893235</x:v>
      </x:c>
      <x:c r="H133" s="9" t="n">
        <x:f>SQRT(A133^2+Inputs!$C$6^2)</x:f>
        <x:v>25.59785147234041</x:v>
      </x:c>
      <x:c r="I133" s="9">
        <x:f t="shared" si="40"/>
        <x:v>3.6613222610928524</x:v>
      </x:c>
      <x:c r="J133" s="9" t="n">
        <x:f>DEGREES((2*PI()/Inputs!$C$13)*Inputs!$C$15*SIN(RADIANS(I133)))</x:f>
        <x:v>22.989112840565028</x:v>
      </x:c>
      <x:c r="K133" s="9">
        <x:f t="shared" si="41"/>
        <x:v>0.98979091456661594</x:v>
      </x:c>
      <x:c r="L133" s="9">
        <x:f t="shared" si="42"/>
        <x:v>-4.4565369581760272E-2</x:v>
      </x:c>
      <x:c r="M133" s="9" t="n">
        <x:f>2*(Inputs!$C$9/(Inputs!$C$10^2))*A133</x:f>
        <x:v>0.012222222222222223</x:v>
      </x:c>
      <x:c r="N133" s="9" t="n">
        <x:f>M133*Inputs!$C$11</x:f>
        <x:v>0.04888888888888889</x:v>
      </x:c>
      <x:c r="O133" s="9" t="n">
        <x:f>1000*(D134-D132)/(A134-A132)*Inputs!$C$11</x:f>
        <x:v>117.69968152384536</x:v>
      </x:c>
      <x:c r="P133" s="9" t="n">
        <x:f>-2*O133/Inputs!$C$13</x:f>
        <x:v>-47.07987260953814</x:v>
      </x:c>
      <x:c r="Q133" s="9" t="n">
        <x:f>-2*O133/Inputs!$C$14</x:f>
        <x:v>-7.069049941372094</x:v>
      </x:c>
      <x:c r="R133" s="9" t="n">
        <x:f>F133-Inputs!$C$16/2</x:f>
        <x:v>562.2804849486606</x:v>
      </x:c>
      <x:c r="S133" s="9" t="n">
        <x:f>F133+Inputs!$C$16/2</x:f>
        <x:v>592.2804849486606</x:v>
      </x:c>
      <x:c r="T133" s="9" t="n">
        <x:f>F133-Inputs!$C$17/2</x:f>
        <x:v>427.2804849486606</x:v>
      </x:c>
      <x:c r="U133" s="9" t="n">
        <x:f>F133+Inputs!$C$17/2</x:f>
        <x:v>727.2804849486606</x:v>
      </x:c>
      <x:c r="V133" s="9">
        <x:f t="shared" si="43"/>
        <x:v>47.079872609538143</x:v>
      </x:c>
      <x:c r="W133" s="9">
        <x:f t="shared" si="44"/>
        <x:v>7.0690499413720937</x:v>
      </x:c>
      <x:c r="X133" s="9"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x:f>
        <x:v>97.11441747768895</x:v>
      </x:c>
      <x:c r="Y133" s="9"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x:f>
        <x:v>539.5212853164131</x:v>
      </x:c>
      <x:c r="Z133" s="9">
        <x:f t="shared" si="45"/>
        <x:v>399.93649669363339</x:v>
      </x:c>
      <x:c r="AA133" s="9" t="n">
        <x:f>SQRT((Inputs!$C$52+B133)^2+(Inputs!$C$52+Y133/1000)^2-2*(Inputs!$C$52+B133)*(Inputs!$C$52+Y133/1000)*COS(SQRT(A133^2+Inputs!$C$6^2)/Inputs!$C$52))</x:f>
        <x:v>400.5233884742762</x:v>
      </x:c>
      <x:c r="AB133" s="9">
        <x:f t="shared" si="46"/>
        <x:v>586.89178064281577</x:v>
      </x:c>
      <x:c r="AC133" s="9" t="n">
        <x:f>AB133/Inputs!$C$12</x:f>
        <x:v>329.7144835071999</x:v>
      </x:c>
      <x:c r="AD133" s="9" t="n">
        <x:f>2*AB133/Inputs!$C$21*1000000</x:f>
        <x:v>3.9153205157870636</x:v>
      </x:c>
      <x:c r="AE133" s="9">
        <x:f t="shared" si="47"/>
        <x:v>3.6662534410783953</x:v>
      </x:c>
      <x:c r="AF133" s="9" t="n">
        <x:f>DEGREES((2*PI()/Inputs!$C$13)*Inputs!$C$15*SIN(RADIANS(AE133)))</x:f>
        <x:v>23.020033034221512</x:v>
      </x:c>
      <x:c r="AG133" s="9">
        <x:f t="shared" si="48"/>
        <x:v>0.99415162172595961</x:v>
      </x:c>
      <x:c r="AH133" s="9">
        <x:f t="shared" si="49"/>
        <x:v>-2.5473747000020128E-2</x:v>
      </x:c>
      <x:c r="AI133" s="9">
        <x:f t="shared" si="50"/>
        <x:v>-247.56600144146074</x:v>
      </x:c>
      <x:c r="AJ133" s="9">
        <x:f t="shared" si="51"/>
        <x:v>-2.9398170021061714</x:v>
      </x:c>
      <x:c r="AK133" s="9">
        <x:f t="shared" si="52"/>
        <x:v>442.40686783872422</x:v>
      </x:c>
      <x:c r="AL133" s="9" t="n">
        <x:f>1000*(AA134-AA132)/(A134-A132)*Inputs!$C$11</x:f>
        <x:v>178.11125931257266</x:v>
      </x:c>
      <x:c r="AM133" s="9" t="n">
        <x:f>-2*AL133/Inputs!$C$13</x:f>
        <x:v>-71.24450372502906</x:v>
      </x:c>
      <x:c r="AN133" s="9" t="n">
        <x:f>-2*AL133/Inputs!$C$14</x:f>
        <x:v>-10.697372931686047</x:v>
      </x:c>
      <x:c r="AO133" s="9">
        <x:f t="shared" si="53"/>
        <x:v>71.244503725029062</x:v>
      </x:c>
      <x:c r="AP133" s="9">
        <x:f t="shared" si="54"/>
        <x:v>10.697372931686047</x:v>
      </x:c>
      <x:c r="AQ133" s="9" t="n">
        <x:f>IF(OR(Inputs!$C$27=TRUE,Inputs!$C$27="TRUE",Inputs!$C$27=1),Inputs!$C$46/Inputs!$C$12,0)</x:f>
        <x:v>42.13483146067416</x:v>
      </x:c>
      <x:c r="AR133" s="9">
        <x:f t="shared" si="55"/>
        <x:v>287.57965204652572</x:v>
      </x:c>
      <x:c r="AS133" s="9">
        <x:f t="shared" si="56"/>
        <x:v>371.84931496787402</x:v>
      </x:c>
    </x:row>
    <x:row r="134">
      <x:c r="A134" s="9" t="n">
        <x:f>Inputs!$C$7+132*(Inputs!$C$8-Inputs!$C$7)/240</x:f>
        <x:v>6</x:v>
      </x:c>
      <x:c r="B134" s="9" t="n">
        <x:f>Inputs!$C$5+Inputs!$C$9*(A134/Inputs!$C$10)^2</x:f>
        <x:v>400.04</x:v>
      </x:c>
      <x:c r="C134" s="9">
        <x:f t="shared" si="38"/>
        <x:v>400.04</x:v>
      </x:c>
      <x:c r="D134" s="9" t="n">
        <x:f>SQRT((Inputs!$C$52+B134)^2+Inputs!$C$52^2-2*(Inputs!$C$52+B134)*Inputs!$C$52*COS(SQRT(A134^2+Inputs!$C$6^2)/Inputs!$C$52))</x:f>
        <x:v>401.076551385038</x:v>
      </x:c>
      <x:c r="E134" s="9">
        <x:f t="shared" si="39"/>
        <x:v>1036.5513850379671</x:v>
      </x:c>
      <x:c r="F134" s="9" t="n">
        <x:f>E134/Inputs!$C$12</x:f>
        <x:v>582.3322387853748</x:v>
      </x:c>
      <x:c r="G134" s="9" t="n">
        <x:f>2*E134/Inputs!$C$21*1000000</x:f>
        <x:v>6.915126497531617</x:v>
      </x:c>
      <x:c r="H134" s="9" t="n">
        <x:f>SQRT(A134^2+Inputs!$C$6^2)</x:f>
        <x:v>25.709920264364882</x:v>
      </x:c>
      <x:c r="I134" s="9">
        <x:f t="shared" si="40"/>
        <x:v>3.6772492746351846</x:v>
      </x:c>
      <x:c r="J134" s="9" t="n">
        <x:f>DEGREES((2*PI()/Inputs!$C$13)*Inputs!$C$15*SIN(RADIANS(I134)))</x:f>
        <x:v>23.0889800761876</x:v>
      </x:c>
      <x:c r="K134" s="9">
        <x:f t="shared" si="41"/>
        <x:v>0.98970231523311669</x:v>
      </x:c>
      <x:c r="L134" s="9">
        <x:f t="shared" si="42"/>
        <x:v>-4.4954137788546386E-2</x:v>
      </x:c>
      <x:c r="M134" s="9" t="n">
        <x:f>2*(Inputs!$C$9/(Inputs!$C$10^2))*A134</x:f>
        <x:v>0.013333333333333332</x:v>
      </x:c>
      <x:c r="N134" s="9" t="n">
        <x:f>M134*Inputs!$C$11</x:f>
        <x:v>0.05333333333333333</x:v>
      </x:c>
      <x:c r="O134" s="9" t="n">
        <x:f>1000*(D135-D133)/(A135-A133)*Inputs!$C$11</x:f>
        <x:v>128.3960383966587</x:v>
      </x:c>
      <x:c r="P134" s="9" t="n">
        <x:f>-2*O134/Inputs!$C$13</x:f>
        <x:v>-51.35841535866348</x:v>
      </x:c>
      <x:c r="Q134" s="9" t="n">
        <x:f>-2*O134/Inputs!$C$14</x:f>
        <x:v>-7.711473777577099</x:v>
      </x:c>
      <x:c r="R134" s="9" t="n">
        <x:f>F134-Inputs!$C$16/2</x:f>
        <x:v>567.3322387853748</x:v>
      </x:c>
      <x:c r="S134" s="9" t="n">
        <x:f>F134+Inputs!$C$16/2</x:f>
        <x:v>597.3322387853748</x:v>
      </x:c>
      <x:c r="T134" s="9" t="n">
        <x:f>F134-Inputs!$C$17/2</x:f>
        <x:v>432.3322387853748</x:v>
      </x:c>
      <x:c r="U134" s="9" t="n">
        <x:f>F134+Inputs!$C$17/2</x:f>
        <x:v>732.3322387853748</x:v>
      </x:c>
      <x:c r="V134" s="9">
        <x:f t="shared" si="43"/>
        <x:v>51.358415358663478</x:v>
      </x:c>
      <x:c r="W134" s="9">
        <x:f t="shared" si="44"/>
        <x:v>7.7114737775770994</x:v>
      </x:c>
      <x:c r="X134" s="9"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x:f>
        <x:v>70.34255347941284</x:v>
      </x:c>
      <x:c r="Y134" s="9"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x:f>
        <x:v>533.6920620973987</x:v>
      </x:c>
      <x:c r="Z134" s="9">
        <x:f t="shared" si="45"/>
        <x:v>399.96965744652061</x:v>
      </x:c>
      <x:c r="AA134" s="9" t="n">
        <x:f>SQRT((Inputs!$C$52+B134)^2+(Inputs!$C$52+Y134/1000)^2-2*(Inputs!$C$52+B134)*(Inputs!$C$52+Y134/1000)*COS(SQRT(A134^2+Inputs!$C$6^2)/Inputs!$C$52))</x:f>
        <x:v>400.5445948896894</x:v>
      </x:c>
      <x:c r="AB134" s="9">
        <x:f t="shared" si="46"/>
        <x:v>574.93744316877837</x:v>
      </x:c>
      <x:c r="AC134" s="9" t="n">
        <x:f>AB134/Inputs!$C$12</x:f>
        <x:v>322.9985635779654</x:v>
      </x:c>
      <x:c r="AD134" s="9" t="n">
        <x:f>2*AB134/Inputs!$C$21*1000000</x:f>
        <x:v>3.83556976052265</x:v>
      </x:c>
      <x:c r="AE134" s="9">
        <x:f t="shared" si="47"/>
        <x:v>3.6821481290433065</x:v>
      </x:c>
      <x:c r="AF134" s="9" t="n">
        <x:f>DEGREES((2*PI()/Inputs!$C$13)*Inputs!$C$15*SIN(RADIANS(AE134)))</x:f>
        <x:v>23.11969702997064</x:v>
      </x:c>
      <x:c r="AG134" s="9">
        <x:f t="shared" si="48"/>
        <x:v>0.99427079285540254</x:v>
      </x:c>
      <x:c r="AH134" s="9">
        <x:f t="shared" si="49"/>
        <x:v>-2.4953179905204854E-2</x:v>
      </x:c>
      <x:c r="AI134" s="9">
        <x:f t="shared" si="50"/>
        <x:v>-259.33367520740939</x:v>
      </x:c>
      <x:c r="AJ134" s="9">
        <x:f t="shared" si="51"/>
        <x:v>-3.0795567370089665</x:v>
      </x:c>
      <x:c r="AK134" s="9">
        <x:f t="shared" si="52"/>
        <x:v>463.3495086179858</x:v>
      </x:c>
      <x:c r="AL134" s="9" t="n">
        <x:f>1000*(AA135-AA133)/(A135-A133)*Inputs!$C$11</x:f>
        <x:v>188.70375494384461</x:v>
      </x:c>
      <x:c r="AM134" s="9" t="n">
        <x:f>-2*AL134/Inputs!$C$13</x:f>
        <x:v>-75.48150197753785</x:v>
      </x:c>
      <x:c r="AN134" s="9" t="n">
        <x:f>-2*AL134/Inputs!$C$14</x:f>
        <x:v>-11.333558855486164</x:v>
      </x:c>
      <x:c r="AO134" s="9">
        <x:f t="shared" si="53"/>
        <x:v>75.481501977537846</x:v>
      </x:c>
      <x:c r="AP134" s="9">
        <x:f t="shared" si="54"/>
        <x:v>11.333558855486164</x:v>
      </x:c>
      <x:c r="AQ134" s="9" t="n">
        <x:f>IF(OR(Inputs!$C$27=TRUE,Inputs!$C$27="TRUE",Inputs!$C$27=1),Inputs!$C$46/Inputs!$C$12,0)</x:f>
        <x:v>42.13483146067416</x:v>
      </x:c>
      <x:c r="AR134" s="9">
        <x:f t="shared" si="55"/>
        <x:v>280.86373211729125</x:v>
      </x:c>
      <x:c r="AS134" s="9">
        <x:f t="shared" si="56"/>
        <x:v>365.13339503863955</x:v>
      </x:c>
    </x:row>
    <x:row r="135">
      <x:c r="A135" s="9" t="n">
        <x:f>Inputs!$C$7+133*(Inputs!$C$8-Inputs!$C$7)/240</x:f>
        <x:v>6.5</x:v>
      </x:c>
      <x:c r="B135" s="9" t="n">
        <x:f>Inputs!$C$5+Inputs!$C$9*(A135/Inputs!$C$10)^2</x:f>
        <x:v>400.0469444444444</x:v>
      </x:c>
      <x:c r="C135" s="9">
        <x:f t="shared" si="38"/>
        <x:v>400.04694444444442</x:v>
      </x:c>
      <x:c r="D135" s="9" t="n">
        <x:f>SQRT((Inputs!$C$52+B135)^2+Inputs!$C$52^2-2*(Inputs!$C$52+B135)*Inputs!$C$52*COS(SQRT(A135^2+Inputs!$C$6^2)/Inputs!$C$52))</x:f>
        <x:v>401.0932693839189</x:v>
      </x:c>
      <x:c r="E135" s="9">
        <x:f t="shared" si="39"/>
        <x:v>1046.3249394744594</x:v>
      </x:c>
      <x:c r="F135" s="9" t="n">
        <x:f>E135/Inputs!$C$12</x:f>
        <x:v>587.8229997047524</x:v>
      </x:c>
      <x:c r="G135" s="9" t="n">
        <x:f>2*E135/Inputs!$C$21*1000000</x:f>
        <x:v>6.980328634381184</x:v>
      </x:c>
      <x:c r="H135" s="9" t="n">
        <x:f>SQRT(A135^2+Inputs!$C$6^2)</x:f>
        <x:v>25.83118270617898</x:v>
      </x:c>
      <x:c r="I135" s="9">
        <x:f t="shared" si="40"/>
        <x:v>3.6944813694132979</x:v>
      </x:c>
      <x:c r="J135" s="9" t="n">
        <x:f>DEGREES((2*PI()/Inputs!$C$13)*Inputs!$C$15*SIN(RADIANS(I135)))</x:f>
        <x:v>23.19702855979598</x:v>
      </x:c>
      <x:c r="K135" s="9">
        <x:f t="shared" si="41"/>
        <x:v>0.98960603090870347</x:v>
      </x:c>
      <x:c r="L135" s="9">
        <x:f t="shared" si="42"/>
        <x:v>-4.537666670781193E-2</x:v>
      </x:c>
      <x:c r="M135" s="9" t="n">
        <x:f>2*(Inputs!$C$9/(Inputs!$C$10^2))*A135</x:f>
        <x:v>0.014444444444444444</x:v>
      </x:c>
      <x:c r="N135" s="9" t="n">
        <x:f>M135*Inputs!$C$11</x:f>
        <x:v>0.057777777777777775</x:v>
      </x:c>
      <x:c r="O135" s="9" t="n">
        <x:f>1000*(D136-D134)/(A136-A134)*Inputs!$C$11</x:f>
        <x:v>139.0914529733891</x:v>
      </x:c>
      <x:c r="P135" s="9" t="n">
        <x:f>-2*O135/Inputs!$C$13</x:f>
        <x:v>-55.63658118935564</x:v>
      </x:c>
      <x:c r="Q135" s="9" t="n">
        <x:f>-2*O135/Inputs!$C$14</x:f>
        <x:v>-8.353841019422768</x:v>
      </x:c>
      <x:c r="R135" s="9" t="n">
        <x:f>F135-Inputs!$C$16/2</x:f>
        <x:v>572.8229997047524</x:v>
      </x:c>
      <x:c r="S135" s="9" t="n">
        <x:f>F135+Inputs!$C$16/2</x:f>
        <x:v>602.8229997047524</x:v>
      </x:c>
      <x:c r="T135" s="9" t="n">
        <x:f>F135-Inputs!$C$17/2</x:f>
        <x:v>437.8229997047524</x:v>
      </x:c>
      <x:c r="U135" s="9" t="n">
        <x:f>F135+Inputs!$C$17/2</x:f>
        <x:v>737.8229997047524</x:v>
      </x:c>
      <x:c r="V135" s="9">
        <x:f t="shared" si="43"/>
        <x:v>55.636581189355638</x:v>
      </x:c>
      <x:c r="W135" s="9">
        <x:f t="shared" si="44"/>
        <x:v>8.3538410194227684</x:v>
      </x:c>
      <x:c r="X135" s="9"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x:f>
        <x:v>77.64795080795966</x:v>
      </x:c>
      <x:c r="Y135" s="9"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x:f>
        <x:v>524.4263848132822</x:v>
      </x:c>
      <x:c r="Z135" s="9">
        <x:f t="shared" si="45"/>
        <x:v>399.96929649363648</x:v>
      </x:c>
      <x:c r="AA135" s="9" t="n">
        <x:f>SQRT((Inputs!$C$52+B135)^2+(Inputs!$C$52+Y135/1000)^2-2*(Inputs!$C$52+B135)*(Inputs!$C$52+Y135/1000)*COS(SQRT(A135^2+Inputs!$C$6^2)/Inputs!$C$52))</x:f>
        <x:v>400.57056441301216</x:v>
      </x:c>
      <x:c r="AB135" s="9">
        <x:f t="shared" si="46"/>
        <x:v>601.26791937568669</x:v>
      </x:c>
      <x:c r="AC135" s="9" t="n">
        <x:f>AB135/Inputs!$C$12</x:f>
        <x:v>337.790965941397</x:v>
      </x:c>
      <x:c r="AD135" s="9" t="n">
        <x:f>2*AB135/Inputs!$C$21*1000000</x:f>
        <x:v>4.0112277899645274</x:v>
      </x:c>
      <x:c r="AE135" s="9">
        <x:f t="shared" si="47"/>
        <x:v>3.6993174097559924</x:v>
      </x:c>
      <x:c r="AF135" s="9" t="n">
        <x:f>DEGREES((2*PI()/Inputs!$C$13)*Inputs!$C$15*SIN(RADIANS(AE135)))</x:f>
        <x:v>23.22735106800616</x:v>
      </x:c>
      <x:c r="AG135" s="9">
        <x:f t="shared" si="48"/>
        <x:v>0.99400939014241041</x:v>
      </x:c>
      <x:c r="AH135" s="9">
        <x:f t="shared" si="49"/>
        <x:v>-2.60951291881268E-2</x:v>
      </x:c>
      <x:c r="AI135" s="9">
        <x:f t="shared" si="50"/>
        <x:v>-250.0320337633554</x:v>
      </x:c>
      <x:c r="AJ135" s="9">
        <x:f t="shared" si="51"/>
        <x:v>-2.9691008444166567</x:v>
      </x:c>
      <x:c r="AK135" s="9">
        <x:f t="shared" si="52"/>
        <x:v>446.77843400532254</x:v>
      </x:c>
      <x:c r="AL135" s="9" t="n">
        <x:f>1000*(AA136-AA134)/(A136-A134)*Inputs!$C$11</x:f>
        <x:v>136.37350204294307</x:v>
      </x:c>
      <x:c r="AM135" s="9" t="n">
        <x:f>-2*AL135/Inputs!$C$13</x:f>
        <x:v>-54.54940081717723</x:v>
      </x:c>
      <x:c r="AN135" s="9" t="n">
        <x:f>-2*AL135/Inputs!$C$14</x:f>
        <x:v>-8.190600723299886</x:v>
      </x:c>
      <x:c r="AO135" s="9">
        <x:f t="shared" si="53"/>
        <x:v>54.549400817177229</x:v>
      </x:c>
      <x:c r="AP135" s="9">
        <x:f t="shared" si="54"/>
        <x:v>8.1906007232998856</x:v>
      </x:c>
      <x:c r="AQ135" s="9" t="n">
        <x:f>IF(OR(Inputs!$C$27=TRUE,Inputs!$C$27="TRUE",Inputs!$C$27=1),Inputs!$C$46/Inputs!$C$12,0)</x:f>
        <x:v>42.13483146067416</x:v>
      </x:c>
      <x:c r="AR135" s="9">
        <x:f t="shared" si="55"/>
        <x:v>295.65613448072287</x:v>
      </x:c>
      <x:c r="AS135" s="9">
        <x:f t="shared" si="56"/>
        <x:v>379.92579740207117</x:v>
      </x:c>
    </x:row>
    <x:row r="136">
      <x:c r="A136" s="9" t="n">
        <x:f>Inputs!$C$7+134*(Inputs!$C$8-Inputs!$C$7)/240</x:f>
        <x:v>7</x:v>
      </x:c>
      <x:c r="B136" s="9" t="n">
        <x:f>Inputs!$C$5+Inputs!$C$9*(A136/Inputs!$C$10)^2</x:f>
        <x:v>400.05444444444447</x:v>
      </x:c>
      <x:c r="C136" s="9">
        <x:f t="shared" si="38"/>
        <x:v>400.05444444444447</x:v>
      </x:c>
      <x:c r="D136" s="9" t="n">
        <x:f>SQRT((Inputs!$C$52+B136)^2+Inputs!$C$52^2-2*(Inputs!$C$52+B136)*Inputs!$C$52*COS(SQRT(A136^2+Inputs!$C$6^2)/Inputs!$C$52))</x:f>
        <x:v>401.11132424828133</x:v>
      </x:c>
      <x:c r="E136" s="9">
        <x:f t="shared" si="39"/>
        <x:v>1056.8798038368641</x:v>
      </x:c>
      <x:c r="F136" s="9" t="n">
        <x:f>E136/Inputs!$C$12</x:f>
        <x:v>593.7526987847551</x:v>
      </x:c>
      <x:c r="G136" s="9" t="n">
        <x:f>2*E136/Inputs!$C$21*1000000</x:f>
        <x:v>7.05074311000088</x:v>
      </x:c>
      <x:c r="H136" s="9" t="n">
        <x:f>SQRT(A136^2+Inputs!$C$6^2)</x:f>
        <x:v>25.96150997149434</x:v>
      </x:c>
      <x:c r="I136" s="9">
        <x:f t="shared" si="40"/>
        <x:v>3.7129998776451707</x:v>
      </x:c>
      <x:c r="J136" s="9" t="n">
        <x:f>DEGREES((2*PI()/Inputs!$C$13)*Inputs!$C$15*SIN(RADIANS(I136)))</x:f>
        <x:v>23.31314075897189</x:v>
      </x:c>
      <x:c r="K136" s="9">
        <x:f t="shared" si="41"/>
        <x:v>0.9895020664115125</x:v>
      </x:c>
      <x:c r="L136" s="9">
        <x:f t="shared" si="42"/>
        <x:v>-4.5832945043962958E-2</x:v>
      </x:c>
      <x:c r="M136" s="9" t="n">
        <x:f>2*(Inputs!$C$9/(Inputs!$C$10^2))*A136</x:f>
        <x:v>0.015555555555555555</x:v>
      </x:c>
      <x:c r="N136" s="9" t="n">
        <x:f>M136*Inputs!$C$11</x:f>
        <x:v>0.06222222222222222</x:v>
      </x:c>
      <x:c r="O136" s="9" t="n">
        <x:f>1000*(D137-D135)/(A137-A135)*Inputs!$C$11</x:f>
        <x:v>149.78584691539254</x:v>
      </x:c>
      <x:c r="P136" s="9" t="n">
        <x:f>-2*O136/Inputs!$C$13</x:f>
        <x:v>-59.914338766157016</x:v>
      </x:c>
      <x:c r="Q136" s="9" t="n">
        <x:f>-2*O136/Inputs!$C$14</x:f>
        <x:v>-8.996146961885438</x:v>
      </x:c>
      <x:c r="R136" s="9" t="n">
        <x:f>F136-Inputs!$C$16/2</x:f>
        <x:v>578.7526987847551</x:v>
      </x:c>
      <x:c r="S136" s="9" t="n">
        <x:f>F136+Inputs!$C$16/2</x:f>
        <x:v>608.7526987847551</x:v>
      </x:c>
      <x:c r="T136" s="9" t="n">
        <x:f>F136-Inputs!$C$17/2</x:f>
        <x:v>443.7526987847551</x:v>
      </x:c>
      <x:c r="U136" s="9" t="n">
        <x:f>F136+Inputs!$C$17/2</x:f>
        <x:v>743.7526987847551</x:v>
      </x:c>
      <x:c r="V136" s="9">
        <x:f t="shared" si="43"/>
        <x:v>59.914338766157016</x:v>
      </x:c>
      <x:c r="W136" s="9">
        <x:f t="shared" si="44"/>
        <x:v>8.9961469618854384</x:v>
      </x:c>
      <x:c r="X136" s="9"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x:f>
        <x:v>66.91550989906084</x:v>
      </x:c>
      <x:c r="Y136" s="9"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x:f>
        <x:v>534.4078318791427</x:v>
      </x:c>
      <x:c r="Z136" s="9">
        <x:f t="shared" si="45"/>
        <x:v>399.98752893454542</x:v>
      </x:c>
      <x:c r="AA136" s="9" t="n">
        <x:f>SQRT((Inputs!$C$52+B136)^2+(Inputs!$C$52+Y136/1000)^2-2*(Inputs!$C$52+B136)*(Inputs!$C$52+Y136/1000)*COS(SQRT(A136^2+Inputs!$C$6^2)/Inputs!$C$52))</x:f>
        <x:v>400.5786882652001</x:v>
      </x:c>
      <x:c r="AB136" s="9">
        <x:f t="shared" si="46"/>
        <x:v>591.15933065470472</x:v>
      </x:c>
      <x:c r="AC136" s="9" t="n">
        <x:f>AB136/Inputs!$C$12</x:f>
        <x:v>332.11198351387907</x:v>
      </x:c>
      <x:c r="AD136" s="9" t="n">
        <x:f>2*AB136/Inputs!$C$21*1000000</x:f>
        <x:v>3.943790544955635</x:v>
      </x:c>
      <x:c r="AE136" s="9">
        <x:f t="shared" si="47"/>
        <x:v>3.717952556476865</x:v>
      </x:c>
      <x:c r="AF136" s="9" t="n">
        <x:f>DEGREES((2*PI()/Inputs!$C$13)*Inputs!$C$15*SIN(RADIANS(AE136)))</x:f>
        <x:v>23.34419395123235</x:v>
      </x:c>
      <x:c r="AG136" s="9">
        <x:f t="shared" si="48"/>
        <x:v>0.99411000117523518</x:v>
      </x:c>
      <x:c r="AH136" s="9">
        <x:f t="shared" si="49"/>
        <x:v>-2.5655569908110659E-2</x:v>
      </x:c>
      <x:c r="AI136" s="9">
        <x:f t="shared" si="50"/>
        <x:v>-261.64071527087606</x:v>
      </x:c>
      <x:c r="AJ136" s="9">
        <x:f t="shared" si="51"/>
        <x:v>-3.106952565045245</x:v>
      </x:c>
      <x:c r="AK136" s="9">
        <x:f t="shared" si="52"/>
        <x:v>467.49232198006956</x:v>
      </x:c>
      <x:c r="AL136" s="9" t="n">
        <x:f>1000*(AA137-AA135)/(A137-A135)*Inputs!$C$11</x:f>
        <x:v>233.41861818516918</x:v>
      </x:c>
      <x:c r="AM136" s="9" t="n">
        <x:f>-2*AL136/Inputs!$C$13</x:f>
        <x:v>-93.36744727406767</x:v>
      </x:c>
      <x:c r="AN136" s="9" t="n">
        <x:f>-2*AL136/Inputs!$C$14</x:f>
        <x:v>-14.019136227337489</x:v>
      </x:c>
      <x:c r="AO136" s="9">
        <x:f t="shared" si="53"/>
        <x:v>93.367447274067672</x:v>
      </x:c>
      <x:c r="AP136" s="9">
        <x:f t="shared" si="54"/>
        <x:v>14.019136227337489</x:v>
      </x:c>
      <x:c r="AQ136" s="9" t="n">
        <x:f>IF(OR(Inputs!$C$27=TRUE,Inputs!$C$27="TRUE",Inputs!$C$27=1),Inputs!$C$46/Inputs!$C$12,0)</x:f>
        <x:v>42.13483146067416</x:v>
      </x:c>
      <x:c r="AR136" s="9">
        <x:f t="shared" si="55"/>
        <x:v>289.97715205320492</x:v>
      </x:c>
      <x:c r="AS136" s="9">
        <x:f t="shared" si="56"/>
        <x:v>374.24681497455322</x:v>
      </x:c>
    </x:row>
    <x:row r="137">
      <x:c r="A137" s="9" t="n">
        <x:f>Inputs!$C$7+135*(Inputs!$C$8-Inputs!$C$7)/240</x:f>
        <x:v>7.5</x:v>
      </x:c>
      <x:c r="B137" s="9" t="n">
        <x:f>Inputs!$C$5+Inputs!$C$9*(A137/Inputs!$C$10)^2</x:f>
        <x:v>400.0625</x:v>
      </x:c>
      <x:c r="C137" s="9">
        <x:f t="shared" si="38"/>
        <x:v>400.0625</x:v>
      </x:c>
      <x:c r="D137" s="9" t="n">
        <x:f>SQRT((Inputs!$C$52+B137)^2+Inputs!$C$52^2-2*(Inputs!$C$52+B137)*Inputs!$C$52*COS(SQRT(A137^2+Inputs!$C$6^2)/Inputs!$C$52))</x:f>
        <x:v>401.1307158456477</x:v>
      </x:c>
      <x:c r="E137" s="9">
        <x:f t="shared" si="39"/>
        <x:v>1068.2158456477282</x:v>
      </x:c>
      <x:c r="F137" s="9" t="n">
        <x:f>E137/Inputs!$C$12</x:f>
        <x:v>600.1212615998473</x:v>
      </x:c>
      <x:c r="G137" s="9" t="n">
        <x:f>2*E137/Inputs!$C$21*1000000</x:f>
        <x:v>7.126369040596266</x:v>
      </x:c>
      <x:c r="H137" s="9" t="n">
        <x:f>SQRT(A137^2+Inputs!$C$6^2)</x:f>
        <x:v>26.100766272276374</x:v>
      </x:c>
      <x:c r="I137" s="9">
        <x:f t="shared" si="40"/>
        <x:v>3.7327851196426791</x:v>
      </x:c>
      <x:c r="J137" s="9" t="n">
        <x:f>DEGREES((2*PI()/Inputs!$C$13)*Inputs!$C$15*SIN(RADIANS(I137)))</x:f>
        <x:v>23.437192766426364</x:v>
      </x:c>
      <x:c r="K137" s="9">
        <x:f t="shared" si="41"/>
        <x:v>0.98939042694261548</x:v>
      </x:c>
      <x:c r="L137" s="9">
        <x:f t="shared" si="42"/>
        <x:v>-4.6322960600834844E-2</x:v>
      </x:c>
      <x:c r="M137" s="9" t="n">
        <x:f>2*(Inputs!$C$9/(Inputs!$C$10^2))*A137</x:f>
        <x:v>0.016666666666666666</x:v>
      </x:c>
      <x:c r="N137" s="9" t="n">
        <x:f>M137*Inputs!$C$11</x:f>
        <x:v>0.06666666666666667</x:v>
      </x:c>
      <x:c r="O137" s="9" t="n">
        <x:f>1000*(D138-D136)/(A138-A136)*Inputs!$C$11</x:f>
        <x:v>160.4791419626963</x:v>
      </x:c>
      <x:c r="P137" s="9" t="n">
        <x:f>-2*O137/Inputs!$C$13</x:f>
        <x:v>-64.19165678507852</x:v>
      </x:c>
      <x:c r="Q137" s="9" t="n">
        <x:f>-2*O137/Inputs!$C$14</x:f>
        <x:v>-9.638386904666445</x:v>
      </x:c>
      <x:c r="R137" s="9" t="n">
        <x:f>F137-Inputs!$C$16/2</x:f>
        <x:v>585.1212615998473</x:v>
      </x:c>
      <x:c r="S137" s="9" t="n">
        <x:f>F137+Inputs!$C$16/2</x:f>
        <x:v>615.1212615998473</x:v>
      </x:c>
      <x:c r="T137" s="9" t="n">
        <x:f>F137-Inputs!$C$17/2</x:f>
        <x:v>450.12126159984734</x:v>
      </x:c>
      <x:c r="U137" s="9" t="n">
        <x:f>F137+Inputs!$C$17/2</x:f>
        <x:v>750.1212615998473</x:v>
      </x:c>
      <x:c r="V137" s="9">
        <x:f t="shared" si="43"/>
        <x:v>64.191656785078521</x:v>
      </x:c>
      <x:c r="W137" s="9">
        <x:f t="shared" si="44"/>
        <x:v>9.6383869046664454</x:v>
      </x:c>
      <x:c r="X137" s="9"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x:f>
        <x:v>56.202037436945574</x:v>
      </x:c>
      <x:c r="Y137" s="9"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x:f>
        <x:v>503.48380224840304</x:v>
      </x:c>
      <x:c r="Z137" s="9">
        <x:f t="shared" si="45"/>
        <x:v>400.00629796256305</x:v>
      </x:c>
      <x:c r="AA137" s="9" t="n">
        <x:f>SQRT((Inputs!$C$52+B137)^2+(Inputs!$C$52+Y137/1000)^2-2*(Inputs!$C$52+B137)*(Inputs!$C$52+Y137/1000)*COS(SQRT(A137^2+Inputs!$C$6^2)/Inputs!$C$52))</x:f>
        <x:v>400.62891906755846</x:v>
      </x:c>
      <x:c r="AB137" s="9">
        <x:f t="shared" si="46"/>
        <x:v>622.62110499540313</x:v>
      </x:c>
      <x:c r="AC137" s="9" t="n">
        <x:f>AB137/Inputs!$C$12</x:f>
        <x:v>349.7871376378669</x:v>
      </x:c>
      <x:c r="AD137" s="9" t="n">
        <x:f>2*AB137/Inputs!$C$21*1000000</x:f>
        <x:v>4.153680910781305</x:v>
      </x:c>
      <x:c r="AE137" s="9">
        <x:f t="shared" si="47"/>
        <x:v>3.7374754739406755</x:v>
      </x:c>
      <x:c r="AF137" s="9" t="n">
        <x:f>DEGREES((2*PI()/Inputs!$C$13)*Inputs!$C$15*SIN(RADIANS(AE137)))</x:f>
        <x:v>23.466600532547403</x:v>
      </x:c>
      <x:c r="AG137" s="9">
        <x:f t="shared" si="48"/>
        <x:v>0.99379803956411983</x:v>
      </x:c>
      <x:c r="AH137" s="9">
        <x:f t="shared" si="49"/>
        <x:v>-2.7018643094683548E-2</x:v>
      </x:c>
      <x:c r="AI137" s="9">
        <x:f t="shared" si="50"/>
        <x:v>-250.33412396198042</x:v>
      </x:c>
      <x:c r="AJ137" s="9">
        <x:f t="shared" si="51"/>
        <x:v>-2.9726881298149612</x:v>
      </x:c>
      <x:c r="AK137" s="9">
        <x:f t="shared" si="52"/>
        <x:v>447.28176481145749</x:v>
      </x:c>
      <x:c r="AL137" s="9" t="n">
        <x:f>1000*(AA138-AA136)/(A138-A136)*Inputs!$C$11</x:f>
        <x:v>308.8566818282743</x:v>
      </x:c>
      <x:c r="AM137" s="9" t="n">
        <x:f>-2*AL137/Inputs!$C$13</x:f>
        <x:v>-123.54267273130972</x:v>
      </x:c>
      <x:c r="AN137" s="9" t="n">
        <x:f>-2*AL137/Inputs!$C$14</x:f>
        <x:v>-18.54995086055702</x:v>
      </x:c>
      <x:c r="AO137" s="9">
        <x:f t="shared" si="53"/>
        <x:v>123.54267273130972</x:v>
      </x:c>
      <x:c r="AP137" s="9">
        <x:f t="shared" si="54"/>
        <x:v>18.549950860557018</x:v>
      </x:c>
      <x:c r="AQ137" s="9" t="n">
        <x:f>IF(OR(Inputs!$C$27=TRUE,Inputs!$C$27="TRUE",Inputs!$C$27=1),Inputs!$C$46/Inputs!$C$12,0)</x:f>
        <x:v>42.13483146067416</x:v>
      </x:c>
      <x:c r="AR137" s="9">
        <x:f t="shared" si="55"/>
        <x:v>307.65230617719277</x:v>
      </x:c>
      <x:c r="AS137" s="9">
        <x:f t="shared" si="56"/>
        <x:v>391.92196909854107</x:v>
      </x:c>
    </x:row>
    <x:row r="138">
      <x:c r="A138" s="9" t="n">
        <x:f>Inputs!$C$7+136*(Inputs!$C$8-Inputs!$C$7)/240</x:f>
        <x:v>8</x:v>
      </x:c>
      <x:c r="B138" s="9" t="n">
        <x:f>Inputs!$C$5+Inputs!$C$9*(A138/Inputs!$C$10)^2</x:f>
        <x:v>400.0711111111111</x:v>
      </x:c>
      <x:c r="C138" s="9">
        <x:f t="shared" si="38"/>
        <x:v>400.07111111111112</x:v>
      </x:c>
      <x:c r="D138" s="9" t="n">
        <x:f>SQRT((Inputs!$C$52+B138)^2+Inputs!$C$52^2-2*(Inputs!$C$52+B138)*Inputs!$C$52*COS(SQRT(A138^2+Inputs!$C$6^2)/Inputs!$C$52))</x:f>
        <x:v>401.151444033772</x:v>
      </x:c>
      <x:c r="E138" s="9">
        <x:f t="shared" si="39"/>
        <x:v>1080.3329226608867</x:v>
      </x:c>
      <x:c r="F138" s="9" t="n">
        <x:f>E138/Inputs!$C$12</x:f>
        <x:v>606.9286082364532</x:v>
      </x:c>
      <x:c r="G138" s="9" t="n">
        <x:f>2*E138/Inputs!$C$21*1000000</x:f>
        <x:v>7.207205477203076</x:v>
      </x:c>
      <x:c r="H138" s="9" t="n">
        <x:f>SQRT(A138^2+Inputs!$C$6^2)</x:f>
        <x:v>26.248809496813376</x:v>
      </x:c>
      <x:c r="I138" s="9">
        <x:f t="shared" si="40"/>
        <x:v>3.7538164957068103</x:v>
      </x:c>
      <x:c r="J138" s="9" t="n">
        <x:f>DEGREES((2*PI()/Inputs!$C$13)*Inputs!$C$15*SIN(RADIANS(I138)))</x:f>
        <x:v>23.56905487786457</x:v>
      </x:c>
      <x:c r="K138" s="9">
        <x:f t="shared" si="41"/>
        <x:v>0.98927111808520884</x:v>
      </x:c>
      <x:c r="L138" s="9">
        <x:f t="shared" si="42"/>
        <x:v>-4.6846700283418599E-2</x:v>
      </x:c>
      <x:c r="M138" s="9" t="n">
        <x:f>2*(Inputs!$C$9/(Inputs!$C$10^2))*A138</x:f>
        <x:v>0.017777777777777778</x:v>
      </x:c>
      <x:c r="N138" s="9" t="n">
        <x:f>M138*Inputs!$C$11</x:f>
        <x:v>0.07111111111111111</x:v>
      </x:c>
      <x:c r="O138" s="9" t="n">
        <x:f>1000*(D139-D137)/(A139-A137)*Inputs!$C$11</x:f>
        <x:v>171.1712599292241</x:v>
      </x:c>
      <x:c r="P138" s="9" t="n">
        <x:f>-2*O138/Inputs!$C$13</x:f>
        <x:v>-68.46850397168964</x:v>
      </x:c>
      <x:c r="Q138" s="9" t="n">
        <x:f>-2*O138/Inputs!$C$14</x:f>
        <x:v>-10.280556151905353</x:v>
      </x:c>
      <x:c r="R138" s="9" t="n">
        <x:f>F138-Inputs!$C$16/2</x:f>
        <x:v>591.9286082364532</x:v>
      </x:c>
      <x:c r="S138" s="9" t="n">
        <x:f>F138+Inputs!$C$16/2</x:f>
        <x:v>621.9286082364532</x:v>
      </x:c>
      <x:c r="T138" s="9" t="n">
        <x:f>F138-Inputs!$C$17/2</x:f>
        <x:v>456.9286082364532</x:v>
      </x:c>
      <x:c r="U138" s="9" t="n">
        <x:f>F138+Inputs!$C$17/2</x:f>
        <x:v>756.9286082364532</x:v>
      </x:c>
      <x:c r="V138" s="9">
        <x:f t="shared" si="43"/>
        <x:v>68.468503971689643</x:v>
      </x:c>
      <x:c r="W138" s="9">
        <x:f t="shared" si="44"/>
        <x:v>10.280556151905353</x:v>
      </x:c>
      <x:c r="X138" s="9"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x:f>
        <x:v>45.99320506201067</x:v>
      </x:c>
      <x:c r="Y138" s="9"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x:f>
        <x:v>497.2264534493298</x:v>
      </x:c>
      <x:c r="Z138" s="9">
        <x:f t="shared" si="45"/>
        <x:v>400.0251179060491</x:v>
      </x:c>
      <x:c r="AA138" s="9" t="n">
        <x:f>SQRT((Inputs!$C$52+B138)^2+(Inputs!$C$52+Y138/1000)^2-2*(Inputs!$C$52+B138)*(Inputs!$C$52+Y138/1000)*COS(SQRT(A138^2+Inputs!$C$6^2)/Inputs!$C$52))</x:f>
        <x:v>400.6559024356572</x:v>
      </x:c>
      <x:c r="AB138" s="9">
        <x:f t="shared" si="46"/>
        <x:v>630.78452960809273</x:v>
      </x:c>
      <x:c r="AC138" s="9" t="n">
        <x:f>AB138/Inputs!$C$12</x:f>
        <x:v>354.3733312405015</x:v>
      </x:c>
      <x:c r="AD138" s="9" t="n">
        <x:f>2*AB138/Inputs!$C$21*1000000</x:f>
        <x:v>4.208141417674308</x:v>
      </x:c>
      <x:c r="AE138" s="9">
        <x:f t="shared" si="47"/>
        <x:v>3.7584743334978383</x:v>
      </x:c>
      <x:c r="AF138" s="9" t="n">
        <x:f>DEGREES((2*PI()/Inputs!$C$13)*Inputs!$C$15*SIN(RADIANS(AE138)))</x:f>
        <x:v>23.59825806948263</x:v>
      </x:c>
      <x:c r="AG138" s="9">
        <x:f t="shared" si="48"/>
        <x:v>0.99371733752466296</x:v>
      </x:c>
      <x:c r="AH138" s="9">
        <x:f t="shared" si="49"/>
        <x:v>-2.7371329175382517E-2</x:v>
      </x:c>
      <x:c r="AI138" s="9">
        <x:f t="shared" si="50"/>
        <x:v>-252.55527699595171</x:v>
      </x:c>
      <x:c r="AJ138" s="9">
        <x:f t="shared" si="51"/>
        <x:v>-2.9990640595287683</x:v>
      </x:c>
      <x:c r="AK138" s="9">
        <x:f t="shared" si="52"/>
        <x:v>451.23324838731918</x:v>
      </x:c>
      <x:c r="AL138" s="9" t="n">
        <x:f>1000*(AA139-AA137)/(A139-A137)*Inputs!$C$11</x:f>
        <x:v>266.5280326054926</x:v>
      </x:c>
      <x:c r="AM138" s="9" t="n">
        <x:f>-2*AL138/Inputs!$C$13</x:f>
        <x:v>-106.61121304219705</x:v>
      </x:c>
      <x:c r="AN138" s="9" t="n">
        <x:f>-2*AL138/Inputs!$C$14</x:f>
        <x:v>-16.007689645975535</x:v>
      </x:c>
      <x:c r="AO138" s="9">
        <x:f t="shared" si="53"/>
        <x:v>106.61121304219705</x:v>
      </x:c>
      <x:c r="AP138" s="9">
        <x:f t="shared" si="54"/>
        <x:v>16.007689645975535</x:v>
      </x:c>
      <x:c r="AQ138" s="9" t="n">
        <x:f>IF(OR(Inputs!$C$27=TRUE,Inputs!$C$27="TRUE",Inputs!$C$27=1),Inputs!$C$46/Inputs!$C$12,0)</x:f>
        <x:v>42.13483146067416</x:v>
      </x:c>
      <x:c r="AR138" s="9">
        <x:f t="shared" si="55"/>
        <x:v>312.23849977982735</x:v>
      </x:c>
      <x:c r="AS138" s="9">
        <x:f t="shared" si="56"/>
        <x:v>396.50816270117565</x:v>
      </x:c>
    </x:row>
    <x:row r="139">
      <x:c r="A139" s="9" t="n">
        <x:f>Inputs!$C$7+137*(Inputs!$C$8-Inputs!$C$7)/240</x:f>
        <x:v>8.5</x:v>
      </x:c>
      <x:c r="B139" s="9" t="n">
        <x:f>Inputs!$C$5+Inputs!$C$9*(A139/Inputs!$C$10)^2</x:f>
        <x:v>400.0802777777778</x:v>
      </x:c>
      <x:c r="C139" s="9">
        <x:f t="shared" si="38"/>
        <x:v>400.08027777777778</x:v>
      </x:c>
      <x:c r="D139" s="9" t="n">
        <x:f>SQRT((Inputs!$C$52+B139)^2+Inputs!$C$52^2-2*(Inputs!$C$52+B139)*Inputs!$C$52*COS(SQRT(A139^2+Inputs!$C$6^2)/Inputs!$C$52))</x:f>
        <x:v>401.17350866063003</x:v>
      </x:c>
      <x:c r="E139" s="9">
        <x:f t="shared" si="39"/>
        <x:v>1093.2308828522537</x:v>
      </x:c>
      <x:c r="F139" s="9" t="n">
        <x:f>E139/Inputs!$C$12</x:f>
        <x:v>614.1746532877829</x:v>
      </x:c>
      <x:c r="G139" s="9" t="n">
        <x:f>2*E139/Inputs!$C$21*1000000</x:f>
        <x:v>7.29325140562578</x:v>
      </x:c>
      <x:c r="H139" s="9" t="n">
        <x:f>SQRT(A139^2+Inputs!$C$6^2)</x:f>
        <x:v>26.405491853021786</x:v>
      </x:c>
      <x:c r="I139" s="9">
        <x:f t="shared" si="40"/>
        <x:v>3.7760725787865743</x:v>
      </x:c>
      <x:c r="J139" s="9" t="n">
        <x:f>DEGREES((2*PI()/Inputs!$C$13)*Inputs!$C$15*SIN(RADIANS(I139)))</x:f>
        <x:v>23.708592174666432</x:v>
      </x:c>
      <x:c r="K139" s="9">
        <x:f t="shared" si="41"/>
        <x:v>0.98914414580412702</x:v>
      </x:c>
      <x:c r="L139" s="9">
        <x:f t="shared" si="42"/>
        <x:v>-4.7404150098032463E-2</x:v>
      </x:c>
      <x:c r="M139" s="9" t="n">
        <x:f>2*(Inputs!$C$9/(Inputs!$C$10^2))*A139</x:f>
        <x:v>0.01888888888888889</x:v>
      </x:c>
      <x:c r="N139" s="9" t="n">
        <x:f>M139*Inputs!$C$11</x:f>
        <x:v>0.07555555555555556</x:v>
      </x:c>
      <x:c r="O139" s="9" t="n">
        <x:f>1000*(D140-D138)/(A140-A138)*Inputs!$C$11</x:f>
        <x:v>181.8621226407231</x:v>
      </x:c>
      <x:c r="P139" s="9" t="n">
        <x:f>-2*O139/Inputs!$C$13</x:f>
        <x:v>-72.74484905628924</x:v>
      </x:c>
      <x:c r="Q139" s="9" t="n">
        <x:f>-2*O139/Inputs!$C$14</x:f>
        <x:v>-10.92265000845184</x:v>
      </x:c>
      <x:c r="R139" s="9" t="n">
        <x:f>F139-Inputs!$C$16/2</x:f>
        <x:v>599.1746532877829</x:v>
      </x:c>
      <x:c r="S139" s="9" t="n">
        <x:f>F139+Inputs!$C$16/2</x:f>
        <x:v>629.1746532877829</x:v>
      </x:c>
      <x:c r="T139" s="9" t="n">
        <x:f>F139-Inputs!$C$17/2</x:f>
        <x:v>464.1746532877829</x:v>
      </x:c>
      <x:c r="U139" s="9" t="n">
        <x:f>F139+Inputs!$C$17/2</x:f>
        <x:v>764.1746532877829</x:v>
      </x:c>
      <x:c r="V139" s="9">
        <x:f t="shared" si="43"/>
        <x:v>72.74484905628924</x:v>
      </x:c>
      <x:c r="W139" s="9">
        <x:f t="shared" si="44"/>
        <x:v>10.922650008451839</x:v>
      </x:c>
      <x:c r="X139" s="9"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x:f>
        <x:v>35.42120810065494</x:v>
      </x:c>
      <x:c r="Y139" s="9"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x:f>
        <x:v>479.6019721372586</x:v>
      </x:c>
      <x:c r="Z139" s="9">
        <x:f t="shared" si="45"/>
        <x:v>400.04485656967711</x:v>
      </x:c>
      <x:c r="AA139" s="9" t="n">
        <x:f>SQRT((Inputs!$C$52+B139)^2+(Inputs!$C$52+Y139/1000)^2-2*(Inputs!$C$52+B139)*(Inputs!$C$52+Y139/1000)*COS(SQRT(A139^2+Inputs!$C$6^2)/Inputs!$C$52))</x:f>
        <x:v>400.69555107570983</x:v>
      </x:c>
      <x:c r="AB139" s="9">
        <x:f t="shared" si="46"/>
        <x:v>650.69450603272116</x:v>
      </x:c>
      <x:c r="AC139" s="9" t="n">
        <x:f>AB139/Inputs!$C$12</x:f>
        <x:v>365.5587112543377</x:v>
      </x:c>
      <x:c r="AD139" s="9" t="n">
        <x:f>2*AB139/Inputs!$C$21*1000000</x:f>
        <x:v>4.340966483104262</x:v>
      </x:c>
      <x:c r="AE139" s="9">
        <x:f t="shared" si="47"/>
        <x:v>3.78059149750157</x:v>
      </x:c>
      <x:c r="AF139" s="9" t="n">
        <x:f>DEGREES((2*PI()/Inputs!$C$13)*Inputs!$C$15*SIN(RADIANS(AE139)))</x:f>
        <x:v>23.736923664575894</x:v>
      </x:c>
      <x:c r="AG139" s="9">
        <x:f t="shared" si="48"/>
        <x:v>0.99352015550817929</x:v>
      </x:c>
      <x:c r="AH139" s="9">
        <x:f t="shared" si="49"/>
        <x:v>-2.8233179480347904E-2</x:v>
      </x:c>
      <x:c r="AI139" s="9">
        <x:f t="shared" si="50"/>
        <x:v>-248.61594203344521</x:v>
      </x:c>
      <x:c r="AJ139" s="9">
        <x:f t="shared" si="51"/>
        <x:v>-2.9522849225215175</x:v>
      </x:c>
      <x:c r="AK139" s="9">
        <x:f t="shared" si="52"/>
        <x:v>444.18076403660365</x:v>
      </x:c>
      <x:c r="AL139" s="9" t="n">
        <x:f>1000*(AA140-AA138)/(A140-A138)*Inputs!$C$11</x:f>
        <x:v>245.80708797611805</x:v>
      </x:c>
      <x:c r="AM139" s="9" t="n">
        <x:f>-2*AL139/Inputs!$C$13</x:f>
        <x:v>-98.32283519044722</x:v>
      </x:c>
      <x:c r="AN139" s="9" t="n">
        <x:f>-2*AL139/Inputs!$C$14</x:f>
        <x:v>-14.76318846703412</x:v>
      </x:c>
      <x:c r="AO139" s="9">
        <x:f t="shared" si="53"/>
        <x:v>98.322835190447222</x:v>
      </x:c>
      <x:c r="AP139" s="9">
        <x:f t="shared" si="54"/>
        <x:v>14.763188467034119</x:v>
      </x:c>
      <x:c r="AQ139" s="9" t="n">
        <x:f>IF(OR(Inputs!$C$27=TRUE,Inputs!$C$27="TRUE",Inputs!$C$27=1),Inputs!$C$46/Inputs!$C$12,0)</x:f>
        <x:v>42.13483146067416</x:v>
      </x:c>
      <x:c r="AR139" s="9">
        <x:f t="shared" si="55"/>
        <x:v>323.42387979366356</x:v>
      </x:c>
      <x:c r="AS139" s="9">
        <x:f t="shared" si="56"/>
        <x:v>407.69354271501186</x:v>
      </x:c>
    </x:row>
    <x:row r="140">
      <x:c r="A140" s="9" t="n">
        <x:f>Inputs!$C$7+138*(Inputs!$C$8-Inputs!$C$7)/240</x:f>
        <x:v>9</x:v>
      </x:c>
      <x:c r="B140" s="9" t="n">
        <x:f>Inputs!$C$5+Inputs!$C$9*(A140/Inputs!$C$10)^2</x:f>
        <x:v>400.09</x:v>
      </x:c>
      <x:c r="C140" s="9">
        <x:f t="shared" si="38"/>
        <x:v>400.09</x:v>
      </x:c>
      <x:c r="D140" s="9" t="n">
        <x:f>SQRT((Inputs!$C$52+B140)^2+Inputs!$C$52^2-2*(Inputs!$C$52+B140)*Inputs!$C$52*COS(SQRT(A140^2+Inputs!$C$6^2)/Inputs!$C$52))</x:f>
        <x:v>401.1969095644322</x:v>
      </x:c>
      <x:c r="E140" s="9">
        <x:f t="shared" si="39"/>
        <x:v>1106.9095644322147</x:v>
      </x:c>
      <x:c r="F140" s="9" t="n">
        <x:f>E140/Inputs!$C$12</x:f>
        <x:v>621.8593058607947</x:v>
      </x:c>
      <x:c r="G140" s="9" t="n">
        <x:f>2*E140/Inputs!$C$21*1000000</x:f>
        <x:v>7.3845057465202455</x:v>
      </x:c>
      <x:c r="H140" s="9" t="n">
        <x:f>SQRT(A140^2+Inputs!$C$6^2)</x:f>
        <x:v>26.570660511172846</x:v>
      </x:c>
      <x:c r="I140" s="9">
        <x:f t="shared" si="40"/>
        <x:v>3.7995312070651801</x:v>
      </x:c>
      <x:c r="J140" s="9" t="n">
        <x:f>DEGREES((2*PI()/Inputs!$C$13)*Inputs!$C$15*SIN(RADIANS(I140)))</x:f>
        <x:v>23.85566510612477</x:v>
      </x:c>
      <x:c r="K140" s="9">
        <x:f t="shared" si="41"/>
        <x:v>0.98900951644510726</x:v>
      </x:c>
      <x:c r="L140" s="9">
        <x:f t="shared" si="42"/>
        <x:v>-4.7995295153449892E-2</x:v>
      </x:c>
      <x:c r="M140" s="9" t="n">
        <x:f>2*(Inputs!$C$9/(Inputs!$C$10^2))*A140</x:f>
        <x:v>0.02</x:v>
      </x:c>
      <x:c r="N140" s="9" t="n">
        <x:f>M140*Inputs!$C$11</x:f>
        <x:v>0.08</x:v>
      </x:c>
      <x:c r="O140" s="9" t="n">
        <x:f>1000*(D141-D139)/(A141-A139)*Inputs!$C$11</x:f>
        <x:v>192.55165201866475</x:v>
      </x:c>
      <x:c r="P140" s="9" t="n">
        <x:f>-2*O140/Inputs!$C$13</x:f>
        <x:v>-77.0206608074659</x:v>
      </x:c>
      <x:c r="Q140" s="9" t="n">
        <x:f>-2*O140/Inputs!$C$14</x:f>
        <x:v>-11.564663784904791</x:v>
      </x:c>
      <x:c r="R140" s="9" t="n">
        <x:f>F140-Inputs!$C$16/2</x:f>
        <x:v>606.8593058607947</x:v>
      </x:c>
      <x:c r="S140" s="9" t="n">
        <x:f>F140+Inputs!$C$16/2</x:f>
        <x:v>636.8593058607947</x:v>
      </x:c>
      <x:c r="T140" s="9" t="n">
        <x:f>F140-Inputs!$C$17/2</x:f>
        <x:v>471.85930586079473</x:v>
      </x:c>
      <x:c r="U140" s="9" t="n">
        <x:f>F140+Inputs!$C$17/2</x:f>
        <x:v>771.8593058607947</x:v>
      </x:c>
      <x:c r="V140" s="9">
        <x:f t="shared" si="43"/>
        <x:v>77.020660807465902</x:v>
      </x:c>
      <x:c r="W140" s="9">
        <x:f t="shared" si="44"/>
        <x:v>11.564663784904791</x:v>
      </x:c>
      <x:c r="X140" s="9"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x:f>
        <x:v>29.628149721243545</x:v>
      </x:c>
      <x:c r="Y140" s="9"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x:f>
        <x:v>481.22587957439987</x:v>
      </x:c>
      <x:c r="Z140" s="9">
        <x:f t="shared" si="45"/>
        <x:v>400.06037185027873</x:v>
      </x:c>
      <x:c r="AA140" s="9" t="n">
        <x:f>SQRT((Inputs!$C$52+B140)^2+(Inputs!$C$52+Y140/1000)^2-2*(Inputs!$C$52+B140)*(Inputs!$C$52+Y140/1000)*COS(SQRT(A140^2+Inputs!$C$6^2)/Inputs!$C$52))</x:f>
        <x:v>400.7173542076512</x:v>
      </x:c>
      <x:c r="AB140" s="9">
        <x:f t="shared" si="46"/>
        <x:v>656.98235737249888</x:v>
      </x:c>
      <x:c r="AC140" s="9" t="n">
        <x:f>AB140/Inputs!$C$12</x:f>
        <x:v>369.09121200702185</x:v>
      </x:c>
      <x:c r="AD140" s="9" t="n">
        <x:f>2*AB140/Inputs!$C$21*1000000</x:f>
        <x:v>4.382914511962131</x:v>
      </x:c>
      <x:c r="AE140" s="9">
        <x:f t="shared" si="47"/>
        <x:v>3.8040933374991006</x:v>
      </x:c>
      <x:c r="AF140" s="9" t="n">
        <x:f>DEGREES((2*PI()/Inputs!$C$13)*Inputs!$C$15*SIN(RADIANS(AE140)))</x:f>
        <x:v>23.884266736650474</x:v>
      </x:c>
      <x:c r="AG140" s="9">
        <x:f t="shared" si="48"/>
        <x:v>0.99345804800817639</x:v>
      </x:c>
      <x:c r="AH140" s="9">
        <x:f t="shared" si="49"/>
        <x:v>-2.8504676616019735E-2</x:v>
      </x:c>
      <x:c r="AI140" s="9">
        <x:f t="shared" si="50"/>
        <x:v>-252.76809385377288</x:v>
      </x:c>
      <x:c r="AJ140" s="9">
        <x:f t="shared" si="51"/>
        <x:v>-3.0015912345581146</x:v>
      </x:c>
      <x:c r="AK140" s="9">
        <x:f t="shared" si="52"/>
        <x:v>451.59772985315635</x:v>
      </x:c>
      <x:c r="AL140" s="9" t="n">
        <x:f>1000*(AA141-AA139)/(A141-A139)*Inputs!$C$11</x:f>
        <x:v>197.9920210169439</x:v>
      </x:c>
      <x:c r="AM140" s="9" t="n">
        <x:f>-2*AL140/Inputs!$C$13</x:f>
        <x:v>-79.19680840677756</x:v>
      </x:c>
      <x:c r="AN140" s="9" t="n">
        <x:f>-2*AL140/Inputs!$C$14</x:f>
        <x:v>-11.891412673690326</x:v>
      </x:c>
      <x:c r="AO140" s="9">
        <x:f t="shared" si="53"/>
        <x:v>79.196808406777564</x:v>
      </x:c>
      <x:c r="AP140" s="9">
        <x:f t="shared" si="54"/>
        <x:v>11.891412673690326</x:v>
      </x:c>
      <x:c r="AQ140" s="9" t="n">
        <x:f>IF(OR(Inputs!$C$27=TRUE,Inputs!$C$27="TRUE",Inputs!$C$27=1),Inputs!$C$46/Inputs!$C$12,0)</x:f>
        <x:v>42.13483146067416</x:v>
      </x:c>
      <x:c r="AR140" s="9">
        <x:f t="shared" si="55"/>
        <x:v>326.9563805463477</x:v>
      </x:c>
      <x:c r="AS140" s="9">
        <x:f t="shared" si="56"/>
        <x:v>411.226043467696</x:v>
      </x:c>
    </x:row>
    <x:row r="141">
      <x:c r="A141" s="9" t="n">
        <x:f>Inputs!$C$7+139*(Inputs!$C$8-Inputs!$C$7)/240</x:f>
        <x:v>9.5</x:v>
      </x:c>
      <x:c r="B141" s="9" t="n">
        <x:f>Inputs!$C$5+Inputs!$C$9*(A141/Inputs!$C$10)^2</x:f>
        <x:v>400.10027777777776</x:v>
      </x:c>
      <x:c r="C141" s="9">
        <x:f t="shared" si="38"/>
        <x:v>400.10027777777776</x:v>
      </x:c>
      <x:c r="D141" s="9" t="n">
        <x:f>SQRT((Inputs!$C$52+B141)^2+Inputs!$C$52^2-2*(Inputs!$C$52+B141)*Inputs!$C$52*COS(SQRT(A141^2+Inputs!$C$6^2)/Inputs!$C$52))</x:f>
        <x:v>401.2216465736347</x:v>
      </x:c>
      <x:c r="E141" s="9">
        <x:f t="shared" si="39"/>
        <x:v>1121.368795856938</x:v>
      </x:c>
      <x:c r="F141" s="9" t="n">
        <x:f>E141/Inputs!$C$12</x:f>
        <x:v>629.9824695825495</x:v>
      </x:c>
      <x:c r="G141" s="9" t="n">
        <x:f>2*E141/Inputs!$C$21*1000000</x:f>
        <x:v>7.4809673554692155</x:v>
      </x:c>
      <x:c r="H141" s="9" t="n">
        <x:f>SQRT(A141^2+Inputs!$C$6^2)</x:f>
        <x:v>26.744158240632665</x:v>
      </x:c>
      <x:c r="I141" s="9">
        <x:f t="shared" si="40"/>
        <x:v>3.8241695756954894</x:v>
      </x:c>
      <x:c r="J141" s="9" t="n">
        <x:f>DEGREES((2*PI()/Inputs!$C$13)*Inputs!$C$15*SIN(RADIANS(I141)))</x:f>
        <x:v>24.010130066350158</x:v>
      </x:c>
      <x:c r="K141" s="9">
        <x:f t="shared" si="41"/>
        <x:v>0.98886723673401933</x:v>
      </x:c>
      <x:c r="L141" s="9">
        <x:f t="shared" si="42"/>
        <x:v>-4.8620119662050265E-2</x:v>
      </x:c>
      <x:c r="M141" s="9" t="n">
        <x:f>2*(Inputs!$C$9/(Inputs!$C$10^2))*A141</x:f>
        <x:v>0.021111111111111112</x:v>
      </x:c>
      <x:c r="N141" s="9" t="n">
        <x:f>M141*Inputs!$C$11</x:f>
        <x:v>0.08444444444444445</x:v>
      </x:c>
      <x:c r="O141" s="9" t="n">
        <x:f>1000*(D142-D140)/(A142-A140)*Inputs!$C$11</x:f>
        <x:v>203.23977003636173</x:v>
      </x:c>
      <x:c r="P141" s="9" t="n">
        <x:f>-2*O141/Inputs!$C$13</x:f>
        <x:v>-81.2959080145447</x:v>
      </x:c>
      <x:c r="Q141" s="9" t="n">
        <x:f>-2*O141/Inputs!$C$14</x:f>
        <x:v>-12.206592794976682</x:v>
      </x:c>
      <x:c r="R141" s="9" t="n">
        <x:f>F141-Inputs!$C$16/2</x:f>
        <x:v>614.9824695825495</x:v>
      </x:c>
      <x:c r="S141" s="9" t="n">
        <x:f>F141+Inputs!$C$16/2</x:f>
        <x:v>644.9824695825495</x:v>
      </x:c>
      <x:c r="T141" s="9" t="n">
        <x:f>F141-Inputs!$C$17/2</x:f>
        <x:v>479.98246958254947</x:v>
      </x:c>
      <x:c r="U141" s="9" t="n">
        <x:f>F141+Inputs!$C$17/2</x:f>
        <x:v>779.9824695825495</x:v>
      </x:c>
      <x:c r="V141" s="9">
        <x:f t="shared" si="43"/>
        <x:v>81.295908014544693</x:v>
      </x:c>
      <x:c r="W141" s="9">
        <x:f t="shared" si="44"/>
        <x:v>12.206592794976682</x:v>
      </x:c>
      <x:c r="X141" s="9"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x:f>
        <x:v>5.649927018638348</x:v>
      </x:c>
      <x:c r="Y141" s="9"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x:f>
        <x:v>478.27937371872196</x:v>
      </x:c>
      <x:c r="Z141" s="9">
        <x:f t="shared" si="45"/>
        <x:v>400.09462785075914</x:v>
      </x:c>
      <x:c r="AA141" s="9" t="n">
        <x:f>SQRT((Inputs!$C$52+B141)^2+(Inputs!$C$52+Y141/1000)^2-2*(Inputs!$C$52+B141)*(Inputs!$C$52+Y141/1000)*COS(SQRT(A141^2+Inputs!$C$6^2)/Inputs!$C$52))</x:f>
        <x:v>400.74504908096407</x:v>
      </x:c>
      <x:c r="AB141" s="9">
        <x:f t="shared" si="46"/>
        <x:v>650.42123020492681</x:v>
      </x:c>
      <x:c r="AC141" s="9" t="n">
        <x:f>AB141/Inputs!$C$12</x:f>
        <x:v>365.40518550838584</x:v>
      </x:c>
      <x:c r="AD141" s="9" t="n">
        <x:f>2*AB141/Inputs!$C$21*1000000</x:f>
        <x:v>4.339143383019507</x:v>
      </x:c>
      <x:c r="AE141" s="9">
        <x:f t="shared" si="47"/>
        <x:v>3.8287328494955721</x:v>
      </x:c>
      <x:c r="AF141" s="9" t="n">
        <x:f>DEGREES((2*PI()/Inputs!$C$13)*Inputs!$C$15*SIN(RADIANS(AE141)))</x:f>
        <x:v>24.038738044870204</x:v>
      </x:c>
      <x:c r="AG141" s="9">
        <x:f t="shared" si="48"/>
        <x:v>0.99352366833110362</x:v>
      </x:c>
      <x:c r="AH141" s="9">
        <x:f t="shared" si="49"/>
        <x:v>-2.8217824010139999E-2</x:v>
      </x:c>
      <x:c r="AI141" s="9">
        <x:f t="shared" si="50"/>
        <x:v>-264.57728407416363</x:v>
      </x:c>
      <x:c r="AJ141" s="9">
        <x:f t="shared" si="51"/>
        <x:v>-3.1418239724497079</x:v>
      </x:c>
      <x:c r="AK141" s="9">
        <x:f t="shared" si="52"/>
        <x:v>472.62944670008363</x:v>
      </x:c>
      <x:c r="AL141" s="9" t="n">
        <x:f>1000*(AA142-AA140)/(A142-A140)*Inputs!$C$11</x:f>
        <x:v>311.1273231927498</x:v>
      </x:c>
      <x:c r="AM141" s="9" t="n">
        <x:f>-2*AL141/Inputs!$C$13</x:f>
        <x:v>-124.45092927709993</x:v>
      </x:c>
      <x:c r="AN141" s="9" t="n">
        <x:f>-2*AL141/Inputs!$C$14</x:f>
        <x:v>-18.686325717282273</x:v>
      </x:c>
      <x:c r="AO141" s="9">
        <x:f t="shared" si="53"/>
        <x:v>124.45092927709993</x:v>
      </x:c>
      <x:c r="AP141" s="9">
        <x:f t="shared" si="54"/>
        <x:v>18.686325717282273</x:v>
      </x:c>
      <x:c r="AQ141" s="9" t="n">
        <x:f>IF(OR(Inputs!$C$27=TRUE,Inputs!$C$27="TRUE",Inputs!$C$27=1),Inputs!$C$46/Inputs!$C$12,0)</x:f>
        <x:v>42.13483146067416</x:v>
      </x:c>
      <x:c r="AR141" s="9">
        <x:f t="shared" si="55"/>
        <x:v>323.27035404771169</x:v>
      </x:c>
      <x:c r="AS141" s="9">
        <x:f t="shared" si="56"/>
        <x:v>407.54001696905999</x:v>
      </x:c>
    </x:row>
    <x:row r="142">
      <x:c r="A142" s="9" t="n">
        <x:f>Inputs!$C$7+140*(Inputs!$C$8-Inputs!$C$7)/240</x:f>
        <x:v>10</x:v>
      </x:c>
      <x:c r="B142" s="9" t="n">
        <x:f>Inputs!$C$5+Inputs!$C$9*(A142/Inputs!$C$10)^2</x:f>
        <x:v>400.1111111111111</x:v>
      </x:c>
      <x:c r="C142" s="9">
        <x:f t="shared" si="38"/>
        <x:v>400.11111111111109</x:v>
      </x:c>
      <x:c r="D142" s="9" t="n">
        <x:f>SQRT((Inputs!$C$52+B142)^2+Inputs!$C$52^2-2*(Inputs!$C$52+B142)*Inputs!$C$52*COS(SQRT(A142^2+Inputs!$C$6^2)/Inputs!$C$52))</x:f>
        <x:v>401.2477195069413</x:v>
      </x:c>
      <x:c r="E142" s="9">
        <x:f t="shared" si="39"/>
        <x:v>1136.6083958301942</x:v>
      </x:c>
      <x:c r="F142" s="9" t="n">
        <x:f>E142/Inputs!$C$12</x:f>
        <x:v>638.5440426012327</x:v>
      </x:c>
      <x:c r="G142" s="9" t="n">
        <x:f>2*E142/Inputs!$C$21*1000000</x:f>
        <x:v>7.5826350229944355</x:v>
      </x:c>
      <x:c r="H142" s="9" t="n">
        <x:f>SQRT(A142^2+Inputs!$C$6^2)</x:f>
        <x:v>26.92582403567252</x:v>
      </x:c>
      <x:c r="I142" s="9">
        <x:f t="shared" si="40"/>
        <x:v>3.8499643269735215</x:v>
      </x:c>
      <x:c r="J142" s="9" t="n">
        <x:f>DEGREES((2*PI()/Inputs!$C$13)*Inputs!$C$15*SIN(RADIANS(I142)))</x:f>
        <x:v>24.171839961370843</x:v>
      </x:c>
      <x:c r="K142" s="9">
        <x:f t="shared" si="41"/>
        <x:v>0.98871731377615735</x:v>
      </x:c>
      <x:c r="L142" s="9">
        <x:f t="shared" si="42"/>
        <x:v>-4.9278606940563963E-2</x:v>
      </x:c>
      <x:c r="M142" s="9" t="n">
        <x:f>2*(Inputs!$C$9/(Inputs!$C$10^2))*A142</x:f>
        <x:v>0.022222222222222223</x:v>
      </x:c>
      <x:c r="N142" s="9" t="n">
        <x:f>M142*Inputs!$C$11</x:f>
        <x:v>0.08888888888888889</x:v>
      </x:c>
      <x:c r="O142" s="9" t="n">
        <x:f>1000*(D143-D141)/(A143-A141)*Inputs!$C$11</x:f>
        <x:v>213.92639874261477</x:v>
      </x:c>
      <x:c r="P142" s="9" t="n">
        <x:f>-2*O142/Inputs!$C$13</x:f>
        <x:v>-85.5705594970459</x:v>
      </x:c>
      <x:c r="Q142" s="9" t="n">
        <x:f>-2*O142/Inputs!$C$14</x:f>
        <x:v>-12.8484323569138</x:v>
      </x:c>
      <x:c r="R142" s="9" t="n">
        <x:f>F142-Inputs!$C$16/2</x:f>
        <x:v>623.5440426012327</x:v>
      </x:c>
      <x:c r="S142" s="9" t="n">
        <x:f>F142+Inputs!$C$16/2</x:f>
        <x:v>653.5440426012327</x:v>
      </x:c>
      <x:c r="T142" s="9" t="n">
        <x:f>F142-Inputs!$C$17/2</x:f>
        <x:v>488.5440426012327</x:v>
      </x:c>
      <x:c r="U142" s="9" t="n">
        <x:f>F142+Inputs!$C$17/2</x:f>
        <x:v>788.5440426012327</x:v>
      </x:c>
      <x:c r="V142" s="9">
        <x:f t="shared" si="43"/>
        <x:v>85.570559497045906</x:v>
      </x:c>
      <x:c r="W142" s="9">
        <x:f t="shared" si="44"/>
        <x:v>12.848432356913801</x:v>
      </x:c>
      <x:c r="X142" s="9"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x:f>
        <x:v>-8.569441618173819</x:v>
      </x:c>
      <x:c r="Y142" s="9"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x:f>
        <x:v>454.2022007690729</x:v>
      </x:c>
      <x:c r="Z142" s="9">
        <x:f t="shared" si="45"/>
        <x:v>400.11968055272928</x:v>
      </x:c>
      <x:c r="AA142" s="9" t="n">
        <x:f>SQRT((Inputs!$C$52+B142)^2+(Inputs!$C$52+Y142/1000)^2-2*(Inputs!$C$52+B142)*(Inputs!$C$52+Y142/1000)*COS(SQRT(A142^2+Inputs!$C$6^2)/Inputs!$C$52))</x:f>
        <x:v>400.7951360384494</x:v>
      </x:c>
      <x:c r="AB142" s="9">
        <x:f t="shared" si="46"/>
        <x:v>675.45548572013558</x:v>
      </x:c>
      <x:c r="AC142" s="9" t="n">
        <x:f>AB142/Inputs!$C$12</x:f>
        <x:v>379.4693740000762</x:v>
      </x:c>
      <x:c r="AD142" s="9" t="n">
        <x:f>2*AB142/Inputs!$C$21*1000000</x:f>
        <x:v>4.506153958817307</x:v>
      </x:c>
      <x:c r="AE142" s="9">
        <x:f t="shared" si="47"/>
        <x:v>3.8543265547924417</x:v>
      </x:c>
      <x:c r="AF142" s="9" t="n">
        <x:f>DEGREES((2*PI()/Inputs!$C$13)*Inputs!$C$15*SIN(RADIANS(AE142)))</x:f>
        <x:v>24.199186723715453</x:v>
      </x:c>
      <x:c r="AG142" s="9">
        <x:f t="shared" si="48"/>
        <x:v>0.99327586752850072</x:v>
      </x:c>
      <x:c r="AH142" s="9">
        <x:f t="shared" si="49"/>
        <x:v>-2.9301159493134346E-2</x:v>
      </x:c>
      <x:c r="AI142" s="9">
        <x:f t="shared" si="50"/>
        <x:v>-259.07466860115653</x:v>
      </x:c>
      <x:c r="AJ142" s="9">
        <x:f t="shared" si="51"/>
        <x:v>-3.0764810641771287</x:v>
      </x:c>
      <x:c r="AK142" s="9">
        <x:f t="shared" si="52"/>
        <x:v>462.77164238722213</x:v>
      </x:c>
      <x:c r="AL142" s="9" t="n">
        <x:f>1000*(AA143-AA141)/(A143-A141)*Inputs!$C$11</x:f>
        <x:v>374.89439989667517</x:v>
      </x:c>
      <x:c r="AM142" s="9" t="n">
        <x:f>-2*AL142/Inputs!$C$13</x:f>
        <x:v>-149.95775995867007</x:v>
      </x:c>
      <x:c r="AN142" s="9" t="n">
        <x:f>-2*AL142/Inputs!$C$14</x:f>
        <x:v>-22.516180173974487</x:v>
      </x:c>
      <x:c r="AO142" s="9">
        <x:f t="shared" si="53"/>
        <x:v>149.95775995867007</x:v>
      </x:c>
      <x:c r="AP142" s="9">
        <x:f t="shared" si="54"/>
        <x:v>22.516180173974487</x:v>
      </x:c>
      <x:c r="AQ142" s="9" t="n">
        <x:f>IF(OR(Inputs!$C$27=TRUE,Inputs!$C$27="TRUE",Inputs!$C$27=1),Inputs!$C$46/Inputs!$C$12,0)</x:f>
        <x:v>42.13483146067416</x:v>
      </x:c>
      <x:c r="AR142" s="9">
        <x:f t="shared" si="55"/>
        <x:v>337.33454253940204</x:v>
      </x:c>
      <x:c r="AS142" s="9">
        <x:f t="shared" si="56"/>
        <x:v>421.60420546075034</x:v>
      </x:c>
    </x:row>
    <x:row r="143">
      <x:c r="A143" s="9" t="n">
        <x:f>Inputs!$C$7+141*(Inputs!$C$8-Inputs!$C$7)/240</x:f>
        <x:v>10.5</x:v>
      </x:c>
      <x:c r="B143" s="9" t="n">
        <x:f>Inputs!$C$5+Inputs!$C$9*(A143/Inputs!$C$10)^2</x:f>
        <x:v>400.1225</x:v>
      </x:c>
      <x:c r="C143" s="9">
        <x:f t="shared" si="38"/>
        <x:v>400.1225</x:v>
      </x:c>
      <x:c r="D143" s="9" t="n">
        <x:f>SQRT((Inputs!$C$52+B143)^2+Inputs!$C$52^2-2*(Inputs!$C$52+B143)*Inputs!$C$52*COS(SQRT(A143^2+Inputs!$C$6^2)/Inputs!$C$52))</x:f>
        <x:v>401.27512817332035</x:v>
      </x:c>
      <x:c r="E143" s="9">
        <x:f t="shared" si="39"/>
        <x:v>1152.6281733203518</x:v>
      </x:c>
      <x:c r="F143" s="9" t="n">
        <x:f>E143/Inputs!$C$12</x:f>
        <x:v>647.5439175957033</x:v>
      </x:c>
      <x:c r="G143" s="9" t="n">
        <x:f>2*E143/Inputs!$C$21*1000000</x:f>
        <x:v>7.689507474670039</x:v>
      </x:c>
      <x:c r="H143" s="9" t="n">
        <x:f>SQRT(A143^2+Inputs!$C$6^2)</x:f>
        <x:v>27.115493725912497</x:v>
      </x:c>
      <x:c r="I143" s="9">
        <x:f t="shared" si="40"/>
        <x:v>3.8768916383114718</x:v>
      </x:c>
      <x:c r="J143" s="9" t="n">
        <x:f>DEGREES((2*PI()/Inputs!$C$13)*Inputs!$C$15*SIN(RADIANS(I143)))</x:f>
        <x:v>24.340644762413287</x:v>
      </x:c>
      <x:c r="K143" s="9">
        <x:f t="shared" si="41"/>
        <x:v>0.988559755055337</x:v>
      </x:c>
      <x:c r="L143" s="9">
        <x:f t="shared" si="42"/>
        <x:v>-4.9970739411541142E-2</x:v>
      </x:c>
      <x:c r="M143" s="9" t="n">
        <x:f>2*(Inputs!$C$9/(Inputs!$C$10^2))*A143</x:f>
        <x:v>0.023333333333333334</x:v>
      </x:c>
      <x:c r="N143" s="9" t="n">
        <x:f>M143*Inputs!$C$11</x:f>
        <x:v>0.09333333333333334</x:v>
      </x:c>
      <x:c r="O143" s="9" t="n">
        <x:f>1000*(D144-D142)/(A144-A142)*Inputs!$C$11</x:f>
        <x:v>224.61146028399526</x:v>
      </x:c>
      <x:c r="P143" s="9" t="n">
        <x:f>-2*O143/Inputs!$C$13</x:f>
        <x:v>-89.8445841135981</x:v>
      </x:c>
      <x:c r="Q143" s="9" t="n">
        <x:f>-2*O143/Inputs!$C$14</x:f>
        <x:v>-13.490177794834551</x:v>
      </x:c>
      <x:c r="R143" s="9" t="n">
        <x:f>F143-Inputs!$C$16/2</x:f>
        <x:v>632.5439175957033</x:v>
      </x:c>
      <x:c r="S143" s="9" t="n">
        <x:f>F143+Inputs!$C$16/2</x:f>
        <x:v>662.5439175957033</x:v>
      </x:c>
      <x:c r="T143" s="9" t="n">
        <x:f>F143-Inputs!$C$17/2</x:f>
        <x:v>497.5439175957033</x:v>
      </x:c>
      <x:c r="U143" s="9" t="n">
        <x:f>F143+Inputs!$C$17/2</x:f>
        <x:v>797.5439175957033</x:v>
      </x:c>
      <x:c r="V143" s="9">
        <x:f t="shared" si="43"/>
        <x:v>89.844584113598103</x:v>
      </x:c>
      <x:c r="W143" s="9">
        <x:f t="shared" si="44"/>
        <x:v>13.490177794834551</x:v>
      </x:c>
      <x:c r="X143" s="9"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x:f>
        <x:v>4.936290407774814</x:v>
      </x:c>
      <x:c r="Y143" s="9"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x:f>
        <x:v>437.9381023255588</x:v>
      </x:c>
      <x:c r="Z143" s="9">
        <x:f t="shared" si="45"/>
        <x:v>400.11756370959222</x:v>
      </x:c>
      <x:c r="AA143" s="9" t="n">
        <x:f>SQRT((Inputs!$C$52+B143)^2+(Inputs!$C$52+Y143/1000)^2-2*(Inputs!$C$52+B143)*(Inputs!$C$52+Y143/1000)*COS(SQRT(A143^2+Inputs!$C$6^2)/Inputs!$C$52))</x:f>
        <x:v>400.83877268093823</x:v>
      </x:c>
      <x:c r="AB143" s="9">
        <x:f t="shared" si="46"/>
        <x:v>721.20897134601591</x:v>
      </x:c>
      <x:c r="AC143" s="9" t="n">
        <x:f>AB143/Inputs!$C$12</x:f>
        <x:v>405.1735794078741</x:v>
      </x:c>
      <x:c r="AD143" s="9" t="n">
        <x:f>2*AB143/Inputs!$C$21*1000000</x:f>
        <x:v>4.811388359516475</x:v>
      </x:c>
      <x:c r="AE143" s="9">
        <x:f t="shared" si="47"/>
        <x:v>3.8811266091727297</x:v>
      </x:c>
      <x:c r="AF143" s="9" t="n">
        <x:f>DEGREES((2*PI()/Inputs!$C$13)*Inputs!$C$15*SIN(RADIANS(AE143)))</x:f>
        <x:v>24.367192911093618</x:v>
      </x:c>
      <x:c r="AG143" s="9">
        <x:f t="shared" si="48"/>
        <x:v>0.99282240240478292</x:v>
      </x:c>
      <x:c r="AH143" s="9">
        <x:f t="shared" si="49"/>
        <x:v>-3.1284318205567402E-2</x:v>
      </x:c>
      <x:c r="AI143" s="9">
        <x:f t="shared" si="50"/>
        <x:v>-242.37033818782919</x:v>
      </x:c>
      <x:c r="AJ143" s="9">
        <x:f t="shared" si="51"/>
        <x:v>-2.8781191151535639</x:v>
      </x:c>
      <x:c r="AK143" s="9">
        <x:f t="shared" si="52"/>
        <x:v>433.00181191773487</x:v>
      </x:c>
      <x:c r="AL143" s="9" t="n">
        <x:f>1000*(AA144-AA142)/(A144-A142)*Inputs!$C$11</x:f>
        <x:v>261.7159917085701</x:v>
      </x:c>
      <x:c r="AM143" s="9" t="n">
        <x:f>-2*AL143/Inputs!$C$13</x:f>
        <x:v>-104.68639668342803</x:v>
      </x:c>
      <x:c r="AN143" s="9" t="n">
        <x:f>-2*AL143/Inputs!$C$14</x:f>
        <x:v>-15.718678180694901</x:v>
      </x:c>
      <x:c r="AO143" s="9">
        <x:f t="shared" si="53"/>
        <x:v>104.68639668342803</x:v>
      </x:c>
      <x:c r="AP143" s="9">
        <x:f t="shared" si="54"/>
        <x:v>15.718678180694901</x:v>
      </x:c>
      <x:c r="AQ143" s="9" t="n">
        <x:f>IF(OR(Inputs!$C$27=TRUE,Inputs!$C$27="TRUE",Inputs!$C$27=1),Inputs!$C$46/Inputs!$C$12,0)</x:f>
        <x:v>42.13483146067416</x:v>
      </x:c>
      <x:c r="AR143" s="9">
        <x:f t="shared" si="55"/>
        <x:v>363.03874794719997</x:v>
      </x:c>
      <x:c r="AS143" s="9">
        <x:f t="shared" si="56"/>
        <x:v>447.30841086854826</x:v>
      </x:c>
    </x:row>
    <x:row r="144">
      <x:c r="A144" s="9" t="n">
        <x:f>Inputs!$C$7+142*(Inputs!$C$8-Inputs!$C$7)/240</x:f>
        <x:v>11</x:v>
      </x:c>
      <x:c r="B144" s="9" t="n">
        <x:f>Inputs!$C$5+Inputs!$C$9*(A144/Inputs!$C$10)^2</x:f>
        <x:v>400.13444444444445</x:v>
      </x:c>
      <x:c r="C144" s="9">
        <x:f t="shared" si="38"/>
        <x:v>400.13444444444445</x:v>
      </x:c>
      <x:c r="D144" s="9" t="n">
        <x:f>SQRT((Inputs!$C$52+B144)^2+Inputs!$C$52^2-2*(Inputs!$C$52+B144)*Inputs!$C$52*COS(SQRT(A144^2+Inputs!$C$6^2)/Inputs!$C$52))</x:f>
        <x:v>401.3038723720123</x:v>
      </x:c>
      <x:c r="E144" s="9">
        <x:f t="shared" si="39"/>
        <x:v>1169.4279275678241</x:v>
      </x:c>
      <x:c r="F144" s="9" t="n">
        <x:f>E144/Inputs!$C$12</x:f>
        <x:v>656.9819817796764</x:v>
      </x:c>
      <x:c r="G144" s="9" t="n">
        <x:f>2*E144/Inputs!$C$21*1000000</x:f>
        <x:v>7.801583371172226</x:v>
      </x:c>
      <x:c r="H144" s="9" t="n">
        <x:f>SQRT(A144^2+Inputs!$C$6^2)</x:f>
        <x:v>27.313000567495326</x:v>
      </x:c>
      <x:c r="I144" s="9">
        <x:f t="shared" si="40"/>
        <x:v>3.9049273074484554</x:v>
      </x:c>
      <x:c r="J144" s="9" t="n">
        <x:f>DEGREES((2*PI()/Inputs!$C$13)*Inputs!$C$15*SIN(RADIANS(I144)))</x:f>
        <x:v>24.516392041831022</x:v>
      </x:c>
      <x:c r="K144" s="9">
        <x:f t="shared" si="41"/>
        <x:v>0.98839456843305284</x:v>
      </x:c>
      <x:c r="L144" s="9">
        <x:f t="shared" si="42"/>
        <x:v>-5.0696498604425384E-2</x:v>
      </x:c>
      <x:c r="M144" s="9" t="n">
        <x:f>2*(Inputs!$C$9/(Inputs!$C$10^2))*A144</x:f>
        <x:v>0.024444444444444446</x:v>
      </x:c>
      <x:c r="N144" s="9" t="n">
        <x:f>M144*Inputs!$C$11</x:f>
        <x:v>0.09777777777777778</x:v>
      </x:c>
      <x:c r="O144" s="9" t="n">
        <x:f>1000*(D145-D143)/(A145-A143)*Inputs!$C$11</x:f>
        <x:v>235.2948768477745</x:v>
      </x:c>
      <x:c r="P144" s="9" t="n">
        <x:f>-2*O144/Inputs!$C$13</x:f>
        <x:v>-94.1179507391098</x:v>
      </x:c>
      <x:c r="Q144" s="9" t="n">
        <x:f>-2*O144/Inputs!$C$14</x:f>
        <x:v>-14.131824435301773</x:v>
      </x:c>
      <x:c r="R144" s="9" t="n">
        <x:f>F144-Inputs!$C$16/2</x:f>
        <x:v>641.9819817796764</x:v>
      </x:c>
      <x:c r="S144" s="9" t="n">
        <x:f>F144+Inputs!$C$16/2</x:f>
        <x:v>671.9819817796764</x:v>
      </x:c>
      <x:c r="T144" s="9" t="n">
        <x:f>F144-Inputs!$C$17/2</x:f>
        <x:v>506.9819817796764</x:v>
      </x:c>
      <x:c r="U144" s="9" t="n">
        <x:f>F144+Inputs!$C$17/2</x:f>
        <x:v>806.9819817796764</x:v>
      </x:c>
      <x:c r="V144" s="9">
        <x:f t="shared" si="43"/>
        <x:v>94.117950739109801</x:v>
      </x:c>
      <x:c r="W144" s="9">
        <x:f t="shared" si="44"/>
        <x:v>14.131824435301773</x:v>
      </x:c>
      <x:c r="X144" s="9"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x:f>
        <x:v>1.9403678384373038</x:v>
      </x:c>
      <x:c r="Y144" s="9"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x:f>
        <x:v>444.9386077034983</x:v>
      </x:c>
      <x:c r="Z144" s="9">
        <x:f t="shared" si="45"/>
        <x:v>400.13250407660604</x:v>
      </x:c>
      <x:c r="AA144" s="9" t="n">
        <x:f>SQRT((Inputs!$C$52+B144)^2+(Inputs!$C$52+Y144/1000)^2-2*(Inputs!$C$52+B144)*(Inputs!$C$52+Y144/1000)*COS(SQRT(A144^2+Inputs!$C$6^2)/Inputs!$C$52))</x:f>
        <x:v>400.86056503637656</x:v>
      </x:c>
      <x:c r="AB144" s="9">
        <x:f t="shared" si="46"/>
        <x:v>728.06095977051655</x:v>
      </x:c>
      <x:c r="AC144" s="9" t="n">
        <x:f>AB144/Inputs!$C$12</x:f>
        <x:v>409.0230111070318</x:v>
      </x:c>
      <x:c r="AD144" s="9" t="n">
        <x:f>2*AB144/Inputs!$C$21*1000000</x:f>
        <x:v>4.857099905899011</x:v>
      </x:c>
      <x:c r="AE144" s="9">
        <x:f t="shared" si="47"/>
        <x:v>3.909260843092401</x:v>
      </x:c>
      <x:c r="AF144" s="9" t="n">
        <x:f>DEGREES((2*PI()/Inputs!$C$13)*Inputs!$C$15*SIN(RADIANS(AE144)))</x:f>
        <x:v>24.543557166404117</x:v>
      </x:c>
      <x:c r="AG144" s="9">
        <x:f t="shared" si="48"/>
        <x:v>0.99275478888988289</x:v>
      </x:c>
      <x:c r="AH144" s="9">
        <x:f t="shared" si="49"/>
        <x:v>-3.1580092920982732E-2</x:v>
      </x:c>
      <x:c r="AI144" s="9">
        <x:f t="shared" si="50"/>
        <x:v>-247.95897067264463</x:v>
      </x:c>
      <x:c r="AJ144" s="9">
        <x:f t="shared" si="51"/>
        <x:v>-2.9444834652732155</x:v>
      </x:c>
      <x:c r="AK144" s="9">
        <x:f t="shared" si="52"/>
        <x:v>442.9982398650119</x:v>
      </x:c>
      <x:c r="AL144" s="9" t="n">
        <x:f>1000*(AA145-AA143)/(A145-A143)*Inputs!$C$11</x:f>
        <x:v>249.4045151499904</x:v>
      </x:c>
      <x:c r="AM144" s="9" t="n">
        <x:f>-2*AL144/Inputs!$C$13</x:f>
        <x:v>-99.76180605999616</x:v>
      </x:c>
      <x:c r="AN144" s="9" t="n">
        <x:f>-2*AL144/Inputs!$C$14</x:f>
        <x:v>-14.979250159158584</x:v>
      </x:c>
      <x:c r="AO144" s="9">
        <x:f t="shared" si="53"/>
        <x:v>99.761806059996161</x:v>
      </x:c>
      <x:c r="AP144" s="9">
        <x:f t="shared" si="54"/>
        <x:v>14.979250159158584</x:v>
      </x:c>
      <x:c r="AQ144" s="9" t="n">
        <x:f>IF(OR(Inputs!$C$27=TRUE,Inputs!$C$27="TRUE",Inputs!$C$27=1),Inputs!$C$46/Inputs!$C$12,0)</x:f>
        <x:v>42.13483146067416</x:v>
      </x:c>
      <x:c r="AR144" s="9">
        <x:f t="shared" si="55"/>
        <x:v>366.88817964635763</x:v>
      </x:c>
      <x:c r="AS144" s="9">
        <x:f t="shared" si="56"/>
        <x:v>451.15784256770593</x:v>
      </x:c>
    </x:row>
    <x:row r="145">
      <x:c r="A145" s="9" t="n">
        <x:f>Inputs!$C$7+143*(Inputs!$C$8-Inputs!$C$7)/240</x:f>
        <x:v>11.5</x:v>
      </x:c>
      <x:c r="B145" s="9" t="n">
        <x:f>Inputs!$C$5+Inputs!$C$9*(A145/Inputs!$C$10)^2</x:f>
        <x:v>400.14694444444444</x:v>
      </x:c>
      <x:c r="C145" s="9">
        <x:f t="shared" si="38"/>
        <x:v>400.14694444444444</x:v>
      </x:c>
      <x:c r="D145" s="9" t="n">
        <x:f>SQRT((Inputs!$C$52+B145)^2+Inputs!$C$52^2-2*(Inputs!$C$52+B145)*Inputs!$C$52*COS(SQRT(A145^2+Inputs!$C$6^2)/Inputs!$C$52))</x:f>
        <x:v>401.3339518925323</x:v>
      </x:c>
      <x:c r="E145" s="9">
        <x:f t="shared" si="39"/>
        <x:v>1187.0074480878543</x:v>
      </x:c>
      <x:c r="F145" s="9" t="n">
        <x:f>E145/Inputs!$C$12</x:f>
        <x:v>666.8581169032889</x:v>
      </x:c>
      <x:c r="G145" s="9" t="n">
        <x:f>2*E145/Inputs!$C$21*1000000</x:f>
        <x:v>7.918861308297851</x:v>
      </x:c>
      <x:c r="H145" s="9" t="n">
        <x:f>SQRT(A145^2+Inputs!$C$6^2)</x:f>
        <x:v>27.518175811634027</x:v>
      </x:c>
      <x:c r="I145" s="9">
        <x:f t="shared" si="40"/>
        <x:v>3.934046834415676</x:v>
      </x:c>
      <x:c r="J145" s="9" t="n">
        <x:f>DEGREES((2*PI()/Inputs!$C$13)*Inputs!$C$15*SIN(RADIANS(I145)))</x:f>
        <x:v>24.69892748864289</x:v>
      </x:c>
      <x:c r="K145" s="9">
        <x:f t="shared" si="41"/>
        <x:v>0.9882217621476409</x:v>
      </x:c>
      <x:c r="L145" s="9">
        <x:f t="shared" si="42"/>
        <x:v>-5.1455865156474059E-2</x:v>
      </x:c>
      <x:c r="M145" s="9" t="n">
        <x:f>2*(Inputs!$C$9/(Inputs!$C$10^2))*A145</x:f>
        <x:v>0.025555555555555557</x:v>
      </x:c>
      <x:c r="N145" s="9" t="n">
        <x:f>M145*Inputs!$C$11</x:f>
        <x:v>0.10222222222222223</x:v>
      </x:c>
      <x:c r="O145" s="9" t="n">
        <x:f>1000*(D146-D144)/(A146-A144)*Inputs!$C$11</x:f>
        <x:v>245.97657072126822</x:v>
      </x:c>
      <x:c r="P145" s="9" t="n">
        <x:f>-2*O145/Inputs!$C$13</x:f>
        <x:v>-98.39062828850729</x:v>
      </x:c>
      <x:c r="Q145" s="9" t="n">
        <x:f>-2*O145/Inputs!$C$14</x:f>
        <x:v>-14.77336761088698</x:v>
      </x:c>
      <x:c r="R145" s="9" t="n">
        <x:f>F145-Inputs!$C$16/2</x:f>
        <x:v>651.8581169032889</x:v>
      </x:c>
      <x:c r="S145" s="9" t="n">
        <x:f>F145+Inputs!$C$16/2</x:f>
        <x:v>681.8581169032889</x:v>
      </x:c>
      <x:c r="T145" s="9" t="n">
        <x:f>F145-Inputs!$C$17/2</x:f>
        <x:v>516.8581169032889</x:v>
      </x:c>
      <x:c r="U145" s="9" t="n">
        <x:f>F145+Inputs!$C$17/2</x:f>
        <x:v>816.8581169032889</x:v>
      </x:c>
      <x:c r="V145" s="9">
        <x:f t="shared" si="43"/>
        <x:v>98.390628288507287</x:v>
      </x:c>
      <x:c r="W145" s="9">
        <x:f t="shared" si="44"/>
        <x:v>14.77336761088698</x:v>
      </x:c>
      <x:c r="X145" s="9"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x:f>
        <x:v>4.044824683821267</x:v>
      </x:c>
      <x:c r="Y145" s="9"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x:f>
        <x:v>434.44467895572086</x:v>
      </x:c>
      <x:c r="Z145" s="9">
        <x:f t="shared" si="45"/>
        <x:v>400.14289961976061</x:v>
      </x:c>
      <x:c r="AA145" s="9" t="n">
        <x:f>SQRT((Inputs!$C$52+B145)^2+(Inputs!$C$52+Y145/1000)^2-2*(Inputs!$C$52+B145)*(Inputs!$C$52+Y145/1000)*COS(SQRT(A145^2+Inputs!$C$6^2)/Inputs!$C$52))</x:f>
        <x:v>400.90112380972573</x:v>
      </x:c>
      <x:c r="AB145" s="9">
        <x:f t="shared" si="46"/>
        <x:v>758.22418996511942</x:v>
      </x:c>
      <x:c r="AC145" s="9" t="n">
        <x:f>AB145/Inputs!$C$12</x:f>
        <x:v>425.9686460478199</x:v>
      </x:c>
      <x:c r="AD145" s="9" t="n">
        <x:f>2*AB145/Inputs!$C$21*1000000</x:f>
        <x:v>5.058327317661337</x:v>
      </x:c>
      <x:c r="AE145" s="9">
        <x:f t="shared" si="47"/>
        <x:v>3.9383092737910661</x:v>
      </x:c>
      <x:c r="AF145" s="9" t="n">
        <x:f>DEGREES((2*PI()/Inputs!$C$13)*Inputs!$C$15*SIN(RADIANS(AE145)))</x:f>
        <x:v>24.725646010641427</x:v>
      </x:c>
      <x:c r="AG145" s="9">
        <x:f t="shared" si="48"/>
        <x:v>0.99245623609272582</x:v>
      </x:c>
      <x:c r="AH145" s="9">
        <x:f t="shared" si="49"/>
        <x:v>-3.2886350358684847E-2</x:v>
      </x:c>
      <x:c r="AI145" s="9">
        <x:f t="shared" si="50"/>
        <x:v>-240.88947085546897</x:v>
      </x:c>
      <x:c r="AJ145" s="9">
        <x:f t="shared" si="51"/>
        <x:v>-2.8605339906365144</x:v>
      </x:c>
      <x:c r="AK145" s="9">
        <x:f t="shared" si="52"/>
        <x:v>430.39985427189959</x:v>
      </x:c>
      <x:c r="AL145" s="9" t="n">
        <x:f>1000*(AA146-AA144)/(A146-A144)*Inputs!$C$11</x:f>
        <x:v>334.2414058236045</x:v>
      </x:c>
      <x:c r="AM145" s="9" t="n">
        <x:f>-2*AL145/Inputs!$C$13</x:f>
        <x:v>-133.6965623294418</x:v>
      </x:c>
      <x:c r="AN145" s="9" t="n">
        <x:f>-2*AL145/Inputs!$C$14</x:f>
        <x:v>-20.074558908324597</x:v>
      </x:c>
      <x:c r="AO145" s="9">
        <x:f t="shared" si="53"/>
        <x:v>133.6965623294418</x:v>
      </x:c>
      <x:c r="AP145" s="9">
        <x:f t="shared" si="54"/>
        <x:v>20.074558908324597</x:v>
      </x:c>
      <x:c r="AQ145" s="9" t="n">
        <x:f>IF(OR(Inputs!$C$27=TRUE,Inputs!$C$27="TRUE",Inputs!$C$27=1),Inputs!$C$46/Inputs!$C$12,0)</x:f>
        <x:v>42.13483146067416</x:v>
      </x:c>
      <x:c r="AR145" s="9">
        <x:f t="shared" si="55"/>
        <x:v>383.83381458714575</x:v>
      </x:c>
      <x:c r="AS145" s="9">
        <x:f t="shared" si="56"/>
        <x:v>468.10347750849405</x:v>
      </x:c>
    </x:row>
    <x:row r="146">
      <x:c r="A146" s="9" t="n">
        <x:f>Inputs!$C$7+144*(Inputs!$C$8-Inputs!$C$7)/240</x:f>
        <x:v>12</x:v>
      </x:c>
      <x:c r="B146" s="9" t="n">
        <x:f>Inputs!$C$5+Inputs!$C$9*(A146/Inputs!$C$10)^2</x:f>
        <x:v>400.16</x:v>
      </x:c>
      <x:c r="C146" s="9">
        <x:f t="shared" si="38"/>
        <x:v>400.16</x:v>
      </x:c>
      <x:c r="D146" s="9" t="n">
        <x:f>SQRT((Inputs!$C$52+B146)^2+Inputs!$C$52^2-2*(Inputs!$C$52+B146)*Inputs!$C$52*COS(SQRT(A146^2+Inputs!$C$6^2)/Inputs!$C$52))</x:f>
        <x:v>401.3653665146926</x:v>
      </x:c>
      <x:c r="E146" s="9">
        <x:f t="shared" si="39"/>
        <x:v>1205.3665146925709</x:v>
      </x:c>
      <x:c r="F146" s="9" t="n">
        <x:f>E146/Inputs!$C$12</x:f>
        <x:v>677.1721992654893</x:v>
      </x:c>
      <x:c r="G146" s="9" t="n">
        <x:f>2*E146/Inputs!$C$21*1000000</x:f>
        <x:v>8.041339817111549</x:v>
      </x:c>
      <x:c r="H146" s="9" t="n">
        <x:f>SQRT(A146^2+Inputs!$C$6^2)</x:f>
        <x:v>27.730849247724095</x:v>
      </x:c>
      <x:c r="I146" s="9">
        <x:f t="shared" si="40"/>
        <x:v>3.9642254998513842</x:v>
      </x:c>
      <x:c r="J146" s="9" t="n">
        <x:f>DEGREES((2*PI()/Inputs!$C$13)*Inputs!$C$15*SIN(RADIANS(I146)))</x:f>
        <x:v>24.888095401136177</x:v>
      </x:c>
      <x:c r="K146" s="9">
        <x:f t="shared" si="41"/>
        <x:v>0.98804134481321326</x:v>
      </x:c>
      <x:c r="L146" s="9">
        <x:f t="shared" si="42"/>
        <x:v>-5.224881881455036E-2</x:v>
      </x:c>
      <x:c r="M146" s="9" t="n">
        <x:f>2*(Inputs!$C$9/(Inputs!$C$10^2))*A146</x:f>
        <x:v>0.026666666666666665</x:v>
      </x:c>
      <x:c r="N146" s="9" t="n">
        <x:f>M146*Inputs!$C$11</x:f>
        <x:v>0.10666666666666666</x:v>
      </x:c>
      <x:c r="O146" s="9" t="n">
        <x:f>1000*(D147-D145)/(A147-A145)*Inputs!$C$11</x:f>
        <x:v>256.65646427364663</x:v>
      </x:c>
      <x:c r="P146" s="9" t="n">
        <x:f>-2*O146/Inputs!$C$13</x:f>
        <x:v>-102.66258570945865</x:v>
      </x:c>
      <x:c r="Q146" s="9" t="n">
        <x:f>-2*O146/Inputs!$C$14</x:f>
        <x:v>-15.414802659077877</x:v>
      </x:c>
      <x:c r="R146" s="9" t="n">
        <x:f>F146-Inputs!$C$16/2</x:f>
        <x:v>662.1721992654893</x:v>
      </x:c>
      <x:c r="S146" s="9" t="n">
        <x:f>F146+Inputs!$C$16/2</x:f>
        <x:v>692.1721992654893</x:v>
      </x:c>
      <x:c r="T146" s="9" t="n">
        <x:f>F146-Inputs!$C$17/2</x:f>
        <x:v>527.1721992654893</x:v>
      </x:c>
      <x:c r="U146" s="9" t="n">
        <x:f>F146+Inputs!$C$17/2</x:f>
        <x:v>827.1721992654893</x:v>
      </x:c>
      <x:c r="V146" s="9">
        <x:f t="shared" si="43"/>
        <x:v>102.66258570945865</x:v>
      </x:c>
      <x:c r="W146" s="9">
        <x:f t="shared" si="44"/>
        <x:v>15.414802659077877</x:v>
      </x:c>
      <x:c r="X146" s="9"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x:f>
        <x:v>7.0738918061296845</x:v>
      </x:c>
      <x:c r="Y146" s="9"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x:f>
        <x:v>422.8387186345762</x:v>
      </x:c>
      <x:c r="Z146" s="9">
        <x:f t="shared" si="45"/>
        <x:v>400.15292610819387</x:v>
      </x:c>
      <x:c r="AA146" s="9" t="n">
        <x:f>SQRT((Inputs!$C$52+B146)^2+(Inputs!$C$52+Y146/1000)^2-2*(Inputs!$C$52+B146)*(Inputs!$C$52+Y146/1000)*COS(SQRT(A146^2+Inputs!$C$6^2)/Inputs!$C$52))</x:f>
        <x:v>400.94412538783246</x:v>
      </x:c>
      <x:c r="AB146" s="9">
        <x:f t="shared" si="46"/>
        <x:v>791.19927963859027</x:v>
      </x:c>
      <x:c r="AC146" s="9" t="n">
        <x:f>AB146/Inputs!$C$12</x:f>
        <x:v>444.4939773250507</x:v>
      </x:c>
      <x:c r="AD146" s="9" t="n">
        <x:f>2*AB146/Inputs!$C$21*1000000</x:f>
        <x:v>5.278313436681521</x:v>
      </x:c>
      <x:c r="AE146" s="9">
        <x:f t="shared" si="47"/>
        <x:v>3.9684054344698061</x:v>
      </x:c>
      <x:c r="AF146" s="9" t="n">
        <x:f>DEGREES((2*PI()/Inputs!$C$13)*Inputs!$C$15*SIN(RADIANS(AE146)))</x:f>
        <x:v>24.914295801358694</x:v>
      </x:c>
      <x:c r="AG146" s="9">
        <x:f t="shared" si="48"/>
        <x:v>0.99212997172637374</x:v>
      </x:c>
      <x:c r="AH146" s="9">
        <x:f t="shared" si="49"/>
        <x:v>-3.4314303598172627E-2</x:v>
      </x:c>
      <x:c r="AI146" s="9">
        <x:f t="shared" si="50"/>
        <x:v>-232.67822194043862</x:v>
      </x:c>
      <x:c r="AJ146" s="9">
        <x:f t="shared" si="51"/>
        <x:v>-2.7630263804300279</x:v>
      </x:c>
      <x:c r="AK146" s="9">
        <x:f t="shared" si="52"/>
        <x:v>415.76482682844653</x:v>
      </x:c>
      <x:c r="AL146" s="9" t="n">
        <x:f>1000*(AA147-AA145)/(A147-A145)*Inputs!$C$11</x:f>
        <x:v>258.13667437319054</x:v>
      </x:c>
      <x:c r="AM146" s="9" t="n">
        <x:f>-2*AL146/Inputs!$C$13</x:f>
        <x:v>-103.25466974927622</x:v>
      </x:c>
      <x:c r="AN146" s="9" t="n">
        <x:f>-2*AL146/Inputs!$C$14</x:f>
        <x:v>-15.503704166557991</x:v>
      </x:c>
      <x:c r="AO146" s="9">
        <x:f t="shared" si="53"/>
        <x:v>103.25466974927622</x:v>
      </x:c>
      <x:c r="AP146" s="9">
        <x:f t="shared" si="54"/>
        <x:v>15.503704166557991</x:v>
      </x:c>
      <x:c r="AQ146" s="9" t="n">
        <x:f>IF(OR(Inputs!$C$27=TRUE,Inputs!$C$27="TRUE",Inputs!$C$27=1),Inputs!$C$46/Inputs!$C$12,0)</x:f>
        <x:v>42.13483146067416</x:v>
      </x:c>
      <x:c r="AR146" s="9">
        <x:f t="shared" si="55"/>
        <x:v>402.35914586437656</x:v>
      </x:c>
      <x:c r="AS146" s="9">
        <x:f t="shared" si="56"/>
        <x:v>486.62880878572486</x:v>
      </x:c>
    </x:row>
    <x:row r="147">
      <x:c r="A147" s="9" t="n">
        <x:f>Inputs!$C$7+145*(Inputs!$C$8-Inputs!$C$7)/240</x:f>
        <x:v>12.5</x:v>
      </x:c>
      <x:c r="B147" s="9" t="n">
        <x:f>Inputs!$C$5+Inputs!$C$9*(A147/Inputs!$C$10)^2</x:f>
        <x:v>400.1736111111111</x:v>
      </x:c>
      <x:c r="C147" s="9">
        <x:f t="shared" si="38"/>
        <x:v>400.17361111111109</x:v>
      </x:c>
      <x:c r="D147" s="9" t="n">
        <x:f>SQRT((Inputs!$C$52+B147)^2+Inputs!$C$52^2-2*(Inputs!$C$52+B147)*Inputs!$C$52*COS(SQRT(A147^2+Inputs!$C$6^2)/Inputs!$C$52))</x:f>
        <x:v>401.3981160086007</x:v>
      </x:c>
      <x:c r="E147" s="9">
        <x:f t="shared" si="39"/>
        <x:v>1224.5048974896235</x:v>
      </x:c>
      <x:c r="F147" s="9" t="n">
        <x:f>E147/Inputs!$C$12</x:f>
        <x:v>687.9240997132716</x:v>
      </x:c>
      <x:c r="G147" s="9" t="n">
        <x:f>2*E147/Inputs!$C$21*1000000</x:f>
        <x:v>8.169017363936645</x:v>
      </x:c>
      <x:c r="H147" s="9" t="n">
        <x:f>SQRT(A147^2+Inputs!$C$6^2)</x:f>
        <x:v>27.95084971874737</x:v>
      </x:c>
      <x:c r="I147" s="9">
        <x:f t="shared" si="40"/>
        <x:v>3.9954384393380811</x:v>
      </x:c>
      <x:c r="J147" s="9" t="n">
        <x:f>DEGREES((2*PI()/Inputs!$C$13)*Inputs!$C$15*SIN(RADIANS(I147)))</x:f>
        <x:v>25.083739154474603</x:v>
      </x:c>
      <x:c r="K147" s="9">
        <x:f t="shared" si="41"/>
        <x:v>0.98785332541878812</x:v>
      </x:c>
      <x:c r="L147" s="9">
        <x:f t="shared" si="42"/>
        <x:v>-5.3075338435927766E-2</x:v>
      </x:c>
      <x:c r="M147" s="9" t="n">
        <x:f>2*(Inputs!$C$9/(Inputs!$C$10^2))*A147</x:f>
        <x:v>0.027777777777777776</x:v>
      </x:c>
      <x:c r="N147" s="9" t="n">
        <x:f>M147*Inputs!$C$11</x:f>
        <x:v>0.1111111111111111</x:v>
      </x:c>
      <x:c r="O147" s="9" t="n">
        <x:f>1000*(D148-D146)/(A148-A146)*Inputs!$C$11</x:f>
        <x:v>267.334479958663</x:v>
      </x:c>
      <x:c r="P147" s="9" t="n">
        <x:f>-2*O147/Inputs!$C$13</x:f>
        <x:v>-106.9337919834652</x:v>
      </x:c>
      <x:c r="Q147" s="9" t="n">
        <x:f>-2*O147/Inputs!$C$14</x:f>
        <x:v>-16.056124922442223</x:v>
      </x:c>
      <x:c r="R147" s="9" t="n">
        <x:f>F147-Inputs!$C$16/2</x:f>
        <x:v>672.9240997132716</x:v>
      </x:c>
      <x:c r="S147" s="9" t="n">
        <x:f>F147+Inputs!$C$16/2</x:f>
        <x:v>702.9240997132716</x:v>
      </x:c>
      <x:c r="T147" s="9" t="n">
        <x:f>F147-Inputs!$C$17/2</x:f>
        <x:v>537.9240997132716</x:v>
      </x:c>
      <x:c r="U147" s="9" t="n">
        <x:f>F147+Inputs!$C$17/2</x:f>
        <x:v>837.9240997132716</x:v>
      </x:c>
      <x:c r="V147" s="9">
        <x:f t="shared" si="43"/>
        <x:v>106.9337919834652</x:v>
      </x:c>
      <x:c r="W147" s="9">
        <x:f t="shared" si="44"/>
        <x:v>16.056124922442223</x:v>
      </x:c>
      <x:c r="X147" s="9"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x:f>
        <x:v>-5.687454175445142</x:v>
      </x:c>
      <x:c r="Y147" s="9"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x:f>
        <x:v>434.12423495839124</x:v>
      </x:c>
      <x:c r="Z147" s="9">
        <x:f t="shared" si="45"/>
        <x:v>400.17929856528656</x:v>
      </x:c>
      <x:c r="AA147" s="9" t="n">
        <x:f>SQRT((Inputs!$C$52+B147)^2+(Inputs!$C$52+Y147/1000)^2-2*(Inputs!$C$52+B147)*(Inputs!$C$52+Y147/1000)*COS(SQRT(A147^2+Inputs!$C$6^2)/Inputs!$C$52))</x:f>
        <x:v>400.96565797831903</x:v>
      </x:c>
      <x:c r="AB147" s="9">
        <x:f t="shared" si="46"/>
        <x:v>786.35941303247137</x:v>
      </x:c>
      <x:c r="AC147" s="9" t="n">
        <x:f>AB147/Inputs!$C$12</x:f>
        <x:v>441.77495114183785</x:v>
      </x:c>
      <x:c r="AD147" s="9" t="n">
        <x:f>2*AB147/Inputs!$C$21*1000000</x:f>
        <x:v>5.246025322174525</x:v>
      </x:c>
      <x:c r="AE147" s="9">
        <x:f t="shared" si="47"/>
        <x:v>3.9997634810820641</x:v>
      </x:c>
      <x:c r="AF147" s="9" t="n">
        <x:f>DEGREES((2*PI()/Inputs!$C$13)*Inputs!$C$15*SIN(RADIANS(AE147)))</x:f>
        <x:v>25.110848075526988</x:v>
      </x:c>
      <x:c r="AG147" s="9">
        <x:f t="shared" si="48"/>
        <x:v>0.99217839083462411</x:v>
      </x:c>
      <x:c r="AH147" s="9">
        <x:f t="shared" si="49"/>
        <x:v>-3.4102359205529453E-2</x:v>
      </x:c>
      <x:c r="AI147" s="9">
        <x:f t="shared" si="50"/>
        <x:v>-246.14914857143378</x:v>
      </x:c>
      <x:c r="AJ147" s="9">
        <x:f t="shared" si="51"/>
        <x:v>-2.9229920417621198</x:v>
      </x:c>
      <x:c r="AK147" s="9">
        <x:f t="shared" si="52"/>
        <x:v>439.81168913383641</x:v>
      </x:c>
      <x:c r="AL147" s="9" t="n">
        <x:f>1000*(AA148-AA146)/(A148-A146)*Inputs!$C$11</x:f>
        <x:v>243.6483230324029</x:v>
      </x:c>
      <x:c r="AM147" s="9" t="n">
        <x:f>-2*AL147/Inputs!$C$13</x:f>
        <x:v>-97.45932921296117</x:v>
      </x:c>
      <x:c r="AN147" s="9" t="n">
        <x:f>-2*AL147/Inputs!$C$14</x:f>
        <x:v>-14.633532914859035</x:v>
      </x:c>
      <x:c r="AO147" s="9">
        <x:f t="shared" si="53"/>
        <x:v>97.459329212961165</x:v>
      </x:c>
      <x:c r="AP147" s="9">
        <x:f t="shared" si="54"/>
        <x:v>14.633532914859035</x:v>
      </x:c>
      <x:c r="AQ147" s="9" t="n">
        <x:f>IF(OR(Inputs!$C$27=TRUE,Inputs!$C$27="TRUE",Inputs!$C$27=1),Inputs!$C$46/Inputs!$C$12,0)</x:f>
        <x:v>42.13483146067416</x:v>
      </x:c>
      <x:c r="AR147" s="9">
        <x:f t="shared" si="55"/>
        <x:v>399.6401196811637</x:v>
      </x:c>
      <x:c r="AS147" s="9">
        <x:f t="shared" si="56"/>
        <x:v>483.909782602512</x:v>
      </x:c>
    </x:row>
    <x:row r="148">
      <x:c r="A148" s="9" t="n">
        <x:f>Inputs!$C$7+146*(Inputs!$C$8-Inputs!$C$7)/240</x:f>
        <x:v>13</x:v>
      </x:c>
      <x:c r="B148" s="9" t="n">
        <x:f>Inputs!$C$5+Inputs!$C$9*(A148/Inputs!$C$10)^2</x:f>
        <x:v>400.1877777777778</x:v>
      </x:c>
      <x:c r="C148" s="9">
        <x:f t="shared" si="38"/>
        <x:v>400.1877777777778</x:v>
      </x:c>
      <x:c r="D148" s="9" t="n">
        <x:f>SQRT((Inputs!$C$52+B148)^2+Inputs!$C$52^2-2*(Inputs!$C$52+B148)*Inputs!$C$52*COS(SQRT(A148^2+Inputs!$C$6^2)/Inputs!$C$52))</x:f>
        <x:v>401.43220013468226</x:v>
      </x:c>
      <x:c r="E148" s="9">
        <x:f t="shared" si="39"/>
        <x:v>1244.4223569044652</x:v>
      </x:c>
      <x:c r="F148" s="9" t="n">
        <x:f>E148/Inputs!$C$12</x:f>
        <x:v>699.1136836541939</x:v>
      </x:c>
      <x:c r="G148" s="9" t="n">
        <x:f>2*E148/Inputs!$C$21*1000000</x:f>
        <x:v>8.301892350503795</x:v>
      </x:c>
      <x:c r="H148" s="9" t="n">
        <x:f>SQRT(A148^2+Inputs!$C$6^2)</x:f>
        <x:v>28.178005607210743</x:v>
      </x:c>
      <x:c r="I148" s="9">
        <x:f t="shared" si="40"/>
        <x:v>4.0276607135085563</x:v>
      </x:c>
      <x:c r="J148" s="9" t="n">
        <x:f>DEGREES((2*PI()/Inputs!$C$13)*Inputs!$C$15*SIN(RADIANS(I148)))</x:f>
        <x:v>25.285701641717207</x:v>
      </x:c>
      <x:c r="K148" s="9">
        <x:f t="shared" si="41"/>
        <x:v>0.98765771332714303</x:v>
      </x:c>
      <x:c r="L148" s="9">
        <x:f t="shared" si="42"/>
        <x:v>-5.3935401990182485E-2</x:v>
      </x:c>
      <x:c r="M148" s="9" t="n">
        <x:f>2*(Inputs!$C$9/(Inputs!$C$10^2))*A148</x:f>
        <x:v>0.028888888888888888</x:v>
      </x:c>
      <x:c r="N148" s="9" t="n">
        <x:f>M148*Inputs!$C$11</x:f>
        <x:v>0.11555555555555555</x:v>
      </x:c>
      <x:c r="O148" s="9" t="n">
        <x:f>1000*(D149-D147)/(A149-A147)*Inputs!$C$11</x:f>
        <x:v>278.01054033716355</x:v>
      </x:c>
      <x:c r="P148" s="9" t="n">
        <x:f>-2*O148/Inputs!$C$13</x:f>
        <x:v>-111.20421613486542</x:v>
      </x:c>
      <x:c r="Q148" s="9" t="n">
        <x:f>-2*O148/Inputs!$C$14</x:f>
        <x:v>-16.697329749979794</x:v>
      </x:c>
      <x:c r="R148" s="9" t="n">
        <x:f>F148-Inputs!$C$16/2</x:f>
        <x:v>684.1136836541939</x:v>
      </x:c>
      <x:c r="S148" s="9" t="n">
        <x:f>F148+Inputs!$C$16/2</x:f>
        <x:v>714.1136836541939</x:v>
      </x:c>
      <x:c r="T148" s="9" t="n">
        <x:f>F148-Inputs!$C$17/2</x:f>
        <x:v>549.1136836541939</x:v>
      </x:c>
      <x:c r="U148" s="9" t="n">
        <x:f>F148+Inputs!$C$17/2</x:f>
        <x:v>849.1136836541939</x:v>
      </x:c>
      <x:c r="V148" s="9">
        <x:f t="shared" si="43"/>
        <x:v>111.20421613486542</x:v>
      </x:c>
      <x:c r="W148" s="9">
        <x:f t="shared" si="44"/>
        <x:v>16.697329749979794</x:v>
      </x:c>
      <x:c r="X148" s="9"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x:f>
        <x:v>-3.618490966575764</x:v>
      </x:c>
      <x:c r="Y148" s="9"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x:f>
        <x:v>428.8351991704085</x:v>
      </x:c>
      <x:c r="Z148" s="9">
        <x:f t="shared" si="45"/>
        <x:v>400.19139626874437</x:v>
      </x:c>
      <x:c r="AA148" s="9" t="n">
        <x:f>SQRT((Inputs!$C$52+B148)^2+(Inputs!$C$52+Y148/1000)^2-2*(Inputs!$C$52+B148)*(Inputs!$C$52+Y148/1000)*COS(SQRT(A148^2+Inputs!$C$6^2)/Inputs!$C$52))</x:f>
        <x:v>401.00503746859056</x:v>
      </x:c>
      <x:c r="AB148" s="9">
        <x:f t="shared" si="46"/>
        <x:v>813.6411998461881</x:v>
      </x:c>
      <x:c r="AC148" s="9" t="n">
        <x:f>AB148/Inputs!$C$12</x:f>
        <x:v>457.10179766639783</x:v>
      </x:c>
      <x:c r="AD148" s="9" t="n">
        <x:f>2*AB148/Inputs!$C$21*1000000</x:f>
        <x:v>5.428029812852651</x:v>
      </x:c>
      <x:c r="AE148" s="9">
        <x:f t="shared" si="47"/>
        <x:v>4.0319670816827795</x:v>
      </x:c>
      <x:c r="AF148" s="9" t="n">
        <x:f>DEGREES((2*PI()/Inputs!$C$13)*Inputs!$C$15*SIN(RADIANS(AE148)))</x:f>
        <x:v>25.312692453940397</x:v>
      </x:c>
      <x:c r="AG148" s="9">
        <x:f t="shared" si="48"/>
        <x:v>0.99190864803194323</x:v>
      </x:c>
      <x:c r="AH148" s="9">
        <x:f t="shared" si="49"/>
        <x:v>-3.5283232918873253E-2</x:v>
      </x:c>
      <x:c r="AI148" s="9">
        <x:f t="shared" si="50"/>
        <x:v>-242.01188598779606</x:v>
      </x:c>
      <x:c r="AJ148" s="9">
        <x:f t="shared" si="51"/>
        <x:v>-2.873862537651144</x:v>
      </x:c>
      <x:c r="AK148" s="9">
        <x:f t="shared" si="52"/>
        <x:v>432.45369013698428</x:v>
      </x:c>
      <x:c r="AL148" s="9" t="n">
        <x:f>1000*(AA149-AA147)/(A149-A147)*Inputs!$C$11</x:f>
        <x:v>378.94144782217154</x:v>
      </x:c>
      <x:c r="AM148" s="9" t="n">
        <x:f>-2*AL148/Inputs!$C$13</x:f>
        <x:v>-151.57657912886862</x:v>
      </x:c>
      <x:c r="AN148" s="9" t="n">
        <x:f>-2*AL148/Inputs!$C$14</x:f>
        <x:v>-22.75924611544574</x:v>
      </x:c>
      <x:c r="AO148" s="9">
        <x:f t="shared" si="53"/>
        <x:v>151.57657912886862</x:v>
      </x:c>
      <x:c r="AP148" s="9">
        <x:f t="shared" si="54"/>
        <x:v>22.759246115445741</x:v>
      </x:c>
      <x:c r="AQ148" s="9" t="n">
        <x:f>IF(OR(Inputs!$C$27=TRUE,Inputs!$C$27="TRUE",Inputs!$C$27=1),Inputs!$C$46/Inputs!$C$12,0)</x:f>
        <x:v>42.13483146067416</x:v>
      </x:c>
      <x:c r="AR148" s="9">
        <x:f t="shared" si="55"/>
        <x:v>414.96696620572368</x:v>
      </x:c>
      <x:c r="AS148" s="9">
        <x:f t="shared" si="56"/>
        <x:v>499.23662912707198</x:v>
      </x:c>
    </x:row>
    <x:row r="149">
      <x:c r="A149" s="9" t="n">
        <x:f>Inputs!$C$7+147*(Inputs!$C$8-Inputs!$C$7)/240</x:f>
        <x:v>13.5</x:v>
      </x:c>
      <x:c r="B149" s="9" t="n">
        <x:f>Inputs!$C$5+Inputs!$C$9*(A149/Inputs!$C$10)^2</x:f>
        <x:v>400.2025</x:v>
      </x:c>
      <x:c r="C149" s="9">
        <x:f t="shared" si="38"/>
        <x:v>400.20249999999999</x:v>
      </x:c>
      <x:c r="D149" s="9" t="n">
        <x:f>SQRT((Inputs!$C$52+B149)^2+Inputs!$C$52^2-2*(Inputs!$C$52+B149)*Inputs!$C$52*COS(SQRT(A149^2+Inputs!$C$6^2)/Inputs!$C$52))</x:f>
        <x:v>401.467618643685</x:v>
      </x:c>
      <x:c r="E149" s="9">
        <x:f t="shared" si="39"/>
        <x:v>1265.1186436850139</x:v>
      </x:c>
      <x:c r="F149" s="9" t="n">
        <x:f>E149/Inputs!$C$12</x:f>
        <x:v>710.7408110589965</x:v>
      </x:c>
      <x:c r="G149" s="9" t="n">
        <x:f>2*E149/Inputs!$C$21*1000000</x:f>
        <x:v>8.439963113982099</x:v>
      </x:c>
      <x:c r="H149" s="9" t="n">
        <x:f>SQRT(A149^2+Inputs!$C$6^2)</x:f>
        <x:v>28.412145290350743</x:v>
      </x:c>
      <x:c r="I149" s="9">
        <x:f t="shared" si="40"/>
        <x:v>4.0608673737375272</x:v>
      </x:c>
      <x:c r="J149" s="9" t="n">
        <x:f>DEGREES((2*PI()/Inputs!$C$13)*Inputs!$C$15*SIN(RADIANS(I149)))</x:f>
        <x:v>25.49382568709516</x:v>
      </x:c>
      <x:c r="K149" s="9">
        <x:f t="shared" si="41"/>
        <x:v>0.98745451827381159</x:v>
      </x:c>
      <x:c r="L149" s="9">
        <x:f t="shared" si="42"/>
        <x:v>-5.4828986560327947E-2</x:v>
      </x:c>
      <x:c r="M149" s="9" t="n">
        <x:f>2*(Inputs!$C$9/(Inputs!$C$10^2))*A149</x:f>
        <x:v>0.03</x:v>
      </x:c>
      <x:c r="N149" s="9" t="n">
        <x:f>M149*Inputs!$C$11</x:f>
        <x:v>0.12</x:v>
      </x:c>
      <x:c r="O149" s="9" t="n">
        <x:f>1000*(D150-D148)/(A150-A148)*Inputs!$C$11</x:f>
        <x:v>288.68456805867027</x:v>
      </x:c>
      <x:c r="P149" s="9" t="n">
        <x:f>-2*O149/Inputs!$C$13</x:f>
        <x:v>-115.4738272234681</x:v>
      </x:c>
      <x:c r="Q149" s="9" t="n">
        <x:f>-2*O149/Inputs!$C$14</x:f>
        <x:v>-17.338412496016232</x:v>
      </x:c>
      <x:c r="R149" s="9" t="n">
        <x:f>F149-Inputs!$C$16/2</x:f>
        <x:v>695.7408110589965</x:v>
      </x:c>
      <x:c r="S149" s="9" t="n">
        <x:f>F149+Inputs!$C$16/2</x:f>
        <x:v>725.7408110589965</x:v>
      </x:c>
      <x:c r="T149" s="9" t="n">
        <x:f>F149-Inputs!$C$17/2</x:f>
        <x:v>560.7408110589965</x:v>
      </x:c>
      <x:c r="U149" s="9" t="n">
        <x:f>F149+Inputs!$C$17/2</x:f>
        <x:v>860.7408110589965</x:v>
      </x:c>
      <x:c r="V149" s="9">
        <x:f t="shared" si="43"/>
        <x:v>115.47382722346811</x:v>
      </x:c>
      <x:c r="W149" s="9">
        <x:f t="shared" si="44"/>
        <x:v>17.338412496016232</x:v>
      </x:c>
      <x:c r="X149" s="9"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x:f>
        <x:v>0.04576132524433074</x:v>
      </x:c>
      <x:c r="Y149" s="9"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x:f>
        <x:v>408.84619240872695</x:v>
      </x:c>
      <x:c r="Z149" s="9">
        <x:f t="shared" si="45"/>
        <x:v>400.20245423867476</x:v>
      </x:c>
      <x:c r="AA149" s="9" t="n">
        <x:f>SQRT((Inputs!$C$52+B149)^2+(Inputs!$C$52+Y149/1000)^2-2*(Inputs!$C$52+B149)*(Inputs!$C$52+Y149/1000)*COS(SQRT(A149^2+Inputs!$C$6^2)/Inputs!$C$52))</x:f>
        <x:v>401.0603933402746</x:v>
      </x:c>
      <x:c r="AB149" s="9">
        <x:f t="shared" si="46"/>
        <x:v>857.93910159981124</x:v>
      </x:c>
      <x:c r="AC149" s="9" t="n">
        <x:f>AB149/Inputs!$C$12</x:f>
        <x:v>481.98825932573664</x:v>
      </x:c>
      <x:c r="AD149" s="9" t="n">
        <x:f>2*AB149/Inputs!$C$21*1000000</x:f>
        <x:v>5.723553603205129</x:v>
      </x:c>
      <x:c r="AE149" s="9">
        <x:f t="shared" si="47"/>
        <x:v>4.0650062768377149</x:v>
      </x:c>
      <x:c r="AF149" s="9" t="n">
        <x:f>DEGREES((2*PI()/Inputs!$C$13)*Inputs!$C$15*SIN(RADIANS(AE149)))</x:f>
        <x:v>25.519765825853014</x:v>
      </x:c>
      <x:c r="AG149" s="9">
        <x:f t="shared" si="48"/>
        <x:v>0.99147071000255482</x:v>
      </x:c>
      <x:c r="AH149" s="9">
        <x:f t="shared" si="49"/>
        <x:v>-3.7201111834971087E-2</x:v>
      </x:c>
      <x:c r="AI149" s="9">
        <x:f t="shared" si="50"/>
        <x:v>-228.75255173325991</x:v>
      </x:c>
      <x:c r="AJ149" s="9">
        <x:f t="shared" si="51"/>
        <x:v>-2.7164095107769697</x:v>
      </x:c>
      <x:c r="AK149" s="9">
        <x:f t="shared" si="52"/>
        <x:v>408.80043108348264</x:v>
      </x:c>
      <x:c r="AL149" s="9" t="n">
        <x:f>1000*(AA150-AA148)/(A150-A148)*Inputs!$C$11</x:f>
        <x:v>353.78412979207496</x:v>
      </x:c>
      <x:c r="AM149" s="9" t="n">
        <x:f>-2*AL149/Inputs!$C$13</x:f>
        <x:v>-141.51365191682999</x:v>
      </x:c>
      <x:c r="AN149" s="9" t="n">
        <x:f>-2*AL149/Inputs!$C$14</x:f>
        <x:v>-21.248296083608107</x:v>
      </x:c>
      <x:c r="AO149" s="9">
        <x:f t="shared" si="53"/>
        <x:v>141.51365191682999</x:v>
      </x:c>
      <x:c r="AP149" s="9">
        <x:f t="shared" si="54"/>
        <x:v>21.248296083608107</x:v>
      </x:c>
      <x:c r="AQ149" s="9" t="n">
        <x:f>IF(OR(Inputs!$C$27=TRUE,Inputs!$C$27="TRUE",Inputs!$C$27=1),Inputs!$C$46/Inputs!$C$12,0)</x:f>
        <x:v>42.13483146067416</x:v>
      </x:c>
      <x:c r="AR149" s="9">
        <x:f t="shared" si="55"/>
        <x:v>439.85342786506249</x:v>
      </x:c>
      <x:c r="AS149" s="9">
        <x:f t="shared" si="56"/>
        <x:v>524.12309078641078</x:v>
      </x:c>
    </x:row>
    <x:row r="150">
      <x:c r="A150" s="9" t="n">
        <x:f>Inputs!$C$7+148*(Inputs!$C$8-Inputs!$C$7)/240</x:f>
        <x:v>14</x:v>
      </x:c>
      <x:c r="B150" s="9" t="n">
        <x:f>Inputs!$C$5+Inputs!$C$9*(A150/Inputs!$C$10)^2</x:f>
        <x:v>400.21777777777777</x:v>
      </x:c>
      <x:c r="C150" s="9">
        <x:f t="shared" si="38"/>
        <x:v>400.21777777777777</x:v>
      </x:c>
      <x:c r="D150" s="9" t="n">
        <x:f>SQRT((Inputs!$C$52+B150)^2+Inputs!$C$52^2-2*(Inputs!$C$52+B150)*Inputs!$C$52*COS(SQRT(A150^2+Inputs!$C$6^2)/Inputs!$C$52))</x:f>
        <x:v>401.50437127669693</x:v>
      </x:c>
      <x:c r="E150" s="9">
        <x:f t="shared" si="39"/>
        <x:v>1286.5934989191601</x:v>
      </x:c>
      <x:c r="F150" s="9" t="n">
        <x:f>E150/Inputs!$C$12</x:f>
        <x:v>722.8053364714383</x:v>
      </x:c>
      <x:c r="G150" s="9" t="n">
        <x:f>2*E150/Inputs!$C$21*1000000</x:f>
        <x:v>8.583227927095885</x:v>
      </x:c>
      <x:c r="H150" s="9" t="n">
        <x:f>SQRT(A150^2+Inputs!$C$6^2)</x:f>
        <x:v>28.653097563788805</x:v>
      </x:c>
      <x:c r="I150" s="9">
        <x:f t="shared" si="40"/>
        <x:v>4.0950335233008293</x:v>
      </x:c>
      <x:c r="J150" s="9" t="n">
        <x:f>DEGREES((2*PI()/Inputs!$C$13)*Inputs!$C$15*SIN(RADIANS(I150)))</x:f>
        <x:v>25.707954430803454</x:v>
      </x:c>
      <x:c r="K150" s="9">
        <x:f t="shared" si="41"/>
        <x:v>0.9872437503659115</x:v>
      </x:c>
      <x:c r="L150" s="9">
        <x:f t="shared" si="42"/>
        <x:v>-5.5756068344563793E-2</x:v>
      </x:c>
      <x:c r="M150" s="9" t="n">
        <x:f>2*(Inputs!$C$9/(Inputs!$C$10^2))*A150</x:f>
        <x:v>0.03111111111111111</x:v>
      </x:c>
      <x:c r="N150" s="9" t="n">
        <x:f>M150*Inputs!$C$11</x:f>
        <x:v>0.12444444444444444</x:v>
      </x:c>
      <x:c r="O150" s="9" t="n">
        <x:f>1000*(D151-D149)/(A151-A149)*Inputs!$C$11</x:f>
        <x:v>299.356485882754</x:v>
      </x:c>
      <x:c r="P150" s="9" t="n">
        <x:f>-2*O150/Inputs!$C$13</x:f>
        <x:v>-119.7425943531016</x:v>
      </x:c>
      <x:c r="Q150" s="9" t="n">
        <x:f>-2*O150/Inputs!$C$14</x:f>
        <x:v>-17.979368521486727</x:v>
      </x:c>
      <x:c r="R150" s="9" t="n">
        <x:f>F150-Inputs!$C$16/2</x:f>
        <x:v>707.8053364714383</x:v>
      </x:c>
      <x:c r="S150" s="9" t="n">
        <x:f>F150+Inputs!$C$16/2</x:f>
        <x:v>737.8053364714383</x:v>
      </x:c>
      <x:c r="T150" s="9" t="n">
        <x:f>F150-Inputs!$C$17/2</x:f>
        <x:v>572.8053364714383</x:v>
      </x:c>
      <x:c r="U150" s="9" t="n">
        <x:f>F150+Inputs!$C$17/2</x:f>
        <x:v>872.8053364714383</x:v>
      </x:c>
      <x:c r="V150" s="9">
        <x:f t="shared" si="43"/>
        <x:v>119.74259435310159</x:v>
      </x:c>
      <x:c r="W150" s="9">
        <x:f t="shared" si="44"/>
        <x:v>17.979368521486727</x:v>
      </x:c>
      <x:c r="X150" s="9"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x:f>
        <x:v>17.14805919414721</x:v>
      </x:c>
      <x:c r="Y150" s="9"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x:f>
        <x:v>412.55100068044544</x:v>
      </x:c>
      <x:c r="Z150" s="9">
        <x:f t="shared" si="45"/>
        <x:v>400.20062971858363</x:v>
      </x:c>
      <x:c r="AA150" s="9" t="n">
        <x:f>SQRT((Inputs!$C$52+B150)^2+(Inputs!$C$52+Y150/1000)^2-2*(Inputs!$C$52+B150)*(Inputs!$C$52+Y150/1000)*COS(SQRT(A150^2+Inputs!$C$6^2)/Inputs!$C$52))</x:f>
        <x:v>401.0934835010386</x:v>
      </x:c>
      <x:c r="AB150" s="9">
        <x:f t="shared" si="46"/>
        <x:v>892.8537824549494</x:v>
      </x:c>
      <x:c r="AC150" s="9" t="n">
        <x:f>AB150/Inputs!$C$12</x:f>
        <x:v>501.6032485701963</x:v>
      </x:c>
      <x:c r="AD150" s="9" t="n">
        <x:f>2*AB150/Inputs!$C$21*1000000</x:f>
        <x:v>5.956479281776657</x:v>
      </x:c>
      <x:c r="AE150" s="9">
        <x:f t="shared" si="47"/>
        <x:v>4.0992447087081025</x:v>
      </x:c>
      <x:c r="AF150" s="9" t="n">
        <x:f>DEGREES((2*PI()/Inputs!$C$13)*Inputs!$C$15*SIN(RADIANS(AE150)))</x:f>
        <x:v>25.734346467493268</x:v>
      </x:c>
      <x:c r="AG150" s="9">
        <x:f t="shared" si="48"/>
        <x:v>0.99112549132378003</x:v>
      </x:c>
      <x:c r="AH150" s="9">
        <x:f t="shared" si="49"/>
        <x:v>-3.8713538507197651E-2</x:v>
      </x:c>
      <x:c r="AI150" s="9">
        <x:f t="shared" si="50"/>
        <x:v>-221.20208790124201</x:v>
      </x:c>
      <x:c r="AJ150" s="9">
        <x:f t="shared" si="51"/>
        <x:v>-2.6267486453192284</x:v>
      </x:c>
      <x:c r="AK150" s="9">
        <x:f t="shared" si="52"/>
        <x:v>395.40294148629823</x:v>
      </x:c>
      <x:c r="AL150" s="9" t="n">
        <x:f>1000*(AA151-AA149)/(A151-A149)*Inputs!$C$11</x:f>
        <x:v>272.8045422352352</x:v>
      </x:c>
      <x:c r="AM150" s="9" t="n">
        <x:f>-2*AL150/Inputs!$C$13</x:f>
        <x:v>-109.12181689409408</x:v>
      </x:c>
      <x:c r="AN150" s="9" t="n">
        <x:f>-2*AL150/Inputs!$C$14</x:f>
        <x:v>-16.38465719130542</x:v>
      </x:c>
      <x:c r="AO150" s="9">
        <x:f t="shared" si="53"/>
        <x:v>109.12181689409408</x:v>
      </x:c>
      <x:c r="AP150" s="9">
        <x:f t="shared" si="54"/>
        <x:v>16.384657191305418</x:v>
      </x:c>
      <x:c r="AQ150" s="9" t="n">
        <x:f>IF(OR(Inputs!$C$27=TRUE,Inputs!$C$27="TRUE",Inputs!$C$27=1),Inputs!$C$46/Inputs!$C$12,0)</x:f>
        <x:v>42.13483146067416</x:v>
      </x:c>
      <x:c r="AR150" s="9">
        <x:f t="shared" si="55"/>
        <x:v>459.46841710952214</x:v>
      </x:c>
      <x:c r="AS150" s="9">
        <x:f t="shared" si="56"/>
        <x:v>543.73808003087049</x:v>
      </x:c>
    </x:row>
    <x:row r="151">
      <x:c r="A151" s="9" t="n">
        <x:f>Inputs!$C$7+149*(Inputs!$C$8-Inputs!$C$7)/240</x:f>
        <x:v>14.5</x:v>
      </x:c>
      <x:c r="B151" s="9" t="n">
        <x:f>Inputs!$C$5+Inputs!$C$9*(A151/Inputs!$C$10)^2</x:f>
        <x:v>400.2336111111111</x:v>
      </x:c>
      <x:c r="C151" s="9">
        <x:f t="shared" si="38"/>
        <x:v>400.23361111111109</x:v>
      </x:c>
      <x:c r="D151" s="9" t="n">
        <x:f>SQRT((Inputs!$C$52+B151)^2+Inputs!$C$52^2-2*(Inputs!$C$52+B151)*Inputs!$C$52*COS(SQRT(A151^2+Inputs!$C$6^2)/Inputs!$C$52))</x:f>
        <x:v>401.5424577651557</x:v>
      </x:c>
      <x:c r="E151" s="9">
        <x:f t="shared" si="39"/>
        <x:v>1308.8466540446007</x:v>
      </x:c>
      <x:c r="F151" s="9" t="n">
        <x:f>E151/Inputs!$C$12</x:f>
        <x:v>735.3071090138205</x:v>
      </x:c>
      <x:c r="G151" s="9" t="n">
        <x:f>2*E151/Inputs!$C$21*1000000</x:f>
        <x:v>8.73168499819032</x:v>
      </x:c>
      <x:c r="H151" s="9" t="n">
        <x:f>SQRT(A151^2+Inputs!$C$6^2)</x:f>
        <x:v>28.90069203323685</x:v>
      </x:c>
      <x:c r="I151" s="9">
        <x:f t="shared" si="40"/>
        <x:v>4.1301343739438137</x:v>
      </x:c>
      <x:c r="J151" s="9" t="n">
        <x:f>DEGREES((2*PI()/Inputs!$C$13)*Inputs!$C$15*SIN(RADIANS(I151)))</x:f>
        <x:v>25.927931684939455</x:v>
      </x:c>
      <x:c r="K151" s="9">
        <x:f t="shared" si="41"/>
        <x:v>0.98702542008101235</x:v>
      </x:c>
      <x:c r="L151" s="9">
        <x:f t="shared" si="42"/>
        <x:v>-5.6716622657724022E-2</x:v>
      </x:c>
      <x:c r="M151" s="9" t="n">
        <x:f>2*(Inputs!$C$9/(Inputs!$C$10^2))*A151</x:f>
        <x:v>0.03222222222222222</x:v>
      </x:c>
      <x:c r="N151" s="9" t="n">
        <x:f>M151*Inputs!$C$11</x:f>
        <x:v>0.1288888888888889</x:v>
      </x:c>
      <x:c r="O151" s="9" t="n">
        <x:f>1000*(D152-D150)/(A152-A150)*Inputs!$C$11</x:f>
        <x:v>310.026216641063</x:v>
      </x:c>
      <x:c r="P151" s="9" t="n">
        <x:f>-2*O151/Inputs!$C$13</x:f>
        <x:v>-124.0104866564252</x:v>
      </x:c>
      <x:c r="Q151" s="9" t="n">
        <x:f>-2*O151/Inputs!$C$14</x:f>
        <x:v>-18.62019319165544</x:v>
      </x:c>
      <x:c r="R151" s="9" t="n">
        <x:f>F151-Inputs!$C$16/2</x:f>
        <x:v>720.3071090138205</x:v>
      </x:c>
      <x:c r="S151" s="9" t="n">
        <x:f>F151+Inputs!$C$16/2</x:f>
        <x:v>750.3071090138205</x:v>
      </x:c>
      <x:c r="T151" s="9" t="n">
        <x:f>F151-Inputs!$C$17/2</x:f>
        <x:v>585.3071090138205</x:v>
      </x:c>
      <x:c r="U151" s="9" t="n">
        <x:f>F151+Inputs!$C$17/2</x:f>
        <x:v>885.3071090138205</x:v>
      </x:c>
      <x:c r="V151" s="9">
        <x:f t="shared" si="43"/>
        <x:v>124.0104866564252</x:v>
      </x:c>
      <x:c r="W151" s="9">
        <x:f t="shared" si="44"/>
        <x:v>18.620193191655439</x:v>
      </x:c>
      <x:c r="X151" s="9"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x:f>
        <x:v>27.325427950737776</x:v>
      </x:c>
      <x:c r="Y151" s="9"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x:f>
        <x:v>415.5675277705944</x:v>
      </x:c>
      <x:c r="Z151" s="9">
        <x:f t="shared" si="45"/>
        <x:v>400.20628568316033</x:v>
      </x:c>
      <x:c r="AA151" s="9" t="n">
        <x:f>SQRT((Inputs!$C$52+B151)^2+(Inputs!$C$52+Y151/1000)^2-2*(Inputs!$C$52+B151)*(Inputs!$C$52+Y151/1000)*COS(SQRT(A151^2+Inputs!$C$6^2)/Inputs!$C$52))</x:f>
        <x:v>401.1285944758334</x:v>
      </x:c>
      <x:c r="AB151" s="9">
        <x:f t="shared" si="46"/>
        <x:v>922.30879267304999</x:v>
      </x:c>
      <x:c r="AC151" s="9" t="n">
        <x:f>AB151/Inputs!$C$12</x:f>
        <x:v>518.151007119691</x:v>
      </x:c>
      <x:c r="AD151" s="9" t="n">
        <x:f>2*AB151/Inputs!$C$21*1000000</x:f>
        <x:v>6.152981958425719</x:v>
      </x:c>
      <x:c r="AE151" s="9">
        <x:f t="shared" si="47"/>
        <x:v>4.1344123225834135</x:v>
      </x:c>
      <x:c r="AF151" s="9" t="n">
        <x:f>DEGREES((2*PI()/Inputs!$C$13)*Inputs!$C$15*SIN(RADIANS(AE151)))</x:f>
        <x:v>25.95474095265446</x:v>
      </x:c>
      <x:c r="AG151" s="9">
        <x:f t="shared" si="48"/>
        <x:v>0.99083453333492943</x:v>
      </x:c>
      <x:c r="AH151" s="9">
        <x:f t="shared" si="49"/>
        <x:v>-3.9988654537380798E-2</x:v>
      </x:c>
      <x:c r="AI151" s="9">
        <x:f t="shared" si="50"/>
        <x:v>-217.15610189412951</x:v>
      </x:c>
      <x:c r="AJ151" s="9">
        <x:f t="shared" si="51"/>
        <x:v>-2.5787030397646005</x:v>
      </x:c>
      <x:c r="AK151" s="9">
        <x:f t="shared" si="52"/>
        <x:v>388.24209981986581</x:v>
      </x:c>
      <x:c r="AL151" s="9" t="n">
        <x:f>1000*(AA152-AA150)/(A152-A150)*Inputs!$C$11</x:f>
        <x:v>362.8588907949961</x:v>
      </x:c>
      <x:c r="AM151" s="9" t="n">
        <x:f>-2*AL151/Inputs!$C$13</x:f>
        <x:v>-145.14355631799845</x:v>
      </x:c>
      <x:c r="AN151" s="9" t="n">
        <x:f>-2*AL151/Inputs!$C$14</x:f>
        <x:v>-21.79332677447424</x:v>
      </x:c>
      <x:c r="AO151" s="9">
        <x:f t="shared" si="53"/>
        <x:v>145.14355631799845</x:v>
      </x:c>
      <x:c r="AP151" s="9">
        <x:f t="shared" si="54"/>
        <x:v>21.793326774474242</x:v>
      </x:c>
      <x:c r="AQ151" s="9" t="n">
        <x:f>IF(OR(Inputs!$C$27=TRUE,Inputs!$C$27="TRUE",Inputs!$C$27=1),Inputs!$C$46/Inputs!$C$12,0)</x:f>
        <x:v>42.13483146067416</x:v>
      </x:c>
      <x:c r="AR151" s="9">
        <x:f t="shared" si="55"/>
        <x:v>476.01617565901688</x:v>
      </x:c>
      <x:c r="AS151" s="9">
        <x:f t="shared" si="56"/>
        <x:v>560.28583858036518</x:v>
      </x:c>
    </x:row>
    <x:row r="152">
      <x:c r="A152" s="9" t="n">
        <x:f>Inputs!$C$7+150*(Inputs!$C$8-Inputs!$C$7)/240</x:f>
        <x:v>15</x:v>
      </x:c>
      <x:c r="B152" s="9" t="n">
        <x:f>Inputs!$C$5+Inputs!$C$9*(A152/Inputs!$C$10)^2</x:f>
        <x:v>400.25</x:v>
      </x:c>
      <x:c r="C152" s="9">
        <x:f t="shared" si="38"/>
        <x:v>400.25</x:v>
      </x:c>
      <x:c r="D152" s="9" t="n">
        <x:f>SQRT((Inputs!$C$52+B152)^2+Inputs!$C$52^2-2*(Inputs!$C$52+B152)*Inputs!$C$52*COS(SQRT(A152^2+Inputs!$C$6^2)/Inputs!$C$52))</x:f>
        <x:v>401.5818778308572</x:v>
      </x:c>
      <x:c r="E152" s="9">
        <x:f t="shared" si="39"/>
        <x:v>1331.877830857195</x:v>
      </x:c>
      <x:c r="F152" s="9" t="n">
        <x:f>E152/Inputs!$C$12</x:f>
        <x:v>748.2459723916826</x:v>
      </x:c>
      <x:c r="G152" s="9" t="n">
        <x:f>2*E152/Inputs!$C$21*1000000</x:f>
        <x:v>8.885332471287153</x:v>
      </x:c>
      <x:c r="H152" s="9" t="n">
        <x:f>SQRT(A152^2+Inputs!$C$6^2)</x:f>
        <x:v>29.154759474226502</x:v>
      </x:c>
      <x:c r="I152" s="9">
        <x:f t="shared" si="40"/>
        <x:v>4.1661452978542997</x:v>
      </x:c>
      <x:c r="J152" s="9" t="n">
        <x:f>DEGREES((2*PI()/Inputs!$C$13)*Inputs!$C$15*SIN(RADIANS(I152)))</x:f>
        <x:v>26.153602260558007</x:v>
      </x:c>
      <x:c r="K152" s="9">
        <x:f t="shared" si="41"/>
        <x:v>0.98679953826597866</x:v>
      </x:c>
      <x:c r="L152" s="9">
        <x:f t="shared" si="42"/>
        <x:v>-5.7710623932708614E-2</x:v>
      </x:c>
      <x:c r="M152" s="9" t="n">
        <x:f>2*(Inputs!$C$9/(Inputs!$C$10^2))*A152</x:f>
        <x:v>0.03333333333333333</x:v>
      </x:c>
      <x:c r="N152" s="9" t="n">
        <x:f>M152*Inputs!$C$11</x:f>
        <x:v>0.13333333333333333</x:v>
      </x:c>
      <x:c r="O152" s="9" t="n">
        <x:f>1000*(D153-D151)/(A153-A151)*Inputs!$C$11</x:f>
        <x:v>320.69368331076475</x:v>
      </x:c>
      <x:c r="P152" s="9" t="n">
        <x:f>-2*O152/Inputs!$C$13</x:f>
        <x:v>-128.2774733243059</x:v>
      </x:c>
      <x:c r="Q152" s="9" t="n">
        <x:f>-2*O152/Inputs!$C$14</x:f>
        <x:v>-19.260881880526412</x:v>
      </x:c>
      <x:c r="R152" s="9" t="n">
        <x:f>F152-Inputs!$C$16/2</x:f>
        <x:v>733.2459723916826</x:v>
      </x:c>
      <x:c r="S152" s="9" t="n">
        <x:f>F152+Inputs!$C$16/2</x:f>
        <x:v>763.2459723916826</x:v>
      </x:c>
      <x:c r="T152" s="9" t="n">
        <x:f>F152-Inputs!$C$17/2</x:f>
        <x:v>598.2459723916826</x:v>
      </x:c>
      <x:c r="U152" s="9" t="n">
        <x:f>F152+Inputs!$C$17/2</x:f>
        <x:v>898.2459723916826</x:v>
      </x:c>
      <x:c r="V152" s="9">
        <x:f t="shared" si="43"/>
        <x:v>128.2774733243059</x:v>
      </x:c>
      <x:c r="W152" s="9">
        <x:f t="shared" si="44"/>
        <x:v>19.260881880526412</x:v>
      </x:c>
      <x:c r="X152" s="9"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x:f>
        <x:v>45.362905639140564</x:v>
      </x:c>
      <x:c r="Y152" s="9"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x:f>
        <x:v>399.34593170493116</x:v>
      </x:c>
      <x:c r="Z152" s="9">
        <x:f t="shared" si="45"/>
        <x:v>400.20463709436086</x:v>
      </x:c>
      <x:c r="AA152" s="9" t="n">
        <x:f>SQRT((Inputs!$C$52+B152)^2+(Inputs!$C$52+Y152/1000)^2-2*(Inputs!$C$52+B152)*(Inputs!$C$52+Y152/1000)*COS(SQRT(A152^2+Inputs!$C$6^2)/Inputs!$C$52))</x:f>
        <x:v>401.1841982237373</x:v>
      </x:c>
      <x:c r="AB152" s="9">
        <x:f t="shared" si="46"/>
        <x:v>979.56112937646367</x:v>
      </x:c>
      <x:c r="AC152" s="9" t="n">
        <x:f>AB152/Inputs!$C$12</x:f>
        <x:v>550.3152412227324</x:v>
      </x:c>
      <x:c r="AD152" s="9" t="n">
        <x:f>2*AB152/Inputs!$C$21*1000000</x:f>
        <x:v>6.534928436234801</x:v>
      </x:c>
      <x:c r="AE152" s="9">
        <x:f t="shared" si="47"/>
        <x:v>4.1702915117409125</x:v>
      </x:c>
      <x:c r="AF152" s="9" t="n">
        <x:f>DEGREES((2*PI()/Inputs!$C$13)*Inputs!$C$15*SIN(RADIANS(AE152)))</x:f>
        <x:v>26.179584783351807</x:v>
      </x:c>
      <x:c r="AG152" s="9">
        <x:f t="shared" si="48"/>
        <x:v>0.99026901541721668</x:v>
      </x:c>
      <x:c r="AH152" s="9">
        <x:f t="shared" si="49"/>
        <x:v>-4.2468094018529759E-2</x:v>
      </x:c>
      <x:c r="AI152" s="9">
        <x:f t="shared" si="50"/>
        <x:v>-197.93073116895016</x:v>
      </x:c>
      <x:c r="AJ152" s="9">
        <x:f t="shared" si="51"/>
        <x:v>-2.3504040350523523</x:v>
      </x:c>
      <x:c r="AK152" s="9">
        <x:f t="shared" si="52"/>
        <x:v>353.98302606579057</x:v>
      </x:c>
      <x:c r="AL152" s="9" t="n">
        <x:f>1000*(AA153-AA151)/(A153-A151)*Inputs!$C$11</x:f>
        <x:v>400.40183724022427</x:v>
      </x:c>
      <x:c r="AM152" s="9" t="n">
        <x:f>-2*AL152/Inputs!$C$13</x:f>
        <x:v>-160.1607348960897</x:v>
      </x:c>
      <x:c r="AN152" s="9" t="n">
        <x:f>-2*AL152/Inputs!$C$14</x:f>
        <x:v>-24.048158392806265</x:v>
      </x:c>
      <x:c r="AO152" s="9">
        <x:f t="shared" si="53"/>
        <x:v>160.16073489608971</x:v>
      </x:c>
      <x:c r="AP152" s="9">
        <x:f t="shared" si="54"/>
        <x:v>24.048158392806265</x:v>
      </x:c>
      <x:c r="AQ152" s="9" t="n">
        <x:f>IF(OR(Inputs!$C$27=TRUE,Inputs!$C$27="TRUE",Inputs!$C$27=1),Inputs!$C$46/Inputs!$C$12,0)</x:f>
        <x:v>42.13483146067416</x:v>
      </x:c>
      <x:c r="AR152" s="9">
        <x:f t="shared" si="55"/>
        <x:v>508.18040976205828</x:v>
      </x:c>
      <x:c r="AS152" s="9">
        <x:f t="shared" si="56"/>
        <x:v>592.45007268340657</x:v>
      </x:c>
    </x:row>
    <x:row r="153">
      <x:c r="A153" s="9" t="n">
        <x:f>Inputs!$C$7+151*(Inputs!$C$8-Inputs!$C$7)/240</x:f>
        <x:v>15.5</x:v>
      </x:c>
      <x:c r="B153" s="9" t="n">
        <x:f>Inputs!$C$5+Inputs!$C$9*(A153/Inputs!$C$10)^2</x:f>
        <x:v>400.26694444444445</x:v>
      </x:c>
      <x:c r="C153" s="9">
        <x:f t="shared" si="38"/>
        <x:v>400.26694444444445</x:v>
      </x:c>
      <x:c r="D153" s="9" t="n">
        <x:f>SQRT((Inputs!$C$52+B153)^2+Inputs!$C$52^2-2*(Inputs!$C$52+B153)*Inputs!$C$52*COS(SQRT(A153^2+Inputs!$C$6^2)/Inputs!$C$52))</x:f>
        <x:v>401.6226311859834</x:v>
      </x:c>
      <x:c r="E153" s="9">
        <x:f t="shared" si="39"/>
        <x:v>1355.686741538932</x:v>
      </x:c>
      <x:c r="F153" s="9" t="n">
        <x:f>E153/Inputs!$C$12</x:f>
        <x:v>761.6217649095123</x:v>
      </x:c>
      <x:c r="G153" s="9" t="n">
        <x:f>2*E153/Inputs!$C$21*1000000</x:f>
        <x:v>9.044168426271296</x:v>
      </x:c>
      <x:c r="H153" s="9" t="n">
        <x:f>SQRT(A153^2+Inputs!$C$6^2)</x:f>
        <x:v>29.415132160165456</x:v>
      </x:c>
      <x:c r="I153" s="9">
        <x:f t="shared" si="40"/>
        <x:v>4.2030418750829472</x:v>
      </x:c>
      <x:c r="J153" s="9" t="n">
        <x:f>DEGREES((2*PI()/Inputs!$C$13)*Inputs!$C$15*SIN(RADIANS(I153)))</x:f>
        <x:v>26.38481226611161</x:v>
      </x:c>
      <x:c r="K153" s="9">
        <x:f t="shared" si="41"/>
        <x:v>0.98656611613558876</x:v>
      </x:c>
      <x:c r="L153" s="9">
        <x:f t="shared" si="42"/>
        <x:v>-5.8738045722776966E-2</x:v>
      </x:c>
      <x:c r="M153" s="9" t="n">
        <x:f>2*(Inputs!$C$9/(Inputs!$C$10^2))*A153</x:f>
        <x:v>0.034444444444444444</x:v>
      </x:c>
      <x:c r="N153" s="9" t="n">
        <x:f>M153*Inputs!$C$11</x:f>
        <x:v>0.13777777777777778</x:v>
      </x:c>
      <x:c r="O153" s="9" t="n">
        <x:f>1000*(D154-D152)/(A154-A152)*Inputs!$C$11</x:f>
        <x:v>331.3588089863515</x:v>
      </x:c>
      <x:c r="P153" s="9" t="n">
        <x:f>-2*O153/Inputs!$C$13</x:f>
        <x:v>-132.5435235945406</x:v>
      </x:c>
      <x:c r="Q153" s="9" t="n">
        <x:f>-2*O153/Inputs!$C$14</x:f>
        <x:v>-19.901429969150243</x:v>
      </x:c>
      <x:c r="R153" s="9" t="n">
        <x:f>F153-Inputs!$C$16/2</x:f>
        <x:v>746.6217649095123</x:v>
      </x:c>
      <x:c r="S153" s="9" t="n">
        <x:f>F153+Inputs!$C$16/2</x:f>
        <x:v>776.6217649095123</x:v>
      </x:c>
      <x:c r="T153" s="9" t="n">
        <x:f>F153-Inputs!$C$17/2</x:f>
        <x:v>611.6217649095123</x:v>
      </x:c>
      <x:c r="U153" s="9" t="n">
        <x:f>F153+Inputs!$C$17/2</x:f>
        <x:v>911.6217649095123</x:v>
      </x:c>
      <x:c r="V153" s="9">
        <x:f t="shared" si="43"/>
        <x:v>132.5435235945406</x:v>
      </x:c>
      <x:c r="W153" s="9">
        <x:f t="shared" si="44"/>
        <x:v>19.901429969150243</x:v>
      </x:c>
      <x:c r="X153" s="9"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x:f>
        <x:v>49.090179641950456</x:v>
      </x:c>
      <x:c r="Y153" s="9"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x:f>
        <x:v>395.616361037493</x:v>
      </x:c>
      <x:c r="Z153" s="9">
        <x:f t="shared" si="45"/>
        <x:v>400.2178542648025</x:v>
      </x:c>
      <x:c r="AA153" s="9" t="n">
        <x:f>SQRT((Inputs!$C$52+B153)^2+(Inputs!$C$52+Y153/1000)^2-2*(Inputs!$C$52+B153)*(Inputs!$C$52+Y153/1000)*COS(SQRT(A153^2+Inputs!$C$6^2)/Inputs!$C$52))</x:f>
        <x:v>401.22869493514344</x:v>
      </x:c>
      <x:c r="AB153" s="9">
        <x:f t="shared" si="46"/>
        <x:v>1010.8406703409401</x:v>
      </x:c>
      <x:c r="AC153" s="9" t="n">
        <x:f>AB153/Inputs!$C$12</x:f>
        <x:v>567.8880170454719</x:v>
      </x:c>
      <x:c r="AD153" s="9" t="n">
        <x:f>2*AB153/Inputs!$C$21*1000000</x:f>
        <x:v>6.743603071835383</x:v>
      </x:c>
      <x:c r="AE153" s="9">
        <x:f t="shared" si="47"/>
        <x:v>4.2071852691483231</x:v>
      </x:c>
      <x:c r="AF153" s="9" t="n">
        <x:f>DEGREES((2*PI()/Inputs!$C$13)*Inputs!$C$15*SIN(RADIANS(AE153)))</x:f>
        <x:v>26.410775894420482</x:v>
      </x:c>
      <x:c r="AG153" s="9">
        <x:f t="shared" si="48"/>
        <x:v>0.98996056779235098</x:v>
      </x:c>
      <x:c r="AH153" s="9">
        <x:f t="shared" si="49"/>
        <x:v>-4.3821039188670988E-2</x:v>
      </x:c>
      <x:c r="AI153" s="9">
        <x:f t="shared" si="50"/>
        <x:v>-193.73374786404042</x:v>
      </x:c>
      <x:c r="AJ153" s="9">
        <x:f t="shared" si="51"/>
        <x:v>-2.3005653544359133</x:v>
      </x:c>
      <x:c r="AK153" s="9">
        <x:f t="shared" si="52"/>
        <x:v>346.52618139554255</x:v>
      </x:c>
      <x:c r="AL153" s="9" t="n">
        <x:f>1000*(AA154-AA152)/(A154-A152)*Inputs!$C$11</x:f>
        <x:v>327.76450689675585</x:v>
      </x:c>
      <x:c r="AM153" s="9" t="n">
        <x:f>-2*AL153/Inputs!$C$13</x:f>
        <x:v>-131.10580275870234</x:v>
      </x:c>
      <x:c r="AN153" s="9" t="n">
        <x:f>-2*AL153/Inputs!$C$14</x:f>
        <x:v>-19.685555969775127</x:v>
      </x:c>
      <x:c r="AO153" s="9">
        <x:f t="shared" si="53"/>
        <x:v>131.10580275870234</x:v>
      </x:c>
      <x:c r="AP153" s="9">
        <x:f t="shared" si="54"/>
        <x:v>19.685555969775127</x:v>
      </x:c>
      <x:c r="AQ153" s="9" t="n">
        <x:f>IF(OR(Inputs!$C$27=TRUE,Inputs!$C$27="TRUE",Inputs!$C$27=1),Inputs!$C$46/Inputs!$C$12,0)</x:f>
        <x:v>42.13483146067416</x:v>
      </x:c>
      <x:c r="AR153" s="9">
        <x:f t="shared" si="55"/>
        <x:v>525.75318558479773</x:v>
      </x:c>
      <x:c r="AS153" s="9">
        <x:f t="shared" si="56"/>
        <x:v>610.02284850614603</x:v>
      </x:c>
    </x:row>
    <x:row r="154">
      <x:c r="A154" s="9" t="n">
        <x:f>Inputs!$C$7+152*(Inputs!$C$8-Inputs!$C$7)/240</x:f>
        <x:v>16</x:v>
      </x:c>
      <x:c r="B154" s="9" t="n">
        <x:f>Inputs!$C$5+Inputs!$C$9*(A154/Inputs!$C$10)^2</x:f>
        <x:v>400.28444444444443</x:v>
      </x:c>
      <x:c r="C154" s="9">
        <x:f t="shared" si="38"/>
        <x:v>400.28444444444443</x:v>
      </x:c>
      <x:c r="D154" s="9" t="n">
        <x:f>SQRT((Inputs!$C$52+B154)^2+Inputs!$C$52^2-2*(Inputs!$C$52+B154)*Inputs!$C$52*COS(SQRT(A154^2+Inputs!$C$6^2)/Inputs!$C$52))</x:f>
        <x:v>401.6647175331038</x:v>
      </x:c>
      <x:c r="E154" s="9">
        <x:f t="shared" si="39"/>
        <x:v>1380.2730886593508</x:v>
      </x:c>
      <x:c r="F154" s="9" t="n">
        <x:f>E154/Inputs!$C$12</x:f>
        <x:v>775.4343194715455</x:v>
      </x:c>
      <x:c r="G154" s="9" t="n">
        <x:f>2*E154/Inputs!$C$21*1000000</x:f>
        <x:v>9.2081908789003</x:v>
      </x:c>
      <x:c r="H154" s="9" t="n">
        <x:f>SQRT(A154^2+Inputs!$C$6^2)</x:f>
        <x:v>29.68164415931166</x:v>
      </x:c>
      <x:c r="I154" s="9">
        <x:f t="shared" si="40"/>
        <x:v>4.2407999364952262</x:v>
      </x:c>
      <x:c r="J154" s="9" t="n">
        <x:f>DEGREES((2*PI()/Inputs!$C$13)*Inputs!$C$15*SIN(RADIANS(I154)))</x:f>
        <x:v>26.621409377803502</x:v>
      </x:c>
      <x:c r="K154" s="9">
        <x:f t="shared" si="41"/>
        <x:v>0.98632516527137304</x:v>
      </x:c>
      <x:c r="L154" s="9">
        <x:f t="shared" si="42"/>
        <x:v>-5.9798860702752601E-2</x:v>
      </x:c>
      <x:c r="M154" s="9" t="n">
        <x:f>2*(Inputs!$C$9/(Inputs!$C$10^2))*A154</x:f>
        <x:v>0.035555555555555556</x:v>
      </x:c>
      <x:c r="N154" s="9" t="n">
        <x:f>M154*Inputs!$C$11</x:f>
        <x:v>0.14222222222222222</x:v>
      </x:c>
      <x:c r="O154" s="9" t="n">
        <x:f>1000*(D155-D153)/(A155-A153)*Inputs!$C$11</x:f>
        <x:v>342.02151684144155</x:v>
      </x:c>
      <x:c r="P154" s="9" t="n">
        <x:f>-2*O154/Inputs!$C$13</x:f>
        <x:v>-136.80860673657662</x:v>
      </x:c>
      <x:c r="Q154" s="9" t="n">
        <x:f>-2*O154/Inputs!$C$14</x:f>
        <x:v>-20.541832843329825</x:v>
      </x:c>
      <x:c r="R154" s="9" t="n">
        <x:f>F154-Inputs!$C$16/2</x:f>
        <x:v>760.4343194715455</x:v>
      </x:c>
      <x:c r="S154" s="9" t="n">
        <x:f>F154+Inputs!$C$16/2</x:f>
        <x:v>790.4343194715455</x:v>
      </x:c>
      <x:c r="T154" s="9" t="n">
        <x:f>F154-Inputs!$C$17/2</x:f>
        <x:v>625.4343194715455</x:v>
      </x:c>
      <x:c r="U154" s="9" t="n">
        <x:f>F154+Inputs!$C$17/2</x:f>
        <x:v>925.4343194715455</x:v>
      </x:c>
      <x:c r="V154" s="9">
        <x:f t="shared" si="43"/>
        <x:v>136.80860673657662</x:v>
      </x:c>
      <x:c r="W154" s="9">
        <x:f t="shared" si="44"/>
        <x:v>20.541832843329825</x:v>
      </x:c>
      <x:c r="X154" s="9"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x:f>
        <x:v>69.7201880441823</x:v>
      </x:c>
      <x:c r="Y154" s="9"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x:f>
        <x:v>400.30891755789503</x:v>
      </x:c>
      <x:c r="Z154" s="9">
        <x:f t="shared" si="45"/>
        <x:v>400.21472425640025</x:v>
      </x:c>
      <x:c r="AA154" s="9" t="n">
        <x:f>SQRT((Inputs!$C$52+B154)^2+(Inputs!$C$52+Y154/1000)^2-2*(Inputs!$C$52+B154)*(Inputs!$C$52+Y154/1000)*COS(SQRT(A154^2+Inputs!$C$6^2)/Inputs!$C$52))</x:f>
        <x:v>401.2661393504615</x:v>
      </x:c>
      <x:c r="AB154" s="9">
        <x:f t="shared" si="46"/>
        <x:v>1051.4150940612694</x:v>
      </x:c>
      <x:c r="AC154" s="9" t="n">
        <x:f>AB154/Inputs!$C$12</x:f>
        <x:v>590.6826371130727</x:v>
      </x:c>
      <x:c r="AD154" s="9" t="n">
        <x:f>2*AB154/Inputs!$C$21*1000000</x:f>
        <x:v>7.014286490564546</x:v>
      </x:c>
      <x:c r="AE154" s="9">
        <x:f t="shared" si="47"/>
        <x:v>4.2450297302301694</x:v>
      </x:c>
      <x:c r="AF154" s="9" t="n">
        <x:f>DEGREES((2*PI()/Inputs!$C$13)*Inputs!$C$15*SIN(RADIANS(AE154)))</x:f>
        <x:v>26.647913118326404</x:v>
      </x:c>
      <x:c r="AG154" s="9">
        <x:f t="shared" si="48"/>
        <x:v>0.9895601471486235</x:v>
      </x:c>
      <x:c r="AH154" s="9">
        <x:f t="shared" si="49"/>
        <x:v>-4.5578034981342476E-2</x:v>
      </x:c>
      <x:c r="AI154" s="9">
        <x:f t="shared" si="50"/>
        <x:v>-184.75168235847275</x:v>
      </x:c>
      <x:c r="AJ154" s="9">
        <x:f t="shared" si="51"/>
        <x:v>-2.1939043883357545</x:v>
      </x:c>
      <x:c r="AK154" s="9">
        <x:f t="shared" si="52"/>
        <x:v>330.58872951371274</x:v>
      </x:c>
      <x:c r="AL154" s="9" t="n">
        <x:f>1000*(AA155-AA153)/(A155-A153)*Inputs!$C$11</x:f>
        <x:v>300.1127662851104</x:v>
      </x:c>
      <x:c r="AM154" s="9" t="n">
        <x:f>-2*AL154/Inputs!$C$13</x:f>
        <x:v>-120.04510651404416</x:v>
      </x:c>
      <x:c r="AN154" s="9" t="n">
        <x:f>-2*AL154/Inputs!$C$14</x:f>
        <x:v>-18.0247907678745</x:v>
      </x:c>
      <x:c r="AO154" s="9">
        <x:f t="shared" si="53"/>
        <x:v>120.04510651404416</x:v>
      </x:c>
      <x:c r="AP154" s="9">
        <x:f t="shared" si="54"/>
        <x:v>18.024790767874499</x:v>
      </x:c>
      <x:c r="AQ154" s="9" t="n">
        <x:f>IF(OR(Inputs!$C$27=TRUE,Inputs!$C$27="TRUE",Inputs!$C$27=1),Inputs!$C$46/Inputs!$C$12,0)</x:f>
        <x:v>42.13483146067416</x:v>
      </x:c>
      <x:c r="AR154" s="9">
        <x:f t="shared" si="55"/>
        <x:v>548.54780565239855</x:v>
      </x:c>
      <x:c r="AS154" s="9">
        <x:f t="shared" si="56"/>
        <x:v>632.81746857374685</x:v>
      </x:c>
    </x:row>
    <x:row r="155">
      <x:c r="A155" s="9" t="n">
        <x:f>Inputs!$C$7+153*(Inputs!$C$8-Inputs!$C$7)/240</x:f>
        <x:v>16.5</x:v>
      </x:c>
      <x:c r="B155" s="9" t="n">
        <x:f>Inputs!$C$5+Inputs!$C$9*(A155/Inputs!$C$10)^2</x:f>
        <x:v>400.3025</x:v>
      </x:c>
      <x:c r="C155" s="9">
        <x:f t="shared" si="38"/>
        <x:v>400.30250000000001</x:v>
      </x:c>
      <x:c r="D155" s="9" t="n">
        <x:f>SQRT((Inputs!$C$52+B155)^2+Inputs!$C$52^2-2*(Inputs!$C$52+B155)*Inputs!$C$52*COS(SQRT(A155^2+Inputs!$C$6^2)/Inputs!$C$52))</x:f>
        <x:v>401.70813656519374</x:v>
      </x:c>
      <x:c r="E155" s="9">
        <x:f t="shared" si="39"/>
        <x:v>1405.6365651937313</x:v>
      </x:c>
      <x:c r="F155" s="9" t="n">
        <x:f>E155/Inputs!$C$12</x:f>
        <x:v>789.6834635919838</x:v>
      </x:c>
      <x:c r="G155" s="9" t="n">
        <x:f>2*E155/Inputs!$C$21*1000000</x:f>
        <x:v>9.377397780925705</x:v>
      </x:c>
      <x:c r="H155" s="9" t="n">
        <x:f>SQRT(A155^2+Inputs!$C$6^2)</x:f>
        <x:v>29.95413160150032</x:v>
      </x:c>
      <x:c r="I155" s="9">
        <x:f t="shared" si="40"/>
        <x:v>4.2793956023743185</x:v>
      </x:c>
      <x:c r="J155" s="9" t="n">
        <x:f>DEGREES((2*PI()/Inputs!$C$13)*Inputs!$C$15*SIN(RADIANS(I155)))</x:f>
        <x:v>26.863243082603024</x:v>
      </x:c>
      <x:c r="K155" s="9">
        <x:f t="shared" si="41"/>
        <x:v>0.98607669762025285</x:v>
      </x:c>
      <x:c r="L155" s="9">
        <x:f t="shared" si="42"/>
        <x:v>-6.089304067098239E-2</x:v>
      </x:c>
      <x:c r="M155" s="9" t="n">
        <x:f>2*(Inputs!$C$9/(Inputs!$C$10^2))*A155</x:f>
        <x:v>0.03666666666666667</x:v>
      </x:c>
      <x:c r="N155" s="9" t="n">
        <x:f>M155*Inputs!$C$11</x:f>
        <x:v>0.14666666666666667</x:v>
      </x:c>
      <x:c r="O155" s="9" t="n">
        <x:f>1000*(D156-D154)/(A156-A154)*Inputs!$C$11</x:f>
        <x:v>352.68173018312154</x:v>
      </x:c>
      <x:c r="P155" s="9" t="n">
        <x:f>-2*O155/Inputs!$C$13</x:f>
        <x:v>-141.07269207324862</x:v>
      </x:c>
      <x:c r="Q155" s="9" t="n">
        <x:f>-2*O155/Inputs!$C$14</x:f>
        <x:v>-21.18208589688418</x:v>
      </x:c>
      <x:c r="R155" s="9" t="n">
        <x:f>F155-Inputs!$C$16/2</x:f>
        <x:v>774.6834635919838</x:v>
      </x:c>
      <x:c r="S155" s="9" t="n">
        <x:f>F155+Inputs!$C$16/2</x:f>
        <x:v>804.6834635919838</x:v>
      </x:c>
      <x:c r="T155" s="9" t="n">
        <x:f>F155-Inputs!$C$17/2</x:f>
        <x:v>639.6834635919838</x:v>
      </x:c>
      <x:c r="U155" s="9" t="n">
        <x:f>F155+Inputs!$C$17/2</x:f>
        <x:v>939.6834635919838</x:v>
      </x:c>
      <x:c r="V155" s="9">
        <x:f t="shared" si="43"/>
        <x:v>141.07269207324862</x:v>
      </x:c>
      <x:c r="W155" s="9">
        <x:f t="shared" si="44"/>
        <x:v>21.182085896884178</x:v>
      </x:c>
      <x:c r="X155" s="9"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x:f>
        <x:v>71.50919840907298</x:v>
      </x:c>
      <x:c r="Y155" s="9"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x:f>
        <x:v>406.20178346502695</x:v>
      </x:c>
      <x:c r="Z155" s="9">
        <x:f t="shared" si="45"/>
        <x:v>400.23099080159096</x:v>
      </x:c>
      <x:c r="AA155" s="9" t="n">
        <x:f>SQRT((Inputs!$C$52+B155)^2+(Inputs!$C$52+Y155/1000)^2-2*(Inputs!$C$52+B155)*(Inputs!$C$52+Y155/1000)*COS(SQRT(A155^2+Inputs!$C$6^2)/Inputs!$C$52))</x:f>
        <x:v>401.3037231267147</x:v>
      </x:c>
      <x:c r="AB155" s="9">
        <x:f t="shared" si="46"/>
        <x:v>1072.7323251237522</x:v>
      </x:c>
      <x:c r="AC155" s="9" t="n">
        <x:f>AB155/Inputs!$C$12</x:f>
        <x:v>602.6586096200855</x:v>
      </x:c>
      <x:c r="AD155" s="9" t="n">
        <x:f>2*AB155/Inputs!$C$21*1000000</x:f>
        <x:v>7.1564997483942845</x:v>
      </x:c>
      <x:c r="AE155" s="9">
        <x:f t="shared" si="47"/>
        <x:v>4.2837263020607317</x:v>
      </x:c>
      <x:c r="AF155" s="9" t="n">
        <x:f>DEGREES((2*PI()/Inputs!$C$13)*Inputs!$C$15*SIN(RADIANS(AE155)))</x:f>
        <x:v>26.890377732243536</x:v>
      </x:c>
      <x:c r="AG155" s="9">
        <x:f t="shared" si="48"/>
        <x:v>0.98935032382613852</x:v>
      </x:c>
      <x:c r="AH155" s="9">
        <x:f t="shared" si="49"/>
        <x:v>-4.6498997428182566E-2</x:v>
      </x:c>
      <x:c r="AI155" s="9">
        <x:f t="shared" si="50"/>
        <x:v>-187.02485397189832</x:v>
      </x:c>
      <x:c r="AJ155" s="9">
        <x:f t="shared" si="51"/>
        <x:v>-2.2208980325314203</x:v>
      </x:c>
      <x:c r="AK155" s="9">
        <x:f t="shared" si="52"/>
        <x:v>334.69258505595394</x:v>
      </x:c>
      <x:c r="AL155" s="9" t="n">
        <x:f>1000*(AA156-AA154)/(A156-A154)*Inputs!$C$11</x:f>
        <x:v>342.63141293536137</x:v>
      </x:c>
      <x:c r="AM155" s="9" t="n">
        <x:f>-2*AL155/Inputs!$C$13</x:f>
        <x:v>-137.05256517414455</x:v>
      </x:c>
      <x:c r="AN155" s="9" t="n">
        <x:f>-2*AL155/Inputs!$C$14</x:f>
        <x:v>-20.578463239361046</x:v>
      </x:c>
      <x:c r="AO155" s="9">
        <x:f t="shared" si="53"/>
        <x:v>137.05256517414455</x:v>
      </x:c>
      <x:c r="AP155" s="9">
        <x:f t="shared" si="54"/>
        <x:v>20.578463239361046</x:v>
      </x:c>
      <x:c r="AQ155" s="9" t="n">
        <x:f>IF(OR(Inputs!$C$27=TRUE,Inputs!$C$27="TRUE",Inputs!$C$27=1),Inputs!$C$46/Inputs!$C$12,0)</x:f>
        <x:v>42.13483146067416</x:v>
      </x:c>
      <x:c r="AR155" s="9">
        <x:f t="shared" si="55"/>
        <x:v>560.52377815941134</x:v>
      </x:c>
      <x:c r="AS155" s="9">
        <x:f t="shared" si="56"/>
        <x:v>644.79344108075964</x:v>
      </x:c>
    </x:row>
    <x:row r="156">
      <x:c r="A156" s="9" t="n">
        <x:f>Inputs!$C$7+154*(Inputs!$C$8-Inputs!$C$7)/240</x:f>
        <x:v>17</x:v>
      </x:c>
      <x:c r="B156" s="9" t="n">
        <x:f>Inputs!$C$5+Inputs!$C$9*(A156/Inputs!$C$10)^2</x:f>
        <x:v>400.3211111111111</x:v>
      </x:c>
      <x:c r="C156" s="9">
        <x:f t="shared" si="38"/>
        <x:v>400.32111111111112</x:v>
      </x:c>
      <x:c r="D156" s="9" t="n">
        <x:f>SQRT((Inputs!$C$52+B156)^2+Inputs!$C$52^2-2*(Inputs!$C$52+B156)*Inputs!$C$52*COS(SQRT(A156^2+Inputs!$C$6^2)/Inputs!$C$52))</x:f>
        <x:v>401.75288796564956</x:v>
      </x:c>
      <x:c r="E156" s="9">
        <x:f t="shared" si="39"/>
        <x:v>1431.7768545384411</x:v>
      </x:c>
      <x:c r="F156" s="9" t="n">
        <x:f>E156/Inputs!$C$12</x:f>
        <x:v>804.3690194036186</x:v>
      </x:c>
      <x:c r="G156" s="9" t="n">
        <x:f>2*E156/Inputs!$C$21*1000000</x:f>
        <x:v>9.551787020195425</x:v>
      </x:c>
      <x:c r="H156" s="9" t="n">
        <x:f>SQRT(A156^2+Inputs!$C$6^2)</x:f>
        <x:v>30.23243291566195</x:v>
      </x:c>
      <x:c r="I156" s="9">
        <x:f t="shared" si="40"/>
        <x:v>4.3188053168235525</x:v>
      </x:c>
      <x:c r="J156" s="9" t="n">
        <x:f>DEGREES((2*PI()/Inputs!$C$13)*Inputs!$C$15*SIN(RADIANS(I156)))</x:f>
        <x:v>27.110164894856272</x:v>
      </x:c>
      <x:c r="K156" s="9">
        <x:f t="shared" si="41"/>
        <x:v>0.98582072549317235</x:v>
      </x:c>
      <x:c r="L156" s="9">
        <x:f t="shared" si="42"/>
        <x:v>-6.202055655120494E-2</x:v>
      </x:c>
      <x:c r="M156" s="9" t="n">
        <x:f>2*(Inputs!$C$9/(Inputs!$C$10^2))*A156</x:f>
        <x:v>0.03777777777777778</x:v>
      </x:c>
      <x:c r="N156" s="9" t="n">
        <x:f>M156*Inputs!$C$11</x:f>
        <x:v>0.1511111111111111</x:v>
      </x:c>
      <x:c r="O156" s="9" t="n">
        <x:f>1000*(D157-D155)/(A157-A155)*Inputs!$C$11</x:f>
        <x:v>363.33937246513415</x:v>
      </x:c>
      <x:c r="P156" s="9" t="n">
        <x:f>-2*O156/Inputs!$C$13</x:f>
        <x:v>-145.33574898605366</x:v>
      </x:c>
      <x:c r="Q156" s="9" t="n">
        <x:f>-2*O156/Inputs!$C$14</x:f>
        <x:v>-21.82218453244049</x:v>
      </x:c>
      <x:c r="R156" s="9" t="n">
        <x:f>F156-Inputs!$C$16/2</x:f>
        <x:v>789.3690194036186</x:v>
      </x:c>
      <x:c r="S156" s="9" t="n">
        <x:f>F156+Inputs!$C$16/2</x:f>
        <x:v>819.3690194036186</x:v>
      </x:c>
      <x:c r="T156" s="9" t="n">
        <x:f>F156-Inputs!$C$17/2</x:f>
        <x:v>654.3690194036186</x:v>
      </x:c>
      <x:c r="U156" s="9" t="n">
        <x:f>F156+Inputs!$C$17/2</x:f>
        <x:v>954.3690194036186</x:v>
      </x:c>
      <x:c r="V156" s="9">
        <x:f t="shared" si="43"/>
        <x:v>145.33574898605366</x:v>
      </x:c>
      <x:c r="W156" s="9">
        <x:f t="shared" si="44"/>
        <x:v>21.822184532440492</x:v>
      </x:c>
      <x:c r="X156" s="9"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x:f>
        <x:v>58.586187093984584</x:v>
      </x:c>
      <x:c r="Y156" s="9"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x:f>
        <x:v>402.8973585501548</x:v>
      </x:c>
      <x:c r="Z156" s="9">
        <x:f t="shared" si="45"/>
        <x:v>400.26252492401716</x:v>
      </x:c>
      <x:c r="AA156" s="9" t="n">
        <x:f>SQRT((Inputs!$C$52+B156)^2+(Inputs!$C$52+Y156/1000)^2-2*(Inputs!$C$52+B156)*(Inputs!$C$52+Y156/1000)*COS(SQRT(A156^2+Inputs!$C$6^2)/Inputs!$C$52))</x:f>
        <x:v>401.35179720369536</x:v>
      </x:c>
      <x:c r="AB156" s="9">
        <x:f t="shared" si="46"/>
        <x:v>1089.2722796781982</x:v>
      </x:c>
      <x:c r="AC156" s="9" t="n">
        <x:f>AB156/Inputs!$C$12</x:f>
        <x:v>611.950718920336</x:v>
      </x:c>
      <x:c r="AD156" s="9" t="n">
        <x:f>2*AB156/Inputs!$C$21*1000000</x:f>
        <x:v>7.2668424479057325</x:v>
      </x:c>
      <x:c r="AE156" s="9">
        <x:f t="shared" si="47"/>
        <x:v>4.3231398077564087</x:v>
      </x:c>
      <x:c r="AF156" s="9" t="n">
        <x:f>DEGREES((2*PI()/Inputs!$C$13)*Inputs!$C$15*SIN(RADIANS(AE156)))</x:f>
        <x:v>27.1373218940922</x:v>
      </x:c>
      <x:c r="AG156" s="9">
        <x:f t="shared" si="48"/>
        <x:v>0.98918808024786109</x:v>
      </x:c>
      <x:c r="AH156" s="9">
        <x:f t="shared" si="49"/>
        <x:v>-4.7211255434223526E-2</x:v>
      </x:c>
      <x:c r="AI156" s="9">
        <x:f t="shared" si="50"/>
        <x:v>-192.41830048328256</x:v>
      </x:c>
      <x:c r="AJ156" s="9">
        <x:f t="shared" si="51"/>
        <x:v>-2.2849445722896924</x:v>
      </x:c>
      <x:c r="AK156" s="9">
        <x:f t="shared" si="52"/>
        <x:v>344.31117145621937</x:v>
      </x:c>
      <x:c r="AL156" s="9" t="n">
        <x:f>1000*(AA157-AA155)/(A157-A155)*Inputs!$C$11</x:f>
        <x:v>338.145091799106</x:v>
      </x:c>
      <x:c r="AM156" s="9" t="n">
        <x:f>-2*AL156/Inputs!$C$13</x:f>
        <x:v>-135.2580367196424</x:v>
      </x:c>
      <x:c r="AN156" s="9" t="n">
        <x:f>-2*AL156/Inputs!$C$14</x:f>
        <x:v>-20.309014522468832</x:v>
      </x:c>
      <x:c r="AO156" s="9">
        <x:f t="shared" si="53"/>
        <x:v>135.2580367196424</x:v>
      </x:c>
      <x:c r="AP156" s="9">
        <x:f t="shared" si="54"/>
        <x:v>20.309014522468832</x:v>
      </x:c>
      <x:c r="AQ156" s="9" t="n">
        <x:f>IF(OR(Inputs!$C$27=TRUE,Inputs!$C$27="TRUE",Inputs!$C$27=1),Inputs!$C$46/Inputs!$C$12,0)</x:f>
        <x:v>42.13483146067416</x:v>
      </x:c>
      <x:c r="AR156" s="9">
        <x:f t="shared" si="55"/>
        <x:v>569.81588745966189</x:v>
      </x:c>
      <x:c r="AS156" s="9">
        <x:f t="shared" si="56"/>
        <x:v>654.08555038101019</x:v>
      </x:c>
    </x:row>
    <x:row r="157">
      <x:c r="A157" s="9" t="n">
        <x:f>Inputs!$C$7+155*(Inputs!$C$8-Inputs!$C$7)/240</x:f>
        <x:v>17.5</x:v>
      </x:c>
      <x:c r="B157" s="9" t="n">
        <x:f>Inputs!$C$5+Inputs!$C$9*(A157/Inputs!$C$10)^2</x:f>
        <x:v>400.34027777777777</x:v>
      </x:c>
      <x:c r="C157" s="9">
        <x:f t="shared" si="38"/>
        <x:v>400.34027777777777</x:v>
      </x:c>
      <x:c r="D157" s="9" t="n">
        <x:f>SQRT((Inputs!$C$52+B157)^2+Inputs!$C$52^2-2*(Inputs!$C$52+B157)*Inputs!$C$52*COS(SQRT(A157^2+Inputs!$C$6^2)/Inputs!$C$52))</x:f>
        <x:v>401.79897140831</x:v>
      </x:c>
      <x:c r="E157" s="9">
        <x:f t="shared" si="39"/>
        <x:v>1458.6936305322524</x:v>
      </x:c>
      <x:c r="F157" s="9" t="n">
        <x:f>E157/Inputs!$C$12</x:f>
        <x:v>819.4908036698047</x:v>
      </x:c>
      <x:c r="G157" s="9" t="n">
        <x:f>2*E157/Inputs!$C$21*1000000</x:f>
        <x:v>9.731356420795965</x:v>
      </x:c>
      <x:c r="H157" s="9" t="n">
        <x:f>SQRT(A157^2+Inputs!$C$6^2)</x:f>
        <x:v>30.516389039334257</x:v>
      </x:c>
      <x:c r="I157" s="9">
        <x:f t="shared" si="40"/>
        <x:v>4.3590058781406578</x:v>
      </x:c>
      <x:c r="J157" s="9" t="n">
        <x:f>DEGREES((2*PI()/Inputs!$C$13)*Inputs!$C$15*SIN(RADIANS(I157)))</x:f>
        <x:v>27.3620285475742</x:v>
      </x:c>
      <x:c r="K157" s="9">
        <x:f t="shared" si="41"/>
        <x:v>0.98555726156363421</x:v>
      </x:c>
      <x:c r="L157" s="9">
        <x:f t="shared" si="42"/>
        <x:v>-6.3181378394721641E-2</x:v>
      </x:c>
      <x:c r="M157" s="9" t="n">
        <x:f>2*(Inputs!$C$9/(Inputs!$C$10^2))*A157</x:f>
        <x:v>0.03888888888888889</x:v>
      </x:c>
      <x:c r="N157" s="9" t="n">
        <x:f>M157*Inputs!$C$11</x:f>
        <x:v>0.15555555555555556</x:v>
      </x:c>
      <x:c r="O157" s="9" t="n">
        <x:f>1000*(D158-D156)/(A158-A156)*Inputs!$C$11</x:f>
        <x:v>373.9943672410391</x:v>
      </x:c>
      <x:c r="P157" s="9" t="n">
        <x:f>-2*O157/Inputs!$C$13</x:f>
        <x:v>-149.59774689641563</x:v>
      </x:c>
      <x:c r="Q157" s="9" t="n">
        <x:f>-2*O157/Inputs!$C$14</x:f>
        <x:v>-22.462124158620966</x:v>
      </x:c>
      <x:c r="R157" s="9" t="n">
        <x:f>F157-Inputs!$C$16/2</x:f>
        <x:v>804.4908036698047</x:v>
      </x:c>
      <x:c r="S157" s="9" t="n">
        <x:f>F157+Inputs!$C$16/2</x:f>
        <x:v>834.4908036698047</x:v>
      </x:c>
      <x:c r="T157" s="9" t="n">
        <x:f>F157-Inputs!$C$17/2</x:f>
        <x:v>669.4908036698047</x:v>
      </x:c>
      <x:c r="U157" s="9" t="n">
        <x:f>F157+Inputs!$C$17/2</x:f>
        <x:v>969.4908036698047</x:v>
      </x:c>
      <x:c r="V157" s="9">
        <x:f t="shared" si="43"/>
        <x:v>149.59774689641563</x:v>
      </x:c>
      <x:c r="W157" s="9">
        <x:f t="shared" si="44"/>
        <x:v>22.462124158620966</x:v>
      </x:c>
      <x:c r="X157" s="9"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x:f>
        <x:v>65.71226511619231</x:v>
      </x:c>
      <x:c r="Y157" s="9"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x:f>
        <x:v>412.59673853506814</x:v>
      </x:c>
      <x:c r="Z157" s="9">
        <x:f t="shared" si="45"/>
        <x:v>400.27456551266158</x:v>
      </x:c>
      <x:c r="AA157" s="9" t="n">
        <x:f>SQRT((Inputs!$C$52+B157)^2+(Inputs!$C$52+Y157/1000)^2-2*(Inputs!$C$52+B157)*(Inputs!$C$52+Y157/1000)*COS(SQRT(A157^2+Inputs!$C$6^2)/Inputs!$C$52))</x:f>
        <x:v>401.3882593996645</x:v>
      </x:c>
      <x:c r="AB157" s="9">
        <x:f t="shared" si="46"/>
        <x:v>1113.6938870029098</x:v>
      </x:c>
      <x:c r="AC157" s="9" t="n">
        <x:f>AB157/Inputs!$C$12</x:f>
        <x:v>625.6707230353426</x:v>
      </x:c>
      <x:c r="AD157" s="9" t="n">
        <x:f>2*AB157/Inputs!$C$21*1000000</x:f>
        <x:v>7.429765874916772</x:v>
      </x:c>
      <x:c r="AE157" s="9">
        <x:f t="shared" si="47"/>
        <x:v>4.3634856107694207</x:v>
      </x:c>
      <x:c r="AF157" s="9" t="n">
        <x:f>DEGREES((2*PI()/Inputs!$C$13)*Inputs!$C$15*SIN(RADIANS(AE157)))</x:f>
        <x:v>27.390094035827868</x:v>
      </x:c>
      <x:c r="AG157" s="9">
        <x:f t="shared" si="48"/>
        <x:v>0.9889476850627692</x:v>
      </x:c>
      <x:c r="AH157" s="9">
        <x:f t="shared" si="49"/>
        <x:v>-4.826681799677679E-2</x:v>
      </x:c>
      <x:c r="AI157" s="9">
        <x:f t="shared" si="50"/>
        <x:v>-193.8200806344621</x:v>
      </x:c>
      <x:c r="AJ157" s="9">
        <x:f t="shared" si="51"/>
        <x:v>-2.3015905458791934</x:v>
      </x:c>
      <x:c r="AK157" s="9">
        <x:f t="shared" si="52"/>
        <x:v>346.88447341892493</x:v>
      </x:c>
      <x:c r="AL157" s="9" t="n">
        <x:f>1000*(AA158-AA156)/(A158-A156)*Inputs!$C$11</x:f>
        <x:v>316.65908526474595</x:v>
      </x:c>
      <x:c r="AM157" s="9" t="n">
        <x:f>-2*AL157/Inputs!$C$13</x:f>
        <x:v>-126.66363410589838</x:v>
      </x:c>
      <x:c r="AN157" s="9" t="n">
        <x:f>-2*AL157/Inputs!$C$14</x:f>
        <x:v>-19.018563679564323</x:v>
      </x:c>
      <x:c r="AO157" s="9">
        <x:f t="shared" si="53"/>
        <x:v>126.66363410589838</x:v>
      </x:c>
      <x:c r="AP157" s="9">
        <x:f t="shared" si="54"/>
        <x:v>19.018563679564323</x:v>
      </x:c>
      <x:c r="AQ157" s="9" t="n">
        <x:f>IF(OR(Inputs!$C$27=TRUE,Inputs!$C$27="TRUE",Inputs!$C$27=1),Inputs!$C$46/Inputs!$C$12,0)</x:f>
        <x:v>42.13483146067416</x:v>
      </x:c>
      <x:c r="AR157" s="9">
        <x:f t="shared" si="55"/>
        <x:v>583.53589157466843</x:v>
      </x:c>
      <x:c r="AS157" s="9">
        <x:f t="shared" si="56"/>
        <x:v>667.80555449601673</x:v>
      </x:c>
    </x:row>
    <x:row r="158">
      <x:c r="A158" s="9" t="n">
        <x:f>Inputs!$C$7+156*(Inputs!$C$8-Inputs!$C$7)/240</x:f>
        <x:v>18</x:v>
      </x:c>
      <x:c r="B158" s="9" t="n">
        <x:f>Inputs!$C$5+Inputs!$C$9*(A158/Inputs!$C$10)^2</x:f>
        <x:v>400.36</x:v>
      </x:c>
      <x:c r="C158" s="9">
        <x:f t="shared" si="38"/>
        <x:v>400.36</x:v>
      </x:c>
      <x:c r="D158" s="9" t="n">
        <x:f>SQRT((Inputs!$C$52+B158)^2+Inputs!$C$52^2-2*(Inputs!$C$52+B158)*Inputs!$C$52*COS(SQRT(A158^2+Inputs!$C$6^2)/Inputs!$C$52))</x:f>
        <x:v>401.8463865574598</x:v>
      </x:c>
      <x:c r="E158" s="9">
        <x:f t="shared" si="39"/>
        <x:v>1486.3865574598094</x:v>
      </x:c>
      <x:c r="F158" s="9" t="n">
        <x:f>E158/Inputs!$C$12</x:f>
        <x:v>835.0486277864097</x:v>
      </x:c>
      <x:c r="G158" s="9" t="n">
        <x:f>2*E158/Inputs!$C$21*1000000</x:f>
        <x:v>9.916103743075547</x:v>
      </x:c>
      <x:c r="H158" s="9" t="n">
        <x:f>SQRT(A158^2+Inputs!$C$6^2)</x:f>
        <x:v>30.805843601498726</x:v>
      </x:c>
      <x:c r="I158" s="9">
        <x:f t="shared" si="40"/>
        <x:v>4.3999744653546005</x:v>
      </x:c>
      <x:c r="J158" s="9" t="n">
        <x:f>DEGREES((2*PI()/Inputs!$C$13)*Inputs!$C$15*SIN(RADIANS(I158)))</x:f>
        <x:v>27.618690159596383</x:v>
      </x:c>
      <x:c r="K158" s="9">
        <x:f t="shared" si="41"/>
        <x:v>0.98528631886637685</x:v>
      </x:c>
      <x:c r="L158" s="9">
        <x:f t="shared" si="42"/>
        <x:v>-6.4375475381824754E-2</x:v>
      </x:c>
      <x:c r="M158" s="9" t="n">
        <x:f>2*(Inputs!$C$9/(Inputs!$C$10^2))*A158</x:f>
        <x:v>0.04</x:v>
      </x:c>
      <x:c r="N158" s="9" t="n">
        <x:f>M158*Inputs!$C$11</x:f>
        <x:v>0.16</x:v>
      </x:c>
      <x:c r="O158" s="9" t="n">
        <x:f>1000*(D159-D157)/(A159-A157)*Inputs!$C$11</x:f>
        <x:v>384.64663819468115</x:v>
      </x:c>
      <x:c r="P158" s="9" t="n">
        <x:f>-2*O158/Inputs!$C$13</x:f>
        <x:v>-153.85865527787246</x:v>
      </x:c>
      <x:c r="Q158" s="9" t="n">
        <x:f>-2*O158/Inputs!$C$14</x:f>
        <x:v>-23.101900191872744</x:v>
      </x:c>
      <x:c r="R158" s="9" t="n">
        <x:f>F158-Inputs!$C$16/2</x:f>
        <x:v>820.0486277864097</x:v>
      </x:c>
      <x:c r="S158" s="9" t="n">
        <x:f>F158+Inputs!$C$16/2</x:f>
        <x:v>850.0486277864097</x:v>
      </x:c>
      <x:c r="T158" s="9" t="n">
        <x:f>F158-Inputs!$C$17/2</x:f>
        <x:v>685.0486277864097</x:v>
      </x:c>
      <x:c r="U158" s="9" t="n">
        <x:f>F158+Inputs!$C$17/2</x:f>
        <x:v>985.0486277864097</x:v>
      </x:c>
      <x:c r="V158" s="9">
        <x:f t="shared" si="43"/>
        <x:v>153.85865527787246</x:v>
      </x:c>
      <x:c r="W158" s="9">
        <x:f t="shared" si="44"/>
        <x:v>23.101900191872744</x:v>
      </x:c>
      <x:c r="X158" s="9"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x:f>
        <x:v>70.50298613715029</x:v>
      </x:c>
      <x:c r="Y158" s="9"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x:f>
        <x:v>417.3671248555401</x:v>
      </x:c>
      <x:c r="Z158" s="9">
        <x:f t="shared" si="45"/>
        <x:v>400.28949701386284</x:v>
      </x:c>
      <x:c r="AA158" s="9" t="n">
        <x:f>SQRT((Inputs!$C$52+B158)^2+(Inputs!$C$52+Y158/1000)^2-2*(Inputs!$C$52+B158)*(Inputs!$C$52+Y158/1000)*COS(SQRT(A158^2+Inputs!$C$6^2)/Inputs!$C$52))</x:f>
        <x:v>401.43096197501154</x:v>
      </x:c>
      <x:c r="AB158" s="9">
        <x:f t="shared" si="46"/>
        <x:v>1141.4649611486993</x:v>
      </x:c>
      <x:c r="AC158" s="9" t="n">
        <x:f>AB158/Inputs!$C$12</x:f>
        <x:v>641.272450083539</x:v>
      </x:c>
      <x:c r="AD158" s="9" t="n">
        <x:f>2*AB158/Inputs!$C$21*1000000</x:f>
        <x:v>7.615034539319193</x:v>
      </x:c>
      <x:c r="AE158" s="9">
        <x:f t="shared" si="47"/>
        <x:v>4.4045480764100216</x:v>
      </x:c>
      <x:c r="AF158" s="9" t="n">
        <x:f>DEGREES((2*PI()/Inputs!$C$13)*Inputs!$C$15*SIN(RADIANS(AE158)))</x:f>
        <x:v>27.6473422237353</x:v>
      </x:c>
      <x:c r="AG158" s="9">
        <x:f t="shared" si="48"/>
        <x:v>0.98867446036763684</x:v>
      </x:c>
      <x:c r="AH158" s="9">
        <x:f t="shared" si="49"/>
        <x:v>-4.9466844791024062E-2</x:v>
      </x:c>
      <x:c r="AI158" s="9">
        <x:f t="shared" si="50"/>
        <x:v>-193.77617770287077</x:v>
      </x:c>
      <x:c r="AJ158" s="9">
        <x:f t="shared" si="51"/>
        <x:v>-2.301069203756354</x:v>
      </x:c>
      <x:c r="AK158" s="9">
        <x:f t="shared" si="52"/>
        <x:v>346.86413871843894</x:v>
      </x:c>
      <x:c r="AL158" s="9" t="n">
        <x:f>1000*(AA159-AA157)/(A159-A157)*Inputs!$C$11</x:f>
        <x:v>379.2263461082257</x:v>
      </x:c>
      <x:c r="AM158" s="9" t="n">
        <x:f>-2*AL158/Inputs!$C$13</x:f>
        <x:v>-151.69053844329028</x:v>
      </x:c>
      <x:c r="AN158" s="9" t="n">
        <x:f>-2*AL158/Inputs!$C$14</x:f>
        <x:v>-22.77635712361716</x:v>
      </x:c>
      <x:c r="AO158" s="9">
        <x:f t="shared" si="53"/>
        <x:v>151.69053844329028</x:v>
      </x:c>
      <x:c r="AP158" s="9">
        <x:f t="shared" si="54"/>
        <x:v>22.77635712361716</x:v>
      </x:c>
      <x:c r="AQ158" s="9" t="n">
        <x:f>IF(OR(Inputs!$C$27=TRUE,Inputs!$C$27="TRUE",Inputs!$C$27=1),Inputs!$C$46/Inputs!$C$12,0)</x:f>
        <x:v>42.13483146067416</x:v>
      </x:c>
      <x:c r="AR158" s="9">
        <x:f t="shared" si="55"/>
        <x:v>599.13761862286481</x:v>
      </x:c>
      <x:c r="AS158" s="9">
        <x:f t="shared" si="56"/>
        <x:v>683.40728154421311</x:v>
      </x:c>
    </x:row>
    <x:row r="159">
      <x:c r="A159" s="9" t="n">
        <x:f>Inputs!$C$7+157*(Inputs!$C$8-Inputs!$C$7)/240</x:f>
        <x:v>18.5</x:v>
      </x:c>
      <x:c r="B159" s="9" t="n">
        <x:f>Inputs!$C$5+Inputs!$C$9*(A159/Inputs!$C$10)^2</x:f>
        <x:v>400.3802777777778</x:v>
      </x:c>
      <x:c r="C159" s="9">
        <x:f t="shared" si="38"/>
        <x:v>400.38027777777779</x:v>
      </x:c>
      <x:c r="D159" s="9" t="n">
        <x:f>SQRT((Inputs!$C$52+B159)^2+Inputs!$C$52^2-2*(Inputs!$C$52+B159)*Inputs!$C$52*COS(SQRT(A159^2+Inputs!$C$6^2)/Inputs!$C$52))</x:f>
        <x:v>401.8951330678587</x:v>
      </x:c>
      <x:c r="E159" s="9">
        <x:f t="shared" si="39"/>
        <x:v>1514.8552900809023</x:v>
      </x:c>
      <x:c r="F159" s="9" t="n">
        <x:f>E159/Inputs!$C$12</x:f>
        <x:v>851.0422977982597</x:v>
      </x:c>
      <x:c r="G159" s="9" t="n">
        <x:f>2*E159/Inputs!$C$21*1000000</x:f>
        <x:v>10.106026683839406</x:v>
      </x:c>
      <x:c r="H159" s="9" t="n">
        <x:f>SQRT(A159^2+Inputs!$C$6^2)</x:f>
        <x:v>31.100643080167973</x:v>
      </x:c>
      <x:c r="I159" s="9">
        <x:f t="shared" si="40"/>
        <x:v>4.4416886611294961</x:v>
      </x:c>
      <x:c r="J159" s="9" t="n">
        <x:f>DEGREES((2*PI()/Inputs!$C$13)*Inputs!$C$15*SIN(RADIANS(I159)))</x:f>
        <x:v>27.88000837991527</x:v>
      </x:c>
      <x:c r="K159" s="9">
        <x:f t="shared" si="41"/>
        <x:v>0.98500791079576167</x:v>
      </x:c>
      <x:c r="L159" s="9">
        <x:f t="shared" si="42"/>
        <x:v>-6.560281582438357E-2</x:v>
      </x:c>
      <x:c r="M159" s="9" t="n">
        <x:f>2*(Inputs!$C$9/(Inputs!$C$10^2))*A159</x:f>
        <x:v>0.04111111111111111</x:v>
      </x:c>
      <x:c r="N159" s="9" t="n">
        <x:f>M159*Inputs!$C$11</x:f>
        <x:v>0.16444444444444445</x:v>
      </x:c>
      <x:c r="O159" s="9" t="n">
        <x:f>1000*(D160-D158)/(A160-A158)*Inputs!$C$11</x:f>
        <x:v>395.2961091731595</x:v>
      </x:c>
      <x:c r="P159" s="9" t="n">
        <x:f>-2*O159/Inputs!$C$13</x:f>
        <x:v>-158.1184436692638</x:v>
      </x:c>
      <x:c r="Q159" s="9" t="n">
        <x:f>-2*O159/Inputs!$C$14</x:f>
        <x:v>-23.74150805844802</x:v>
      </x:c>
      <x:c r="R159" s="9" t="n">
        <x:f>F159-Inputs!$C$16/2</x:f>
        <x:v>836.0422977982597</x:v>
      </x:c>
      <x:c r="S159" s="9" t="n">
        <x:f>F159+Inputs!$C$16/2</x:f>
        <x:v>866.0422977982597</x:v>
      </x:c>
      <x:c r="T159" s="9" t="n">
        <x:f>F159-Inputs!$C$17/2</x:f>
        <x:v>701.0422977982597</x:v>
      </x:c>
      <x:c r="U159" s="9" t="n">
        <x:f>F159+Inputs!$C$17/2</x:f>
        <x:v>1001.0422977982597</x:v>
      </x:c>
      <x:c r="V159" s="9">
        <x:f t="shared" si="43"/>
        <x:v>158.1184436692638</x:v>
      </x:c>
      <x:c r="W159" s="9">
        <x:f t="shared" si="44"/>
        <x:v>23.741508058448019</x:v>
      </x:c>
      <x:c r="X159" s="9"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x:f>
        <x:v>84.15381309689964</x:v>
      </x:c>
      <x:c r="Y159" s="9"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x:f>
        <x:v>414.03078360208366</x:v>
      </x:c>
      <x:c r="Z159" s="9">
        <x:f t="shared" si="45"/>
        <x:v>400.29612396468087</x:v>
      </x:c>
      <x:c r="AA159" s="9" t="n">
        <x:f>SQRT((Inputs!$C$52+B159)^2+(Inputs!$C$52+Y159/1000)^2-2*(Inputs!$C$52+B159)*(Inputs!$C$52+Y159/1000)*COS(SQRT(A159^2+Inputs!$C$6^2)/Inputs!$C$52))</x:f>
        <x:v>401.48306598619155</x:v>
      </x:c>
      <x:c r="AB159" s="9">
        <x:f t="shared" si="46"/>
        <x:v>1186.9420215106743</x:v>
      </x:c>
      <x:c r="AC159" s="9" t="n">
        <x:f>AB159/Inputs!$C$12</x:f>
        <x:v>666.8213603992552</x:v>
      </x:c>
      <x:c r="AD159" s="9" t="n">
        <x:f>2*AB159/Inputs!$C$21*1000000</x:f>
        <x:v>7.9184248291574715</x:v>
      </x:c>
      <x:c r="AE159" s="9">
        <x:f t="shared" si="47"/>
        <x:v>4.4462681112234774</x:v>
      </x:c>
      <x:c r="AF159" s="9" t="n">
        <x:f>DEGREES((2*PI()/Inputs!$C$13)*Inputs!$C$15*SIN(RADIANS(AE159)))</x:f>
        <x:v>27.90869540788116</x:v>
      </x:c>
      <x:c r="AG159" s="9">
        <x:f t="shared" si="48"/>
        <x:v>0.9882267633561046</x:v>
      </x:c>
      <x:c r="AH159" s="9">
        <x:f t="shared" si="49"/>
        <x:v>-5.1433886367645426E-2</x:v>
      </x:c>
      <x:c r="AI159" s="9">
        <x:f t="shared" si="50"/>
        <x:v>-184.22093739900447</x:v>
      </x:c>
      <x:c r="AJ159" s="9">
        <x:f t="shared" si="51"/>
        <x:v>-2.1876018546819349</x:v>
      </x:c>
      <x:c r="AK159" s="9">
        <x:f t="shared" si="52"/>
        <x:v>329.87697050523315</x:v>
      </x:c>
      <x:c r="AL159" s="9" t="n">
        <x:f>1000*(AA160-AA158)/(A160-A158)*Inputs!$C$11</x:f>
        <x:v>347.93929193369877</x:v>
      </x:c>
      <x:c r="AM159" s="9" t="n">
        <x:f>-2*AL159/Inputs!$C$13</x:f>
        <x:v>-139.1757167734795</x:v>
      </x:c>
      <x:c r="AN159" s="9" t="n">
        <x:f>-2*AL159/Inputs!$C$14</x:f>
        <x:v>-20.89725477079272</x:v>
      </x:c>
      <x:c r="AO159" s="9">
        <x:f t="shared" si="53"/>
        <x:v>139.17571677347951</x:v>
      </x:c>
      <x:c r="AP159" s="9">
        <x:f t="shared" si="54"/>
        <x:v>20.897254770792721</x:v>
      </x:c>
      <x:c r="AQ159" s="9" t="n">
        <x:f>IF(OR(Inputs!$C$27=TRUE,Inputs!$C$27="TRUE",Inputs!$C$27=1),Inputs!$C$46/Inputs!$C$12,0)</x:f>
        <x:v>42.13483146067416</x:v>
      </x:c>
      <x:c r="AR159" s="9">
        <x:f t="shared" si="55"/>
        <x:v>624.68652893858109</x:v>
      </x:c>
      <x:c r="AS159" s="9">
        <x:f t="shared" si="56"/>
        <x:v>708.95619185992939</x:v>
      </x:c>
    </x:row>
    <x:row r="160">
      <x:c r="A160" s="9" t="n">
        <x:f>Inputs!$C$7+158*(Inputs!$C$8-Inputs!$C$7)/240</x:f>
        <x:v>19</x:v>
      </x:c>
      <x:c r="B160" s="9" t="n">
        <x:f>Inputs!$C$5+Inputs!$C$9*(A160/Inputs!$C$10)^2</x:f>
        <x:v>400.4011111111111</x:v>
      </x:c>
      <x:c r="C160" s="9">
        <x:f t="shared" si="38"/>
        <x:v>400.40111111111111</x:v>
      </x:c>
      <x:c r="D160" s="9" t="n">
        <x:f>SQRT((Inputs!$C$52+B160)^2+Inputs!$C$52^2-2*(Inputs!$C$52+B160)*Inputs!$C$52*COS(SQRT(A160^2+Inputs!$C$6^2)/Inputs!$C$52))</x:f>
        <x:v>401.9452105847531</x:v>
      </x:c>
      <x:c r="E160" s="9">
        <x:f t="shared" si="39"/>
        <x:v>1544.0994736420066</x:v>
      </x:c>
      <x:c r="F160" s="9" t="n">
        <x:f>E160/Inputs!$C$12</x:f>
        <x:v>867.4716144056217</x:v>
      </x:c>
      <x:c r="G160" s="9" t="n">
        <x:f>2*E160/Inputs!$C$21*1000000</x:f>
        <x:v>10.301122876426774</x:v>
      </x:c>
      <x:c r="H160" s="9" t="n">
        <x:f>SQRT(A160^2+Inputs!$C$6^2)</x:f>
        <x:v>31.400636936215164</x:v>
      </x:c>
      <x:c r="I160" s="9">
        <x:f t="shared" si="40"/>
        <x:v>4.4841264712495112</x:v>
      </x:c>
      <x:c r="J160" s="9" t="n">
        <x:f>DEGREES((2*PI()/Inputs!$C$13)*Inputs!$C$15*SIN(RADIANS(I160)))</x:f>
        <x:v>28.14584451050467</x:v>
      </x:c>
      <x:c r="K160" s="9">
        <x:f t="shared" si="41"/>
        <x:v>0.98472205110430033</x:v>
      </x:c>
      <x:c r="L160" s="9">
        <x:f t="shared" si="42"/>
        <x:v>-6.6863367167696114E-2</x:v>
      </x:c>
      <x:c r="M160" s="9" t="n">
        <x:f>2*(Inputs!$C$9/(Inputs!$C$10^2))*A160</x:f>
        <x:v>0.042222222222222223</x:v>
      </x:c>
      <x:c r="N160" s="9" t="n">
        <x:f>M160*Inputs!$C$11</x:f>
        <x:v>0.1688888888888889</x:v>
      </x:c>
      <x:c r="O160" s="9" t="n">
        <x:f>1000*(D161-D159)/(A161-A159)*Inputs!$C$11</x:f>
        <x:v>405.9427041381696</x:v>
      </x:c>
      <x:c r="P160" s="9" t="n">
        <x:f>-2*O160/Inputs!$C$13</x:f>
        <x:v>-162.37708165526783</x:v>
      </x:c>
      <x:c r="Q160" s="9" t="n">
        <x:f>-2*O160/Inputs!$C$14</x:f>
        <x:v>-24.38094319148166</x:v>
      </x:c>
      <x:c r="R160" s="9" t="n">
        <x:f>F160-Inputs!$C$16/2</x:f>
        <x:v>852.4716144056217</x:v>
      </x:c>
      <x:c r="S160" s="9" t="n">
        <x:f>F160+Inputs!$C$16/2</x:f>
        <x:v>882.4716144056217</x:v>
      </x:c>
      <x:c r="T160" s="9" t="n">
        <x:f>F160-Inputs!$C$17/2</x:f>
        <x:v>717.4716144056217</x:v>
      </x:c>
      <x:c r="U160" s="9" t="n">
        <x:f>F160+Inputs!$C$17/2</x:f>
        <x:v>1017.4716144056217</x:v>
      </x:c>
      <x:c r="V160" s="9">
        <x:f t="shared" si="43"/>
        <x:v>162.37708165526783</x:v>
      </x:c>
      <x:c r="W160" s="9">
        <x:f t="shared" si="44"/>
        <x:v>24.380943191481659</x:v>
      </x:c>
      <x:c r="X160" s="9"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x:f>
        <x:v>87.79516149602648</x:v>
      </x:c>
      <x:c r="Y160" s="9"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x:f>
        <x:v>429.33926339108206</x:v>
      </x:c>
      <x:c r="Z160" s="9">
        <x:f t="shared" si="45"/>
        <x:v>400.31331594961506</x:v>
      </x:c>
      <x:c r="AA160" s="9" t="n">
        <x:f>SQRT((Inputs!$C$52+B160)^2+(Inputs!$C$52+Y160/1000)^2-2*(Inputs!$C$52+B160)*(Inputs!$C$52+Y160/1000)*COS(SQRT(A160^2+Inputs!$C$6^2)/Inputs!$C$52))</x:f>
        <x:v>401.51794679799497</x:v>
      </x:c>
      <x:c r="AB160" s="9">
        <x:f t="shared" si="46"/>
        <x:v>1204.6308483799066</x:v>
      </x:c>
      <x:c r="AC160" s="9" t="n">
        <x:f>AB160/Inputs!$C$12</x:f>
        <x:v>676.7589035842173</x:v>
      </x:c>
      <x:c r="AD160" s="9" t="n">
        <x:f>2*AB160/Inputs!$C$21*1000000</x:f>
        <x:v>8.036431979752516</x:v>
      </x:c>
      <x:c r="AE160" s="9">
        <x:f t="shared" si="47"/>
        <x:v>4.4889201776347658</x:v>
      </x:c>
      <x:c r="AF160" s="9" t="n">
        <x:f>DEGREES((2*PI()/Inputs!$C$13)*Inputs!$C$15*SIN(RADIANS(AE160)))</x:f>
        <x:v>28.175871961914872</x:v>
      </x:c>
      <x:c r="AG160" s="9">
        <x:f t="shared" si="48"/>
        <x:v>0.98805313179648679</x:v>
      </x:c>
      <x:c r="AH160" s="9">
        <x:f t="shared" si="49"/>
        <x:v>-5.2197009330189836E-2</x:v>
      </x:c>
      <x:c r="AI160" s="9">
        <x:f t="shared" si="50"/>
        <x:v>-190.71271082140447</x:v>
      </x:c>
      <x:c r="AJ160" s="9">
        <x:f t="shared" si="51"/>
        <x:v>-2.2646908966742583</x:v>
      </x:c>
      <x:c r="AK160" s="9">
        <x:f t="shared" si="52"/>
        <x:v>341.54410189505558</x:v>
      </x:c>
      <x:c r="AL160" s="9" t="n">
        <x:f>1000*(AA161-AA159)/(A161-A159)*Inputs!$C$11</x:f>
        <x:v>316.1609339874758</x:v>
      </x:c>
      <x:c r="AM160" s="9" t="n">
        <x:f>-2*AL160/Inputs!$C$13</x:f>
        <x:v>-126.46437359499032</x:v>
      </x:c>
      <x:c r="AN160" s="9" t="n">
        <x:f>-2*AL160/Inputs!$C$14</x:f>
        <x:v>-18.98864468393248</x:v>
      </x:c>
      <x:c r="AO160" s="9">
        <x:f t="shared" si="53"/>
        <x:v>126.46437359499032</x:v>
      </x:c>
      <x:c r="AP160" s="9">
        <x:f t="shared" si="54"/>
        <x:v>18.988644683932481</x:v>
      </x:c>
      <x:c r="AQ160" s="9" t="n">
        <x:f>IF(OR(Inputs!$C$27=TRUE,Inputs!$C$27="TRUE",Inputs!$C$27=1),Inputs!$C$46/Inputs!$C$12,0)</x:f>
        <x:v>42.13483146067416</x:v>
      </x:c>
      <x:c r="AR160" s="9">
        <x:f t="shared" si="55"/>
        <x:v>634.6240721235431</x:v>
      </x:c>
      <x:c r="AS160" s="9">
        <x:f t="shared" si="56"/>
        <x:v>718.8937350448914</x:v>
      </x:c>
    </x:row>
    <x:row r="161">
      <x:c r="A161" s="9" t="n">
        <x:f>Inputs!$C$7+159*(Inputs!$C$8-Inputs!$C$7)/240</x:f>
        <x:v>19.5</x:v>
      </x:c>
      <x:c r="B161" s="9" t="n">
        <x:f>Inputs!$C$5+Inputs!$C$9*(A161/Inputs!$C$10)^2</x:f>
        <x:v>400.4225</x:v>
      </x:c>
      <x:c r="C161" s="9">
        <x:f t="shared" si="38"/>
        <x:v>400.42250000000001</x:v>
      </x:c>
      <x:c r="D161" s="9" t="n">
        <x:f>SQRT((Inputs!$C$52+B161)^2+Inputs!$C$52^2-2*(Inputs!$C$52+B161)*Inputs!$C$52*COS(SQRT(A161^2+Inputs!$C$6^2)/Inputs!$C$52))</x:f>
        <x:v>401.99661874389324</x:v>
      </x:c>
      <x:c r="E161" s="9">
        <x:f t="shared" si="39"/>
        <x:v>1574.1187438932229</x:v>
      </x:c>
      <x:c r="F161" s="9" t="n">
        <x:f>E161/Inputs!$C$12</x:f>
        <x:v>884.3363729737207</x:v>
      </x:c>
      <x:c r="G161" s="9" t="n">
        <x:f>2*E161/Inputs!$C$21*1000000</x:f>
        <x:v>10.50138989082389</x:v>
      </x:c>
      <x:c r="H161" s="9" t="n">
        <x:f>SQRT(A161^2+Inputs!$C$6^2)</x:f>
        <x:v>31.70567772497538</x:v>
      </x:c>
      <x:c r="I161" s="9">
        <x:f t="shared" si="40"/>
        <x:v>4.527266340904271</x:v>
      </x:c>
      <x:c r="J161" s="9" t="n">
        <x:f>DEGREES((2*PI()/Inputs!$C$13)*Inputs!$C$15*SIN(RADIANS(I161)))</x:f>
        <x:v>28.416062609031858</x:v>
      </x:c>
      <x:c r="K161" s="9">
        <x:f t="shared" si="41"/>
        <x:v>0.98442875390109563</x:v>
      </x:c>
      <x:c r="L161" s="9">
        <x:f t="shared" si="42"/>
        <x:v>-6.815709599260511E-2</x:v>
      </x:c>
      <x:c r="M161" s="9" t="n">
        <x:f>2*(Inputs!$C$9/(Inputs!$C$10^2))*A161</x:f>
        <x:v>0.043333333333333335</x:v>
      </x:c>
      <x:c r="N161" s="9" t="n">
        <x:f>M161*Inputs!$C$11</x:f>
        <x:v>0.17333333333333334</x:v>
      </x:c>
      <x:c r="O161" s="9" t="n">
        <x:f>1000*(D162-D160)/(A162-A160)*Inputs!$C$11</x:f>
        <x:v>416.5863471978355</x:v>
      </x:c>
      <x:c r="P161" s="9" t="n">
        <x:f>-2*O161/Inputs!$C$13</x:f>
        <x:v>-166.6345388791342</x:v>
      </x:c>
      <x:c r="Q161" s="9" t="n">
        <x:f>-2*O161/Inputs!$C$14</x:f>
        <x:v>-25.020201032903035</x:v>
      </x:c>
      <x:c r="R161" s="9" t="n">
        <x:f>F161-Inputs!$C$16/2</x:f>
        <x:v>869.3363729737207</x:v>
      </x:c>
      <x:c r="S161" s="9" t="n">
        <x:f>F161+Inputs!$C$16/2</x:f>
        <x:v>899.3363729737207</x:v>
      </x:c>
      <x:c r="T161" s="9" t="n">
        <x:f>F161-Inputs!$C$17/2</x:f>
        <x:v>734.3363729737207</x:v>
      </x:c>
      <x:c r="U161" s="9" t="n">
        <x:f>F161+Inputs!$C$17/2</x:f>
        <x:v>1034.3363729737207</x:v>
      </x:c>
      <x:c r="V161" s="9">
        <x:f t="shared" si="43"/>
        <x:v>166.6345388791342</x:v>
      </x:c>
      <x:c r="W161" s="9">
        <x:f t="shared" si="44"/>
        <x:v>25.020201032903035</x:v>
      </x:c>
      <x:c r="X161" s="9"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x:f>
        <x:v>80.08578782325549</x:v>
      </x:c>
      <x:c r="Y161" s="9"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x:f>
        <x:v>436.66425250955575</x:v>
      </x:c>
      <x:c r="Z161" s="9">
        <x:f t="shared" si="45"/>
        <x:v>400.34241421217678</x:v>
      </x:c>
      <x:c r="AA161" s="9" t="n">
        <x:f>SQRT((Inputs!$C$52+B161)^2+(Inputs!$C$52+Y161/1000)^2-2*(Inputs!$C$52+B161)*(Inputs!$C$52+Y161/1000)*COS(SQRT(A161^2+Inputs!$C$6^2)/Inputs!$C$52))</x:f>
        <x:v>401.5621062196884</x:v>
      </x:c>
      <x:c r="AB161" s="9">
        <x:f t="shared" si="46"/>
        <x:v>1219.6920075116395</x:v>
      </x:c>
      <x:c r="AC161" s="9" t="n">
        <x:f>AB161/Inputs!$C$12</x:f>
        <x:v>685.2202289391233</x:v>
      </x:c>
      <x:c r="AD161" s="9" t="n">
        <x:f>2*AB161/Inputs!$C$21*1000000</x:f>
        <x:v>8.136909218120755</x:v>
      </x:c>
      <x:c r="AE161" s="9">
        <x:f t="shared" si="47"/>
        <x:v>4.5321881746220392</x:v>
      </x:c>
      <x:c r="AF161" s="9" t="n">
        <x:f>DEGREES((2*PI()/Inputs!$C$13)*Inputs!$C$15*SIN(RADIANS(AE161)))</x:f>
        <x:v>28.446890808481474</x:v>
      </x:c>
      <x:c r="AG161" s="9">
        <x:f t="shared" si="48"/>
        <x:v>0.98790576847943878</x:v>
      </x:c>
      <x:c r="AH161" s="9">
        <x:f t="shared" si="49"/>
        <x:v>-5.2844786726153142E-2</x:v>
      </x:c>
      <x:c r="AI161" s="9">
        <x:f t="shared" si="50"/>
        <x:v>-199.11614403459737</x:v>
      </x:c>
      <x:c r="AJ161" s="9">
        <x:f t="shared" si="51"/>
        <x:v>-2.3644806727031362</x:v>
      </x:c>
      <x:c r="AK161" s="9">
        <x:f t="shared" si="52"/>
        <x:v>356.57846468630026</x:v>
      </x:c>
      <x:c r="AL161" s="9" t="n">
        <x:f>1000*(AA162-AA160)/(A162-A160)*Inputs!$C$11</x:f>
        <x:v>378.4178004671048</x:v>
      </x:c>
      <x:c r="AM161" s="9" t="n">
        <x:f>-2*AL161/Inputs!$C$13</x:f>
        <x:v>-151.36712018684193</x:v>
      </x:c>
      <x:c r="AN161" s="9" t="n">
        <x:f>-2*AL161/Inputs!$C$14</x:f>
        <x:v>-22.72779582385014</x:v>
      </x:c>
      <x:c r="AO161" s="9">
        <x:f t="shared" si="53"/>
        <x:v>151.36712018684193</x:v>
      </x:c>
      <x:c r="AP161" s="9">
        <x:f t="shared" si="54"/>
        <x:v>22.727795823850141</x:v>
      </x:c>
      <x:c r="AQ161" s="9" t="n">
        <x:f>IF(OR(Inputs!$C$27=TRUE,Inputs!$C$27="TRUE",Inputs!$C$27=1),Inputs!$C$46/Inputs!$C$12,0)</x:f>
        <x:v>42.13483146067416</x:v>
      </x:c>
      <x:c r="AR161" s="9">
        <x:f t="shared" si="55"/>
        <x:v>643.08539747844918</x:v>
      </x:c>
      <x:c r="AS161" s="9">
        <x:f t="shared" si="56"/>
        <x:v>727.35506039979748</x:v>
      </x:c>
    </x:row>
    <x:row r="162">
      <x:c r="A162" s="9" t="n">
        <x:f>Inputs!$C$7+160*(Inputs!$C$8-Inputs!$C$7)/240</x:f>
        <x:v>20</x:v>
      </x:c>
      <x:c r="B162" s="9" t="n">
        <x:f>Inputs!$C$5+Inputs!$C$9*(A162/Inputs!$C$10)^2</x:f>
        <x:v>400.44444444444446</x:v>
      </x:c>
      <x:c r="C162" s="9">
        <x:f t="shared" si="38"/>
        <x:v>400.44444444444446</x:v>
      </x:c>
      <x:c r="D162" s="9" t="n">
        <x:f>SQRT((Inputs!$C$52+B162)^2+Inputs!$C$52^2-2*(Inputs!$C$52+B162)*Inputs!$C$52*COS(SQRT(A162^2+Inputs!$C$6^2)/Inputs!$C$52))</x:f>
        <x:v>402.0493571715526</x:v>
      </x:c>
      <x:c r="E162" s="9">
        <x:f t="shared" si="39"/>
        <x:v>1604.9127271081147</x:v>
      </x:c>
      <x:c r="F162" s="9" t="n">
        <x:f>E162/Inputs!$C$12</x:f>
        <x:v>901.6363635438846</x:v>
      </x:c>
      <x:c r="G162" s="9" t="n">
        <x:f>2*E162/Inputs!$C$21*1000000</x:f>
        <x:v>10.70682523379634</x:v>
      </x:c>
      <x:c r="H162" s="9" t="n">
        <x:f>SQRT(A162^2+Inputs!$C$6^2)</x:f>
        <x:v>32.01562118716424</x:v>
      </x:c>
      <x:c r="I162" s="9">
        <x:f t="shared" si="40"/>
        <x:v>4.5710871679965557</x:v>
      </x:c>
      <x:c r="J162" s="9" t="n">
        <x:f>DEGREES((2*PI()/Inputs!$C$13)*Inputs!$C$15*SIN(RADIANS(I162)))</x:f>
        <x:v>28.69052957284685</x:v>
      </x:c>
      <x:c r="K162" s="9">
        <x:f t="shared" si="41"/>
        <x:v>0.98412803365021539</x:v>
      </x:c>
      <x:c r="L162" s="9">
        <x:f t="shared" si="42"/>
        <x:v>-6.9483968017792788E-2</x:v>
      </x:c>
      <x:c r="M162" s="9" t="n">
        <x:f>2*(Inputs!$C$9/(Inputs!$C$10^2))*A162</x:f>
        <x:v>0.044444444444444446</x:v>
      </x:c>
      <x:c r="N162" s="9" t="n">
        <x:f>M162*Inputs!$C$11</x:f>
        <x:v>0.17777777777777778</x:v>
      </x:c>
      <x:c r="O162" s="9" t="n">
        <x:f>1000*(D163-D161)/(A163-A161)*Inputs!$C$11</x:f>
        <x:v>427.2269625973877</x:v>
      </x:c>
      <x:c r="P162" s="9" t="n">
        <x:f>-2*O162/Inputs!$C$13</x:f>
        <x:v>-170.89078503895507</x:v>
      </x:c>
      <x:c r="Q162" s="9" t="n">
        <x:f>-2*O162/Inputs!$C$14</x:f>
        <x:v>-25.65927703287614</x:v>
      </x:c>
      <x:c r="R162" s="9" t="n">
        <x:f>F162-Inputs!$C$16/2</x:f>
        <x:v>886.6363635438846</x:v>
      </x:c>
      <x:c r="S162" s="9" t="n">
        <x:f>F162+Inputs!$C$16/2</x:f>
        <x:v>916.6363635438846</x:v>
      </x:c>
      <x:c r="T162" s="9" t="n">
        <x:f>F162-Inputs!$C$17/2</x:f>
        <x:v>751.6363635438846</x:v>
      </x:c>
      <x:c r="U162" s="9" t="n">
        <x:f>F162+Inputs!$C$17/2</x:f>
        <x:v>1051.6363635438847</x:v>
      </x:c>
      <x:c r="V162" s="9">
        <x:f t="shared" si="43"/>
        <x:v>170.89078503895507</x:v>
      </x:c>
      <x:c r="W162" s="9">
        <x:f t="shared" si="44"/>
        <x:v>25.65927703287614</x:v>
      </x:c>
      <x:c r="X162" s="9"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x:f>
        <x:v>74.33166863889775</x:v>
      </x:c>
      <x:c r="Y162" s="9"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x:f>
        <x:v>439.0113020882822</x:v>
      </x:c>
      <x:c r="Z162" s="9">
        <x:f t="shared" si="45"/>
        <x:v>400.37011277580535</x:v>
      </x:c>
      <x:c r="AA162" s="9" t="n">
        <x:f>SQRT((Inputs!$C$52+B162)^2+(Inputs!$C$52+Y162/1000)^2-2*(Inputs!$C$52+B162)*(Inputs!$C$52+Y162/1000)*COS(SQRT(A162^2+Inputs!$C$6^2)/Inputs!$C$52))</x:f>
        <x:v>401.61255124811174</x:v>
      </x:c>
      <x:c r="AB162" s="9">
        <x:f t="shared" si="46"/>
        <x:v>1242.4384723063895</x:v>
      </x:c>
      <x:c r="AC162" s="9" t="n">
        <x:f>AB162/Inputs!$C$12</x:f>
        <x:v>697.9991417451627</x:v>
      </x:c>
      <x:c r="AD162" s="9" t="n">
        <x:f>2*AB162/Inputs!$C$21*1000000</x:f>
        <x:v>8.288657297085102</x:v>
      </x:c>
      <x:c r="AE162" s="9">
        <x:f t="shared" si="47"/>
        <x:v>4.576082701575146</x:v>
      </x:c>
      <x:c r="AF162" s="9" t="n">
        <x:f>DEGREES((2*PI()/Inputs!$C$13)*Inputs!$C$15*SIN(RADIANS(AE162)))</x:f>
        <x:v>28.721817489110087</x:v>
      </x:c>
      <x:c r="AG162" s="9">
        <x:f t="shared" si="48"/>
        <x:v>0.9876828062998666</x:v>
      </x:c>
      <x:c r="AH162" s="9">
        <x:f t="shared" si="49"/>
        <x:v>-5.3825064157482727E-2</x:v>
      </x:c>
      <x:c r="AI162" s="9">
        <x:f t="shared" si="50"/>
        <x:v>-203.63722179872195</x:v>
      </x:c>
      <x:c r="AJ162" s="9">
        <x:f t="shared" si="51"/>
        <x:v>-2.4181679367112388</x:v>
      </x:c>
      <x:c r="AK162" s="9">
        <x:f t="shared" si="52"/>
        <x:v>364.67963344938448</x:v>
      </x:c>
      <x:c r="AL162" s="9" t="n">
        <x:f>1000*(AA163-AA161)/(A163-A161)*Inputs!$C$11</x:f>
        <x:v>407.27261300685313</x:v>
      </x:c>
      <x:c r="AM162" s="9" t="n">
        <x:f>-2*AL162/Inputs!$C$13</x:f>
        <x:v>-162.90904520274125</x:v>
      </x:c>
      <x:c r="AN162" s="9" t="n">
        <x:f>-2*AL162/Inputs!$C$14</x:f>
        <x:v>-24.4608175980092</x:v>
      </x:c>
      <x:c r="AO162" s="9">
        <x:f t="shared" si="53"/>
        <x:v>162.90904520274125</x:v>
      </x:c>
      <x:c r="AP162" s="9">
        <x:f t="shared" si="54"/>
        <x:v>24.4608175980092</x:v>
      </x:c>
      <x:c r="AQ162" s="9" t="n">
        <x:f>IF(OR(Inputs!$C$27=TRUE,Inputs!$C$27="TRUE",Inputs!$C$27=1),Inputs!$C$46/Inputs!$C$12,0)</x:f>
        <x:v>42.13483146067416</x:v>
      </x:c>
      <x:c r="AR162" s="9">
        <x:f t="shared" si="55"/>
        <x:v>655.86431028448851</x:v>
      </x:c>
      <x:c r="AS162" s="9">
        <x:f t="shared" si="56"/>
        <x:v>740.13397320583681</x:v>
      </x:c>
    </x:row>
    <x:row r="163">
      <x:c r="A163" s="9" t="n">
        <x:f>Inputs!$C$7+161*(Inputs!$C$8-Inputs!$C$7)/240</x:f>
        <x:v>20.5</x:v>
      </x:c>
      <x:c r="B163" s="9" t="n">
        <x:f>Inputs!$C$5+Inputs!$C$9*(A163/Inputs!$C$10)^2</x:f>
        <x:v>400.46694444444444</x:v>
      </x:c>
      <x:c r="C163" s="9">
        <x:f t="shared" si="38"/>
        <x:v>400.46694444444444</x:v>
      </x:c>
      <x:c r="D163" s="9" t="n">
        <x:f>SQRT((Inputs!$C$52+B163)^2+Inputs!$C$52^2-2*(Inputs!$C$52+B163)*Inputs!$C$52*COS(SQRT(A163^2+Inputs!$C$6^2)/Inputs!$C$52))</x:f>
        <x:v>402.1034254845426</x:v>
      </x:c>
      <x:c r="E163" s="9">
        <x:f t="shared" si="39"/>
        <x:v>1636.4810400981469</x:v>
      </x:c>
      <x:c r="F163" s="9" t="n">
        <x:f>E163/Inputs!$C$12</x:f>
        <x:v>919.3713708416556</x:v>
      </x:c>
      <x:c r="G163" s="9" t="n">
        <x:f>2*E163/Inputs!$C$21*1000000</x:f>
        <x:v>10.917426348985384</x:v>
      </x:c>
      <x:c r="H163" s="9" t="n">
        <x:f>SQRT(A163^2+Inputs!$C$6^2)</x:f>
        <x:v>32.33032632065442</x:v>
      </x:c>
      <x:c r="I163" s="9">
        <x:f t="shared" si="40"/>
        <x:v>4.6155683136934407</x:v>
      </x:c>
      <x:c r="J163" s="9" t="n">
        <x:f>DEGREES((2*PI()/Inputs!$C$13)*Inputs!$C$15*SIN(RADIANS(I163)))</x:f>
        <x:v>28.96911520563834</x:v>
      </x:c>
      <x:c r="K163" s="9">
        <x:f t="shared" si="41"/>
        <x:v>0.98381990516909135</x:v>
      </x:c>
      <x:c r="L163" s="9">
        <x:f t="shared" si="42"/>
        <x:v>-7.0843948101851545E-2</x:v>
      </x:c>
      <x:c r="M163" s="9" t="n">
        <x:f>2*(Inputs!$C$9/(Inputs!$C$10^2))*A163</x:f>
        <x:v>0.04555555555555556</x:v>
      </x:c>
      <x:c r="N163" s="9" t="n">
        <x:f>M163*Inputs!$C$11</x:f>
        <x:v>0.18222222222222223</x:v>
      </x:c>
      <x:c r="O163" s="9" t="n">
        <x:f>1000*(D164-D162)/(A164-A162)*Inputs!$C$11</x:f>
        <x:v>437.8644747530416</x:v>
      </x:c>
      <x:c r="P163" s="9" t="n">
        <x:f>-2*O163/Inputs!$C$13</x:f>
        <x:v>-175.14578990121663</x:v>
      </x:c>
      <x:c r="Q163" s="9" t="n">
        <x:f>-2*O163/Inputs!$C$14</x:f>
        <x:v>-26.298166651834332</x:v>
      </x:c>
      <x:c r="R163" s="9" t="n">
        <x:f>F163-Inputs!$C$16/2</x:f>
        <x:v>904.3713708416556</x:v>
      </x:c>
      <x:c r="S163" s="9" t="n">
        <x:f>F163+Inputs!$C$16/2</x:f>
        <x:v>934.3713708416556</x:v>
      </x:c>
      <x:c r="T163" s="9" t="n">
        <x:f>F163-Inputs!$C$17/2</x:f>
        <x:v>769.3713708416556</x:v>
      </x:c>
      <x:c r="U163" s="9" t="n">
        <x:f>F163+Inputs!$C$17/2</x:f>
        <x:v>1069.3713708416556</x:v>
      </x:c>
      <x:c r="V163" s="9">
        <x:f t="shared" si="43"/>
        <x:v>175.14578990121663</x:v>
      </x:c>
      <x:c r="W163" s="9">
        <x:f t="shared" si="44"/>
        <x:v>26.298166651834332</x:v>
      </x:c>
      <x:c r="X163" s="9"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x:f>
        <x:v>77.08298836787891</x:v>
      </x:c>
      <x:c r="Y163" s="9"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x:f>
        <x:v>441.7637232897853</x:v>
      </x:c>
      <x:c r="Z163" s="9">
        <x:f t="shared" si="45"/>
        <x:v>400.38986145607657</x:v>
      </x:c>
      <x:c r="AA163" s="9" t="n">
        <x:f>SQRT((Inputs!$C$52+B163)^2+(Inputs!$C$52+Y163/1000)^2-2*(Inputs!$C$52+B163)*(Inputs!$C$52+Y163/1000)*COS(SQRT(A163^2+Inputs!$C$6^2)/Inputs!$C$52))</x:f>
        <x:v>401.66392437294013</x:v>
      </x:c>
      <x:c r="AB163" s="9">
        <x:f t="shared" si="46"/>
        <x:v>1274.0629168635564</x:v>
      </x:c>
      <x:c r="AC163" s="9" t="n">
        <x:f>AB163/Inputs!$C$12</x:f>
        <x:v>715.7656836312115</x:v>
      </x:c>
      <x:c r="AD163" s="9" t="n">
        <x:f>2*AB163/Inputs!$C$21*1000000</x:f>
        <x:v>8.499632881782214</x:v>
      </x:c>
      <x:c r="AE163" s="9">
        <x:f t="shared" si="47"/>
        <x:v>4.6206434100408416</x:v>
      </x:c>
      <x:c r="AF163" s="9" t="n">
        <x:f>DEGREES((2*PI()/Inputs!$C$13)*Inputs!$C$15*SIN(RADIANS(AE163)))</x:f>
        <x:v>29.000899452312954</x:v>
      </x:c>
      <x:c r="AG163" s="9">
        <x:f t="shared" si="48"/>
        <x:v>0.98737239041100666</x:v>
      </x:c>
      <x:c r="AH163" s="9">
        <x:f t="shared" si="49"/>
        <x:v>-5.5190209890741276E-2</x:v>
      </x:c>
      <x:c r="AI163" s="9">
        <x:f t="shared" si="50"/>
        <x:v>-203.6056872104441</x:v>
      </x:c>
      <x:c r="AJ163" s="9">
        <x:f t="shared" si="51"/>
        <x:v>-2.41779346720317</x:v>
      </x:c>
      <x:c r="AK163" s="9">
        <x:f t="shared" si="52"/>
        <x:v>364.68073492190638</x:v>
      </x:c>
      <x:c r="AL163" s="9" t="n">
        <x:f>1000*(AA164-AA162)/(A164-A162)*Inputs!$C$11</x:f>
        <x:v>429.2908702718705</x:v>
      </x:c>
      <x:c r="AM163" s="9" t="n">
        <x:f>-2*AL163/Inputs!$C$13</x:f>
        <x:v>-171.7163481087482</x:v>
      </x:c>
      <x:c r="AN163" s="9" t="n">
        <x:f>-2*AL163/Inputs!$C$14</x:f>
        <x:v>-25.783235451763996</x:v>
      </x:c>
      <x:c r="AO163" s="9">
        <x:f t="shared" si="53"/>
        <x:v>171.71634810874821</x:v>
      </x:c>
      <x:c r="AP163" s="9">
        <x:f t="shared" si="54"/>
        <x:v>25.783235451763996</x:v>
      </x:c>
      <x:c r="AQ163" s="9" t="n">
        <x:f>IF(OR(Inputs!$C$27=TRUE,Inputs!$C$27="TRUE",Inputs!$C$27=1),Inputs!$C$46/Inputs!$C$12,0)</x:f>
        <x:v>42.13483146067416</x:v>
      </x:c>
      <x:c r="AR163" s="9">
        <x:f t="shared" si="55"/>
        <x:v>673.63085217053731</x:v>
      </x:c>
      <x:c r="AS163" s="9">
        <x:f t="shared" si="56"/>
        <x:v>757.90051509188561</x:v>
      </x:c>
    </x:row>
    <x:row r="164">
      <x:c r="A164" s="9" t="n">
        <x:f>Inputs!$C$7+162*(Inputs!$C$8-Inputs!$C$7)/240</x:f>
        <x:v>21</x:v>
      </x:c>
      <x:c r="B164" s="9" t="n">
        <x:f>Inputs!$C$5+Inputs!$C$9*(A164/Inputs!$C$10)^2</x:f>
        <x:v>400.49</x:v>
      </x:c>
      <x:c r="C164" s="9">
        <x:f t="shared" si="38"/>
        <x:v>400.49</x:v>
      </x:c>
      <x:c r="D164" s="9" t="n">
        <x:f>SQRT((Inputs!$C$52+B164)^2+Inputs!$C$52^2-2*(Inputs!$C$52+B164)*Inputs!$C$52*COS(SQRT(A164^2+Inputs!$C$6^2)/Inputs!$C$52))</x:f>
        <x:v>402.15882329024083</x:v>
      </x:c>
      <x:c r="E164" s="9">
        <x:f t="shared" si="39"/>
        <x:v>1668.8232902408231</x:v>
      </x:c>
      <x:c r="F164" s="9" t="n">
        <x:f>E164/Inputs!$C$12</x:f>
        <x:v>937.5411742925972</x:v>
      </x:c>
      <x:c r="G164" s="9" t="n">
        <x:f>2*E164/Inputs!$C$21*1000000</x:f>
        <x:v>11.133190617095666</x:v>
      </x:c>
      <x:c r="H164" s="9" t="n">
        <x:f>SQRT(A164^2+Inputs!$C$6^2)</x:f>
        <x:v>32.64965543462902</x:v>
      </x:c>
      <x:c r="I164" s="9">
        <x:f t="shared" si="40"/>
        <x:v>4.6606896104389781</x:v>
      </x:c>
      <x:c r="J164" s="9" t="n">
        <x:f>DEGREES((2*PI()/Inputs!$C$13)*Inputs!$C$15*SIN(RADIANS(I164)))</x:f>
        <x:v>29.251692268127087</x:v>
      </x:c>
      <x:c r="K164" s="9">
        <x:f t="shared" si="41"/>
        <x:v>0.98350438362674375</x:v>
      </x:c>
      <x:c r="L164" s="9">
        <x:f t="shared" si="42"/>
        <x:v>-7.2237000246009542E-2</x:v>
      </x:c>
      <x:c r="M164" s="9" t="n">
        <x:f>2*(Inputs!$C$9/(Inputs!$C$10^2))*A164</x:f>
        <x:v>0.04666666666666667</x:v>
      </x:c>
      <x:c r="N164" s="9" t="n">
        <x:f>M164*Inputs!$C$11</x:f>
        <x:v>0.18666666666666668</x:v>
      </x:c>
      <x:c r="O164" s="9" t="n">
        <x:f>1000*(D165-D163)/(A165-A163)*Inputs!$C$11</x:f>
        <x:v>448.49880820765975</x:v>
      </x:c>
      <x:c r="P164" s="9" t="n">
        <x:f>-2*O164/Inputs!$C$13</x:f>
        <x:v>-179.3995232830639</x:v>
      </x:c>
      <x:c r="Q164" s="9" t="n">
        <x:f>-2*O164/Inputs!$C$14</x:f>
        <x:v>-26.936865357817403</x:v>
      </x:c>
      <x:c r="R164" s="9" t="n">
        <x:f>F164-Inputs!$C$16/2</x:f>
        <x:v>922.5411742925972</x:v>
      </x:c>
      <x:c r="S164" s="9" t="n">
        <x:f>F164+Inputs!$C$16/2</x:f>
        <x:v>952.5411742925972</x:v>
      </x:c>
      <x:c r="T164" s="9" t="n">
        <x:f>F164-Inputs!$C$17/2</x:f>
        <x:v>787.5411742925972</x:v>
      </x:c>
      <x:c r="U164" s="9" t="n">
        <x:f>F164+Inputs!$C$17/2</x:f>
        <x:v>1087.5411742925971</x:v>
      </x:c>
      <x:c r="V164" s="9">
        <x:f t="shared" si="43"/>
        <x:v>179.3995232830639</x:v>
      </x:c>
      <x:c r="W164" s="9">
        <x:f t="shared" si="44"/>
        <x:v>26.936865357817403</x:v>
      </x:c>
      <x:c r="X164" s="9"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x:f>
        <x:v>84.6060805836893</x:v>
      </x:c>
      <x:c r="Y164" s="9"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x:f>
        <x:v>441.2537143317768</x:v>
      </x:c>
      <x:c r="Z164" s="9">
        <x:f t="shared" si="45"/>
        <x:v>400.40539391941633</x:v>
      </x:c>
      <x:c r="AA164" s="9" t="n">
        <x:f>SQRT((Inputs!$C$52+B164)^2+(Inputs!$C$52+Y164/1000)^2-2*(Inputs!$C$52+B164)*(Inputs!$C$52+Y164/1000)*COS(SQRT(A164^2+Inputs!$C$6^2)/Inputs!$C$52))</x:f>
        <x:v>401.7198739656797</x:v>
      </x:c>
      <x:c r="AB164" s="9">
        <x:f t="shared" si="46"/>
        <x:v>1314.4800462633839</x:v>
      </x:c>
      <x:c r="AC164" s="9" t="n">
        <x:f>AB164/Inputs!$C$12</x:f>
        <x:v>738.4719361030246</x:v>
      </x:c>
      <x:c r="AD164" s="9" t="n">
        <x:f>2*AB164/Inputs!$C$21*1000000</x:f>
        <x:v>8.769266945757414</x:v>
      </x:c>
      <x:c r="AE164" s="9">
        <x:f t="shared" si="47"/>
        <x:v>4.6658076659678551</x:v>
      </x:c>
      <x:c r="AF164" s="9" t="n">
        <x:f>DEGREES((2*PI()/Inputs!$C$13)*Inputs!$C$15*SIN(RADIANS(AE164)))</x:f>
        <x:v>29.283743509090908</x:v>
      </x:c>
      <x:c r="AG164" s="9">
        <x:f t="shared" si="48"/>
        <x:v>0.9869755770911991</x:v>
      </x:c>
      <x:c r="AH164" s="9">
        <x:f t="shared" si="49"/>
        <x:v>-5.6935939015446899E-2</x:v>
      </x:c>
      <x:c r="AI164" s="9">
        <x:f t="shared" si="50"/>
        <x:v>-199.06923818957262</x:v>
      </x:c>
      <x:c r="AJ164" s="9">
        <x:f t="shared" si="51"/>
        <x:v>-2.3639236713382523</x:v>
      </x:c>
      <x:c r="AK164" s="9">
        <x:f t="shared" si="52"/>
        <x:v>356.64763374808751</x:v>
      </x:c>
      <x:c r="AL164" s="9" t="n">
        <x:f>1000*(AA165-AA163)/(A165-A163)*Inputs!$C$11</x:f>
        <x:v>439.4064205446284</x:v>
      </x:c>
      <x:c r="AM164" s="9" t="n">
        <x:f>-2*AL164/Inputs!$C$13</x:f>
        <x:v>-175.76256821785137</x:v>
      </x:c>
      <x:c r="AN164" s="9" t="n">
        <x:f>-2*AL164/Inputs!$C$14</x:f>
        <x:v>-26.390776008686395</x:v>
      </x:c>
      <x:c r="AO164" s="9">
        <x:f t="shared" si="53"/>
        <x:v>175.76256821785137</x:v>
      </x:c>
      <x:c r="AP164" s="9">
        <x:f t="shared" si="54"/>
        <x:v>26.390776008686395</x:v>
      </x:c>
      <x:c r="AQ164" s="9" t="n">
        <x:f>IF(OR(Inputs!$C$27=TRUE,Inputs!$C$27="TRUE",Inputs!$C$27=1),Inputs!$C$46/Inputs!$C$12,0)</x:f>
        <x:v>42.13483146067416</x:v>
      </x:c>
      <x:c r="AR164" s="9">
        <x:f t="shared" si="55"/>
        <x:v>696.33710464235048</x:v>
      </x:c>
      <x:c r="AS164" s="9">
        <x:f t="shared" si="56"/>
        <x:v>780.60676756369878</x:v>
      </x:c>
    </x:row>
    <x:row r="165">
      <x:c r="A165" s="9" t="n">
        <x:f>Inputs!$C$7+163*(Inputs!$C$8-Inputs!$C$7)/240</x:f>
        <x:v>21.5</x:v>
      </x:c>
      <x:c r="B165" s="9" t="n">
        <x:f>Inputs!$C$5+Inputs!$C$9*(A165/Inputs!$C$10)^2</x:f>
        <x:v>400.5136111111111</x:v>
      </x:c>
      <x:c r="C165" s="9">
        <x:f t="shared" si="38"/>
        <x:v>400.51361111111112</x:v>
      </x:c>
      <x:c r="D165" s="9" t="n">
        <x:f>SQRT((Inputs!$C$52+B165)^2+Inputs!$C$52^2-2*(Inputs!$C$52+B165)*Inputs!$C$52*COS(SQRT(A165^2+Inputs!$C$6^2)/Inputs!$C$52))</x:f>
        <x:v>402.2155501865945</x:v>
      </x:c>
      <x:c r="E165" s="9">
        <x:f t="shared" si="39"/>
        <x:v>1701.9390754833807</x:v>
      </x:c>
      <x:c r="F165" s="9" t="n">
        <x:f>E165/Inputs!$C$12</x:f>
        <x:v>956.1455480243712</x:v>
      </x:c>
      <x:c r="G165" s="9" t="n">
        <x:f>2*E165/Inputs!$C$21*1000000</x:f>
        <x:v>11.354115355919866</x:v>
      </x:c>
      <x:c r="H165" s="9" t="n">
        <x:f>SQRT(A165^2+Inputs!$C$6^2)</x:f>
        <x:v>32.973474187595095</x:v>
      </x:c>
      <x:c r="I165" s="9">
        <x:f t="shared" si="40"/>
        <x:v>4.7064313676414065</x:v>
      </x:c>
      <x:c r="J165" s="9" t="n">
        <x:f>DEGREES((2*PI()/Inputs!$C$13)*Inputs!$C$15*SIN(RADIANS(I165)))</x:f>
        <x:v>29.538136514134884</x:v>
      </x:c>
      <x:c r="K165" s="9">
        <x:f t="shared" si="41"/>
        <x:v>0.98318148454221788</x:v>
      </x:c>
      <x:c r="L165" s="9">
        <x:f t="shared" si="42"/>
        <x:v>-7.3663087595809085E-2</x:v>
      </x:c>
      <x:c r="M165" s="9" t="n">
        <x:f>2*(Inputs!$C$9/(Inputs!$C$10^2))*A165</x:f>
        <x:v>0.04777777777777778</x:v>
      </x:c>
      <x:c r="N165" s="9" t="n">
        <x:f>M165*Inputs!$C$11</x:f>
        <x:v>0.19111111111111112</x:v>
      </x:c>
      <x:c r="O165" s="9" t="n">
        <x:f>1000*(D166-D164)/(A166-A164)*Inputs!$C$11</x:f>
        <x:v>459.12988767804563</x:v>
      </x:c>
      <x:c r="P165" s="9" t="n">
        <x:f>-2*O165/Inputs!$C$13</x:f>
        <x:v>-183.65195507121825</x:v>
      </x:c>
      <x:c r="Q165" s="9" t="n">
        <x:f>-2*O165/Inputs!$C$14</x:f>
        <x:v>-27.575368629312052</x:v>
      </x:c>
      <x:c r="R165" s="9" t="n">
        <x:f>F165-Inputs!$C$16/2</x:f>
        <x:v>941.1455480243712</x:v>
      </x:c>
      <x:c r="S165" s="9" t="n">
        <x:f>F165+Inputs!$C$16/2</x:f>
        <x:v>971.1455480243712</x:v>
      </x:c>
      <x:c r="T165" s="9" t="n">
        <x:f>F165-Inputs!$C$17/2</x:f>
        <x:v>806.1455480243712</x:v>
      </x:c>
      <x:c r="U165" s="9" t="n">
        <x:f>F165+Inputs!$C$17/2</x:f>
        <x:v>1106.1455480243712</x:v>
      </x:c>
      <x:c r="V165" s="9">
        <x:f t="shared" si="43"/>
        <x:v>183.65195507121825</x:v>
      </x:c>
      <x:c r="W165" s="9">
        <x:f t="shared" si="44"/>
        <x:v>27.575368629312052</x:v>
      </x:c>
      <x:c r="X165" s="9"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x:f>
        <x:v>83.65167434978589</x:v>
      </x:c>
      <x:c r="Y165" s="9"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x:f>
        <x:v>444.1394266764314</x:v>
      </x:c>
      <x:c r="Z165" s="9">
        <x:f t="shared" si="45"/>
        <x:v>400.42995943676135</x:v>
      </x:c>
      <x:c r="AA165" s="9" t="n">
        <x:f>SQRT((Inputs!$C$52+B165)^2+(Inputs!$C$52+Y165/1000)^2-2*(Inputs!$C$52+B165)*(Inputs!$C$52+Y165/1000)*COS(SQRT(A165^2+Inputs!$C$6^2)/Inputs!$C$52))</x:f>
        <x:v>401.7737759780763</x:v>
      </x:c>
      <x:c r="AB165" s="9">
        <x:f t="shared" si="46"/>
        <x:v>1343.8165413149363</x:v>
      </x:c>
      <x:c r="AC165" s="9" t="n">
        <x:f>AB165/Inputs!$C$12</x:f>
        <x:v>754.9531130982788</x:v>
      </x:c>
      <x:c r="AD165" s="9" t="n">
        <x:f>2*AB165/Inputs!$C$21*1000000</x:f>
        <x:v>8.964978974320537</x:v>
      </x:c>
      <x:c r="AE165" s="9">
        <x:f t="shared" si="47"/>
        <x:v>4.7116327293600078</x:v>
      </x:c>
      <x:c r="AF165" s="9" t="n">
        <x:f>DEGREES((2*PI()/Inputs!$C$13)*Inputs!$C$15*SIN(RADIANS(AE165)))</x:f>
        <x:v>29.570707317150998</x:v>
      </x:c>
      <x:c r="AG165" s="9">
        <x:f t="shared" si="48"/>
        <x:v>0.98668813518187615</x:v>
      </x:c>
      <x:c r="AH165" s="9">
        <x:f t="shared" si="49"/>
        <x:v>-5.8200941104637929E-2</x:v>
      </x:c>
      <x:c r="AI165" s="9">
        <x:f t="shared" si="50"/>
        <x:v>-201.19243492609246</x:v>
      </x:c>
      <x:c r="AJ165" s="9">
        <x:f t="shared" si="51"/>
        <x:v>-2.3891363815993287</x:v>
      </x:c>
      <x:c r="AK165" s="9">
        <x:f t="shared" si="52"/>
        <x:v>360.48775232664553</x:v>
      </x:c>
      <x:c r="AL165" s="9" t="n">
        <x:f>1000*(AA166-AA164)/(A166-A164)*Inputs!$C$11</x:f>
        <x:v>433.53659767353747</x:v>
      </x:c>
      <x:c r="AM165" s="9" t="n">
        <x:f>-2*AL165/Inputs!$C$13</x:f>
        <x:v>-173.414639069415</x:v>
      </x:c>
      <x:c r="AN165" s="9" t="n">
        <x:f>-2*AL165/Inputs!$C$14</x:f>
        <x:v>-26.03823409450676</x:v>
      </x:c>
      <x:c r="AO165" s="9">
        <x:f t="shared" si="53"/>
        <x:v>173.41463906941499</x:v>
      </x:c>
      <x:c r="AP165" s="9">
        <x:f t="shared" si="54"/>
        <x:v>26.038234094506759</x:v>
      </x:c>
      <x:c r="AQ165" s="9" t="n">
        <x:f>IF(OR(Inputs!$C$27=TRUE,Inputs!$C$27="TRUE",Inputs!$C$27=1),Inputs!$C$46/Inputs!$C$12,0)</x:f>
        <x:v>42.13483146067416</x:v>
      </x:c>
      <x:c r="AR165" s="9">
        <x:f t="shared" si="55"/>
        <x:v>712.81828163760463</x:v>
      </x:c>
      <x:c r="AS165" s="9">
        <x:f t="shared" si="56"/>
        <x:v>797.08794455895293</x:v>
      </x:c>
    </x:row>
    <x:row r="166">
      <x:c r="A166" s="9" t="n">
        <x:f>Inputs!$C$7+164*(Inputs!$C$8-Inputs!$C$7)/240</x:f>
        <x:v>22</x:v>
      </x:c>
      <x:c r="B166" s="9" t="n">
        <x:f>Inputs!$C$5+Inputs!$C$9*(A166/Inputs!$C$10)^2</x:f>
        <x:v>400.53777777777776</x:v>
      </x:c>
      <x:c r="C166" s="9">
        <x:f t="shared" si="38"/>
        <x:v>400.53777777777776</x:v>
      </x:c>
      <x:c r="D166" s="9" t="n">
        <x:f>SQRT((Inputs!$C$52+B166)^2+Inputs!$C$52^2-2*(Inputs!$C$52+B166)*Inputs!$C$52*COS(SQRT(A166^2+Inputs!$C$6^2)/Inputs!$C$52))</x:f>
        <x:v>402.27360576216034</x:v>
      </x:c>
      <x:c r="E166" s="9">
        <x:f t="shared" si="39"/>
        <x:v>1735.8279843825812</x:v>
      </x:c>
      <x:c r="F166" s="9" t="n">
        <x:f>E166/Inputs!$C$12</x:f>
        <x:v>975.1842608890905</x:v>
      </x:c>
      <x:c r="G166" s="9" t="n">
        <x:f>2*E166/Inputs!$C$21*1000000</x:f>
        <x:v>11.580197820604154</x:v>
      </x:c>
      <x:c r="H166" s="9" t="n">
        <x:f>SQRT(A166^2+Inputs!$C$6^2)</x:f>
        <x:v>33.301651610693426</x:v>
      </x:c>
      <x:c r="I166" s="9">
        <x:f t="shared" si="40"/>
        <x:v>4.7527743752411666</x:v>
      </x:c>
      <x:c r="J166" s="9" t="n">
        <x:f>DEGREES((2*PI()/Inputs!$C$13)*Inputs!$C$15*SIN(RADIANS(I166)))</x:f>
        <x:v>29.828326713325737</x:v>
      </x:c>
      <x:c r="K166" s="9">
        <x:f t="shared" si="41"/>
        <x:v>0.98285122378263112</x:v>
      </x:c>
      <x:c r="L166" s="9">
        <x:f t="shared" si="42"/>
        <x:v>-7.5122172444392704E-2</x:v>
      </x:c>
      <x:c r="M166" s="9" t="n">
        <x:f>2*(Inputs!$C$9/(Inputs!$C$10^2))*A166</x:f>
        <x:v>0.04888888888888889</x:v>
      </x:c>
      <x:c r="N166" s="9" t="n">
        <x:f>M166*Inputs!$C$11</x:f>
        <x:v>0.19555555555555557</x:v>
      </x:c>
      <x:c r="O166" s="9" t="n">
        <x:f>1000*(D167-D165)/(A167-A165)*Inputs!$C$11</x:f>
        <x:v>469.75763804971393</x:v>
      </x:c>
      <x:c r="P166" s="9" t="n">
        <x:f>-2*O166/Inputs!$C$13</x:f>
        <x:v>-187.90305521988557</x:v>
      </x:c>
      <x:c r="Q166" s="9" t="n">
        <x:f>-2*O166/Inputs!$C$14</x:f>
        <x:v>-28.213671954937777</x:v>
      </x:c>
      <x:c r="R166" s="9" t="n">
        <x:f>F166-Inputs!$C$16/2</x:f>
        <x:v>960.1842608890905</x:v>
      </x:c>
      <x:c r="S166" s="9" t="n">
        <x:f>F166+Inputs!$C$16/2</x:f>
        <x:v>990.1842608890905</x:v>
      </x:c>
      <x:c r="T166" s="9" t="n">
        <x:f>F166-Inputs!$C$17/2</x:f>
        <x:v>825.1842608890905</x:v>
      </x:c>
      <x:c r="U166" s="9" t="n">
        <x:f>F166+Inputs!$C$17/2</x:f>
        <x:v>1125.1842608890906</x:v>
      </x:c>
      <x:c r="V166" s="9">
        <x:f t="shared" si="43"/>
        <x:v>187.90305521988557</x:v>
      </x:c>
      <x:c r="W166" s="9">
        <x:f t="shared" si="44"/>
        <x:v>28.213671954937777</x:v>
      </x:c>
      <x:c r="X166" s="9"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x:f>
        <x:v>73.36589826371042</x:v>
      </x:c>
      <x:c r="Y166" s="9"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x:f>
        <x:v>447.7794532624074</x:v>
      </x:c>
      <x:c r="Z166" s="9">
        <x:f t="shared" si="45"/>
        <x:v>400.46441187951405</x:v>
      </x:c>
      <x:c r="AA166" s="9" t="n">
        <x:f>SQRT((Inputs!$C$52+B166)^2+(Inputs!$C$52+Y166/1000)^2-2*(Inputs!$C$52+B166)*(Inputs!$C$52+Y166/1000)*COS(SQRT(A166^2+Inputs!$C$6^2)/Inputs!$C$52))</x:f>
        <x:v>401.8282581150981</x:v>
      </x:c>
      <x:c r="AB166" s="9">
        <x:f t="shared" si="46"/>
        <x:v>1363.8462355840488</x:v>
      </x:c>
      <x:c r="AC166" s="9" t="n">
        <x:f>AB166/Inputs!$C$12</x:f>
        <x:v>766.2057503281173</x:v>
      </x:c>
      <x:c r="AD166" s="9" t="n">
        <x:f>2*AB166/Inputs!$C$21*1000000</x:f>
        <x:v>9.09860271123998</x:v>
      </x:c>
      <x:c r="AE166" s="9">
        <x:f t="shared" si="47"/>
        <x:v>4.7580692568419494</x:v>
      </x:c>
      <x:c r="AF166" s="9" t="n">
        <x:f>DEGREES((2*PI()/Inputs!$C$13)*Inputs!$C$15*SIN(RADIANS(AE166)))</x:f>
        <x:v>29.861480913404854</x:v>
      </x:c>
      <x:c r="AG166" s="9">
        <x:f t="shared" si="48"/>
        <x:v>0.9864925539138556</x:v>
      </x:c>
      <x:c r="AH166" s="9">
        <x:f t="shared" si="49"/>
        <x:v>-5.9061884719305707E-2</x:v>
      </x:c>
      <x:c r="AI166" s="9">
        <x:f t="shared" si="50"/>
        <x:v>-208.97851056097318</x:v>
      </x:c>
      <x:c r="AJ166" s="9">
        <x:f t="shared" si="51"/>
        <x:v>-2.4815951093641733</x:v>
      </x:c>
      <x:c r="AK166" s="9">
        <x:f t="shared" si="52"/>
        <x:v>374.41355499868473</x:v>
      </x:c>
      <x:c r="AL166" s="9" t="n">
        <x:f>1000*(AA167-AA165)/(A167-A165)*Inputs!$C$11</x:f>
        <x:v>476.6207083544032</x:v>
      </x:c>
      <x:c r="AM166" s="9" t="n">
        <x:f>-2*AL166/Inputs!$C$13</x:f>
        <x:v>-190.64828334176127</x:v>
      </x:c>
      <x:c r="AN166" s="9" t="n">
        <x:f>-2*AL166/Inputs!$C$14</x:f>
        <x:v>-28.625868369633828</x:v>
      </x:c>
      <x:c r="AO166" s="9">
        <x:f t="shared" si="53"/>
        <x:v>190.64828334176127</x:v>
      </x:c>
      <x:c r="AP166" s="9">
        <x:f t="shared" si="54"/>
        <x:v>28.625868369633828</x:v>
      </x:c>
      <x:c r="AQ166" s="9" t="n">
        <x:f>IF(OR(Inputs!$C$27=TRUE,Inputs!$C$27="TRUE",Inputs!$C$27=1),Inputs!$C$46/Inputs!$C$12,0)</x:f>
        <x:v>42.13483146067416</x:v>
      </x:c>
      <x:c r="AR166" s="9">
        <x:f t="shared" si="55"/>
        <x:v>724.0709188674432</x:v>
      </x:c>
      <x:c r="AS166" s="9">
        <x:f t="shared" si="56"/>
        <x:v>808.3405817887915</x:v>
      </x:c>
    </x:row>
    <x:row r="167">
      <x:c r="A167" s="9" t="n">
        <x:f>Inputs!$C$7+165*(Inputs!$C$8-Inputs!$C$7)/240</x:f>
        <x:v>22.5</x:v>
      </x:c>
      <x:c r="B167" s="9" t="n">
        <x:f>Inputs!$C$5+Inputs!$C$9*(A167/Inputs!$C$10)^2</x:f>
        <x:v>400.5625</x:v>
      </x:c>
      <x:c r="C167" s="9">
        <x:f t="shared" si="38"/>
        <x:v>400.5625</x:v>
      </x:c>
      <x:c r="D167" s="9" t="n">
        <x:f>SQRT((Inputs!$C$52+B167)^2+Inputs!$C$52^2-2*(Inputs!$C$52+B167)*Inputs!$C$52*COS(SQRT(A167^2+Inputs!$C$6^2)/Inputs!$C$52))</x:f>
        <x:v>402.3329895961069</x:v>
      </x:c>
      <x:c r="E167" s="9">
        <x:f t="shared" si="39"/>
        <x:v>1770.4895961069269</x:v>
      </x:c>
      <x:c r="F167" s="9" t="n">
        <x:f>E167/Inputs!$C$12</x:f>
        <x:v>994.6570764645656</x:v>
      </x:c>
      <x:c r="G167" s="9" t="n">
        <x:f>2*E167/Inputs!$C$21*1000000</x:f>
        <x:v>11.811435203662974</x:v>
      </x:c>
      <x:c r="H167" s="9" t="n">
        <x:f>SQRT(A167^2+Inputs!$C$6^2)</x:f>
        <x:v>33.63406011768428</x:v>
      </x:c>
      <x:c r="I167" s="9">
        <x:f t="shared" si="40"/>
        <x:v>4.7996999053579179</x:v>
      </x:c>
      <x:c r="J167" s="9" t="n">
        <x:f>DEGREES((2*PI()/Inputs!$C$13)*Inputs!$C$15*SIN(RADIANS(I167)))</x:f>
        <x:v>30.122144661864603</x:v>
      </x:c>
      <x:c r="K167" s="9">
        <x:f t="shared" si="41"/>
        <x:v>0.98251361756155309</x:v>
      </x:c>
      <x:c r="L167" s="9">
        <x:f t="shared" si="42"/>
        <x:v>-7.6614216234208971E-2</x:v>
      </x:c>
      <x:c r="M167" s="9" t="n">
        <x:f>2*(Inputs!$C$9/(Inputs!$C$10^2))*A167</x:f>
        <x:v>0.05</x:v>
      </x:c>
      <x:c r="N167" s="9" t="n">
        <x:f>M167*Inputs!$C$11</x:f>
        <x:v>0.2</x:v>
      </x:c>
      <x:c r="O167" s="9" t="n">
        <x:f>1000*(D168-D166)/(A168-A166)*Inputs!$C$11</x:f>
        <x:v>480.3819843364181</x:v>
      </x:c>
      <x:c r="P167" s="9" t="n">
        <x:f>-2*O167/Inputs!$C$13</x:f>
        <x:v>-192.15279373456724</x:v>
      </x:c>
      <x:c r="Q167" s="9" t="n">
        <x:f>-2*O167/Inputs!$C$14</x:f>
        <x:v>-28.851770831016104</x:v>
      </x:c>
      <x:c r="R167" s="9" t="n">
        <x:f>F167-Inputs!$C$16/2</x:f>
        <x:v>979.6570764645656</x:v>
      </x:c>
      <x:c r="S167" s="9" t="n">
        <x:f>F167+Inputs!$C$16/2</x:f>
        <x:v>1009.6570764645656</x:v>
      </x:c>
      <x:c r="T167" s="9" t="n">
        <x:f>F167-Inputs!$C$17/2</x:f>
        <x:v>844.6570764645656</x:v>
      </x:c>
      <x:c r="U167" s="9" t="n">
        <x:f>F167+Inputs!$C$17/2</x:f>
        <x:v>1144.6570764645658</x:v>
      </x:c>
      <x:c r="V167" s="9">
        <x:f t="shared" si="43"/>
        <x:v>192.15279373456724</x:v>
      </x:c>
      <x:c r="W167" s="9">
        <x:f t="shared" si="44"/>
        <x:v>28.851770831016104</x:v>
      </x:c>
      <x:c r="X167" s="9"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x:f>
        <x:v>73.86322008676284</x:v>
      </x:c>
      <x:c r="Y167" s="9"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x:f>
        <x:v>442.50927153418206</x:v>
      </x:c>
      <x:c r="Z167" s="9">
        <x:f t="shared" si="45"/>
        <x:v>400.48863677991324</x:v>
      </x:c>
      <x:c r="AA167" s="9" t="n">
        <x:f>SQRT((Inputs!$C$52+B167)^2+(Inputs!$C$52+Y167/1000)^2-2*(Inputs!$C$52+B167)*(Inputs!$C$52+Y167/1000)*COS(SQRT(A167^2+Inputs!$C$6^2)/Inputs!$C$52))</x:f>
        <x:v>401.8929311551649</x:v>
      </x:c>
      <x:c r="AB167" s="9">
        <x:f t="shared" si="46"/>
        <x:v>1404.2943752516521</x:v>
      </x:c>
      <x:c r="AC167" s="9" t="n">
        <x:f>AB167/Inputs!$C$12</x:f>
        <x:v>788.9294242986809</x:v>
      </x:c>
      <x:c r="AD167" s="9" t="n">
        <x:f>2*AB167/Inputs!$C$21*1000000</x:f>
        <x:v>9.368443653453431</x:v>
      </x:c>
      <x:c r="AE167" s="9">
        <x:f t="shared" si="47"/>
        <x:v>4.8049832527087251</x:v>
      </x:c>
      <x:c r="AF167" s="9" t="n">
        <x:f>DEGREES((2*PI()/Inputs!$C$13)*Inputs!$C$15*SIN(RADIANS(AE167)))</x:f>
        <x:v>30.155224374826382</x:v>
      </x:c>
      <x:c r="AG167" s="9">
        <x:f t="shared" si="48"/>
        <x:v>0.98609628516438863</x:v>
      </x:c>
      <x:c r="AH167" s="9">
        <x:f t="shared" si="49"/>
        <x:v>-6.0806772758312033E-2</x:v>
      </x:c>
      <x:c r="AI167" s="9">
        <x:f t="shared" si="50"/>
        <x:v>-205.72765216588471</x:v>
      </x:c>
      <x:c r="AJ167" s="9">
        <x:f t="shared" si="51"/>
        <x:v>-2.442991550209543</x:v>
      </x:c>
      <x:c r="AK167" s="9">
        <x:f t="shared" si="52"/>
        <x:v>368.64605144741921</x:v>
      </x:c>
      <x:c r="AL167" s="9" t="n">
        <x:f>1000*(AA168-AA166)/(A168-A166)*Inputs!$C$11</x:f>
        <x:v>519.1559281577156</x:v>
      </x:c>
      <x:c r="AM167" s="9" t="n">
        <x:f>-2*AL167/Inputs!$C$13</x:f>
        <x:v>-207.66237126308624</x:v>
      </x:c>
      <x:c r="AN167" s="9" t="n">
        <x:f>-2*AL167/Inputs!$C$14</x:f>
        <x:v>-31.180536225688627</x:v>
      </x:c>
      <x:c r="AO167" s="9">
        <x:f t="shared" si="53"/>
        <x:v>207.66237126308624</x:v>
      </x:c>
      <x:c r="AP167" s="9">
        <x:f t="shared" si="54"/>
        <x:v>31.180536225688627</x:v>
      </x:c>
      <x:c r="AQ167" s="9" t="n">
        <x:f>IF(OR(Inputs!$C$27=TRUE,Inputs!$C$27="TRUE",Inputs!$C$27=1),Inputs!$C$46/Inputs!$C$12,0)</x:f>
        <x:v>42.13483146067416</x:v>
      </x:c>
      <x:c r="AR167" s="9">
        <x:f t="shared" si="55"/>
        <x:v>746.79459283800679</x:v>
      </x:c>
      <x:c r="AS167" s="9">
        <x:f t="shared" si="56"/>
        <x:v>831.06425575935509</x:v>
      </x:c>
    </x:row>
    <x:row r="168">
      <x:c r="A168" s="9" t="n">
        <x:f>Inputs!$C$7+166*(Inputs!$C$8-Inputs!$C$7)/240</x:f>
        <x:v>23</x:v>
      </x:c>
      <x:c r="B168" s="9" t="n">
        <x:f>Inputs!$C$5+Inputs!$C$9*(A168/Inputs!$C$10)^2</x:f>
        <x:v>400.5877777777778</x:v>
      </x:c>
      <x:c r="C168" s="9">
        <x:f t="shared" si="38"/>
        <x:v>400.58777777777777</x:v>
      </x:c>
      <x:c r="D168" s="9" t="n">
        <x:f>SQRT((Inputs!$C$52+B168)^2+Inputs!$C$52^2-2*(Inputs!$C$52+B168)*Inputs!$C$52*COS(SQRT(A168^2+Inputs!$C$6^2)/Inputs!$C$52))</x:f>
        <x:v>402.39370125824445</x:v>
      </x:c>
      <x:c r="E168" s="9">
        <x:f t="shared" si="39"/>
        <x:v>1805.9234804666744</x:v>
      </x:c>
      <x:c r="F168" s="9" t="n">
        <x:f>E168/Inputs!$C$12</x:f>
        <x:v>1014.5637530711654</x:v>
      </x:c>
      <x:c r="G168" s="9" t="n">
        <x:f>2*E168/Inputs!$C$21*1000000</x:f>
        <x:v>12.047824635179278</x:v>
      </x:c>
      <x:c r="H168" s="9" t="n">
        <x:f>SQRT(A168^2+Inputs!$C$6^2)</x:f>
        <x:v>33.97057550292606</x:v>
      </x:c>
      <x:c r="I168" s="9">
        <x:f t="shared" si="40"/>
        <x:v>4.8471897122057523</x:v>
      </x:c>
      <x:c r="J168" s="9" t="n">
        <x:f>DEGREES((2*PI()/Inputs!$C$13)*Inputs!$C$15*SIN(RADIANS(I168)))</x:f>
        <x:v>30.419475182182925</x:v>
      </x:c>
      <x:c r="K168" s="9">
        <x:f t="shared" si="41"/>
        <x:v>0.9821686824370861</x:v>
      </x:c>
      <x:c r="L168" s="9">
        <x:f t="shared" si="42"/>
        <x:v>-7.8139179559932534E-2</x:v>
      </x:c>
      <x:c r="M168" s="9" t="n">
        <x:f>2*(Inputs!$C$9/(Inputs!$C$10^2))*A168</x:f>
        <x:v>0.051111111111111114</x:v>
      </x:c>
      <x:c r="N168" s="9" t="n">
        <x:f>M168*Inputs!$C$11</x:f>
        <x:v>0.20444444444444446</x:v>
      </x:c>
      <x:c r="O168" s="9" t="n">
        <x:f>1000*(D169-D167)/(A169-A167)*Inputs!$C$11</x:f>
        <x:v>491.00285175427416</x:v>
      </x:c>
      <x:c r="P168" s="9" t="n">
        <x:f>-2*O168/Inputs!$C$13</x:f>
        <x:v>-196.40114070170966</x:v>
      </x:c>
      <x:c r="Q168" s="9" t="n">
        <x:f>-2*O168/Inputs!$C$14</x:f>
        <x:v>-29.489660766022475</x:v>
      </x:c>
      <x:c r="R168" s="9" t="n">
        <x:f>F168-Inputs!$C$16/2</x:f>
        <x:v>999.5637530711654</x:v>
      </x:c>
      <x:c r="S168" s="9" t="n">
        <x:f>F168+Inputs!$C$16/2</x:f>
        <x:v>1029.5637530711654</x:v>
      </x:c>
      <x:c r="T168" s="9" t="n">
        <x:f>F168-Inputs!$C$17/2</x:f>
        <x:v>864.5637530711654</x:v>
      </x:c>
      <x:c r="U168" s="9" t="n">
        <x:f>F168+Inputs!$C$17/2</x:f>
        <x:v>1164.5637530711654</x:v>
      </x:c>
      <x:c r="V168" s="9">
        <x:f t="shared" si="43"/>
        <x:v>196.40114070170966</x:v>
      </x:c>
      <x:c r="W168" s="9">
        <x:f t="shared" si="44"/>
        <x:v>29.489660766022475</x:v>
      </x:c>
      <x:c r="X168" s="9"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x:f>
        <x:v>61.781548358505674</x:v>
      </x:c>
      <x:c r="Y168" s="9"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x:f>
        <x:v>438.1289491107309</x:v>
      </x:c>
      <x:c r="Z168" s="9">
        <x:f t="shared" si="45"/>
        <x:v>400.52599622941926</x:v>
      </x:c>
      <x:c r="AA168" s="9" t="n">
        <x:f>SQRT((Inputs!$C$52+B168)^2+(Inputs!$C$52+Y168/1000)^2-2*(Inputs!$C$52+B168)*(Inputs!$C$52+Y168/1000)*COS(SQRT(A168^2+Inputs!$C$6^2)/Inputs!$C$52))</x:f>
        <x:v>401.9580470971375</x:v>
      </x:c>
      <x:c r="AB168" s="9">
        <x:f t="shared" si="46"/>
        <x:v>1432.0508677182602</x:v>
      </x:c>
      <x:c r="AC168" s="9" t="n">
        <x:f>AB168/Inputs!$C$12</x:f>
        <x:v>804.522959392281</x:v>
      </x:c>
      <x:c r="AD168" s="9" t="n">
        <x:f>2*AB168/Inputs!$C$21*1000000</x:f>
        <x:v>9.5536150393634</x:v>
      </x:c>
      <x:c r="AE168" s="9">
        <x:f t="shared" si="47"/>
        <x:v>4.8524716340221561</x:v>
      </x:c>
      <x:c r="AF168" s="9" t="n">
        <x:f>DEGREES((2*PI()/Inputs!$C$13)*Inputs!$C$15*SIN(RADIANS(AE168)))</x:f>
        <x:v>30.45254365548653</x:v>
      </x:c>
      <x:c r="AG168" s="9">
        <x:f t="shared" si="48"/>
        <x:v>0.98582522614880885</x:v>
      </x:c>
      <x:c r="AH168" s="9">
        <x:f t="shared" si="49"/>
        <x:v>-6.2000729361579361E-2</x:v>
      </x:c>
      <x:c r="AI168" s="9">
        <x:f t="shared" si="50"/>
        <x:v>-210.04079367888437</x:v>
      </x:c>
      <x:c r="AJ168" s="9">
        <x:f t="shared" si="51"/>
        <x:v>-2.4942095958158781</x:v>
      </x:c>
      <x:c r="AK168" s="9">
        <x:f t="shared" si="52"/>
        <x:v>376.34740075222521</x:v>
      </x:c>
      <x:c r="AL168" s="9" t="n">
        <x:f>1000*(AA169-AA167)/(A169-A167)*Inputs!$C$11</x:f>
        <x:v>536.320952948472</x:v>
      </x:c>
      <x:c r="AM168" s="9" t="n">
        <x:f>-2*AL168/Inputs!$C$13</x:f>
        <x:v>-214.52838117938882</x:v>
      </x:c>
      <x:c r="AN168" s="9" t="n">
        <x:f>-2*AL168/Inputs!$C$14</x:f>
        <x:v>-32.21146864555388</x:v>
      </x:c>
      <x:c r="AO168" s="9">
        <x:f t="shared" si="53"/>
        <x:v>214.52838117938882</x:v>
      </x:c>
      <x:c r="AP168" s="9">
        <x:f t="shared" si="54"/>
        <x:v>32.211468645553879</x:v>
      </x:c>
      <x:c r="AQ168" s="9" t="n">
        <x:f>IF(OR(Inputs!$C$27=TRUE,Inputs!$C$27="TRUE",Inputs!$C$27=1),Inputs!$C$46/Inputs!$C$12,0)</x:f>
        <x:v>42.13483146067416</x:v>
      </x:c>
      <x:c r="AR168" s="9">
        <x:f t="shared" si="55"/>
        <x:v>762.38812793160685</x:v>
      </x:c>
      <x:c r="AS168" s="9">
        <x:f t="shared" si="56"/>
        <x:v>846.65779085295515</x:v>
      </x:c>
    </x:row>
    <x:row r="169">
      <x:c r="A169" s="9" t="n">
        <x:f>Inputs!$C$7+167*(Inputs!$C$8-Inputs!$C$7)/240</x:f>
        <x:v>23.5</x:v>
      </x:c>
      <x:c r="B169" s="9" t="n">
        <x:f>Inputs!$C$5+Inputs!$C$9*(A169/Inputs!$C$10)^2</x:f>
        <x:v>400.6136111111111</x:v>
      </x:c>
      <x:c r="C169" s="9">
        <x:f t="shared" si="38"/>
        <x:v>400.61361111111108</x:v>
      </x:c>
      <x:c r="D169" s="9" t="n">
        <x:f>SQRT((Inputs!$C$52+B169)^2+Inputs!$C$52^2-2*(Inputs!$C$52+B169)*Inputs!$C$52*COS(SQRT(A169^2+Inputs!$C$6^2)/Inputs!$C$52))</x:f>
        <x:v>402.4557403090455</x:v>
      </x:c>
      <x:c r="E169" s="9">
        <x:f t="shared" si="39"/>
        <x:v>1842.1291979344119</x:v>
      </x:c>
      <x:c r="F169" s="9" t="n">
        <x:f>E169/Inputs!$C$12</x:f>
        <x:v>1034.9040437833773</x:v>
      </x:c>
      <x:c r="G169" s="9" t="n">
        <x:f>2*E169/Inputs!$C$21*1000000</x:f>
        <x:v>12.289363182941793</x:v>
      </x:c>
      <x:c r="H169" s="9" t="n">
        <x:f>SQRT(A169^2+Inputs!$C$6^2)</x:f>
        <x:v>34.311076928595526</x:v>
      </x:c>
      <x:c r="I169" s="9">
        <x:f t="shared" si="40"/>
        <x:v>4.8952260304560395</x:v>
      </x:c>
      <x:c r="J169" s="9" t="n">
        <x:f>DEGREES((2*PI()/Inputs!$C$13)*Inputs!$C$15*SIN(RADIANS(I169)))</x:f>
        <x:v>30.72020611297858</x:v>
      </x:c>
      <x:c r="K169" s="9">
        <x:f t="shared" si="41"/>
        <x:v>0.98181643531000218</x:v>
      </x:c>
      <x:c r="L169" s="9">
        <x:f t="shared" si="42"/>
        <x:v>-7.9697022171027546E-2</x:v>
      </x:c>
      <x:c r="M169" s="9" t="n">
        <x:f>2*(Inputs!$C$9/(Inputs!$C$10^2))*A169</x:f>
        <x:v>0.052222222222222225</x:v>
      </x:c>
      <x:c r="N169" s="9" t="n">
        <x:f>M169*Inputs!$C$11</x:f>
        <x:v>0.2088888888888889</x:v>
      </x:c>
      <x:c r="O169" s="9" t="n">
        <x:f>1000*(D170-D168)/(A170-A168)*Inputs!$C$11</x:f>
        <x:v>501.6201656674184</x:v>
      </x:c>
      <x:c r="P169" s="9" t="n">
        <x:f>-2*O169/Inputs!$C$13</x:f>
        <x:v>-200.64806626696736</x:v>
      </x:c>
      <x:c r="Q169" s="9" t="n">
        <x:f>-2*O169/Inputs!$C$14</x:f>
        <x:v>-30.12733727732243</x:v>
      </x:c>
      <x:c r="R169" s="9" t="n">
        <x:f>F169-Inputs!$C$16/2</x:f>
        <x:v>1019.9040437833773</x:v>
      </x:c>
      <x:c r="S169" s="9" t="n">
        <x:f>F169+Inputs!$C$16/2</x:f>
        <x:v>1049.9040437833773</x:v>
      </x:c>
      <x:c r="T169" s="9" t="n">
        <x:f>F169-Inputs!$C$17/2</x:f>
        <x:v>884.9040437833773</x:v>
      </x:c>
      <x:c r="U169" s="9" t="n">
        <x:f>F169+Inputs!$C$17/2</x:f>
        <x:v>1184.9040437833773</x:v>
      </x:c>
      <x:c r="V169" s="9">
        <x:f t="shared" si="43"/>
        <x:v>200.64806626696736</x:v>
      </x:c>
      <x:c r="W169" s="9">
        <x:f t="shared" si="44"/>
        <x:v>30.127337277322429</x:v>
      </x:c>
      <x:c r="X169" s="9"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x:f>
        <x:v>70.98866885242666</x:v>
      </x:c>
      <x:c r="Y169" s="9"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x:f>
        <x:v>431.2131008039683</x:v>
      </x:c>
      <x:c r="Z169" s="9">
        <x:f t="shared" si="45"/>
        <x:v>400.54262244225868</x:v>
      </x:c>
      <x:c r="AA169" s="9" t="n">
        <x:f>SQRT((Inputs!$C$52+B169)^2+(Inputs!$C$52+Y169/1000)^2-2*(Inputs!$C$52+B169)*(Inputs!$C$52+Y169/1000)*COS(SQRT(A169^2+Inputs!$C$6^2)/Inputs!$C$52))</x:f>
        <x:v>402.027011393402</x:v>
      </x:c>
      <x:c r="AB169" s="9">
        <x:f t="shared" si="46"/>
        <x:v>1484.3889511433304</x:v>
      </x:c>
      <x:c r="AC169" s="9" t="n">
        <x:f>AB169/Inputs!$C$12</x:f>
        <x:v>833.9263770468148</x:v>
      </x:c>
      <x:c r="AD169" s="9" t="n">
        <x:f>2*AB169/Inputs!$C$21*1000000</x:f>
        <x:v>9.902777148205178</x:v>
      </x:c>
      <x:c r="AE169" s="9">
        <x:f t="shared" si="47"/>
        <x:v>4.9004751660076833</x:v>
      </x:c>
      <x:c r="AF169" s="9" t="n">
        <x:f>DEGREES((2*PI()/Inputs!$C$13)*Inputs!$C$15*SIN(RADIANS(AE169)))</x:f>
        <x:v>30.753066973149572</x:v>
      </x:c>
      <x:c r="AG169" s="9">
        <x:f t="shared" si="48"/>
        <x:v>0.98531254867745266</x:v>
      </x:c>
      <x:c r="AH169" s="9">
        <x:f t="shared" si="49"/>
        <x:v>-6.4259861165254561E-2</x:v>
      </x:c>
      <x:c r="AI169" s="9">
        <x:f t="shared" si="50"/>
        <x:v>-200.97766673656258</x:v>
      </x:c>
      <x:c r="AJ169" s="9">
        <x:f t="shared" si="51"/>
        <x:v>-2.3865860347366148</x:v>
      </x:c>
      <x:c r="AK169" s="9">
        <x:f t="shared" si="52"/>
        <x:v>360.22443195154165</x:v>
      </x:c>
      <x:c r="AL169" s="9" t="n">
        <x:f>1000*(AA170-AA168)/(A170-A168)*Inputs!$C$11</x:f>
        <x:v>489.55806634353394</x:v>
      </x:c>
      <x:c r="AM169" s="9" t="n">
        <x:f>-2*AL169/Inputs!$C$13</x:f>
        <x:v>-195.82322653741357</x:v>
      </x:c>
      <x:c r="AN169" s="9" t="n">
        <x:f>-2*AL169/Inputs!$C$14</x:f>
        <x:v>-29.40288686747952</x:v>
      </x:c>
      <x:c r="AO169" s="9">
        <x:f t="shared" si="53"/>
        <x:v>195.82322653741357</x:v>
      </x:c>
      <x:c r="AP169" s="9">
        <x:f t="shared" si="54"/>
        <x:v>29.40288686747952</x:v>
      </x:c>
      <x:c r="AQ169" s="9" t="n">
        <x:f>IF(OR(Inputs!$C$27=TRUE,Inputs!$C$27="TRUE",Inputs!$C$27=1),Inputs!$C$46/Inputs!$C$12,0)</x:f>
        <x:v>42.13483146067416</x:v>
      </x:c>
      <x:c r="AR169" s="9">
        <x:f t="shared" si="55"/>
        <x:v>791.79154558614061</x:v>
      </x:c>
      <x:c r="AS169" s="9">
        <x:f t="shared" si="56"/>
        <x:v>876.06120850748891</x:v>
      </x:c>
    </x:row>
    <x:row r="170">
      <x:c r="A170" s="9" t="n">
        <x:f>Inputs!$C$7+168*(Inputs!$C$8-Inputs!$C$7)/240</x:f>
        <x:v>24</x:v>
      </x:c>
      <x:c r="B170" s="9" t="n">
        <x:f>Inputs!$C$5+Inputs!$C$9*(A170/Inputs!$C$10)^2</x:f>
        <x:v>400.64</x:v>
      </x:c>
      <x:c r="C170" s="9">
        <x:f t="shared" si="38"/>
        <x:v>400.64</x:v>
      </x:c>
      <x:c r="D170" s="9" t="n">
        <x:f>SQRT((Inputs!$C$52+B170)^2+Inputs!$C$52^2-2*(Inputs!$C$52+B170)*Inputs!$C$52*COS(SQRT(A170^2+Inputs!$C$6^2)/Inputs!$C$52))</x:f>
        <x:v>402.5191062996613</x:v>
      </x:c>
      <x:c r="E170" s="9">
        <x:f t="shared" si="39"/>
        <x:v>1879.1062996613164</x:v>
      </x:c>
      <x:c r="F170" s="9" t="n">
        <x:f>E170/Inputs!$C$12</x:f>
        <x:v>1055.6776964389417</x:v>
      </x:c>
      <x:c r="G170" s="9" t="n">
        <x:f>2*E170/Inputs!$C$21*1000000</x:f>
        <x:v>12.53604785255349</x:v>
      </x:c>
      <x:c r="H170" s="9" t="n">
        <x:f>SQRT(A170^2+Inputs!$C$6^2)</x:f>
        <x:v>34.655446902326915</x:v>
      </x:c>
      <x:c r="I170" s="9">
        <x:f t="shared" si="40"/>
        <x:v>4.9437915722171066</x:v>
      </x:c>
      <x:c r="J170" s="9" t="n">
        <x:f>DEGREES((2*PI()/Inputs!$C$13)*Inputs!$C$15*SIN(RADIANS(I170)))</x:f>
        <x:v>31.024228290513804</x:v>
      </x:c>
      <x:c r="K170" s="9">
        <x:f t="shared" si="41"/>
        <x:v>0.98145689342189257</x:v>
      </x:c>
      <x:c r="L170" s="9">
        <x:f t="shared" si="42"/>
        <x:v>-8.1287702974148904E-2</x:v>
      </x:c>
      <x:c r="M170" s="9" t="n">
        <x:f>2*(Inputs!$C$9/(Inputs!$C$10^2))*A170</x:f>
        <x:v>0.05333333333333333</x:v>
      </x:c>
      <x:c r="N170" s="9" t="n">
        <x:f>M170*Inputs!$C$11</x:f>
        <x:v>0.21333333333333332</x:v>
      </x:c>
      <x:c r="O170" s="9" t="n">
        <x:f>1000*(D171-D169)/(A171-A169)*Inputs!$C$11</x:f>
        <x:v>512.2338516328</x:v>
      </x:c>
      <x:c r="P170" s="9" t="n">
        <x:f>-2*O170/Inputs!$C$13</x:f>
        <x:v>-204.89354065312</x:v>
      </x:c>
      <x:c r="Q170" s="9" t="n">
        <x:f>-2*O170/Inputs!$C$14</x:f>
        <x:v>-30.764795893861866</x:v>
      </x:c>
      <x:c r="R170" s="9" t="n">
        <x:f>F170-Inputs!$C$16/2</x:f>
        <x:v>1040.6776964389417</x:v>
      </x:c>
      <x:c r="S170" s="9" t="n">
        <x:f>F170+Inputs!$C$16/2</x:f>
        <x:v>1070.6776964389417</x:v>
      </x:c>
      <x:c r="T170" s="9" t="n">
        <x:f>F170-Inputs!$C$17/2</x:f>
        <x:v>905.6776964389417</x:v>
      </x:c>
      <x:c r="U170" s="9" t="n">
        <x:f>F170+Inputs!$C$17/2</x:f>
        <x:v>1205.6776964389417</x:v>
      </x:c>
      <x:c r="V170" s="9">
        <x:f t="shared" si="43"/>
        <x:v>204.89354065312</x:v>
      </x:c>
      <x:c r="W170" s="9">
        <x:f t="shared" si="44"/>
        <x:v>30.764795893861866</x:v>
      </x:c>
      <x:c r="X170" s="9"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x:f>
        <x:v>75.46815017037277</x:v>
      </x:c>
      <x:c r="Y170" s="9"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x:f>
        <x:v>441.2625072507224</x:v>
      </x:c>
      <x:c r="Z170" s="9">
        <x:f t="shared" si="45"/>
        <x:v>400.56453184982939</x:v>
      </x:c>
      <x:c r="AA170" s="9" t="n">
        <x:f>SQRT((Inputs!$C$52+B170)^2+(Inputs!$C$52+Y170/1000)^2-2*(Inputs!$C$52+B170)*(Inputs!$C$52+Y170/1000)*COS(SQRT(A170^2+Inputs!$C$6^2)/Inputs!$C$52))</x:f>
        <x:v>402.0804366137234</x:v>
      </x:c>
      <x:c r="AB170" s="9">
        <x:f t="shared" si="46"/>
        <x:v>1515.9047638940137</x:v>
      </x:c>
      <x:c r="AC170" s="9" t="n">
        <x:f>AB170/Inputs!$C$12</x:f>
        <x:v>851.6318898280975</x:v>
      </x:c>
      <x:c r="AD170" s="9" t="n">
        <x:f>2*AB170/Inputs!$C$21*1000000</x:f>
        <x:v>10.1130280194975</x:v>
      </x:c>
      <x:c r="AE170" s="9">
        <x:f t="shared" si="47"/>
        <x:v>4.9492155782736926</x:v>
      </x:c>
      <x:c r="AF170" s="9" t="n">
        <x:f>DEGREES((2*PI()/Inputs!$C$13)*Inputs!$C$15*SIN(RADIANS(AE170)))</x:f>
        <x:v>31.058181399348573</x:v>
      </x:c>
      <x:c r="AG170" s="9">
        <x:f t="shared" si="48"/>
        <x:v>0.98500445817166371</x:v>
      </x:c>
      <x:c r="AH170" s="9">
        <x:f t="shared" si="49"/>
        <x:v>-6.561803862823444E-2</x:v>
      </x:c>
      <x:c r="AI170" s="9">
        <x:f t="shared" si="50"/>
        <x:v>-204.04580661084412</x:v>
      </x:c>
      <x:c r="AJ170" s="9">
        <x:f t="shared" si="51"/>
        <x:v>-2.4230198330559904</x:v>
      </x:c>
      <x:c r="AK170" s="9">
        <x:f t="shared" si="52"/>
        <x:v>365.79435708015319</x:v>
      </x:c>
      <x:c r="AL170" s="9" t="n">
        <x:f>1000*(AA171-AA169)/(A171-A169)*Inputs!$C$11</x:f>
        <x:v>575.3600353623369</x:v>
      </x:c>
      <x:c r="AM170" s="9" t="n">
        <x:f>-2*AL170/Inputs!$C$13</x:f>
        <x:v>-230.14401414493477</x:v>
      </x:c>
      <x:c r="AN170" s="9" t="n">
        <x:f>-2*AL170/Inputs!$C$14</x:f>
        <x:v>-34.55615828002024</x:v>
      </x:c>
      <x:c r="AO170" s="9">
        <x:f t="shared" si="53"/>
        <x:v>230.14401414493477</x:v>
      </x:c>
      <x:c r="AP170" s="9">
        <x:f t="shared" si="54"/>
        <x:v>34.556158280020242</x:v>
      </x:c>
      <x:c r="AQ170" s="9" t="n">
        <x:f>IF(OR(Inputs!$C$27=TRUE,Inputs!$C$27="TRUE",Inputs!$C$27=1),Inputs!$C$46/Inputs!$C$12,0)</x:f>
        <x:v>42.13483146067416</x:v>
      </x:c>
      <x:c r="AR170" s="9">
        <x:f t="shared" si="55"/>
        <x:v>809.49705836742339</x:v>
      </x:c>
      <x:c r="AS170" s="9">
        <x:f t="shared" si="56"/>
        <x:v>893.76672128877169</x:v>
      </x:c>
    </x:row>
    <x:row r="171">
      <x:c r="A171" s="9" t="n">
        <x:f>Inputs!$C$7+169*(Inputs!$C$8-Inputs!$C$7)/240</x:f>
        <x:v>24.5</x:v>
      </x:c>
      <x:c r="B171" s="9" t="n">
        <x:f>Inputs!$C$5+Inputs!$C$9*(A171/Inputs!$C$10)^2</x:f>
        <x:v>400.6669444444444</x:v>
      </x:c>
      <x:c r="C171" s="9">
        <x:f t="shared" si="38"/>
        <x:v>400.66694444444443</x:v>
      </x:c>
      <x:c r="D171" s="9" t="n">
        <x:f>SQRT((Inputs!$C$52+B171)^2+Inputs!$C$52^2-2*(Inputs!$C$52+B171)*Inputs!$C$52*COS(SQRT(A171^2+Inputs!$C$6^2)/Inputs!$C$52))</x:f>
        <x:v>402.5837987719537</x:v>
      </x:c>
      <x:c r="E171" s="9">
        <x:f t="shared" si="39"/>
        <x:v>1916.8543275092702</x:v>
      </x:c>
      <x:c r="F171" s="9" t="n">
        <x:f>E171/Inputs!$C$12</x:f>
        <x:v>1076.8844536568934</x:v>
      </x:c>
      <x:c r="G171" s="9" t="n">
        <x:f>2*E171/Inputs!$C$21*1000000</x:f>
        <x:v>12.78787558764584</x:v>
      </x:c>
      <x:c r="H171" s="9" t="n">
        <x:f>SQRT(A171^2+Inputs!$C$6^2)</x:f>
        <x:v>35.00357124637428</x:v>
      </x:c>
      <x:c r="I171" s="9">
        <x:f t="shared" si="40"/>
        <x:v>4.9928695227894897</x:v>
      </x:c>
      <x:c r="J171" s="9" t="n">
        <x:f>DEGREES((2*PI()/Inputs!$C$13)*Inputs!$C$15*SIN(RADIANS(I171)))</x:f>
        <x:v>31.331435522208846</x:v>
      </x:c>
      <x:c r="K171" s="9">
        <x:f t="shared" si="41"/>
        <x:v>0.98109007435313089</x:v>
      </x:c>
      <x:c r="L171" s="9">
        <x:f t="shared" si="42"/>
        <x:v>-8.2911180036263202E-2</x:v>
      </x:c>
      <x:c r="M171" s="9" t="n">
        <x:f>2*(Inputs!$C$9/(Inputs!$C$10^2))*A171</x:f>
        <x:v>0.05444444444444444</x:v>
      </x:c>
      <x:c r="N171" s="9" t="n">
        <x:f>M171*Inputs!$C$11</x:f>
        <x:v>0.21777777777777776</x:v>
      </x:c>
      <x:c r="O171" s="9" t="n">
        <x:f>1000*(D172-D170)/(A172-A170)*Inputs!$C$11</x:f>
        <x:v>522.8438353706224</x:v>
      </x:c>
      <x:c r="P171" s="9" t="n">
        <x:f>-2*O171/Inputs!$C$13</x:f>
        <x:v>-209.13753414824896</x:v>
      </x:c>
      <x:c r="Q171" s="9" t="n">
        <x:f>-2*O171/Inputs!$C$14</x:f>
        <x:v>-31.402032154391737</x:v>
      </x:c>
      <x:c r="R171" s="9" t="n">
        <x:f>F171-Inputs!$C$16/2</x:f>
        <x:v>1061.8844536568934</x:v>
      </x:c>
      <x:c r="S171" s="9" t="n">
        <x:f>F171+Inputs!$C$16/2</x:f>
        <x:v>1091.8844536568934</x:v>
      </x:c>
      <x:c r="T171" s="9" t="n">
        <x:f>F171-Inputs!$C$17/2</x:f>
        <x:v>926.8844536568934</x:v>
      </x:c>
      <x:c r="U171" s="9" t="n">
        <x:f>F171+Inputs!$C$17/2</x:f>
        <x:v>1226.8844536568934</x:v>
      </x:c>
      <x:c r="V171" s="9">
        <x:f t="shared" si="43"/>
        <x:v>209.13753414824896</x:v>
      </x:c>
      <x:c r="W171" s="9">
        <x:f t="shared" si="44"/>
        <x:v>31.402032154391737</x:v>
      </x:c>
      <x:c r="X171" s="9"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x:f>
        <x:v>80.2881627342364</x:v>
      </x:c>
      <x:c r="Y171" s="9"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x:f>
        <x:v>415.4369773442437</x:v>
      </x:c>
      <x:c r="Z171" s="9">
        <x:f t="shared" si="45"/>
        <x:v>400.58665628171019</x:v>
      </x:c>
      <x:c r="AA171" s="9" t="n">
        <x:f>SQRT((Inputs!$C$52+B171)^2+(Inputs!$C$52+Y171/1000)^2-2*(Inputs!$C$52+B171)*(Inputs!$C$52+Y171/1000)*COS(SQRT(A171^2+Inputs!$C$6^2)/Inputs!$C$52))</x:f>
        <x:v>402.1708514022426</x:v>
      </x:c>
      <x:c r="AB171" s="9">
        <x:f t="shared" si="46"/>
        <x:v>1584.1951205323994</x:v>
      </x:c>
      <x:c r="AC171" s="9" t="n">
        <x:f>AB171/Inputs!$C$12</x:f>
        <x:v>889.9972587260671</x:v>
      </x:c>
      <x:c r="AD171" s="9" t="n">
        <x:f>2*AB171/Inputs!$C$21*1000000</x:f>
        <x:v>10.568612239954344</x:v>
      </x:c>
      <x:c r="AE171" s="9">
        <x:f t="shared" si="47"/>
        <x:v>4.9980255848294268</x:v>
      </x:c>
      <x:c r="AF171" s="9" t="n">
        <x:f>DEGREES((2*PI()/Inputs!$C$13)*Inputs!$C$15*SIN(RADIANS(AE171)))</x:f>
        <x:v>31.363708961255632</x:v>
      </x:c>
      <x:c r="AG171" s="9">
        <x:f t="shared" si="48"/>
        <x:v>0.98433641628204638</x:v>
      </x:c>
      <x:c r="AH171" s="9">
        <x:f t="shared" si="49"/>
        <x:v>-6.8564475390228738E-2</x:v>
      </x:c>
      <x:c r="AI171" s="9">
        <x:f t="shared" si="50"/>
        <x:v>-186.88719493082624</x:v>
      </x:c>
      <x:c r="AJ171" s="9">
        <x:f t="shared" si="51"/>
        <x:v>-2.2192633476914949</x:v>
      </x:c>
      <x:c r="AK171" s="9">
        <x:f t="shared" si="52"/>
        <x:v>335.14881460995821</x:v>
      </x:c>
      <x:c r="AL171" s="9" t="n">
        <x:f>1000*(AA172-AA170)/(A172-A170)*Inputs!$C$11</x:f>
        <x:v>612.4344890533848</x:v>
      </x:c>
      <x:c r="AM171" s="9" t="n">
        <x:f>-2*AL171/Inputs!$C$13</x:f>
        <x:v>-244.97379562135393</x:v>
      </x:c>
      <x:c r="AN171" s="9" t="n">
        <x:f>-2*AL171/Inputs!$C$14</x:f>
        <x:v>-36.78285219539849</x:v>
      </x:c>
      <x:c r="AO171" s="9">
        <x:f t="shared" si="53"/>
        <x:v>244.97379562135393</x:v>
      </x:c>
      <x:c r="AP171" s="9">
        <x:f t="shared" si="54"/>
        <x:v>36.78285219539849</x:v>
      </x:c>
      <x:c r="AQ171" s="9" t="n">
        <x:f>IF(OR(Inputs!$C$27=TRUE,Inputs!$C$27="TRUE",Inputs!$C$27=1),Inputs!$C$46/Inputs!$C$12,0)</x:f>
        <x:v>42.13483146067416</x:v>
      </x:c>
      <x:c r="AR171" s="9">
        <x:f t="shared" si="55"/>
        <x:v>847.86242726539297</x:v>
      </x:c>
      <x:c r="AS171" s="9">
        <x:f t="shared" si="56"/>
        <x:v>932.13209018674127</x:v>
      </x:c>
    </x:row>
    <x:row r="172">
      <x:c r="A172" s="9" t="n">
        <x:f>Inputs!$C$7+170*(Inputs!$C$8-Inputs!$C$7)/240</x:f>
        <x:v>25</x:v>
      </x:c>
      <x:c r="B172" s="9" t="n">
        <x:f>Inputs!$C$5+Inputs!$C$9*(A172/Inputs!$C$10)^2</x:f>
        <x:v>400.69444444444446</x:v>
      </x:c>
      <x:c r="C172" s="9">
        <x:f t="shared" si="38"/>
        <x:v>400.69444444444446</x:v>
      </x:c>
      <x:c r="D172" s="9" t="n">
        <x:f>SQRT((Inputs!$C$52+B172)^2+Inputs!$C$52^2-2*(Inputs!$C$52+B172)*Inputs!$C$52*COS(SQRT(A172^2+Inputs!$C$6^2)/Inputs!$C$52))</x:f>
        <x:v>402.64981725850396</x:v>
      </x:c>
      <x:c r="E172" s="9">
        <x:f t="shared" si="39"/>
        <x:v>1955.3728140595013</x:v>
      </x:c>
      <x:c r="F172" s="9" t="n">
        <x:f>E172/Inputs!$C$12</x:f>
        <x:v>1098.5240528424165</x:v>
      </x:c>
      <x:c r="G172" s="9" t="n">
        <x:f>2*E172/Inputs!$C$21*1000000</x:f>
        <x:v>13.04484326993644</x:v>
      </x:c>
      <x:c r="H172" s="9" t="n">
        <x:f>SQRT(A172^2+Inputs!$C$6^2)</x:f>
        <x:v>35.35533905932738</x:v>
      </x:c>
      <x:c r="I172" s="9">
        <x:f t="shared" si="40"/>
        <x:v>5.042443535344872</x:v>
      </x:c>
      <x:c r="J172" s="9" t="n">
        <x:f>DEGREES((2*PI()/Inputs!$C$13)*Inputs!$C$15*SIN(RADIANS(I172)))</x:f>
        <x:v>31.64172455346228</x:v>
      </x:c>
      <x:c r="K172" s="9">
        <x:f t="shared" si="41"/>
        <x:v>0.98071599602103154</x:v>
      </x:c>
      <x:c r="L172" s="9">
        <x:f t="shared" si="42"/>
        <x:v>-8.4567410586801783E-2</x:v>
      </x:c>
      <x:c r="M172" s="9" t="n">
        <x:f>2*(Inputs!$C$9/(Inputs!$C$10^2))*A172</x:f>
        <x:v>0.05555555555555555</x:v>
      </x:c>
      <x:c r="N172" s="9" t="n">
        <x:f>M172*Inputs!$C$11</x:f>
        <x:v>0.2222222222222222</x:v>
      </x:c>
      <x:c r="O172" s="9" t="n">
        <x:f>1000*(D173-D171)/(A173-A171)*Inputs!$C$11</x:f>
        <x:v>533.4500427779858</x:v>
      </x:c>
      <x:c r="P172" s="9" t="n">
        <x:f>-2*O172/Inputs!$C$13</x:f>
        <x:v>-213.38001711119432</x:v>
      </x:c>
      <x:c r="Q172" s="9" t="n">
        <x:f>-2*O172/Inputs!$C$14</x:f>
        <x:v>-32.03904160828744</x:v>
      </x:c>
      <x:c r="R172" s="9" t="n">
        <x:f>F172-Inputs!$C$16/2</x:f>
        <x:v>1083.5240528424165</x:v>
      </x:c>
      <x:c r="S172" s="9" t="n">
        <x:f>F172+Inputs!$C$16/2</x:f>
        <x:v>1113.5240528424165</x:v>
      </x:c>
      <x:c r="T172" s="9" t="n">
        <x:f>F172-Inputs!$C$17/2</x:f>
        <x:v>948.5240528424165</x:v>
      </x:c>
      <x:c r="U172" s="9" t="n">
        <x:f>F172+Inputs!$C$17/2</x:f>
        <x:v>1248.5240528424165</x:v>
      </x:c>
      <x:c r="V172" s="9">
        <x:f t="shared" si="43"/>
        <x:v>213.38001711119432</x:v>
      </x:c>
      <x:c r="W172" s="9">
        <x:f t="shared" si="44"/>
        <x:v>32.039041608287441</x:v>
      </x:c>
      <x:c r="X172" s="9"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x:f>
        <x:v>61.498548518191555</x:v>
      </x:c>
      <x:c r="Y172" s="9"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x:f>
        <x:v>418.8320748478676</x:v>
      </x:c>
      <x:c r="Z172" s="9">
        <x:f t="shared" si="45"/>
        <x:v>400.63294589592624</x:v>
      </x:c>
      <x:c r="AA172" s="9" t="n">
        <x:f>SQRT((Inputs!$C$52+B172)^2+(Inputs!$C$52+Y172/1000)^2-2*(Inputs!$C$52+B172)*(Inputs!$C$52+Y172/1000)*COS(SQRT(A172^2+Inputs!$C$6^2)/Inputs!$C$52))</x:f>
        <x:v>402.23354523598675</x:v>
      </x:c>
      <x:c r="AB172" s="9">
        <x:f t="shared" si="46"/>
        <x:v>1600.5993400605121</x:v>
      </x:c>
      <x:c r="AC172" s="9" t="n">
        <x:f>AB172/Inputs!$C$12</x:f>
        <x:v>899.2131123935461</x:v>
      </x:c>
      <x:c r="AD172" s="9" t="n">
        <x:f>2*AB172/Inputs!$C$21*1000000</x:f>
        <x:v>10.67804941284088</x:v>
      </x:c>
      <x:c r="AE172" s="9">
        <x:f t="shared" si="47"/>
        <x:v>5.0476924985392442</x:v>
      </x:c>
      <x:c r="AF172" s="9" t="n">
        <x:f>DEGREES((2*PI()/Inputs!$C$13)*Inputs!$C$15*SIN(RADIANS(AE172)))</x:f>
        <x:v>31.674576991085722</x:v>
      </x:c>
      <x:c r="AG172" s="9">
        <x:f t="shared" si="48"/>
        <x:v>0.98417764174494715</x:v>
      </x:c>
      <x:c r="AH172" s="9">
        <x:f t="shared" si="49"/>
        <x:v>-6.9265053627882572E-2</x:v>
      </x:c>
      <x:c r="AI172" s="9">
        <x:f t="shared" si="50"/>
        <x:v>-199.31094044887038</x:v>
      </x:c>
      <x:c r="AJ172" s="9">
        <x:f t="shared" si="51"/>
        <x:v>-2.3667938570955602</x:v>
      </x:c>
      <x:c r="AK172" s="9">
        <x:f t="shared" si="52"/>
        <x:v>357.33352632962692</x:v>
      </x:c>
      <x:c r="AL172" s="9" t="n">
        <x:f>1000*(AA173-AA171)/(A173-A171)*Inputs!$C$11</x:f>
        <x:v>634.340576601744</x:v>
      </x:c>
      <x:c r="AM172" s="9" t="n">
        <x:f>-2*AL172/Inputs!$C$13</x:f>
        <x:v>-253.7362306406976</x:v>
      </x:c>
      <x:c r="AN172" s="9" t="n">
        <x:f>-2*AL172/Inputs!$C$14</x:f>
        <x:v>-38.09853312923388</x:v>
      </x:c>
      <x:c r="AO172" s="9">
        <x:f t="shared" si="53"/>
        <x:v>253.73623064069761</x:v>
      </x:c>
      <x:c r="AP172" s="9">
        <x:f t="shared" si="54"/>
        <x:v>38.098533129233878</x:v>
      </x:c>
      <x:c r="AQ172" s="9" t="n">
        <x:f>IF(OR(Inputs!$C$27=TRUE,Inputs!$C$27="TRUE",Inputs!$C$27=1),Inputs!$C$46/Inputs!$C$12,0)</x:f>
        <x:v>42.13483146067416</x:v>
      </x:c>
      <x:c r="AR172" s="9">
        <x:f t="shared" si="55"/>
        <x:v>857.07828093287196</x:v>
      </x:c>
      <x:c r="AS172" s="9">
        <x:f t="shared" si="56"/>
        <x:v>941.34794385422026</x:v>
      </x:c>
    </x:row>
    <x:row r="173">
      <x:c r="A173" s="9" t="n">
        <x:f>Inputs!$C$7+171*(Inputs!$C$8-Inputs!$C$7)/240</x:f>
        <x:v>25.5</x:v>
      </x:c>
      <x:c r="B173" s="9" t="n">
        <x:f>Inputs!$C$5+Inputs!$C$9*(A173/Inputs!$C$10)^2</x:f>
        <x:v>400.7225</x:v>
      </x:c>
      <x:c r="C173" s="9">
        <x:f t="shared" si="38"/>
        <x:v>400.72250000000003</x:v>
      </x:c>
      <x:c r="D173" s="9" t="n">
        <x:f>SQRT((Inputs!$C$52+B173)^2+Inputs!$C$52^2-2*(Inputs!$C$52+B173)*Inputs!$C$52*COS(SQRT(A173^2+Inputs!$C$6^2)/Inputs!$C$52))</x:f>
        <x:v>402.7171612826482</x:v>
      </x:c>
      <x:c r="E173" s="9">
        <x:f t="shared" si="39"/>
        <x:v>1994.6612826481669</x:v>
      </x:c>
      <x:c r="F173" s="9" t="n">
        <x:f>E173/Inputs!$C$12</x:f>
        <x:v>1120.5962262068354</x:v>
      </x:c>
      <x:c r="G173" s="9" t="n">
        <x:f>2*E173/Inputs!$C$21*1000000</x:f>
        <x:v>13.306947719466423</x:v>
      </x:c>
      <x:c r="H173" s="9" t="n">
        <x:f>SQRT(A173^2+Inputs!$C$6^2)</x:f>
        <x:v>35.71064267133819</x:v>
      </x:c>
      <x:c r="I173" s="9">
        <x:f t="shared" si="40"/>
        <x:v>5.092497724666333</x:v>
      </x:c>
      <x:c r="J173" s="9" t="n">
        <x:f>DEGREES((2*PI()/Inputs!$C$13)*Inputs!$C$15*SIN(RADIANS(I173)))</x:f>
        <x:v>31.95499502856307</x:v>
      </x:c>
      <x:c r="K173" s="9">
        <x:f t="shared" si="41"/>
        <x:v>0.98033467667772067</x:v>
      </x:c>
      <x:c r="L173" s="9">
        <x:f t="shared" si="42"/>
        <x:v>-8.6256351020983654E-2</x:v>
      </x:c>
      <x:c r="M173" s="9" t="n">
        <x:f>2*(Inputs!$C$9/(Inputs!$C$10^2))*A173</x:f>
        <x:v>0.056666666666666664</x:v>
      </x:c>
      <x:c r="N173" s="9" t="n">
        <x:f>M173*Inputs!$C$11</x:f>
        <x:v>0.22666666666666666</x:v>
      </x:c>
      <x:c r="O173" s="9" t="n">
        <x:f>1000*(D174-D172)/(A174-A172)*Inputs!$C$11</x:f>
        <x:v>544.0523999498055</x:v>
      </x:c>
      <x:c r="P173" s="9" t="n">
        <x:f>-2*O173/Inputs!$C$13</x:f>
        <x:v>-217.6209599799222</x:v>
      </x:c>
      <x:c r="Q173" s="9" t="n">
        <x:f>-2*O173/Inputs!$C$14</x:f>
        <x:v>-32.67581981680514</x:v>
      </x:c>
      <x:c r="R173" s="9" t="n">
        <x:f>F173-Inputs!$C$16/2</x:f>
        <x:v>1105.5962262068354</x:v>
      </x:c>
      <x:c r="S173" s="9" t="n">
        <x:f>F173+Inputs!$C$16/2</x:f>
        <x:v>1135.5962262068354</x:v>
      </x:c>
      <x:c r="T173" s="9" t="n">
        <x:f>F173-Inputs!$C$17/2</x:f>
        <x:v>970.5962262068354</x:v>
      </x:c>
      <x:c r="U173" s="9" t="n">
        <x:f>F173+Inputs!$C$17/2</x:f>
        <x:v>1270.5962262068354</x:v>
      </x:c>
      <x:c r="V173" s="9">
        <x:f t="shared" si="43"/>
        <x:v>217.62095997992219</x:v>
      </x:c>
      <x:c r="W173" s="9">
        <x:f t="shared" si="44"/>
        <x:v>32.675819816805138</x:v>
      </x:c>
      <x:c r="X173" s="9"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x:f>
        <x:v>67.90188044896082</x:v>
      </x:c>
      <x:c r="Y173" s="9"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x:f>
        <x:v>390.15691093629596</x:v>
      </x:c>
      <x:c r="Z173" s="9">
        <x:f t="shared" si="45"/>
        <x:v>400.65459811955105</x:v>
      </x:c>
      <x:c r="AA173" s="9" t="n">
        <x:f>SQRT((Inputs!$C$52+B173)^2+(Inputs!$C$52+Y173/1000)^2-2*(Inputs!$C$52+B173)*(Inputs!$C$52+Y173/1000)*COS(SQRT(A173^2+Inputs!$C$6^2)/Inputs!$C$52))</x:f>
        <x:v>402.329436546393</x:v>
      </x:c>
      <x:c r="AB173" s="9">
        <x:f t="shared" si="46"/>
        <x:v>1674.8384268419727</x:v>
      </x:c>
      <x:c r="AC173" s="9" t="n">
        <x:f>AB173/Inputs!$C$12</x:f>
        <x:v>940.9204645179622</x:v>
      </x:c>
      <x:c r="AD173" s="9" t="n">
        <x:f>2*AB173/Inputs!$C$21*1000000</x:f>
        <x:v>11.173319289052781</x:v>
      </x:c>
      <x:c r="AE173" s="9">
        <x:f t="shared" si="47"/>
        <x:v>5.0974346492304941</x:v>
      </x:c>
      <x:c r="AF173" s="9" t="n">
        <x:f>DEGREES((2*PI()/Inputs!$C$13)*Inputs!$C$15*SIN(RADIANS(AE173)))</x:f>
        <x:v>31.985892077965694</x:v>
      </x:c>
      <x:c r="AG173" s="9">
        <x:f t="shared" si="48"/>
        <x:v>0.98345227458625351</x:v>
      </x:c>
      <x:c r="AH173" s="9">
        <x:f t="shared" si="49"/>
        <x:v>-7.2467108709792769E-2</x:v>
      </x:c>
      <x:c r="AI173" s="9">
        <x:f t="shared" si="50"/>
        <x:v>-179.67576168887319</x:v>
      </x:c>
      <x:c r="AJ173" s="9">
        <x:f t="shared" si="51"/>
        <x:v>-2.1336284304136424</x:v>
      </x:c>
      <x:c r="AK173" s="9">
        <x:f t="shared" si="52"/>
        <x:v>322.25503048728598</x:v>
      </x:c>
      <x:c r="AL173" s="9" t="n">
        <x:f>1000*(AA174-AA172)/(A174-A172)*Inputs!$C$11</x:f>
        <x:v>669.4925338408666</x:v>
      </x:c>
      <x:c r="AM173" s="9" t="n">
        <x:f>-2*AL173/Inputs!$C$13</x:f>
        <x:v>-267.79701353634664</x:v>
      </x:c>
      <x:c r="AN173" s="9" t="n">
        <x:f>-2*AL173/Inputs!$C$14</x:f>
        <x:v>-40.209761792244244</x:v>
      </x:c>
      <x:c r="AO173" s="9">
        <x:f t="shared" si="53"/>
        <x:v>267.79701353816563</x:v>
      </x:c>
      <x:c r="AP173" s="9">
        <x:f t="shared" si="54"/>
        <x:v>40.209761792517362</x:v>
      </x:c>
      <x:c r="AQ173" s="9" t="n">
        <x:f>IF(OR(Inputs!$C$27=TRUE,Inputs!$C$27="TRUE",Inputs!$C$27=1),Inputs!$C$46/Inputs!$C$12,0)</x:f>
        <x:v>42.13483146067416</x:v>
      </x:c>
      <x:c r="AR173" s="9">
        <x:f t="shared" si="55"/>
        <x:v>898.78563305728801</x:v>
      </x:c>
      <x:c r="AS173" s="9">
        <x:f t="shared" si="56"/>
        <x:v>983.05529597863631</x:v>
      </x:c>
    </x:row>
    <x:row r="174">
      <x:c r="A174" s="9" t="n">
        <x:f>Inputs!$C$7+172*(Inputs!$C$8-Inputs!$C$7)/240</x:f>
        <x:v>26</x:v>
      </x:c>
      <x:c r="B174" s="9" t="n">
        <x:f>Inputs!$C$5+Inputs!$C$9*(A174/Inputs!$C$10)^2</x:f>
        <x:v>400.75111111111113</x:v>
      </x:c>
      <x:c r="C174" s="9">
        <x:f t="shared" si="38"/>
        <x:v>400.75111111111113</x:v>
      </x:c>
      <x:c r="D174" s="9" t="n">
        <x:f>SQRT((Inputs!$C$52+B174)^2+Inputs!$C$52^2-2*(Inputs!$C$52+B174)*Inputs!$C$52*COS(SQRT(A174^2+Inputs!$C$6^2)/Inputs!$C$52))</x:f>
        <x:v>402.7858303584914</x:v>
      </x:c>
      <x:c r="E174" s="9">
        <x:f t="shared" si="39"/>
        <x:v>2034.7192473802806</x:v>
      </x:c>
      <x:c r="F174" s="9" t="n">
        <x:f>E174/Inputs!$C$12</x:f>
        <x:v>1143.1007007754386</x:v>
      </x:c>
      <x:c r="G174" s="9" t="n">
        <x:f>2*E174/Inputs!$C$21*1000000</x:f>
        <x:v>13.574185694693364</x:v>
      </x:c>
      <x:c r="H174" s="9" t="n">
        <x:f>SQRT(A174^2+Inputs!$C$6^2)</x:f>
        <x:v>36.069377593742864</x:v>
      </x:c>
      <x:c r="I174" s="9">
        <x:f t="shared" si="40"/>
        <x:v>5.1430166600771647</x:v>
      </x:c>
      <x:c r="J174" s="9" t="n">
        <x:f>DEGREES((2*PI()/Inputs!$C$13)*Inputs!$C$15*SIN(RADIANS(I174)))</x:f>
        <x:v>32.27114944649454</x:v>
      </x:c>
      <x:c r="K174" s="9">
        <x:f t="shared" si="41"/>
        <x:v>0.97994613490818028</x:v>
      </x:c>
      <x:c r="L174" s="9">
        <x:f t="shared" si="42"/>
        <x:v>-8.7977956902271004E-2</x:v>
      </x:c>
      <x:c r="M174" s="9" t="n">
        <x:f>2*(Inputs!$C$9/(Inputs!$C$10^2))*A174</x:f>
        <x:v>0.057777777777777775</x:v>
      </x:c>
      <x:c r="N174" s="9" t="n">
        <x:f>M174*Inputs!$C$11</x:f>
        <x:v>0.2311111111111111</x:v>
      </x:c>
      <x:c r="O174" s="9" t="n">
        <x:f>1000*(D175-D173)/(A175-A173)*Inputs!$C$11</x:f>
        <x:v>554.6508331692621</x:v>
      </x:c>
      <x:c r="P174" s="9" t="n">
        <x:f>-2*O174/Inputs!$C$13</x:f>
        <x:v>-221.86033326770485</x:v>
      </x:c>
      <x:c r="Q174" s="9" t="n">
        <x:f>-2*O174/Inputs!$C$14</x:f>
        <x:v>-33.31236235250824</x:v>
      </x:c>
      <x:c r="R174" s="9" t="n">
        <x:f>F174-Inputs!$C$16/2</x:f>
        <x:v>1128.1007007754386</x:v>
      </x:c>
      <x:c r="S174" s="9" t="n">
        <x:f>F174+Inputs!$C$16/2</x:f>
        <x:v>1158.1007007754386</x:v>
      </x:c>
      <x:c r="T174" s="9" t="n">
        <x:f>F174-Inputs!$C$17/2</x:f>
        <x:v>993.1007007754386</x:v>
      </x:c>
      <x:c r="U174" s="9" t="n">
        <x:f>F174+Inputs!$C$17/2</x:f>
        <x:v>1293.1007007754386</x:v>
      </x:c>
      <x:c r="V174" s="9">
        <x:f t="shared" si="43"/>
        <x:v>221.86033326770485</x:v>
      </x:c>
      <x:c r="W174" s="9">
        <x:f t="shared" si="44"/>
        <x:v>33.312362352508238</x:v>
      </x:c>
      <x:c r="X174" s="9"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x:f>
        <x:v>65.03267186217182</x:v>
      </x:c>
      <x:c r="Y174" s="9"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x:f>
        <x:v>387.3749410180904</x:v>
      </x:c>
      <x:c r="Z174" s="9">
        <x:f t="shared" si="45"/>
        <x:v>400.68607843924894</x:v>
      </x:c>
      <x:c r="AA174" s="9" t="n">
        <x:f>SQRT((Inputs!$C$52+B174)^2+(Inputs!$C$52+Y174/1000)^2-2*(Inputs!$C$52+B174)*(Inputs!$C$52+Y174/1000)*COS(SQRT(A174^2+Inputs!$C$6^2)/Inputs!$C$52))</x:f>
        <x:v>402.40091836944697</x:v>
      </x:c>
      <x:c r="AB174" s="9">
        <x:f t="shared" si="46"/>
        <x:v>1714.8399301991617</x:v>
      </x:c>
      <x:c r="AC174" s="9" t="n">
        <x:f>AB174/Inputs!$C$12</x:f>
        <x:v>963.3932192130122</x:v>
      </x:c>
      <x:c r="AD174" s="9" t="n">
        <x:f>2*AB174/Inputs!$C$21*1000000</x:f>
        <x:v>11.440180594530913</x:v>
      </x:c>
      <x:c r="AE174" s="9">
        <x:f t="shared" si="47"/>
        <x:v>5.1479660993363137</x:v>
      </x:c>
      <x:c r="AF174" s="9" t="n">
        <x:f>DEGREES((2*PI()/Inputs!$C$13)*Inputs!$C$15*SIN(RADIANS(AE174)))</x:f>
        <x:v>32.302122369932164</x:v>
      </x:c>
      <x:c r="AG174" s="9">
        <x:f t="shared" si="48"/>
        <x:v>0.98306257046296597</x:v>
      </x:c>
      <x:c r="AH174" s="9">
        <x:f t="shared" si="49"/>
        <x:v>-7.4188390936167178E-2</x:v>
      </x:c>
      <x:c r="AI174" s="9">
        <x:f t="shared" si="50"/>
        <x:v>-179.70748156242632</x:v>
      </x:c>
      <x:c r="AJ174" s="9">
        <x:f t="shared" si="51"/>
        <x:v>-2.1340051001624509</x:v>
      </x:c>
      <x:c r="AK174" s="9">
        <x:f t="shared" si="52"/>
        <x:v>322.34226915582036</x:v>
      </x:c>
      <x:c r="AL174" s="9" t="n">
        <x:f>1000*(AA175-AA173)/(A175-A173)*Inputs!$C$11</x:f>
        <x:v>581.5482725786296</x:v>
      </x:c>
      <x:c r="AM174" s="9" t="n">
        <x:f>-2*AL174/Inputs!$C$13</x:f>
        <x:v>-232.61930903145185</x:v>
      </x:c>
      <x:c r="AN174" s="9" t="n">
        <x:f>-2*AL174/Inputs!$C$14</x:f>
        <x:v>-34.92782417889668</x:v>
      </x:c>
      <x:c r="AO174" s="9">
        <x:f t="shared" si="53"/>
        <x:v>232.61930903145185</x:v>
      </x:c>
      <x:c r="AP174" s="9">
        <x:f t="shared" si="54"/>
        <x:v>34.927824178896678</x:v>
      </x:c>
      <x:c r="AQ174" s="9" t="n">
        <x:f>IF(OR(Inputs!$C$27=TRUE,Inputs!$C$27="TRUE",Inputs!$C$27=1),Inputs!$C$46/Inputs!$C$12,0)</x:f>
        <x:v>42.13483146067416</x:v>
      </x:c>
      <x:c r="AR174" s="9">
        <x:f t="shared" si="55"/>
        <x:v>921.25838775233808</x:v>
      </x:c>
      <x:c r="AS174" s="9">
        <x:f t="shared" si="56"/>
        <x:v>1005.5280506736864</x:v>
      </x:c>
    </x:row>
    <x:row r="175">
      <x:c r="A175" s="9" t="n">
        <x:f>Inputs!$C$7+173*(Inputs!$C$8-Inputs!$C$7)/240</x:f>
        <x:v>26.5</x:v>
      </x:c>
      <x:c r="B175" s="9" t="n">
        <x:f>Inputs!$C$5+Inputs!$C$9*(A175/Inputs!$C$10)^2</x:f>
        <x:v>400.78027777777777</x:v>
      </x:c>
      <x:c r="C175" s="9">
        <x:f t="shared" si="38"/>
        <x:v>400.78027777777777</x:v>
      </x:c>
      <x:c r="D175" s="9" t="n">
        <x:f>SQRT((Inputs!$C$52+B175)^2+Inputs!$C$52^2-2*(Inputs!$C$52+B175)*Inputs!$C$52*COS(SQRT(A175^2+Inputs!$C$6^2)/Inputs!$C$52))</x:f>
        <x:v>402.8558239909405</x:v>
      </x:c>
      <x:c r="E175" s="9">
        <x:f t="shared" si="39"/>
        <x:v>2075.5462131627382</x:v>
      </x:c>
      <x:c r="F175" s="9" t="n">
        <x:f>E175/Inputs!$C$12</x:f>
        <x:v>1166.0371984060328</x:v>
      </x:c>
      <x:c r="G175" s="9" t="n">
        <x:f>2*E175/Inputs!$C$21*1000000</x:f>
        <x:v>13.846553892711592</x:v>
      </x:c>
      <x:c r="H175" s="9" t="n">
        <x:f>SQRT(A175^2+Inputs!$C$6^2)</x:f>
        <x:v>36.43144246389374</x:v>
      </x:c>
      <x:c r="I175" s="9">
        <x:f t="shared" si="40"/>
        <x:v>5.1939853576754134</x:v>
      </x:c>
      <x:c r="J175" s="9" t="n">
        <x:f>DEGREES((2*PI()/Inputs!$C$13)*Inputs!$C$15*SIN(RADIANS(I175)))</x:f>
        <x:v>32.59009311236642</x:v>
      </x:c>
      <x:c r="K175" s="9">
        <x:f t="shared" si="41"/>
        <x:v>0.97955038962808405</x:v>
      </x:c>
      <x:c r="L175" s="9">
        <x:f t="shared" si="42"/>
        <x:v>-8.9732182965647375E-2</x:v>
      </x:c>
      <x:c r="M175" s="9" t="n">
        <x:f>2*(Inputs!$C$9/(Inputs!$C$10^2))*A175</x:f>
        <x:v>0.058888888888888886</x:v>
      </x:c>
      <x:c r="N175" s="9" t="n">
        <x:f>M175*Inputs!$C$11</x:f>
        <x:v>0.23555555555555555</x:v>
      </x:c>
      <x:c r="O175" s="9" t="n">
        <x:f>1000*(D176-D174)/(A176-A174)*Inputs!$C$11</x:f>
        <x:v>565.2452688962057</x:v>
      </x:c>
      <x:c r="P175" s="9" t="n">
        <x:f>-2*O175/Inputs!$C$13</x:f>
        <x:v>-226.0981075584823</x:v>
      </x:c>
      <x:c r="Q175" s="9" t="n">
        <x:f>-2*O175/Inputs!$C$14</x:f>
        <x:v>-33.94866479857092</x:v>
      </x:c>
      <x:c r="R175" s="9" t="n">
        <x:f>F175-Inputs!$C$16/2</x:f>
        <x:v>1151.0371984060328</x:v>
      </x:c>
      <x:c r="S175" s="9" t="n">
        <x:f>F175+Inputs!$C$16/2</x:f>
        <x:v>1181.0371984060328</x:v>
      </x:c>
      <x:c r="T175" s="9" t="n">
        <x:f>F175-Inputs!$C$17/2</x:f>
        <x:v>1016.0371984060328</x:v>
      </x:c>
      <x:c r="U175" s="9" t="n">
        <x:f>F175+Inputs!$C$17/2</x:f>
        <x:v>1316.0371984060328</x:v>
      </x:c>
      <x:c r="V175" s="9">
        <x:f t="shared" si="43"/>
        <x:v>226.0981075584823</x:v>
      </x:c>
      <x:c r="W175" s="9">
        <x:f t="shared" si="44"/>
        <x:v>33.948664798570917</x:v>
      </x:c>
      <x:c r="X175" s="9"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x:f>
        <x:v>69.51659821200863</x:v>
      </x:c>
      <x:c r="Y175" s="9"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x:f>
        <x:v>383.48713922986474</x:v>
      </x:c>
      <x:c r="Z175" s="9">
        <x:f t="shared" si="45"/>
        <x:v>400.71076117956574</x:v>
      </x:c>
      <x:c r="AA175" s="9" t="n">
        <x:f>SQRT((Inputs!$C$52+B175)^2+(Inputs!$C$52+Y175/1000)^2-2*(Inputs!$C$52+B175)*(Inputs!$C$52+Y175/1000)*COS(SQRT(A175^2+Inputs!$C$6^2)/Inputs!$C$52))</x:f>
        <x:v>402.4748236145377</x:v>
      </x:c>
      <x:c r="AB175" s="9">
        <x:f t="shared" si="46"/>
        <x:v>1764.0624349719474</x:v>
      </x:c>
      <x:c r="AC175" s="9" t="n">
        <x:f>AB175/Inputs!$C$12</x:f>
        <x:v>991.0463117819929</x:v>
      </x:c>
      <x:c r="AD175" s="9" t="n">
        <x:f>2*AB175/Inputs!$C$21*1000000</x:f>
        <x:v>11.768557799889331</x:v>
      </x:c>
      <x:c r="AE175" s="9">
        <x:f t="shared" si="47"/>
        <x:v>5.1989327416108404</x:v>
      </x:c>
      <x:c r="AF175" s="9" t="n">
        <x:f>DEGREES((2*PI()/Inputs!$C$13)*Inputs!$C$15*SIN(RADIANS(AE175)))</x:f>
        <x:v>32.62105068163768</x:v>
      </x:c>
      <x:c r="AG175" s="9">
        <x:f t="shared" si="48"/>
        <x:v>0.98258277779879655</x:v>
      </x:c>
      <x:c r="AH175" s="9">
        <x:f t="shared" si="49"/>
        <x:v>-7.6308522228711109E-2</x:v>
      </x:c>
      <x:c r="AI175" s="9">
        <x:f t="shared" si="50"/>
        <x:v>-174.99088662403983</x:v>
      </x:c>
      <x:c r="AJ175" s="9">
        <x:f t="shared" si="51"/>
        <x:v>-2.0779960928222607</x:v>
      </x:c>
      <x:c r="AK175" s="9">
        <x:f t="shared" si="52"/>
        <x:v>313.97054101785614</x:v>
      </x:c>
      <x:c r="AL175" s="9" t="n">
        <x:f>1000*(AA176-AA174)/(A176-A174)*Inputs!$C$11</x:f>
        <x:v>729.1366663537246</x:v>
      </x:c>
      <x:c r="AM175" s="9" t="n">
        <x:f>-2*AL175/Inputs!$C$13</x:f>
        <x:v>-291.65466654148986</x:v>
      </x:c>
      <x:c r="AN175" s="9" t="n">
        <x:f>-2*AL175/Inputs!$C$14</x:f>
        <x:v>-43.79199197319668</x:v>
      </x:c>
      <x:c r="AO175" s="9">
        <x:f t="shared" si="53"/>
        <x:v>291.65466653967087</x:v>
      </x:c>
      <x:c r="AP175" s="9">
        <x:f t="shared" si="54"/>
        <x:v>43.791991972923554</x:v>
      </x:c>
      <x:c r="AQ175" s="9" t="n">
        <x:f>IF(OR(Inputs!$C$27=TRUE,Inputs!$C$27="TRUE",Inputs!$C$27=1),Inputs!$C$46/Inputs!$C$12,0)</x:f>
        <x:v>42.13483146067416</x:v>
      </x:c>
      <x:c r="AR175" s="9">
        <x:f t="shared" si="55"/>
        <x:v>948.91148032131878</x:v>
      </x:c>
      <x:c r="AS175" s="9">
        <x:f t="shared" si="56"/>
        <x:v>1033.1811432426671</x:v>
      </x:c>
    </x:row>
    <x:row r="176">
      <x:c r="A176" s="9" t="n">
        <x:f>Inputs!$C$7+174*(Inputs!$C$8-Inputs!$C$7)/240</x:f>
        <x:v>27</x:v>
      </x:c>
      <x:c r="B176" s="9" t="n">
        <x:f>Inputs!$C$5+Inputs!$C$9*(A176/Inputs!$C$10)^2</x:f>
        <x:v>400.81</x:v>
      </x:c>
      <x:c r="C176" s="9">
        <x:f t="shared" si="38"/>
        <x:v>400.81</x:v>
      </x:c>
      <x:c r="D176" s="9" t="n">
        <x:f>SQRT((Inputs!$C$52+B176)^2+Inputs!$C$52^2-2*(Inputs!$C$52+B176)*Inputs!$C$52*COS(SQRT(A176^2+Inputs!$C$6^2)/Inputs!$C$52))</x:f>
        <x:v>402.92714167571546</x:v>
      </x:c>
      <x:c r="E176" s="9">
        <x:f t="shared" si="39"/>
        <x:v>2117.1416757154589</x:v>
      </x:c>
      <x:c r="F176" s="9" t="n">
        <x:f>E176/Inputs!$C$12</x:f>
        <x:v>1189.4054357952016</x:v>
      </x:c>
      <x:c r="G176" s="9" t="n">
        <x:f>2*E176/Inputs!$C$21*1000000</x:f>
        <x:v>14.12404894932653</x:v>
      </x:c>
      <x:c r="H176" s="9" t="n">
        <x:f>SQRT(A176^2+Inputs!$C$6^2)</x:f>
        <x:v>36.796738985948195</x:v>
      </x:c>
      <x:c r="I176" s="9">
        <x:f t="shared" si="40"/>
        <x:v>5.2453892719816002</x:v>
      </x:c>
      <x:c r="J176" s="9" t="n">
        <x:f>DEGREES((2*PI()/Inputs!$C$13)*Inputs!$C$15*SIN(RADIANS(I176)))</x:f>
        <x:v>32.911734085150734</x:v>
      </x:c>
      <x:c r="K176" s="9">
        <x:f t="shared" si="41"/>
        <x:v>0.97914746008181208</x:v>
      </x:c>
      <x:c r="L176" s="9">
        <x:f t="shared" si="42"/>
        <x:v>-9.1518983120005171E-2</x:v>
      </x:c>
      <x:c r="M176" s="9" t="n">
        <x:f>2*(Inputs!$C$9/(Inputs!$C$10^2))*A176</x:f>
        <x:v>0.06</x:v>
      </x:c>
      <x:c r="N176" s="9" t="n">
        <x:f>M176*Inputs!$C$11</x:f>
        <x:v>0.24</x:v>
      </x:c>
      <x:c r="O176" s="9" t="n">
        <x:f>1000*(D177-D175)/(A177-A175)*Inputs!$C$11</x:f>
        <x:v>575.8356337860278</x:v>
      </x:c>
      <x:c r="P176" s="9" t="n">
        <x:f>-2*O176/Inputs!$C$13</x:f>
        <x:v>-230.3342535144111</x:v>
      </x:c>
      <x:c r="Q176" s="9" t="n">
        <x:f>-2*O176/Inputs!$C$14</x:f>
        <x:v>-34.58472274991158</x:v>
      </x:c>
      <x:c r="R176" s="9" t="n">
        <x:f>F176-Inputs!$C$16/2</x:f>
        <x:v>1174.4054357952016</x:v>
      </x:c>
      <x:c r="S176" s="9" t="n">
        <x:f>F176+Inputs!$C$16/2</x:f>
        <x:v>1204.4054357952016</x:v>
      </x:c>
      <x:c r="T176" s="9" t="n">
        <x:f>F176-Inputs!$C$17/2</x:f>
        <x:v>1039.4054357952016</x:v>
      </x:c>
      <x:c r="U176" s="9" t="n">
        <x:f>F176+Inputs!$C$17/2</x:f>
        <x:v>1339.4054357952016</x:v>
      </x:c>
      <x:c r="V176" s="9">
        <x:f t="shared" si="43"/>
        <x:v>230.3342535144111</x:v>
      </x:c>
      <x:c r="W176" s="9">
        <x:f t="shared" si="44"/>
        <x:v>34.584722749911577</x:v>
      </x:c>
      <x:c r="X176" s="9"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x:f>
        <x:v>64.45446968061479</x:v>
      </x:c>
      <x:c r="Y176" s="9"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x:f>
        <x:v>346.2287328646241</x:v>
      </x:c>
      <x:c r="Z176" s="9">
        <x:f t="shared" si="45"/>
        <x:v>400.74554553031936</x:v>
      </x:c>
      <x:c r="AA176" s="9" t="n">
        <x:f>SQRT((Inputs!$C$52+B176)^2+(Inputs!$C$52+Y176/1000)^2-2*(Inputs!$C$52+B176)*(Inputs!$C$52+Y176/1000)*COS(SQRT(A176^2+Inputs!$C$6^2)/Inputs!$C$52))</x:f>
        <x:v>402.5832025360354</x:v>
      </x:c>
      <x:c r="AB176" s="9">
        <x:f t="shared" si="46"/>
        <x:v>1837.6570057160393</x:v>
      </x:c>
      <x:c r="AC176" s="9" t="n">
        <x:f>AB176/Inputs!$C$12</x:f>
        <x:v>1032.3915762449658</x:v>
      </x:c>
      <x:c r="AD176" s="9" t="n">
        <x:f>2*AB176/Inputs!$C$21*1000000</x:f>
        <x:v>12.25952792792432</x:v>
      </x:c>
      <x:c r="AE176" s="9">
        <x:f t="shared" si="47"/>
        <x:v>5.2498989456077636</x:v>
      </x:c>
      <x:c r="AF176" s="9" t="n">
        <x:f>DEGREES((2*PI()/Inputs!$C$13)*Inputs!$C$15*SIN(RADIANS(AE176)))</x:f>
        <x:v>32.93995043893495</x:v>
      </x:c>
      <x:c r="AG176" s="9">
        <x:f t="shared" si="48"/>
        <x:v>0.98186598138839809</x:v>
      </x:c>
      <x:c r="AH176" s="9">
        <x:f t="shared" si="49"/>
        <x:v>-7.9477866687749005E-2</x:v>
      </x:c>
      <x:c r="AI176" s="9">
        <x:f t="shared" si="50"/>
        <x:v>-157.01385955023579</x:v>
      </x:c>
      <x:c r="AJ176" s="9">
        <x:f t="shared" si="51"/>
        <x:v>-1.8645210214022097</x:v>
      </x:c>
      <x:c r="AK176" s="9">
        <x:f t="shared" si="52"/>
        <x:v>281.77426318400927</x:v>
      </x:c>
      <x:c r="AL176" s="9" t="n">
        <x:f>1000*(AA177-AA175)/(A177-A175)*Inputs!$C$11</x:f>
        <x:v>760.7885452869141</x:v>
      </x:c>
      <x:c r="AM176" s="9" t="n">
        <x:f>-2*AL176/Inputs!$C$13</x:f>
        <x:v>-304.31541811476563</x:v>
      </x:c>
      <x:c r="AN176" s="9" t="n">
        <x:f>-2*AL176/Inputs!$C$14</x:f>
        <x:v>-45.693005722937784</x:v>
      </x:c>
      <x:c r="AO176" s="9">
        <x:f t="shared" si="53"/>
        <x:v>304.31541811476563</x:v>
      </x:c>
      <x:c r="AP176" s="9">
        <x:f t="shared" si="54"/>
        <x:v>45.693005722937784</x:v>
      </x:c>
      <x:c r="AQ176" s="9" t="n">
        <x:f>IF(OR(Inputs!$C$27=TRUE,Inputs!$C$27="TRUE",Inputs!$C$27=1),Inputs!$C$46/Inputs!$C$12,0)</x:f>
        <x:v>42.13483146067416</x:v>
      </x:c>
      <x:c r="AR176" s="9">
        <x:f t="shared" si="55"/>
        <x:v>990.25674478429164</x:v>
      </x:c>
      <x:c r="AS176" s="9">
        <x:f t="shared" si="56"/>
        <x:v>1074.5264077056399</x:v>
      </x:c>
    </x:row>
    <x:row r="177">
      <x:c r="A177" s="9" t="n">
        <x:f>Inputs!$C$7+175*(Inputs!$C$8-Inputs!$C$7)/240</x:f>
        <x:v>27.5</x:v>
      </x:c>
      <x:c r="B177" s="9" t="n">
        <x:f>Inputs!$C$5+Inputs!$C$9*(A177/Inputs!$C$10)^2</x:f>
        <x:v>400.84027777777777</x:v>
      </x:c>
      <x:c r="C177" s="9">
        <x:f t="shared" si="38"/>
        <x:v>400.84027777777777</x:v>
      </x:c>
      <x:c r="D177" s="9" t="n">
        <x:f>SQRT((Inputs!$C$52+B177)^2+Inputs!$C$52^2-2*(Inputs!$C$52+B177)*Inputs!$C$52*COS(SQRT(A177^2+Inputs!$C$6^2)/Inputs!$C$52))</x:f>
        <x:v>402.999782899387</x:v>
      </x:c>
      <x:c r="E177" s="9">
        <x:f t="shared" si="39"/>
        <x:v>2159.5051216092429</x:v>
      </x:c>
      <x:c r="F177" s="9" t="n">
        <x:f>E177/Inputs!$C$12</x:f>
        <x:v>1213.2051244995746</x:v>
      </x:c>
      <x:c r="G177" s="9" t="n">
        <x:f>2*E177/Inputs!$C$21*1000000</x:f>
        <x:v>14.406667439307249</x:v>
      </x:c>
      <x:c r="H177" s="9" t="n">
        <x:f>SQRT(A177^2+Inputs!$C$6^2)</x:f>
        <x:v>37.16517186829626</x:v>
      </x:c>
      <x:c r="I177" s="9">
        <x:f t="shared" si="40"/>
        <x:v>5.2972142870977459</x:v>
      </x:c>
      <x:c r="J177" s="9" t="n">
        <x:f>DEGREES((2*PI()/Inputs!$C$13)*Inputs!$C$15*SIN(RADIANS(I177)))</x:f>
        <x:v>33.23598312233844</x:v>
      </x:c>
      <x:c r="K177" s="9">
        <x:f t="shared" si="41"/>
        <x:v>0.97873736584017712</x:v>
      </x:c>
      <x:c r="L177" s="9">
        <x:f t="shared" si="42"/>
        <x:v>-9.3338310451714646E-2</x:v>
      </x:c>
      <x:c r="M177" s="9" t="n">
        <x:f>2*(Inputs!$C$9/(Inputs!$C$10^2))*A177</x:f>
        <x:v>0.06111111111111111</x:v>
      </x:c>
      <x:c r="N177" s="9" t="n">
        <x:f>M177*Inputs!$C$11</x:f>
        <x:v>0.24444444444444444</x:v>
      </x:c>
      <x:c r="O177" s="9" t="n">
        <x:f>1000*(D178-D176)/(A178-A176)*Inputs!$C$11</x:f>
        <x:v>586.4218547242217</x:v>
      </x:c>
      <x:c r="P177" s="9" t="n">
        <x:f>-2*O177/Inputs!$C$13</x:f>
        <x:v>-234.56874188968868</x:v>
      </x:c>
      <x:c r="Q177" s="9" t="n">
        <x:f>-2*O177/Inputs!$C$14</x:f>
        <x:v>-35.22053181526857</x:v>
      </x:c>
      <x:c r="R177" s="9" t="n">
        <x:f>F177-Inputs!$C$16/2</x:f>
        <x:v>1198.2051244995746</x:v>
      </x:c>
      <x:c r="S177" s="9" t="n">
        <x:f>F177+Inputs!$C$16/2</x:f>
        <x:v>1228.2051244995746</x:v>
      </x:c>
      <x:c r="T177" s="9" t="n">
        <x:f>F177-Inputs!$C$17/2</x:f>
        <x:v>1063.2051244995746</x:v>
      </x:c>
      <x:c r="U177" s="9" t="n">
        <x:f>F177+Inputs!$C$17/2</x:f>
        <x:v>1363.2051244995746</x:v>
      </x:c>
      <x:c r="V177" s="9">
        <x:f t="shared" si="43"/>
        <x:v>234.56874188968868</x:v>
      </x:c>
      <x:c r="W177" s="9">
        <x:f t="shared" si="44"/>
        <x:v>35.220531815268572</x:v>
      </x:c>
      <x:c r="X177" s="9"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x:f>
        <x:v>45.78588130375909</x:v>
      </x:c>
      <x:c r="Y177" s="9"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x:f>
        <x:v>337.0351401860322</x:v>
      </x:c>
      <x:c r="Z177" s="9">
        <x:f t="shared" si="45"/>
        <x:v>400.79449189647403</x:v>
      </x:c>
      <x:c r="AA177" s="9" t="n">
        <x:f>SQRT((Inputs!$C$52+B177)^2+(Inputs!$C$52+Y177/1000)^2-2*(Inputs!$C$52+B177)*(Inputs!$C$52+Y177/1000)*COS(SQRT(A177^2+Inputs!$C$6^2)/Inputs!$C$52))</x:f>
        <x:v>402.6650207508594</x:v>
      </x:c>
      <x:c r="AB177" s="9">
        <x:f t="shared" si="46"/>
        <x:v>1870.528854385384</x:v>
      </x:c>
      <x:c r="AC177" s="9" t="n">
        <x:f>AB177/Inputs!$C$12</x:f>
        <x:v>1050.8589069580808</x:v>
      </x:c>
      <x:c r="AD177" s="9" t="n">
        <x:f>2*AB177/Inputs!$C$21*1000000</x:f>
        <x:v>12.478825297101931</x:v>
      </x:c>
      <x:c r="AE177" s="9">
        <x:f t="shared" si="47"/>
        <x:v>5.3016466563212932</x:v>
      </x:c>
      <x:c r="AF177" s="9" t="n">
        <x:f>DEGREES((2*PI()/Inputs!$C$13)*Inputs!$C$15*SIN(RADIANS(AE177)))</x:f>
        <x:v>33.26371348050388</x:v>
      </x:c>
      <x:c r="AG177" s="9">
        <x:f t="shared" si="48"/>
        <x:v>0.98154758796530495</x:v>
      </x:c>
      <x:c r="AH177" s="9">
        <x:f t="shared" si="49"/>
        <x:v>-8.0886398339908641E-2</x:v>
      </x:c>
      <x:c r="AI177" s="9">
        <x:f t="shared" si="50"/>
        <x:v>-162.34621754149384</x:v>
      </x:c>
      <x:c r="AJ177" s="9">
        <x:f t="shared" si="51"/>
        <x:v>-1.9278421422053178</x:v>
      </x:c>
      <x:c r="AK177" s="9">
        <x:f t="shared" si="52"/>
        <x:v>291.24925888207667</x:v>
      </x:c>
      <x:c r="AL177" s="9" t="n">
        <x:f>1000*(AA178-AA176)/(A178-A176)*Inputs!$C$11</x:f>
        <x:v>722.0315105857935</x:v>
      </x:c>
      <x:c r="AM177" s="9" t="n">
        <x:f>-2*AL177/Inputs!$C$13</x:f>
        <x:v>-288.8126042343174</x:v>
      </x:c>
      <x:c r="AN177" s="9" t="n">
        <x:f>-2*AL177/Inputs!$C$14</x:f>
        <x:v>-43.36525589103865</x:v>
      </x:c>
      <x:c r="AO177" s="9">
        <x:f t="shared" si="53"/>
        <x:v>288.8126042343174</x:v>
      </x:c>
      <x:c r="AP177" s="9">
        <x:f t="shared" si="54"/>
        <x:v>43.36525589103865</x:v>
      </x:c>
      <x:c r="AQ177" s="9" t="n">
        <x:f>IF(OR(Inputs!$C$27=TRUE,Inputs!$C$27="TRUE",Inputs!$C$27=1),Inputs!$C$46/Inputs!$C$12,0)</x:f>
        <x:v>42.13483146067416</x:v>
      </x:c>
      <x:c r="AR177" s="9">
        <x:f t="shared" si="55"/>
        <x:v>1008.7240754974066</x:v>
      </x:c>
      <x:c r="AS177" s="9">
        <x:f t="shared" si="56"/>
        <x:v>1092.9937384187549</x:v>
      </x:c>
    </x:row>
    <x:row r="178">
      <x:c r="A178" s="9" t="n">
        <x:f>Inputs!$C$7+176*(Inputs!$C$8-Inputs!$C$7)/240</x:f>
        <x:v>28</x:v>
      </x:c>
      <x:c r="B178" s="9" t="n">
        <x:f>Inputs!$C$5+Inputs!$C$9*(A178/Inputs!$C$10)^2</x:f>
        <x:v>400.87111111111113</x:v>
      </x:c>
      <x:c r="C178" s="9">
        <x:f t="shared" si="38"/>
        <x:v>400.87111111111113</x:v>
      </x:c>
      <x:c r="D178" s="9" t="n">
        <x:f>SQRT((Inputs!$C$52+B178)^2+Inputs!$C$52^2-2*(Inputs!$C$52+B178)*Inputs!$C$52*COS(SQRT(A178^2+Inputs!$C$6^2)/Inputs!$C$52))</x:f>
        <x:v>403.0737471393965</x:v>
      </x:c>
      <x:c r="E178" s="9">
        <x:f t="shared" si="39"/>
        <x:v>2202.636028285383</x:v>
      </x:c>
      <x:c r="F178" s="9" t="n">
        <x:f>E178/Inputs!$C$12</x:f>
        <x:v>1237.4359709468442</x:v>
      </x:c>
      <x:c r="G178" s="9" t="n">
        <x:f>2*E178/Inputs!$C$21*1000000</x:f>
        <x:v>14.6944058765173</x:v>
      </x:c>
      <x:c r="H178" s="9" t="n">
        <x:f>SQRT(A178^2+Inputs!$C$6^2)</x:f>
        <x:v>37.53664875824692</x:v>
      </x:c>
      <x:c r="I178" s="9">
        <x:f t="shared" si="40"/>
        <x:v>5.3494467074669219</x:v>
      </x:c>
      <x:c r="J178" s="9" t="n">
        <x:f>DEGREES((2*PI()/Inputs!$C$13)*Inputs!$C$15*SIN(RADIANS(I178)))</x:f>
        <x:v>33.56275362207757</x:v>
      </x:c>
      <x:c r="K178" s="9">
        <x:f t="shared" si="41"/>
        <x:v>0.97832012679830072</x:v>
      </x:c>
      <x:c r="L178" s="9">
        <x:f t="shared" si="42"/>
        <x:v>-9.5190117227433396E-2</x:v>
      </x:c>
      <x:c r="M178" s="9" t="n">
        <x:f>2*(Inputs!$C$9/(Inputs!$C$10^2))*A178</x:f>
        <x:v>0.06222222222222222</x:v>
      </x:c>
      <x:c r="N178" s="9" t="n">
        <x:f>M178*Inputs!$C$11</x:f>
        <x:v>0.24888888888888888</x:v>
      </x:c>
      <x:c r="O178" s="9" t="n">
        <x:f>1000*(D179-D177)/(A179-A177)*Inputs!$C$11</x:f>
        <x:v>597.00385875135</x:v>
      </x:c>
      <x:c r="P178" s="9" t="n">
        <x:f>-2*O178/Inputs!$C$13</x:f>
        <x:v>-238.80154350054</x:v>
      </x:c>
      <x:c r="Q178" s="9" t="n">
        <x:f>-2*O178/Inputs!$C$14</x:f>
        <x:v>-35.8560876126937</x:v>
      </x:c>
      <x:c r="R178" s="9" t="n">
        <x:f>F178-Inputs!$C$16/2</x:f>
        <x:v>1222.4359709468442</x:v>
      </x:c>
      <x:c r="S178" s="9" t="n">
        <x:f>F178+Inputs!$C$16/2</x:f>
        <x:v>1252.4359709468442</x:v>
      </x:c>
      <x:c r="T178" s="9" t="n">
        <x:f>F178-Inputs!$C$17/2</x:f>
        <x:v>1087.4359709468442</x:v>
      </x:c>
      <x:c r="U178" s="9" t="n">
        <x:f>F178+Inputs!$C$17/2</x:f>
        <x:v>1387.4359709468442</x:v>
      </x:c>
      <x:c r="V178" s="9">
        <x:f t="shared" si="43"/>
        <x:v>238.80154350053999</x:v>
      </x:c>
      <x:c r="W178" s="9">
        <x:f t="shared" si="44"/>
        <x:v>35.856087612693699</x:v>
      </x:c>
      <x:c r="X178" s="9"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x:f>
        <x:v>58.94439177372493</x:v>
      </x:c>
      <x:c r="Y178" s="9"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x:f>
        <x:v>312.18369818898617</x:v>
      </x:c>
      <x:c r="Z178" s="9">
        <x:f t="shared" si="45"/>
        <x:v>400.81216671933748</x:v>
      </x:c>
      <x:c r="AA178" s="9" t="n">
        <x:f>SQRT((Inputs!$C$52+B178)^2+(Inputs!$C$52+Y178/1000)^2-2*(Inputs!$C$52+B178)*(Inputs!$C$52+Y178/1000)*COS(SQRT(A178^2+Inputs!$C$6^2)/Inputs!$C$52))</x:f>
        <x:v>402.76371041368185</x:v>
      </x:c>
      <x:c r="AB178" s="9">
        <x:f t="shared" si="46"/>
        <x:v>1951.543694344366</x:v>
      </x:c>
      <x:c r="AC178" s="9" t="n">
        <x:f>AB178/Inputs!$C$12</x:f>
        <x:v>1096.372861991217</x:v>
      </x:c>
      <x:c r="AD178" s="9" t="n">
        <x:f>2*AB178/Inputs!$C$21*1000000</x:f>
        <x:v>13.01929813287275</x:v>
      </x:c>
      <x:c r="AE178" s="9">
        <x:f t="shared" si="47"/>
        <x:v>5.3535916921184601</x:v>
      </x:c>
      <x:c r="AF178" s="9" t="n">
        <x:f>DEGREES((2*PI()/Inputs!$C$13)*Inputs!$C$15*SIN(RADIANS(AE178)))</x:f>
        <x:v>33.588683810411624</x:v>
      </x:c>
      <x:c r="AG178" s="9">
        <x:f t="shared" si="48"/>
        <x:v>0.98075888718898863</x:v>
      </x:c>
      <x:c r="AH178" s="9">
        <x:f t="shared" si="49"/>
        <x:v>-8.4377478024029118E-2</x:v>
      </x:c>
      <x:c r="AI178" s="9">
        <x:f t="shared" si="50"/>
        <x:v>-141.06310895562729</x:v>
      </x:c>
      <x:c r="AJ178" s="9">
        <x:f t="shared" si="51"/>
        <x:v>-1.6751077436445492</x:v>
      </x:c>
      <x:c r="AK178" s="9">
        <x:f t="shared" si="52"/>
        <x:v>253.23930641535947</x:v>
      </x:c>
      <x:c r="AL178" s="9" t="n">
        <x:f>1000*(AA179-AA177)/(A179-A177)*Inputs!$C$11</x:f>
        <x:v>702.8979268770854</x:v>
      </x:c>
      <x:c r="AM178" s="9" t="n">
        <x:f>-2*AL178/Inputs!$C$13</x:f>
        <x:v>-281.15917075083416</x:v>
      </x:c>
      <x:c r="AN178" s="9" t="n">
        <x:f>-2*AL178/Inputs!$C$14</x:f>
        <x:v>-42.21609170432946</x:v>
      </x:c>
      <x:c r="AO178" s="9">
        <x:f t="shared" si="53"/>
        <x:v>281.15917075083416</x:v>
      </x:c>
      <x:c r="AP178" s="9">
        <x:f t="shared" si="54"/>
        <x:v>42.216091704329457</x:v>
      </x:c>
      <x:c r="AQ178" s="9" t="n">
        <x:f>IF(OR(Inputs!$C$27=TRUE,Inputs!$C$27="TRUE",Inputs!$C$27=1),Inputs!$C$46/Inputs!$C$12,0)</x:f>
        <x:v>42.13483146067416</x:v>
      </x:c>
      <x:c r="AR178" s="9">
        <x:f t="shared" si="55"/>
        <x:v>1054.2380305305428</x:v>
      </x:c>
      <x:c r="AS178" s="9">
        <x:f t="shared" si="56"/>
        <x:v>1138.5076934518911</x:v>
      </x:c>
    </x:row>
    <x:row r="179">
      <x:c r="A179" s="9" t="n">
        <x:f>Inputs!$C$7+177*(Inputs!$C$8-Inputs!$C$7)/240</x:f>
        <x:v>28.5</x:v>
      </x:c>
      <x:c r="B179" s="9" t="n">
        <x:f>Inputs!$C$5+Inputs!$C$9*(A179/Inputs!$C$10)^2</x:f>
        <x:v>400.9025</x:v>
      </x:c>
      <x:c r="C179" s="9">
        <x:f t="shared" si="38"/>
        <x:v>400.90249999999997</x:v>
      </x:c>
      <x:c r="D179" s="9" t="n">
        <x:f>SQRT((Inputs!$C$52+B179)^2+Inputs!$C$52^2-2*(Inputs!$C$52+B179)*Inputs!$C$52*COS(SQRT(A179^2+Inputs!$C$6^2)/Inputs!$C$52))</x:f>
        <x:v>403.14903386407485</x:v>
      </x:c>
      <x:c r="E179" s="9">
        <x:f t="shared" si="39"/>
        <x:v>2246.5338640748769</x:v>
      </x:c>
      <x:c r="F179" s="9" t="n">
        <x:f>E179/Inputs!$C$12</x:f>
        <x:v>1262.09767644656</x:v>
      </x:c>
      <x:c r="G179" s="9" t="n">
        <x:f>2*E179/Inputs!$C$21*1000000</x:f>
        <x:v>14.987260714042893</x:v>
      </x:c>
      <x:c r="H179" s="9" t="n">
        <x:f>SQRT(A179^2+Inputs!$C$6^2)</x:f>
        <x:v>37.911080174534725</x:v>
      </x:c>
      <x:c r="I179" s="9">
        <x:f t="shared" si="40"/>
        <x:v>5.4020732483141956</x:v>
      </x:c>
      <x:c r="J179" s="9" t="n">
        <x:f>DEGREES((2*PI()/Inputs!$C$13)*Inputs!$C$15*SIN(RADIANS(I179)))</x:f>
        <x:v>33.89196156330164</x:v>
      </x:c>
      <x:c r="K179" s="9">
        <x:f t="shared" si="41"/>
        <x:v>0.97789576317346538</x:v>
      </x:c>
      <x:c r="L179" s="9">
        <x:f t="shared" si="42"/>
        <x:v>-9.7074354896927853E-2</x:v>
      </x:c>
      <x:c r="M179" s="9" t="n">
        <x:f>2*(Inputs!$C$9/(Inputs!$C$10^2))*A179</x:f>
        <x:v>0.06333333333333334</x:v>
      </x:c>
      <x:c r="N179" s="9" t="n">
        <x:f>M179*Inputs!$C$11</x:f>
        <x:v>0.25333333333333335</x:v>
      </x:c>
      <x:c r="O179" s="9" t="n">
        <x:f>1000*(D180-D178)/(A180-A178)*Inputs!$C$11</x:f>
        <x:v>607.581573135576</x:v>
      </x:c>
      <x:c r="P179" s="9" t="n">
        <x:f>-2*O179/Inputs!$C$13</x:f>
        <x:v>-243.03262925423041</x:v>
      </x:c>
      <x:c r="Q179" s="9" t="n">
        <x:f>-2*O179/Inputs!$C$14</x:f>
        <x:v>-36.491385773908476</x:v>
      </x:c>
      <x:c r="R179" s="9" t="n">
        <x:f>F179-Inputs!$C$16/2</x:f>
        <x:v>1247.09767644656</x:v>
      </x:c>
      <x:c r="S179" s="9" t="n">
        <x:f>F179+Inputs!$C$16/2</x:f>
        <x:v>1277.09767644656</x:v>
      </x:c>
      <x:c r="T179" s="9" t="n">
        <x:f>F179-Inputs!$C$17/2</x:f>
        <x:v>1112.09767644656</x:v>
      </x:c>
      <x:c r="U179" s="9" t="n">
        <x:f>F179+Inputs!$C$17/2</x:f>
        <x:v>1412.09767644656</x:v>
      </x:c>
      <x:c r="V179" s="9">
        <x:f t="shared" si="43"/>
        <x:v>243.03262925423041</x:v>
      </x:c>
      <x:c r="W179" s="9">
        <x:f t="shared" si="44"/>
        <x:v>36.491385773908476</x:v>
      </x:c>
      <x:c r="X179" s="9"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x:f>
        <x:v>53.72705851492565</x:v>
      </x:c>
      <x:c r="Y179" s="9"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x:f>
        <x:v>310.4659866511931</x:v>
      </x:c>
      <x:c r="Z179" s="9">
        <x:f t="shared" si="45"/>
        <x:v>400.84877294148504</x:v>
      </x:c>
      <x:c r="AA179" s="9" t="n">
        <x:f>SQRT((Inputs!$C$52+B179)^2+(Inputs!$C$52+Y179/1000)^2-2*(Inputs!$C$52+B179)*(Inputs!$C$52+Y179/1000)*COS(SQRT(A179^2+Inputs!$C$6^2)/Inputs!$C$52))</x:f>
        <x:v>402.8407452325787</x:v>
      </x:c>
      <x:c r="AB179" s="9">
        <x:f t="shared" si="46"/>
        <x:v>1991.9722910936457</x:v>
      </x:c>
      <x:c r="AC179" s="9" t="n">
        <x:f>AB179/Inputs!$C$12</x:f>
        <x:v>1119.085556794183</x:v>
      </x:c>
      <x:c r="AD179" s="9" t="n">
        <x:f>2*AB179/Inputs!$C$21*1000000</x:f>
        <x:v>13.28900869876884</x:v>
      </x:c>
      <x:c r="AE179" s="9">
        <x:f t="shared" si="47"/>
        <x:v>5.4062351554145698</x:v>
      </x:c>
      <x:c r="AF179" s="9" t="n">
        <x:f>DEGREES((2*PI()/Inputs!$C$13)*Inputs!$C$15*SIN(RADIANS(AE179)))</x:f>
        <x:v>33.917995363567016</x:v>
      </x:c>
      <x:c r="AG179" s="9">
        <x:f t="shared" si="48"/>
        <x:v>0.98036697068391798</x:v>
      </x:c>
      <x:c r="AH179" s="9">
        <x:f t="shared" si="49"/>
        <x:v>-8.6113288880854566E-2</x:v>
      </x:c>
      <x:c r="AI179" s="9">
        <x:f t="shared" si="50"/>
        <x:v>-143.0121196523769</x:v>
      </x:c>
      <x:c r="AJ179" s="9">
        <x:f t="shared" si="51"/>
        <x:v>-1.6982520152740541</x:v>
      </x:c>
      <x:c r="AK179" s="9">
        <x:f t="shared" si="52"/>
        <x:v>256.73892813626742</x:v>
      </x:c>
      <x:c r="AL179" s="9" t="n">
        <x:f>1000*(AA180-AA178)/(A180-A178)*Inputs!$C$11</x:f>
        <x:v>719.9246311886327</x:v>
      </x:c>
      <x:c r="AM179" s="9" t="n">
        <x:f>-2*AL179/Inputs!$C$13</x:f>
        <x:v>-287.9698524754531</x:v>
      </x:c>
      <x:c r="AN179" s="9" t="n">
        <x:f>-2*AL179/Inputs!$C$14</x:f>
        <x:v>-43.23871658790587</x:v>
      </x:c>
      <x:c r="AO179" s="9">
        <x:f t="shared" si="53"/>
        <x:v>287.96985247545308</x:v>
      </x:c>
      <x:c r="AP179" s="9">
        <x:f t="shared" si="54"/>
        <x:v>43.23871658790587</x:v>
      </x:c>
      <x:c r="AQ179" s="9" t="n">
        <x:f>IF(OR(Inputs!$C$27=TRUE,Inputs!$C$27="TRUE",Inputs!$C$27=1),Inputs!$C$46/Inputs!$C$12,0)</x:f>
        <x:v>42.13483146067416</x:v>
      </x:c>
      <x:c r="AR179" s="9">
        <x:f t="shared" si="55"/>
        <x:v>1076.9507253335089</x:v>
      </x:c>
      <x:c r="AS179" s="9">
        <x:f t="shared" si="56"/>
        <x:v>1161.2203882548572</x:v>
      </x:c>
    </x:row>
    <x:row r="180">
      <x:c r="A180" s="9" t="n">
        <x:f>Inputs!$C$7+178*(Inputs!$C$8-Inputs!$C$7)/240</x:f>
        <x:v>29</x:v>
      </x:c>
      <x:c r="B180" s="9" t="n">
        <x:f>Inputs!$C$5+Inputs!$C$9*(A180/Inputs!$C$10)^2</x:f>
        <x:v>400.93444444444447</x:v>
      </x:c>
      <x:c r="C180" s="9">
        <x:f t="shared" si="38"/>
        <x:v>400.93444444444447</x:v>
      </x:c>
      <x:c r="D180" s="9" t="n">
        <x:f>SQRT((Inputs!$C$52+B180)^2+Inputs!$C$52^2-2*(Inputs!$C$52+B180)*Inputs!$C$52*COS(SQRT(A180^2+Inputs!$C$6^2)/Inputs!$C$52))</x:f>
        <x:v>403.2256425326804</x:v>
      </x:c>
      <x:c r="E180" s="9">
        <x:f t="shared" si="39"/>
        <x:v>2291.1980882359444</x:v>
      </x:c>
      <x:c r="F180" s="9" t="n">
        <x:f>E180/Inputs!$C$12</x:f>
        <x:v>1287.1899372112048</x:v>
      </x:c>
      <x:c r="G180" s="9" t="n">
        <x:f>2*E180/Inputs!$C$21*1000000</x:f>
        <x:v>15.285228344443171</x:v>
      </x:c>
      <x:c r="H180" s="9" t="n">
        <x:f>SQRT(A180^2+Inputs!$C$6^2)</x:f>
        <x:v>38.28837943815329</x:v>
      </x:c>
      <x:c r="I180" s="9">
        <x:f t="shared" si="40"/>
        <x:v>5.4550810258419062</x:v>
      </x:c>
      <x:c r="J180" s="9" t="n">
        <x:f>DEGREES((2*PI()/Inputs!$C$13)*Inputs!$C$15*SIN(RADIANS(I180)))</x:f>
        <x:v>34.223525444306695</x:v>
      </x:c>
      <x:c r="K180" s="9">
        <x:f t="shared" si="41"/>
        <x:v>0.97746429550275815</x:v>
      </x:c>
      <x:c r="L180" s="9">
        <x:f t="shared" si="42"/>
        <x:v>-9.8990974096728052E-2</x:v>
      </x:c>
      <x:c r="M180" s="9" t="n">
        <x:f>2*(Inputs!$C$9/(Inputs!$C$10^2))*A180</x:f>
        <x:v>0.06444444444444444</x:v>
      </x:c>
      <x:c r="N180" s="9" t="n">
        <x:f>M180*Inputs!$C$11</x:f>
        <x:v>0.2577777777777778</x:v>
      </x:c>
      <x:c r="O180" s="9" t="n">
        <x:f>1000*(D181-D179)/(A181-A179)*Inputs!$C$11</x:f>
        <x:v>618.1549253624326</x:v>
      </x:c>
      <x:c r="P180" s="9" t="n">
        <x:f>-2*O180/Inputs!$C$13</x:f>
        <x:v>-247.26197014497302</x:v>
      </x:c>
      <x:c r="Q180" s="9" t="n">
        <x:f>-2*O180/Inputs!$C$14</x:f>
        <x:v>-37.12642194368964</x:v>
      </x:c>
      <x:c r="R180" s="9" t="n">
        <x:f>F180-Inputs!$C$16/2</x:f>
        <x:v>1272.1899372112048</x:v>
      </x:c>
      <x:c r="S180" s="9" t="n">
        <x:f>F180+Inputs!$C$16/2</x:f>
        <x:v>1302.1899372112048</x:v>
      </x:c>
      <x:c r="T180" s="9" t="n">
        <x:f>F180-Inputs!$C$17/2</x:f>
        <x:v>1137.1899372112048</x:v>
      </x:c>
      <x:c r="U180" s="9" t="n">
        <x:f>F180+Inputs!$C$17/2</x:f>
        <x:v>1437.1899372112048</x:v>
      </x:c>
      <x:c r="V180" s="9">
        <x:f t="shared" si="43"/>
        <x:v>247.26197014497302</x:v>
      </x:c>
      <x:c r="W180" s="9">
        <x:f t="shared" si="44"/>
        <x:v>37.126421943689643</x:v>
      </x:c>
      <x:c r="X180" s="9"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x:f>
        <x:v>29.362157595592716</x:v>
      </x:c>
      <x:c r="Y180" s="9"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x:f>
        <x:v>283.98171018669603</x:v>
      </x:c>
      <x:c r="Z180" s="9">
        <x:f t="shared" si="45"/>
        <x:v>400.90508228684894</x:v>
      </x:c>
      <x:c r="AA180" s="9" t="n">
        <x:f>SQRT((Inputs!$C$52+B180)^2+(Inputs!$C$52+Y180/1000)^2-2*(Inputs!$C$52+B180)*(Inputs!$C$52+Y180/1000)*COS(SQRT(A180^2+Inputs!$C$6^2)/Inputs!$C$52))</x:f>
        <x:v>402.943691571479</x:v>
      </x:c>
      <x:c r="AB180" s="9">
        <x:f t="shared" si="46"/>
        <x:v>2038.6092846300699</x:v>
      </x:c>
      <x:c r="AC180" s="9" t="n">
        <x:f>AB180/Inputs!$C$12</x:f>
        <x:v>1145.2861149607133</x:v>
      </x:c>
      <x:c r="AD180" s="9" t="n">
        <x:f>2*AB180/Inputs!$C$21*1000000</x:f>
        <x:v>13.600137229803625</x:v>
      </x:c>
      <x:c r="AE180" s="9">
        <x:f t="shared" si="47"/>
        <x:v>5.4589242475900912</x:v>
      </x:c>
      <x:c r="AF180" s="9" t="n">
        <x:f>DEGREES((2*PI()/Inputs!$C$13)*Inputs!$C$15*SIN(RADIANS(AE180)))</x:f>
        <x:v>34.24756367772147</x:v>
      </x:c>
      <x:c r="AG180" s="9">
        <x:f t="shared" si="48"/>
        <x:v>0.97991589826109615</x:v>
      </x:c>
      <x:c r="AH180" s="9">
        <x:f t="shared" si="49"/>
        <x:v>-8.8111962345089834E-2</x:v>
      </x:c>
      <x:c r="AI180" s="9">
        <x:f t="shared" si="50"/>
        <x:v>-141.90382225049143</x:v>
      </x:c>
      <x:c r="AJ180" s="9">
        <x:f t="shared" si="51"/>
        <x:v>-1.6850911146395458</x:v>
      </x:c>
      <x:c r="AK180" s="9">
        <x:f t="shared" si="52"/>
        <x:v>254.61955259115243</x:v>
      </x:c>
      <x:c r="AL180" s="9" t="n">
        <x:f>1000*(AA181-AA179)/(A181-A179)*Inputs!$C$11</x:f>
        <x:v>804.8964600700401</x:v>
      </x:c>
      <x:c r="AM180" s="9" t="n">
        <x:f>-2*AL180/Inputs!$C$13</x:f>
        <x:v>-321.95858402801605</x:v>
      </x:c>
      <x:c r="AN180" s="9" t="n">
        <x:f>-2*AL180/Inputs!$C$14</x:f>
        <x:v>-48.342129733936346</x:v>
      </x:c>
      <x:c r="AO180" s="9">
        <x:f t="shared" si="53"/>
        <x:v>321.95858402801605</x:v>
      </x:c>
      <x:c r="AP180" s="9">
        <x:f t="shared" si="54"/>
        <x:v>48.342129733936346</x:v>
      </x:c>
      <x:c r="AQ180" s="9" t="n">
        <x:f>IF(OR(Inputs!$C$27=TRUE,Inputs!$C$27="TRUE",Inputs!$C$27=1),Inputs!$C$46/Inputs!$C$12,0)</x:f>
        <x:v>42.13483146067416</x:v>
      </x:c>
      <x:c r="AR180" s="9">
        <x:f t="shared" si="55"/>
        <x:v>1103.1512835000392</x:v>
      </x:c>
      <x:c r="AS180" s="9">
        <x:f t="shared" si="56"/>
        <x:v>1187.4209464213875</x:v>
      </x:c>
    </x:row>
    <x:row r="181">
      <x:c r="A181" s="9" t="n">
        <x:f>Inputs!$C$7+179*(Inputs!$C$8-Inputs!$C$7)/240</x:f>
        <x:v>29.5</x:v>
      </x:c>
      <x:c r="B181" s="9" t="n">
        <x:f>Inputs!$C$5+Inputs!$C$9*(A181/Inputs!$C$10)^2</x:f>
        <x:v>400.96694444444444</x:v>
      </x:c>
      <x:c r="C181" s="9">
        <x:f t="shared" si="38"/>
        <x:v>400.96694444444444</x:v>
      </x:c>
      <x:c r="D181" s="9" t="n">
        <x:f>SQRT((Inputs!$C$52+B181)^2+Inputs!$C$52^2-2*(Inputs!$C$52+B181)*Inputs!$C$52*COS(SQRT(A181^2+Inputs!$C$6^2)/Inputs!$C$52))</x:f>
        <x:v>403.30357259541546</x:v>
      </x:c>
      <x:c r="E181" s="9">
        <x:f t="shared" si="39"/>
        <x:v>2336.6281509710234</x:v>
      </x:c>
      <x:c r="F181" s="9" t="n">
        <x:f>E181/Inputs!$C$12</x:f>
        <x:v>1312.7124443657435</x:v>
      </x:c>
      <x:c r="G181" s="9" t="n">
        <x:f>2*E181/Inputs!$C$21*1000000</x:f>
        <x:v>15.58830509986361</x:v>
      </x:c>
      <x:c r="H181" s="9" t="n">
        <x:f>SQRT(A181^2+Inputs!$C$6^2)</x:f>
        <x:v>38.66846260197062</x:v>
      </x:c>
      <x:c r="I181" s="9">
        <x:f t="shared" si="40"/>
        <x:v>5.5084575472448263</x:v>
      </x:c>
      <x:c r="J181" s="9" t="n">
        <x:f>DEGREES((2*PI()/Inputs!$C$13)*Inputs!$C$15*SIN(RADIANS(I181)))</x:f>
        <x:v>34.55736622018927</x:v>
      </x:c>
      <x:c r="K181" s="9">
        <x:f t="shared" si="41"/>
        <x:v>0.97702574464088932</x:v>
      </x:c>
      <x:c r="L181" s="9">
        <x:f t="shared" si="42"/>
        <x:v>-0.10093992465291421</x:v>
      </x:c>
      <x:c r="M181" s="9" t="n">
        <x:f>2*(Inputs!$C$9/(Inputs!$C$10^2))*A181</x:f>
        <x:v>0.06555555555555556</x:v>
      </x:c>
      <x:c r="N181" s="9" t="n">
        <x:f>M181*Inputs!$C$11</x:f>
        <x:v>0.26222222222222225</x:v>
      </x:c>
      <x:c r="O181" s="9" t="n">
        <x:f>1000*(D182-D180)/(A182-A180)*Inputs!$C$11</x:f>
        <x:v>628.7238430963953</x:v>
      </x:c>
      <x:c r="P181" s="9" t="n">
        <x:f>-2*O181/Inputs!$C$13</x:f>
        <x:v>-251.4895372385581</x:v>
      </x:c>
      <x:c r="Q181" s="9" t="n">
        <x:f>-2*O181/Inputs!$C$14</x:f>
        <x:v>-37.76119177756128</x:v>
      </x:c>
      <x:c r="R181" s="9" t="n">
        <x:f>F181-Inputs!$C$16/2</x:f>
        <x:v>1297.7124443657435</x:v>
      </x:c>
      <x:c r="S181" s="9" t="n">
        <x:f>F181+Inputs!$C$16/2</x:f>
        <x:v>1327.7124443657435</x:v>
      </x:c>
      <x:c r="T181" s="9" t="n">
        <x:f>F181-Inputs!$C$17/2</x:f>
        <x:v>1162.7124443657435</x:v>
      </x:c>
      <x:c r="U181" s="9" t="n">
        <x:f>F181+Inputs!$C$17/2</x:f>
        <x:v>1462.7124443657435</x:v>
      </x:c>
      <x:c r="V181" s="9">
        <x:f t="shared" si="43"/>
        <x:v>251.48953723855811</x:v>
      </x:c>
      <x:c r="W181" s="9">
        <x:f t="shared" si="44"/>
        <x:v>37.76119177756128</x:v>
      </x:c>
      <x:c r="X181" s="9"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x:f>
        <x:v>20.4458299890095</x:v>
      </x:c>
      <x:c r="Y181" s="9"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x:f>
        <x:v>263.5246591496981</x:v>
      </x:c>
      <x:c r="Z181" s="9">
        <x:f t="shared" si="45"/>
        <x:v>400.94649861445544</x:v>
      </x:c>
      <x:c r="AA181" s="9" t="n">
        <x:f>SQRT((Inputs!$C$52+B181)^2+(Inputs!$C$52+Y181/1000)^2-2*(Inputs!$C$52+B181)*(Inputs!$C$52+Y181/1000)*COS(SQRT(A181^2+Inputs!$C$6^2)/Inputs!$C$52))</x:f>
        <x:v>403.0419693475962</x:v>
      </x:c>
      <x:c r="AB181" s="9">
        <x:f t="shared" si="46"/>
        <x:v>2095.4707331407576</x:v>
      </x:c>
      <x:c r="AC181" s="9" t="n">
        <x:f>AB181/Inputs!$C$12</x:f>
        <x:v>1177.2307489554819</x:v>
      </x:c>
      <x:c r="AD181" s="9" t="n">
        <x:f>2*AB181/Inputs!$C$21*1000000</x:f>
        <x:v>13.979475982286104</x:v>
      </x:c>
      <x:c r="AE181" s="9">
        <x:f t="shared" si="47"/>
        <x:v>5.5120579090533761</x:v>
      </x:c>
      <x:c r="AF181" s="9" t="n">
        <x:f>DEGREES((2*PI()/Inputs!$C$13)*Inputs!$C$15*SIN(RADIANS(AE181)))</x:f>
        <x:v>34.57988342606035</x:v>
      </x:c>
      <x:c r="AG181" s="9">
        <x:f t="shared" si="48"/>
        <x:v>0.97936507362731073</x:v>
      </x:c>
      <x:c r="AH181" s="9">
        <x:f t="shared" si="49"/>
        <x:v>-9.0553879647244567E-2</x:v>
      </x:c>
      <x:c r="AI181" s="9">
        <x:f t="shared" si="50"/>
        <x:v>-135.48169541026164</x:v>
      </x:c>
      <x:c r="AJ181" s="9">
        <x:f t="shared" si="51"/>
        <x:v>-1.6088291175775069</x:v>
      </x:c>
      <x:c r="AK181" s="9">
        <x:f t="shared" si="52"/>
        <x:v>243.07882916070088</x:v>
      </x:c>
      <x:c r="AL181" s="9" t="n">
        <x:f>1000*(AA182-AA180)/(A182-A180)*Inputs!$C$11</x:f>
        <x:v>730.6867699612667</x:v>
      </x:c>
      <x:c r="AM181" s="9" t="n">
        <x:f>-2*AL181/Inputs!$C$13</x:f>
        <x:v>-292.2747079845067</x:v>
      </x:c>
      <x:c r="AN181" s="9" t="n">
        <x:f>-2*AL181/Inputs!$C$14</x:f>
        <x:v>-43.88509128896497</x:v>
      </x:c>
      <x:c r="AO181" s="9">
        <x:f t="shared" si="53"/>
        <x:v>292.27470798450668</x:v>
      </x:c>
      <x:c r="AP181" s="9">
        <x:f t="shared" si="54"/>
        <x:v>43.885091288964972</x:v>
      </x:c>
      <x:c r="AQ181" s="9" t="n">
        <x:f>IF(OR(Inputs!$C$27=TRUE,Inputs!$C$27="TRUE",Inputs!$C$27=1),Inputs!$C$46/Inputs!$C$12,0)</x:f>
        <x:v>42.13483146067416</x:v>
      </x:c>
      <x:c r="AR181" s="9">
        <x:f t="shared" si="55"/>
        <x:v>1135.0959174948077</x:v>
      </x:c>
      <x:c r="AS181" s="9">
        <x:f t="shared" si="56"/>
        <x:v>1219.365580416156</x:v>
      </x:c>
    </x:row>
    <x:row r="182">
      <x:c r="A182" s="9" t="n">
        <x:f>Inputs!$C$7+180*(Inputs!$C$8-Inputs!$C$7)/240</x:f>
        <x:v>30</x:v>
      </x:c>
      <x:c r="B182" s="9" t="n">
        <x:f>Inputs!$C$5+Inputs!$C$9*(A182/Inputs!$C$10)^2</x:f>
        <x:v>401</x:v>
      </x:c>
      <x:c r="C182" s="9">
        <x:f t="shared" si="38"/>
        <x:v>401</x:v>
      </x:c>
      <x:c r="D182" s="9" t="n">
        <x:f>SQRT((Inputs!$C$52+B182)^2+Inputs!$C$52^2-2*(Inputs!$C$52+B182)*Inputs!$C$52*COS(SQRT(A182^2+Inputs!$C$6^2)/Inputs!$C$52))</x:f>
        <x:v>403.3828234934545</x:v>
      </x:c>
      <x:c r="E182" s="9">
        <x:f t="shared" si="39"/>
        <x:v>2382.8234934545094</x:v>
      </x:c>
      <x:c r="F182" s="9" t="n">
        <x:f>E182/Inputs!$C$12</x:f>
        <x:v>1338.6648839632076</x:v>
      </x:c>
      <x:c r="G182" s="9" t="n">
        <x:f>2*E182/Inputs!$C$21*1000000</x:f>
        <x:v>15.896487252221066</x:v>
      </x:c>
      <x:c r="H182" s="9" t="n">
        <x:f>SQRT(A182^2+Inputs!$C$6^2)</x:f>
        <x:v>39.05124837953327</x:v>
      </x:c>
      <x:c r="I182" s="9">
        <x:f t="shared" si="40"/>
        <x:v>5.5621907006038249</x:v>
      </x:c>
      <x:c r="J182" s="9" t="n">
        <x:f>DEGREES((2*PI()/Inputs!$C$13)*Inputs!$C$15*SIN(RADIANS(I182)))</x:f>
        <x:v>34.893407239514076</x:v>
      </x:c>
      <x:c r="K182" s="9">
        <x:f t="shared" si="41"/>
        <x:v>0.97658013175787806</x:v>
      </x:c>
      <x:c r="L182" s="9">
        <x:f t="shared" si="42"/>
        <x:v>-0.10292115558440429</x:v>
      </x:c>
      <x:c r="M182" s="9" t="n">
        <x:f>2*(Inputs!$C$9/(Inputs!$C$10^2))*A182</x:f>
        <x:v>0.06666666666666667</x:v>
      </x:c>
      <x:c r="N182" s="9" t="n">
        <x:f>M182*Inputs!$C$11</x:f>
        <x:v>0.26666666666666666</x:v>
      </x:c>
      <x:c r="O182" s="9" t="n">
        <x:f>1000*(D183-D181)/(A183-A181)*Inputs!$C$11</x:f>
        <x:v>639.2882542627376</x:v>
      </x:c>
      <x:c r="P182" s="9" t="n">
        <x:f>-2*O182/Inputs!$C$13</x:f>
        <x:v>-255.71530170509504</x:v>
      </x:c>
      <x:c r="Q182" s="9" t="n">
        <x:f>-2*O182/Inputs!$C$14</x:f>
        <x:v>-38.39569094671097</x:v>
      </x:c>
      <x:c r="R182" s="9" t="n">
        <x:f>F182-Inputs!$C$16/2</x:f>
        <x:v>1323.6648839632076</x:v>
      </x:c>
      <x:c r="S182" s="9" t="n">
        <x:f>F182+Inputs!$C$16/2</x:f>
        <x:v>1353.6648839632076</x:v>
      </x:c>
      <x:c r="T182" s="9" t="n">
        <x:f>F182-Inputs!$C$17/2</x:f>
        <x:v>1188.6648839632076</x:v>
      </x:c>
      <x:c r="U182" s="9" t="n">
        <x:f>F182+Inputs!$C$17/2</x:f>
        <x:v>1488.6648839632076</x:v>
      </x:c>
      <x:c r="V182" s="9">
        <x:f t="shared" si="43"/>
        <x:v>255.71530170509504</x:v>
      </x:c>
      <x:c r="W182" s="9">
        <x:f t="shared" si="44"/>
        <x:v>38.395690946710971</x:v>
      </x:c>
      <x:c r="X182" s="9"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x:f>
        <x:v>11.879118514207924</x:v>
      </x:c>
      <x:c r="Y182" s="9"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x:f>
        <x:v>258.3810354027646</x:v>
      </x:c>
      <x:c r="Z182" s="9">
        <x:f t="shared" si="45"/>
        <x:v>400.98812088148577</x:v>
      </x:c>
      <x:c r="AA182" s="9" t="n">
        <x:f>SQRT((Inputs!$C$52+B182)^2+(Inputs!$C$52+Y182/1000)^2-2*(Inputs!$C$52+B182)*(Inputs!$C$52+Y182/1000)*COS(SQRT(A182^2+Inputs!$C$6^2)/Inputs!$C$52))</x:f>
        <x:v>403.1263632639693</x:v>
      </x:c>
      <x:c r="AB182" s="9">
        <x:f t="shared" si="46"/>
        <x:v>2138.2423824835541</x:v>
      </x:c>
      <x:c r="AC182" s="9" t="n">
        <x:f>AB182/Inputs!$C$12</x:f>
        <x:v>1201.2597654401989</x:v>
      </x:c>
      <x:c r="AD182" s="9" t="n">
        <x:f>2*AB182/Inputs!$C$21*1000000</x:f>
        <x:v>14.264817712549354</x:v>
      </x:c>
      <x:c r="AE182" s="9">
        <x:f t="shared" si="47"/>
        <x:v>5.5657544519514408</x:v>
      </x:c>
      <x:c r="AF182" s="9" t="n">
        <x:f>DEGREES((2*PI()/Inputs!$C$13)*Inputs!$C$15*SIN(RADIANS(AE182)))</x:f>
        <x:v>34.91569345248655</x:v>
      </x:c>
      <x:c r="AG182" s="9">
        <x:f t="shared" si="48"/>
        <x:v>0.97895161102468709</x:v>
      </x:c>
      <x:c r="AH182" s="9">
        <x:f t="shared" si="49"/>
        <x:v>-9.2387745751417005E-2</x:v>
      </x:c>
      <x:c r="AI182" s="9">
        <x:f t="shared" si="50"/>
        <x:v>-137.4051185230087</x:v>
      </x:c>
      <x:c r="AJ182" s="9">
        <x:f t="shared" si="51"/>
        <x:v>-1.6316695396717122</x:v>
      </x:c>
      <x:c r="AK182" s="9">
        <x:f t="shared" si="52"/>
        <x:v>246.50191688855668</x:v>
      </x:c>
      <x:c r="AL182" s="9" t="n">
        <x:f>1000*(AA183-AA181)/(A183-A181)*Inputs!$C$11</x:f>
        <x:v>733.0319858403982</x:v>
      </x:c>
      <x:c r="AM182" s="9" t="n">
        <x:f>-2*AL182/Inputs!$C$13</x:f>
        <x:v>-293.2127943361593</x:v>
      </x:c>
      <x:c r="AN182" s="9" t="n">
        <x:f>-2*AL182/Inputs!$C$14</x:f>
        <x:v>-44.02594509551942</x:v>
      </x:c>
      <x:c r="AO182" s="9">
        <x:f t="shared" si="53"/>
        <x:v>293.21279433806922</x:v>
      </x:c>
      <x:c r="AP182" s="9">
        <x:f t="shared" si="54"/>
        <x:v>44.025945095806193</x:v>
      </x:c>
      <x:c r="AQ182" s="9" t="n">
        <x:f>IF(OR(Inputs!$C$27=TRUE,Inputs!$C$27="TRUE",Inputs!$C$27=1),Inputs!$C$46/Inputs!$C$12,0)</x:f>
        <x:v>42.13483146067416</x:v>
      </x:c>
      <x:c r="AR182" s="9">
        <x:f t="shared" si="55"/>
        <x:v>1159.1249339795247</x:v>
      </x:c>
      <x:c r="AS182" s="9">
        <x:f t="shared" si="56"/>
        <x:v>1243.394596900873</x:v>
      </x:c>
    </x:row>
    <x:row r="183">
      <x:c r="A183" s="9" t="n">
        <x:f>Inputs!$C$7+181*(Inputs!$C$8-Inputs!$C$7)/240</x:f>
        <x:v>30.5</x:v>
      </x:c>
      <x:c r="B183" s="9" t="n">
        <x:f>Inputs!$C$5+Inputs!$C$9*(A183/Inputs!$C$10)^2</x:f>
        <x:v>401.0336111111111</x:v>
      </x:c>
      <x:c r="C183" s="9">
        <x:f t="shared" si="38"/>
        <x:v>401.0336111111111</x:v>
      </x:c>
      <x:c r="D183" s="9" t="n">
        <x:f>SQRT((Inputs!$C$52+B183)^2+Inputs!$C$52^2-2*(Inputs!$C$52+B183)*Inputs!$C$52*COS(SQRT(A183^2+Inputs!$C$6^2)/Inputs!$C$52))</x:f>
        <x:v>403.46339465898114</x:v>
      </x:c>
      <x:c r="E183" s="9">
        <x:f t="shared" si="39"/>
        <x:v>2429.7835478700449</x:v>
      </x:c>
      <x:c r="F183" s="9" t="n">
        <x:f>E183/Inputs!$C$12</x:f>
        <x:v>1365.0469370056433</x:v>
      </x:c>
      <x:c r="G183" s="9" t="n">
        <x:f>2*E183/Inputs!$C$21*1000000</x:f>
        <x:v>16.209771013452546</x:v>
      </x:c>
      <x:c r="H183" s="9" t="n">
        <x:f>SQRT(A183^2+Inputs!$C$6^2)</x:f>
        <x:v>39.436658073421995</x:v>
      </x:c>
      <x:c r="I183" s="9">
        <x:f t="shared" si="40"/>
        <x:v>5.6162687447103439</x:v>
      </x:c>
      <x:c r="J183" s="9" t="n">
        <x:f>DEGREES((2*PI()/Inputs!$C$13)*Inputs!$C$15*SIN(RADIANS(I183)))</x:f>
        <x:v>35.23157418054016</x:v>
      </x:c>
      <x:c r="K183" s="9">
        <x:f t="shared" si="41"/>
        <x:v>0.9761274783366205</x:v>
      </x:c>
      <x:c r="L183" s="9">
        <x:f t="shared" si="42"/>
        <x:v>-0.10493461510667687</x:v>
      </x:c>
      <x:c r="M183" s="9" t="n">
        <x:f>2*(Inputs!$C$9/(Inputs!$C$10^2))*A183</x:f>
        <x:v>0.06777777777777778</x:v>
      </x:c>
      <x:c r="N183" s="9" t="n">
        <x:f>M183*Inputs!$C$11</x:f>
        <x:v>0.27111111111111114</x:v>
      </x:c>
      <x:c r="O183" s="9" t="n">
        <x:f>1000*(D184-D182)/(A184-A182)*Inputs!$C$11</x:f>
        <x:v>649.8480869720424</x:v>
      </x:c>
      <x:c r="P183" s="9" t="n">
        <x:f>-2*O183/Inputs!$C$13</x:f>
        <x:v>-259.939234788817</x:v>
      </x:c>
      <x:c r="Q183" s="9" t="n">
        <x:f>-2*O183/Inputs!$C$14</x:f>
        <x:v>-39.02991513345601</x:v>
      </x:c>
      <x:c r="R183" s="9" t="n">
        <x:f>F183-Inputs!$C$16/2</x:f>
        <x:v>1350.0469370056433</x:v>
      </x:c>
      <x:c r="S183" s="9" t="n">
        <x:f>F183+Inputs!$C$16/2</x:f>
        <x:v>1380.0469370056433</x:v>
      </x:c>
      <x:c r="T183" s="9" t="n">
        <x:f>F183-Inputs!$C$17/2</x:f>
        <x:v>1215.0469370056433</x:v>
      </x:c>
      <x:c r="U183" s="9" t="n">
        <x:f>F183+Inputs!$C$17/2</x:f>
        <x:v>1515.0469370056433</x:v>
      </x:c>
      <x:c r="V183" s="9">
        <x:f t="shared" si="43"/>
        <x:v>259.93923478881698</x:v>
      </x:c>
      <x:c r="W183" s="9">
        <x:f t="shared" si="44"/>
        <x:v>39.029915133456008</x:v>
      </x:c>
      <x:c r="X183" s="9"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x:f>
        <x:v>4.284803604386864</x:v>
      </x:c>
      <x:c r="Y183" s="9"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x:f>
        <x:v>239.98613946224492</x:v>
      </x:c>
      <x:c r="Z183" s="9">
        <x:f t="shared" si="45"/>
        <x:v>401.02932630750672</x:v>
      </x:c>
      <x:c r="AA183" s="9" t="n">
        <x:f>SQRT((Inputs!$C$52+B183)^2+(Inputs!$C$52+Y183/1000)^2-2*(Inputs!$C$52+B183)*(Inputs!$C$52+Y183/1000)*COS(SQRT(A183^2+Inputs!$C$6^2)/Inputs!$C$52))</x:f>
        <x:v>403.2252273440563</x:v>
      </x:c>
      <x:c r="AB183" s="9">
        <x:f t="shared" si="46"/>
        <x:v>2195.9010365507652</x:v>
      </x:c>
      <x:c r="AC183" s="9" t="n">
        <x:f>AB183/Inputs!$C$12</x:f>
        <x:v>1233.652267725149</x:v>
      </x:c>
      <x:c r="AD183" s="9" t="n">
        <x:f>2*AB183/Inputs!$C$21*1000000</x:f>
        <x:v>14.649474848034805</x:v>
      </x:c>
      <x:c r="AE183" s="9">
        <x:f t="shared" si="47"/>
        <x:v>5.6196101200168211</x:v>
      </x:c>
      <x:c r="AF183" s="9" t="n">
        <x:f>DEGREES((2*PI()/Inputs!$C$13)*Inputs!$C$15*SIN(RADIANS(AE183)))</x:f>
        <x:v>35.252467820034646</x:v>
      </x:c>
      <x:c r="AG183" s="9">
        <x:f t="shared" si="48"/>
        <x:v>0.97839392847438955</x:v>
      </x:c>
      <x:c r="AH183" s="9">
        <x:f t="shared" si="49"/>
        <x:v>-9.4862510231312314E-2</x:v>
      </x:c>
      <x:c r="AI183" s="9">
        <x:f t="shared" si="50"/>
        <x:v>-131.39466928049433</x:v>
      </x:c>
      <x:c r="AJ183" s="9">
        <x:f t="shared" si="51"/>
        <x:v>-1.560296165417741</x:v>
      </x:c>
      <x:c r="AK183" s="9">
        <x:f t="shared" si="52"/>
        <x:v>235.70133585805451</x:v>
      </x:c>
      <x:c r="AL183" s="9" t="n">
        <x:f>1000*(AA184-AA182)/(A184-A182)*Inputs!$C$11</x:f>
        <x:v>724.7712768219117</x:v>
      </x:c>
      <x:c r="AM183" s="9" t="n">
        <x:f>-2*AL183/Inputs!$C$13</x:f>
        <x:v>-289.90851072876467</x:v>
      </x:c>
      <x:c r="AN183" s="9" t="n">
        <x:f>-2*AL183/Inputs!$C$14</x:f>
        <x:v>-43.529806415730434</x:v>
      </x:c>
      <x:c r="AO183" s="9">
        <x:f t="shared" si="53"/>
        <x:v>289.90851073058366</x:v>
      </x:c>
      <x:c r="AP183" s="9">
        <x:f t="shared" si="54"/>
        <x:v>43.529806416003559</x:v>
      </x:c>
      <x:c r="AQ183" s="9" t="n">
        <x:f>IF(OR(Inputs!$C$27=TRUE,Inputs!$C$27="TRUE",Inputs!$C$27=1),Inputs!$C$46/Inputs!$C$12,0)</x:f>
        <x:v>42.13483146067416</x:v>
      </x:c>
      <x:c r="AR183" s="9">
        <x:f t="shared" si="55"/>
        <x:v>1191.5174362644748</x:v>
      </x:c>
      <x:c r="AS183" s="9">
        <x:f t="shared" si="56"/>
        <x:v>1275.7870991858231</x:v>
      </x:c>
    </x:row>
    <x:row r="184">
      <x:c r="A184" s="9" t="n">
        <x:f>Inputs!$C$7+182*(Inputs!$C$8-Inputs!$C$7)/240</x:f>
        <x:v>31</x:v>
      </x:c>
      <x:c r="B184" s="9" t="n">
        <x:f>Inputs!$C$5+Inputs!$C$9*(A184/Inputs!$C$10)^2</x:f>
        <x:v>401.0677777777778</x:v>
      </x:c>
      <x:c r="C184" s="9">
        <x:f t="shared" si="38"/>
        <x:v>401.06777777777779</x:v>
      </x:c>
      <x:c r="D184" s="9" t="n">
        <x:f>SQRT((Inputs!$C$52+B184)^2+Inputs!$C$52^2-2*(Inputs!$C$52+B184)*Inputs!$C$52*COS(SQRT(A184^2+Inputs!$C$6^2)/Inputs!$C$52))</x:f>
        <x:v>403.5452855151975</x:v>
      </x:c>
      <x:c r="E184" s="9">
        <x:f t="shared" si="39"/>
        <x:v>2477.5077374197281</x:v>
      </x:c>
      <x:c r="F184" s="9" t="n">
        <x:f>E184/Inputs!$C$12</x:f>
        <x:v>1391.8582794492854</x:v>
      </x:c>
      <x:c r="G184" s="9" t="n">
        <x:f>2*E184/Inputs!$C$21*1000000</x:f>
        <x:v>16.52815253557665</x:v>
      </x:c>
      <x:c r="H184" s="9" t="n">
        <x:f>SQRT(A184^2+Inputs!$C$6^2)</x:f>
        <x:v>39.824615503479755</x:v>
      </x:c>
      <x:c r="I184" s="9">
        <x:f t="shared" si="40"/>
        <x:v>5.6706802988679366</x:v>
      </x:c>
      <x:c r="J184" s="9" t="n">
        <x:f>DEGREES((2*PI()/Inputs!$C$13)*Inputs!$C$15*SIN(RADIANS(I184)))</x:f>
        <x:v>35.57179498729654</x:v>
      </x:c>
      <x:c r="K184" s="9">
        <x:f t="shared" si="41"/>
        <x:v>0.97566780617069948</x:v>
      </x:c>
      <x:c r="L184" s="9">
        <x:f t="shared" si="42"/>
        <x:v>-0.10698025063433281</x:v>
      </x:c>
      <x:c r="M184" s="9" t="n">
        <x:f>2*(Inputs!$C$9/(Inputs!$C$10^2))*A184</x:f>
        <x:v>0.06888888888888889</x:v>
      </x:c>
      <x:c r="N184" s="9" t="n">
        <x:f>M184*Inputs!$C$11</x:f>
        <x:v>0.27555555555555555</x:v>
      </x:c>
      <x:c r="O184" s="9" t="n">
        <x:f>1000*(D185-D183)/(A185-A183)*Inputs!$C$11</x:f>
        <x:v>660.4032695415754</x:v>
      </x:c>
      <x:c r="P184" s="9" t="n">
        <x:f>-2*O184/Inputs!$C$13</x:f>
        <x:v>-264.16130781663014</x:v>
      </x:c>
      <x:c r="Q184" s="9" t="n">
        <x:f>-2*O184/Inputs!$C$14</x:f>
        <x:v>-39.663860032527054</x:v>
      </x:c>
      <x:c r="R184" s="9" t="n">
        <x:f>F184-Inputs!$C$16/2</x:f>
        <x:v>1376.8582794492854</x:v>
      </x:c>
      <x:c r="S184" s="9" t="n">
        <x:f>F184+Inputs!$C$16/2</x:f>
        <x:v>1406.8582794492854</x:v>
      </x:c>
      <x:c r="T184" s="9" t="n">
        <x:f>F184-Inputs!$C$17/2</x:f>
        <x:v>1241.8582794492854</x:v>
      </x:c>
      <x:c r="U184" s="9" t="n">
        <x:f>F184+Inputs!$C$17/2</x:f>
        <x:v>1541.8582794492854</x:v>
      </x:c>
      <x:c r="V184" s="9">
        <x:f t="shared" si="43"/>
        <x:v>264.16130781663014</x:v>
      </x:c>
      <x:c r="W184" s="9">
        <x:f t="shared" si="44"/>
        <x:v>39.663860032527054</x:v>
      </x:c>
      <x:c r="X184" s="9"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x:f>
        <x:v>18.692329061381155</x:v>
      </x:c>
      <x:c r="Y184" s="9"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x:f>
        <x:v>239.58052305996605</x:v>
      </x:c>
      <x:c r="Z184" s="9">
        <x:f t="shared" si="45"/>
        <x:v>401.04908544871643</x:v>
      </x:c>
      <x:c r="AA184" s="9" t="n">
        <x:f>SQRT((Inputs!$C$52+B184)^2+(Inputs!$C$52+Y184/1000)^2-2*(Inputs!$C$52+B184)*(Inputs!$C$52+Y184/1000)*COS(SQRT(A184^2+Inputs!$C$6^2)/Inputs!$C$52))</x:f>
        <x:v>403.3075560831748</x:v>
      </x:c>
      <x:c r="AB184" s="9">
        <x:f t="shared" si="46"/>
        <x:v>2258.4706344595133</x:v>
      </x:c>
      <x:c r="AC184" s="9" t="n">
        <x:f>AB184/Inputs!$C$12</x:f>
        <x:v>1268.8037272244458</x:v>
      </x:c>
      <x:c r="AD184" s="9" t="n">
        <x:f>2*AB184/Inputs!$C$21*1000000</x:f>
        <x:v>15.06689427430168</x:v>
      </x:c>
      <x:c r="AE184" s="9">
        <x:f t="shared" si="47"/>
        <x:v>5.6740476319785937</x:v>
      </x:c>
      <x:c r="AF184" s="9" t="n">
        <x:f>DEGREES((2*PI()/Inputs!$C$13)*Inputs!$C$15*SIN(RADIANS(AE184)))</x:f>
        <x:v>35.592848964178025</x:v>
      </x:c>
      <x:c r="AG184" s="9">
        <x:f t="shared" si="48"/>
        <x:v>0.9777879625144863</x:v>
      </x:c>
      <x:c r="AH184" s="9">
        <x:f t="shared" si="49"/>
        <x:v>-9.7553136110603872E-2</x:v>
      </x:c>
      <x:c r="AI184" s="9">
        <x:f t="shared" si="50"/>
        <x:v>-123.05455222483965</x:v>
      </x:c>
      <x:c r="AJ184" s="9">
        <x:f t="shared" si="51"/>
        <x:v>-1.4612582612749687</x:v>
      </x:c>
      <x:c r="AK184" s="9">
        <x:f t="shared" si="52"/>
        <x:v>220.88819399878136</x:v>
      </x:c>
      <x:c r="AL184" s="9" t="n">
        <x:f>1000*(AA185-AA183)/(A185-A183)*Inputs!$C$11</x:f>
        <x:v>753.6485797002115</x:v>
      </x:c>
      <x:c r="AM184" s="9" t="n">
        <x:f>-2*AL184/Inputs!$C$13</x:f>
        <x:v>-301.4594318800846</x:v>
      </x:c>
      <x:c r="AN184" s="9" t="n">
        <x:f>-2*AL184/Inputs!$C$14</x:f>
        <x:v>-45.264178960973666</x:v>
      </x:c>
      <x:c r="AO184" s="9">
        <x:f t="shared" si="53"/>
        <x:v>301.45943187817466</x:v>
      </x:c>
      <x:c r="AP184" s="9">
        <x:f t="shared" si="54"/>
        <x:v>45.264178960686891</x:v>
      </x:c>
      <x:c r="AQ184" s="9" t="n">
        <x:f>IF(OR(Inputs!$C$27=TRUE,Inputs!$C$27="TRUE",Inputs!$C$27=1),Inputs!$C$46/Inputs!$C$12,0)</x:f>
        <x:v>42.13483146067416</x:v>
      </x:c>
      <x:c r="AR184" s="9">
        <x:f t="shared" si="55"/>
        <x:v>1226.6688957637716</x:v>
      </x:c>
      <x:c r="AS184" s="9">
        <x:f t="shared" si="56"/>
        <x:v>1310.9385586851199</x:v>
      </x:c>
    </x:row>
    <x:row r="185">
      <x:c r="A185" s="9" t="n">
        <x:f>Inputs!$C$7+183*(Inputs!$C$8-Inputs!$C$7)/240</x:f>
        <x:v>31.5</x:v>
      </x:c>
      <x:c r="B185" s="9" t="n">
        <x:f>Inputs!$C$5+Inputs!$C$9*(A185/Inputs!$C$10)^2</x:f>
        <x:v>401.1025</x:v>
      </x:c>
      <x:c r="C185" s="9">
        <x:f t="shared" si="38"/>
        <x:v>401.10250000000002</x:v>
      </x:c>
      <x:c r="D185" s="9" t="n">
        <x:f>SQRT((Inputs!$C$52+B185)^2+Inputs!$C$52^2-2*(Inputs!$C$52+B185)*Inputs!$C$52*COS(SQRT(A185^2+Inputs!$C$6^2)/Inputs!$C$52))</x:f>
        <x:v>403.62849547636654</x:v>
      </x:c>
      <x:c r="E185" s="9">
        <x:f t="shared" si="39"/>
        <x:v>2525.9954763665178</x:v>
      </x:c>
      <x:c r="F185" s="9" t="n">
        <x:f>E185/Inputs!$C$12</x:f>
        <x:v>1419.0985822283808</x:v>
      </x:c>
      <x:c r="G185" s="9" t="n">
        <x:f>2*E185/Inputs!$C$21*1000000</x:f>
        <x:v>16.85162791097645</x:v>
      </x:c>
      <x:c r="H185" s="9" t="n">
        <x:f>SQRT(A185^2+Inputs!$C$6^2)</x:f>
        <x:v>40.21504693519579</x:v>
      </x:c>
      <x:c r="I185" s="9">
        <x:f t="shared" si="40"/>
        <x:v>5.7254143327118072</x:v>
      </x:c>
      <x:c r="J185" s="9" t="n">
        <x:f>DEGREES((2*PI()/Inputs!$C$13)*Inputs!$C$15*SIN(RADIANS(I185)))</x:f>
        <x:v>35.91399980576491</x:v>
      </x:c>
      <x:c r="K185" s="9">
        <x:f t="shared" si="41"/>
        <x:v>0.97520113736185254</x:v>
      </x:c>
      <x:c r="L185" s="9">
        <x:f t="shared" si="42"/>
        <x:v>-0.10905800878509146</x:v>
      </x:c>
      <x:c r="M185" s="9" t="n">
        <x:f>2*(Inputs!$C$9/(Inputs!$C$10^2))*A185</x:f>
        <x:v>0.07</x:v>
      </x:c>
      <x:c r="N185" s="9" t="n">
        <x:f>M185*Inputs!$C$11</x:f>
        <x:v>0.28</x:v>
      </x:c>
      <x:c r="O185" s="9" t="n">
        <x:f>1000*(D186-D184)/(A186-A184)*Inputs!$C$11</x:f>
        <x:v>670.9537305550839</x:v>
      </x:c>
      <x:c r="P185" s="9" t="n">
        <x:f>-2*O185/Inputs!$C$13</x:f>
        <x:v>-268.38149222203356</x:v>
      </x:c>
      <x:c r="Q185" s="9" t="n">
        <x:f>-2*O185/Inputs!$C$14</x:f>
        <x:v>-40.29752135465969</x:v>
      </x:c>
      <x:c r="R185" s="9" t="n">
        <x:f>F185-Inputs!$C$16/2</x:f>
        <x:v>1404.0985822283808</x:v>
      </x:c>
      <x:c r="S185" s="9" t="n">
        <x:f>F185+Inputs!$C$16/2</x:f>
        <x:v>1434.0985822283808</x:v>
      </x:c>
      <x:c r="T185" s="9" t="n">
        <x:f>F185-Inputs!$C$17/2</x:f>
        <x:v>1269.0985822283808</x:v>
      </x:c>
      <x:c r="U185" s="9" t="n">
        <x:f>F185+Inputs!$C$17/2</x:f>
        <x:v>1569.0985822283808</x:v>
      </x:c>
      <x:c r="V185" s="9">
        <x:f t="shared" si="43"/>
        <x:v>268.38149222203356</x:v>
      </x:c>
      <x:c r="W185" s="9">
        <x:f t="shared" si="44"/>
        <x:v>40.297521354659693</x:v>
      </x:c>
      <x:c r="X185" s="9"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x:f>
        <x:v>18.579807279306877</x:v>
      </x:c>
      <x:c r="Y185" s="9"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x:f>
        <x:v>216.56157473369862</x:v>
      </x:c>
      <x:c r="Z185" s="9">
        <x:f t="shared" si="45"/>
        <x:v>401.08392019272088</x:v>
      </x:c>
      <x:c r="AA185" s="9" t="n">
        <x:f>SQRT((Inputs!$C$52+B185)^2+(Inputs!$C$52+Y185/1000)^2-2*(Inputs!$C$52+B185)*(Inputs!$C$52+Y185/1000)*COS(SQRT(A185^2+Inputs!$C$6^2)/Inputs!$C$52))</x:f>
        <x:v>403.41363948898135</x:v>
      </x:c>
      <x:c r="AB185" s="9">
        <x:f t="shared" si="46"/>
        <x:v>2329.719296260464</x:v>
      </x:c>
      <x:c r="AC185" s="9" t="n">
        <x:f>AB185/Inputs!$C$12</x:f>
        <x:v>1308.8310653148674</x:v>
      </x:c>
      <x:c r="AD185" s="9" t="n">
        <x:f>2*AB185/Inputs!$C$21*1000000</x:f>
        <x:v>15.542214182455945</x:v>
      </x:c>
      <x:c r="AE185" s="9">
        <x:f t="shared" si="47"/>
        <x:v>5.7284866793544591</x:v>
      </x:c>
      <x:c r="AF185" s="9" t="n">
        <x:f>DEGREES((2*PI()/Inputs!$C$13)*Inputs!$C$15*SIN(RADIANS(AE185)))</x:f>
        <x:v>35.93320757719325</x:v>
      </x:c>
      <x:c r="AG185" s="9">
        <x:f t="shared" si="48"/>
        <x:v>0.97709928059268736</x:v>
      </x:c>
      <x:c r="AH185" s="9">
        <x:f t="shared" si="49"/>
        <x:v>-0.10061306472645018</x:v>
      </x:c>
      <x:c r="AI185" s="9">
        <x:f t="shared" si="50"/>
        <x:v>-110.26751691351342</x:v>
      </x:c>
      <x:c r="AJ185" s="9">
        <x:f t="shared" si="51"/>
        <x:v>-1.3094137285205054</x:v>
      </x:c>
      <x:c r="AK185" s="9">
        <x:f t="shared" si="52"/>
        <x:v>197.98176745468641</x:v>
      </x:c>
      <x:c r="AL185" s="9" t="n">
        <x:f>1000*(AA186-AA184)/(A186-A184)*Inputs!$C$11</x:f>
        <x:v>739.2635632863858</x:v>
      </x:c>
      <x:c r="AM185" s="9" t="n">
        <x:f>-2*AL185/Inputs!$C$13</x:f>
        <x:v>-295.7054253145543</x:v>
      </x:c>
      <x:c r="AN185" s="9" t="n">
        <x:f>-2*AL185/Inputs!$C$14</x:f>
        <x:v>-44.40021401119434</x:v>
      </x:c>
      <x:c r="AO185" s="9">
        <x:f t="shared" si="53"/>
        <x:v>295.70542531273531</x:v>
      </x:c>
      <x:c r="AP185" s="9">
        <x:f t="shared" si="54"/>
        <x:v>44.400214010921225</x:v>
      </x:c>
      <x:c r="AQ185" s="9" t="n">
        <x:f>IF(OR(Inputs!$C$27=TRUE,Inputs!$C$27="TRUE",Inputs!$C$27=1),Inputs!$C$46/Inputs!$C$12,0)</x:f>
        <x:v>42.13483146067416</x:v>
      </x:c>
      <x:c r="AR185" s="9">
        <x:f t="shared" si="55"/>
        <x:v>1266.6962338541932</x:v>
      </x:c>
      <x:c r="AS185" s="9">
        <x:f t="shared" si="56"/>
        <x:v>1350.9658967755415</x:v>
      </x:c>
    </x:row>
    <x:row r="186">
      <x:c r="A186" s="9" t="n">
        <x:f>Inputs!$C$7+184*(Inputs!$C$8-Inputs!$C$7)/240</x:f>
        <x:v>32</x:v>
      </x:c>
      <x:c r="B186" s="9" t="n">
        <x:f>Inputs!$C$5+Inputs!$C$9*(A186/Inputs!$C$10)^2</x:f>
        <x:v>401.1377777777778</x:v>
      </x:c>
      <x:c r="C186" s="9">
        <x:f t="shared" si="38"/>
        <x:v>401.13777777777779</x:v>
      </x:c>
      <x:c r="D186" s="9" t="n">
        <x:f>SQRT((Inputs!$C$52+B186)^2+Inputs!$C$52^2-2*(Inputs!$C$52+B186)*Inputs!$C$52*COS(SQRT(A186^2+Inputs!$C$6^2)/Inputs!$C$52))</x:f>
        <x:v>403.7130239478363</x:v>
      </x:c>
      <x:c r="E186" s="9">
        <x:f t="shared" si="39"/>
        <x:v>2575.2461700585059</x:v>
      </x:c>
      <x:c r="F186" s="9" t="n">
        <x:f>E186/Inputs!$C$12</x:f>
        <x:v>1446.7675112688235</x:v>
      </x:c>
      <x:c r="G186" s="9" t="n">
        <x:f>2*E186/Inputs!$C$21*1000000</x:f>
        <x:v>17.180193172561438</x:v>
      </x:c>
      <x:c r="H186" s="9" t="n">
        <x:f>SQRT(A186^2+Inputs!$C$6^2)</x:f>
        <x:v>40.607881008493905</x:v>
      </x:c>
      <x:c r="I186" s="9">
        <x:f t="shared" si="40"/>
        <x:v>5.7804601560821682</x:v>
      </x:c>
      <x:c r="J186" s="9" t="n">
        <x:f>DEGREES((2*PI()/Inputs!$C$13)*Inputs!$C$15*SIN(RADIANS(I186)))</x:f>
        <x:v>36.25812092039455</x:v>
      </x:c>
      <x:c r="K186" s="9">
        <x:f t="shared" si="41"/>
        <x:v>0.9747274943175861</x:v>
      </x:c>
      <x:c r="L186" s="9">
        <x:f t="shared" si="42"/>
        <x:v>-0.11116783538305441</x:v>
      </x:c>
      <x:c r="M186" s="9" t="n">
        <x:f>2*(Inputs!$C$9/(Inputs!$C$10^2))*A186</x:f>
        <x:v>0.07111111111111111</x:v>
      </x:c>
      <x:c r="N186" s="9" t="n">
        <x:f>M186*Inputs!$C$11</x:f>
        <x:v>0.28444444444444444</x:v>
      </x:c>
      <x:c r="O186" s="9" t="n">
        <x:f>1000*(D187-D185)/(A187-A185)*Inputs!$C$11</x:f>
        <x:v>681.499398799815</x:v>
      </x:c>
      <x:c r="P186" s="9" t="n">
        <x:f>-2*O186/Inputs!$C$13</x:f>
        <x:v>-272.599759519926</x:v>
      </x:c>
      <x:c r="Q186" s="9" t="n">
        <x:f>-2*O186/Inputs!$C$14</x:f>
        <x:v>-40.930894822811716</x:v>
      </x:c>
      <x:c r="R186" s="9" t="n">
        <x:f>F186-Inputs!$C$16/2</x:f>
        <x:v>1431.7675112688235</x:v>
      </x:c>
      <x:c r="S186" s="9" t="n">
        <x:f>F186+Inputs!$C$16/2</x:f>
        <x:v>1461.7675112688235</x:v>
      </x:c>
      <x:c r="T186" s="9" t="n">
        <x:f>F186-Inputs!$C$17/2</x:f>
        <x:v>1296.7675112688235</x:v>
      </x:c>
      <x:c r="U186" s="9" t="n">
        <x:f>F186+Inputs!$C$17/2</x:f>
        <x:v>1596.7675112688235</x:v>
      </x:c>
      <x:c r="V186" s="9">
        <x:f t="shared" si="43"/>
        <x:v>272.59975951992601</x:v>
      </x:c>
      <x:c r="W186" s="9">
        <x:f t="shared" si="44"/>
        <x:v>40.930894822811716</x:v>
      </x:c>
      <x:c r="X186" s="9"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x:f>
        <x:v>-1.3588316603362678</x:v>
      </x:c>
      <x:c r="Y186" s="9"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x:f>
        <x:v>222.43770342182788</x:v>
      </x:c>
      <x:c r="Z186" s="9">
        <x:f t="shared" si="45"/>
        <x:v>401.13913660943814</x:v>
      </x:c>
      <x:c r="AA186" s="9" t="n">
        <x:f>SQRT((Inputs!$C$52+B186)^2+(Inputs!$C$52+Y186/1000)^2-2*(Inputs!$C$52+B186)*(Inputs!$C$52+Y186/1000)*COS(SQRT(A186^2+Inputs!$C$6^2)/Inputs!$C$52))</x:f>
        <x:v>403.4923719739964</x:v>
      </x:c>
      <x:c r="AB186" s="9">
        <x:f t="shared" si="46"/>
        <x:v>2353.2353645582589</x:v>
      </x:c>
      <x:c r="AC186" s="9" t="n">
        <x:f>AB186/Inputs!$C$12</x:f>
        <x:v>1322.0423396394713</x:v>
      </x:c>
      <x:c r="AD186" s="9" t="n">
        <x:f>2*AB186/Inputs!$C$21*1000000</x:f>
        <x:v>15.699096503343382</x:v>
      </x:c>
      <x:c r="AE186" s="9">
        <x:f t="shared" si="47"/>
        <x:v>5.78364556166831</x:v>
      </x:c>
      <x:c r="AF186" s="9" t="n">
        <x:f>DEGREES((2*PI()/Inputs!$C$13)*Inputs!$C$15*SIN(RADIANS(AE186)))</x:f>
        <x:v>36.27803358652073</x:v>
      </x:c>
      <x:c r="AG186" s="9">
        <x:f t="shared" si="48"/>
        <x:v>0.97687462012454174</x:v>
      </x:c>
      <x:c r="AH186" s="9">
        <x:f t="shared" si="49"/>
        <x:v>-0.10161173520010972</x:v>
      </x:c>
      <x:c r="AI186" s="9">
        <x:f t="shared" si="50"/>
        <x:v>-124.72517162935219</x:v>
      </x:c>
      <x:c r="AJ186" s="9">
        <x:f t="shared" si="51"/>
        <x:v>-1.481096669218056</x:v>
      </x:c>
      <x:c r="AK186" s="9">
        <x:f t="shared" si="52"/>
        <x:v>223.79653508221327</x:v>
      </x:c>
      <x:c r="AL186" s="9" t="n">
        <x:f>1000*(AA187-AA185)/(A187-A185)*Inputs!$C$11</x:f>
        <x:v>636.4976866962024</x:v>
      </x:c>
      <x:c r="AM186" s="9" t="n">
        <x:f>-2*AL186/Inputs!$C$13</x:f>
        <x:v>-254.59907467848097</x:v>
      </x:c>
      <x:c r="AN186" s="9" t="n">
        <x:f>-2*AL186/Inputs!$C$14</x:f>
        <x:v>-38.22808929106321</x:v>
      </x:c>
      <x:c r="AO186" s="9">
        <x:f t="shared" si="53"/>
        <x:v>254.59907467848097</x:v>
      </x:c>
      <x:c r="AP186" s="9">
        <x:f t="shared" si="54"/>
        <x:v>38.228089291063213</x:v>
      </x:c>
      <x:c r="AQ186" s="9" t="n">
        <x:f>IF(OR(Inputs!$C$27=TRUE,Inputs!$C$27="TRUE",Inputs!$C$27=1),Inputs!$C$46/Inputs!$C$12,0)</x:f>
        <x:v>42.13483146067416</x:v>
      </x:c>
      <x:c r="AR186" s="9">
        <x:f t="shared" si="55"/>
        <x:v>1279.9075081787971</x:v>
      </x:c>
      <x:c r="AS186" s="9">
        <x:f t="shared" si="56"/>
        <x:v>1364.1771711001454</x:v>
      </x:c>
    </x:row>
    <x:row r="187">
      <x:c r="A187" s="9" t="n">
        <x:f>Inputs!$C$7+185*(Inputs!$C$8-Inputs!$C$7)/240</x:f>
        <x:v>32.5</x:v>
      </x:c>
      <x:c r="B187" s="9" t="n">
        <x:f>Inputs!$C$5+Inputs!$C$9*(A187/Inputs!$C$10)^2</x:f>
        <x:v>401.1736111111111</x:v>
      </x:c>
      <x:c r="C187" s="9">
        <x:f t="shared" si="38"/>
        <x:v>401.17361111111109</x:v>
      </x:c>
      <x:c r="D187" s="9" t="n">
        <x:f>SQRT((Inputs!$C$52+B187)^2+Inputs!$C$52^2-2*(Inputs!$C$52+B187)*Inputs!$C$52*COS(SQRT(A187^2+Inputs!$C$6^2)/Inputs!$C$52))</x:f>
        <x:v>403.7988703260665</x:v>
      </x:c>
      <x:c r="E187" s="9">
        <x:f t="shared" si="39"/>
        <x:v>2625.2592149554062</x:v>
      </x:c>
      <x:c r="F187" s="9" t="n">
        <x:f>E187/Inputs!$C$12</x:f>
        <x:v>1474.864727503037</x:v>
      </x:c>
      <x:c r="G187" s="9" t="n">
        <x:f>2*E187/Inputs!$C$21*1000000</x:f>
        <x:v>17.51384429394422</x:v>
      </x:c>
      <x:c r="H187" s="9" t="n">
        <x:f>SQRT(A187^2+Inputs!$C$6^2)</x:f>
        <x:v>41.00304866714181</x:v>
      </x:c>
      <x:c r="I187" s="9">
        <x:f t="shared" si="40"/>
        <x:v>5.8358074089827321</x:v>
      </x:c>
      <x:c r="J187" s="9" t="n">
        <x:f>DEGREES((2*PI()/Inputs!$C$13)*Inputs!$C$15*SIN(RADIANS(I187)))</x:f>
        <x:v>36.60409269114675</x:v>
      </x:c>
      <x:c r="K187" s="9">
        <x:f t="shared" si="41"/>
        <x:v>0.97424689974874612</x:v>
      </x:c>
      <x:c r="L187" s="9">
        <x:f t="shared" si="42"/>
        <x:v>-0.1133096754620804</x:v>
      </x:c>
      <x:c r="M187" s="9" t="n">
        <x:f>2*(Inputs!$C$9/(Inputs!$C$10^2))*A187</x:f>
        <x:v>0.07222222222222222</x:v>
      </x:c>
      <x:c r="N187" s="9" t="n">
        <x:f>M187*Inputs!$C$11</x:f>
        <x:v>0.28888888888888886</x:v>
      </x:c>
      <x:c r="O187" s="9" t="n">
        <x:f>1000*(D188-D186)/(A188-A186)*Inputs!$C$11</x:f>
        <x:v>692.0402032801576</x:v>
      </x:c>
      <x:c r="P187" s="9" t="n">
        <x:f>-2*O187/Inputs!$C$13</x:f>
        <x:v>-276.81608131206303</x:v>
      </x:c>
      <x:c r="Q187" s="9" t="n">
        <x:f>-2*O187/Inputs!$C$14</x:f>
        <x:v>-41.56397617298244</x:v>
      </x:c>
      <x:c r="R187" s="9" t="n">
        <x:f>F187-Inputs!$C$16/2</x:f>
        <x:v>1459.864727503037</x:v>
      </x:c>
      <x:c r="S187" s="9" t="n">
        <x:f>F187+Inputs!$C$16/2</x:f>
        <x:v>1489.864727503037</x:v>
      </x:c>
      <x:c r="T187" s="9" t="n">
        <x:f>F187-Inputs!$C$17/2</x:f>
        <x:v>1324.864727503037</x:v>
      </x:c>
      <x:c r="U187" s="9" t="n">
        <x:f>F187+Inputs!$C$17/2</x:f>
        <x:v>1624.864727503037</x:v>
      </x:c>
      <x:c r="V187" s="9">
        <x:f t="shared" si="43"/>
        <x:v>276.81608131206303</x:v>
      </x:c>
      <x:c r="W187" s="9">
        <x:f t="shared" si="44"/>
        <x:v>41.563976172982443</x:v>
      </x:c>
      <x:c r="X187" s="9"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x:f>
        <x:v>5.846843018322446</x:v>
      </x:c>
      <x:c r="Y187" s="9"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x:f>
        <x:v>227.97180197677312</x:v>
      </x:c>
      <x:c r="Z187" s="9">
        <x:f t="shared" si="45"/>
        <x:v>401.16776426809275</x:v>
      </x:c>
      <x:c r="AA187" s="9" t="n">
        <x:f>SQRT((Inputs!$C$52+B187)^2+(Inputs!$C$52+Y187/1000)^2-2*(Inputs!$C$52+B187)*(Inputs!$C$52+Y187/1000)*COS(SQRT(A187^2+Inputs!$C$6^2)/Inputs!$C$52))</x:f>
        <x:v>403.5727639106554</x:v>
      </x:c>
      <x:c r="AB187" s="9">
        <x:f t="shared" si="46"/>
        <x:v>2404.9996425626432</x:v>
      </x:c>
      <x:c r="AC187" s="9" t="n">
        <x:f>AB187/Inputs!$C$12</x:f>
        <x:v>1351.1233946981142</x:v>
      </x:c>
      <x:c r="AD187" s="9" t="n">
        <x:f>2*AB187/Inputs!$C$21*1000000</x:f>
        <x:v>16.044430594465744</x:v>
      </x:c>
      <x:c r="AE187" s="9">
        <x:f t="shared" si="47"/>
        <x:v>5.839102642656874</x:v>
      </x:c>
      <x:c r="AF187" s="9" t="n">
        <x:f>DEGREES((2*PI()/Inputs!$C$13)*Inputs!$C$15*SIN(RADIANS(AE187)))</x:f>
        <x:v>36.624689890074926</x:v>
      </x:c>
      <x:c r="AG187" s="9">
        <x:f t="shared" si="48"/>
        <x:v>0.97637514650614166</x:v>
      </x:c>
      <x:c r="AH187" s="9">
        <x:f t="shared" si="49"/>
        <x:v>-0.10383284019918691</x:v>
      </x:c>
      <x:c r="AI187" s="9">
        <x:f t="shared" si="50"/>
        <x:v>-123.74133280492288</x:v>
      </x:c>
      <x:c r="AJ187" s="9">
        <x:f t="shared" si="51"/>
        <x:v>-1.4694136994784763</x:v>
      </x:c>
      <x:c r="AK187" s="9">
        <x:f t="shared" si="52"/>
        <x:v>222.1249589584998</x:v>
      </x:c>
      <x:c r="AL187" s="9" t="n">
        <x:f>1000*(AA188-AA186)/(A188-A186)*Inputs!$C$11</x:f>
        <x:v>677.8528249144529</x:v>
      </x:c>
      <x:c r="AM187" s="9" t="n">
        <x:f>-2*AL187/Inputs!$C$13</x:f>
        <x:v>-271.14112996578115</x:v>
      </x:c>
      <x:c r="AN187" s="9" t="n">
        <x:f>-2*AL187/Inputs!$C$14</x:f>
        <x:v>-40.71188137624342</x:v>
      </x:c>
      <x:c r="AO187" s="9">
        <x:f t="shared" si="53"/>
        <x:v>271.14112996578115</x:v>
      </x:c>
      <x:c r="AP187" s="9">
        <x:f t="shared" si="54"/>
        <x:v>40.711881376243419</x:v>
      </x:c>
      <x:c r="AQ187" s="9" t="n">
        <x:f>IF(OR(Inputs!$C$27=TRUE,Inputs!$C$27="TRUE",Inputs!$C$27=1),Inputs!$C$46/Inputs!$C$12,0)</x:f>
        <x:v>42.13483146067416</x:v>
      </x:c>
      <x:c r="AR187" s="9">
        <x:f t="shared" si="55"/>
        <x:v>1308.9885632374401</x:v>
      </x:c>
      <x:c r="AS187" s="9">
        <x:f t="shared" si="56"/>
        <x:v>1393.2582261587884</x:v>
      </x:c>
    </x:row>
    <x:row r="188">
      <x:c r="A188" s="9" t="n">
        <x:f>Inputs!$C$7+186*(Inputs!$C$8-Inputs!$C$7)/240</x:f>
        <x:v>33</x:v>
      </x:c>
      <x:c r="B188" s="9" t="n">
        <x:f>Inputs!$C$5+Inputs!$C$9*(A188/Inputs!$C$10)^2</x:f>
        <x:v>401.21</x:v>
      </x:c>
      <x:c r="C188" s="9">
        <x:f t="shared" si="38"/>
        <x:v>401.21</x:v>
      </x:c>
      <x:c r="D188" s="9" t="n">
        <x:f>SQRT((Inputs!$C$52+B188)^2+Inputs!$C$52^2-2*(Inputs!$C$52+B188)*Inputs!$C$52*COS(SQRT(A188^2+Inputs!$C$6^2)/Inputs!$C$52))</x:f>
        <x:v>403.88603399865633</x:v>
      </x:c>
      <x:c r="E188" s="9">
        <x:f t="shared" si="39"/>
        <x:v>2676.0339986563508</x:v>
      </x:c>
      <x:c r="F188" s="9" t="n">
        <x:f>E188/Inputs!$C$12</x:f>
        <x:v>1503.3898868855904</x:v>
      </x:c>
      <x:c r="G188" s="9" t="n">
        <x:f>2*E188/Inputs!$C$21*1000000</x:f>
        <x:v>17.852577189625972</x:v>
      </x:c>
      <x:c r="H188" s="9" t="n">
        <x:f>SQRT(A188^2+Inputs!$C$6^2)</x:f>
        <x:v>41.400483088968905</x:v>
      </x:c>
      <x:c r="I188" s="9">
        <x:f t="shared" si="40"/>
        <x:v>5.8914460516514309</x:v>
      </x:c>
      <x:c r="J188" s="9" t="n">
        <x:f>DEGREES((2*PI()/Inputs!$C$13)*Inputs!$C$15*SIN(RADIANS(I188)))</x:f>
        <x:v>36.95185149123889</x:v>
      </x:c>
      <x:c r="K188" s="9">
        <x:f t="shared" si="41"/>
        <x:v>0.97375937666704759</x:v>
      </x:c>
      <x:c r="L188" s="9">
        <x:f t="shared" si="42"/>
        <x:v>-0.11548347326926375</x:v>
      </x:c>
      <x:c r="M188" s="9" t="n">
        <x:f>2*(Inputs!$C$9/(Inputs!$C$10^2))*A188</x:f>
        <x:v>0.07333333333333333</x:v>
      </x:c>
      <x:c r="N188" s="9" t="n">
        <x:f>M188*Inputs!$C$11</x:f>
        <x:v>0.29333333333333333</x:v>
      </x:c>
      <x:c r="O188" s="9" t="n">
        <x:f>1000*(D189-D187)/(A189-A187)*Inputs!$C$11</x:f>
        <x:v>702.5760732608433</x:v>
      </x:c>
      <x:c r="P188" s="9" t="n">
        <x:f>-2*O188/Inputs!$C$13</x:f>
        <x:v>-281.0304293043373</x:v>
      </x:c>
      <x:c r="Q188" s="9" t="n">
        <x:f>-2*O188/Inputs!$C$14</x:f>
        <x:v>-42.196761156807405</x:v>
      </x:c>
      <x:c r="R188" s="9" t="n">
        <x:f>F188-Inputs!$C$16/2</x:f>
        <x:v>1488.3898868855904</x:v>
      </x:c>
      <x:c r="S188" s="9" t="n">
        <x:f>F188+Inputs!$C$16/2</x:f>
        <x:v>1518.3898868855904</x:v>
      </x:c>
      <x:c r="T188" s="9" t="n">
        <x:f>F188-Inputs!$C$17/2</x:f>
        <x:v>1353.3898868855904</x:v>
      </x:c>
      <x:c r="U188" s="9" t="n">
        <x:f>F188+Inputs!$C$17/2</x:f>
        <x:v>1653.3898868855904</x:v>
      </x:c>
      <x:c r="V188" s="9">
        <x:f t="shared" si="43"/>
        <x:v>281.0304293043373</x:v>
      </x:c>
      <x:c r="W188" s="9">
        <x:f t="shared" si="44"/>
        <x:v>42.196761156807405</x:v>
      </x:c>
      <x:c r="X188" s="9"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x:f>
        <x:v>-3.610290991247414</x:v>
      </x:c>
      <x:c r="Y188" s="9"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x:f>
        <x:v>226.0841822180117</x:v>
      </x:c>
      <x:c r="Z188" s="9">
        <x:f t="shared" si="45"/>
        <x:v>401.21361029099126</x:v>
      </x:c>
      <x:c r="AA188" s="9" t="n">
        <x:f>SQRT((Inputs!$C$52+B188)^2+(Inputs!$C$52+Y188/1000)^2-2*(Inputs!$C$52+B188)*(Inputs!$C$52+Y188/1000)*COS(SQRT(A188^2+Inputs!$C$6^2)/Inputs!$C$52))</x:f>
        <x:v>403.661835180225</x:v>
      </x:c>
      <x:c r="AB188" s="9">
        <x:f t="shared" si="46"/>
        <x:v>2448.2248892337566</x:v>
      </x:c>
      <x:c r="AC188" s="9" t="n">
        <x:f>AB188/Inputs!$C$12</x:f>
        <x:v>1375.4072411425598</x:v>
      </x:c>
      <x:c r="AD188" s="9" t="n">
        <x:f>2*AB188/Inputs!$C$21*1000000</x:f>
        <x:v>16.33279840037708</x:v>
      </x:c>
      <x:c r="AE188" s="9">
        <x:f t="shared" si="47"/>
        <x:v>5.8947444038227719</x:v>
      </x:c>
      <x:c r="AF188" s="9" t="n">
        <x:f>DEGREES((2*PI()/Inputs!$C$13)*Inputs!$C$15*SIN(RADIANS(AE188)))</x:f>
        <x:v>36.972466126055984</x:v>
      </x:c>
      <x:c r="AG188" s="9">
        <x:f t="shared" si="48"/>
        <x:v>0.97595966000981416</x:v>
      </x:c>
      <x:c r="AH188" s="9">
        <x:f t="shared" si="49"/>
        <x:v>-0.1056813294519752</x:v>
      </x:c>
      <x:c r="AI188" s="9">
        <x:f t="shared" si="50"/>
        <x:v>-127.98264574303062</x:v>
      </x:c>
      <x:c r="AJ188" s="9">
        <x:f t="shared" si="51"/>
        <x:v>-1.5197787892488925</x:v>
      </x:c>
      <x:c r="AK188" s="9">
        <x:f t="shared" si="52"/>
        <x:v>229.69447320933278</x:v>
      </x:c>
      <x:c r="AL188" s="9" t="n">
        <x:f>1000*(AA189-AA187)/(A189-A187)*Inputs!$C$11</x:f>
        <x:v>709.7345668057642</x:v>
      </x:c>
      <x:c r="AM188" s="9" t="n">
        <x:f>-2*AL188/Inputs!$C$13</x:f>
        <x:v>-283.8938267223057</x:v>
      </x:c>
      <x:c r="AN188" s="9" t="n">
        <x:f>-2*AL188/Inputs!$C$14</x:f>
        <x:v>-42.62670070905491</x:v>
      </x:c>
      <x:c r="AO188" s="9">
        <x:f t="shared" si="53"/>
        <x:v>283.89382672230568</x:v>
      </x:c>
      <x:c r="AP188" s="9">
        <x:f t="shared" si="54"/>
        <x:v>42.626700709054909</x:v>
      </x:c>
      <x:c r="AQ188" s="9" t="n">
        <x:f>IF(OR(Inputs!$C$27=TRUE,Inputs!$C$27="TRUE",Inputs!$C$27=1),Inputs!$C$46/Inputs!$C$12,0)</x:f>
        <x:v>42.13483146067416</x:v>
      </x:c>
      <x:c r="AR188" s="9">
        <x:f t="shared" si="55"/>
        <x:v>1333.2724096818856</x:v>
      </x:c>
      <x:c r="AS188" s="9">
        <x:f t="shared" si="56"/>
        <x:v>1417.5420726032339</x:v>
      </x:c>
    </x:row>
    <x:row r="189">
      <x:c r="A189" s="9" t="n">
        <x:f>Inputs!$C$7+187*(Inputs!$C$8-Inputs!$C$7)/240</x:f>
        <x:v>33.5</x:v>
      </x:c>
      <x:c r="B189" s="9" t="n">
        <x:f>Inputs!$C$5+Inputs!$C$9*(A189/Inputs!$C$10)^2</x:f>
        <x:v>401.24694444444447</x:v>
      </x:c>
      <x:c r="C189" s="9">
        <x:f t="shared" si="38"/>
        <x:v>401.24694444444447</x:v>
      </x:c>
      <x:c r="D189" s="9" t="n">
        <x:f>SQRT((Inputs!$C$52+B189)^2+Inputs!$C$52^2-2*(Inputs!$C$52+B189)*Inputs!$C$52*COS(SQRT(A189^2+Inputs!$C$6^2)/Inputs!$C$52))</x:f>
        <x:v>403.9745143443817</x:v>
      </x:c>
      <x:c r="E189" s="9">
        <x:f t="shared" si="39"/>
        <x:v>2727.5698999372366</x:v>
      </x:c>
      <x:c r="F189" s="9" t="n">
        <x:f>E189/Inputs!$C$12</x:f>
        <x:v>1532.3426404141778</x:v>
      </x:c>
      <x:c r="G189" s="9" t="n">
        <x:f>2*E189/Inputs!$C$21*1000000</x:f>
        <x:v>18.19638771524557</x:v>
      </x:c>
      <x:c r="H189" s="9" t="n">
        <x:f>SQRT(A189^2+Inputs!$C$6^2)</x:f>
        <x:v>41.80011961705373</x:v>
      </x:c>
      <x:c r="I189" s="9">
        <x:f t="shared" si="40"/>
        <x:v>5.9473663547666744</x:v>
      </x:c>
      <x:c r="J189" s="9" t="n">
        <x:f>DEGREES((2*PI()/Inputs!$C$13)*Inputs!$C$15*SIN(RADIANS(I189)))</x:f>
        <x:v>37.30133564573529</x:v>
      </x:c>
      <x:c r="K189" s="9">
        <x:f t="shared" si="41"/>
        <x:v>0.97326494838249344</x:v>
      </x:c>
      <x:c r="L189" s="9">
        <x:f t="shared" si="42"/>
        <x:v>-0.11768917226882726</x:v>
      </x:c>
      <x:c r="M189" s="9" t="n">
        <x:f>2*(Inputs!$C$9/(Inputs!$C$10^2))*A189</x:f>
        <x:v>0.07444444444444444</x:v>
      </x:c>
      <x:c r="N189" s="9" t="n">
        <x:f>M189*Inputs!$C$11</x:f>
        <x:v>0.29777777777777775</x:v>
      </x:c>
      <x:c r="O189" s="9" t="n">
        <x:f>1000*(D190-D188)/(A190-A188)*Inputs!$C$11</x:f>
        <x:v>713.1069382348869</x:v>
      </x:c>
      <x:c r="P189" s="9" t="n">
        <x:f>-2*O189/Inputs!$C$13</x:f>
        <x:v>-285.24277529395476</x:v>
      </x:c>
      <x:c r="Q189" s="9" t="n">
        <x:f>-2*O189/Inputs!$C$14</x:f>
        <x:v>-42.82924553963285</x:v>
      </x:c>
      <x:c r="R189" s="9" t="n">
        <x:f>F189-Inputs!$C$16/2</x:f>
        <x:v>1517.3426404141778</x:v>
      </x:c>
      <x:c r="S189" s="9" t="n">
        <x:f>F189+Inputs!$C$16/2</x:f>
        <x:v>1547.3426404141778</x:v>
      </x:c>
      <x:c r="T189" s="9" t="n">
        <x:f>F189-Inputs!$C$17/2</x:f>
        <x:v>1382.3426404141778</x:v>
      </x:c>
      <x:c r="U189" s="9" t="n">
        <x:f>F189+Inputs!$C$17/2</x:f>
        <x:v>1682.3426404141778</x:v>
      </x:c>
      <x:c r="V189" s="9">
        <x:f t="shared" si="43"/>
        <x:v>285.24277529395476</x:v>
      </x:c>
      <x:c r="W189" s="9">
        <x:f t="shared" si="44"/>
        <x:v>42.829245539632851</x:v>
      </x:c>
      <x:c r="X189" s="9"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x:f>
        <x:v>2.8193818928466783</x:v>
      </x:c>
      <x:c r="Y189" s="9"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x:f>
        <x:v>226.23942491253771</x:v>
      </x:c>
      <x:c r="Z189" s="9">
        <x:f t="shared" si="45"/>
        <x:v>401.24412506255163</x:v>
      </x:c>
      <x:c r="AA189" s="9" t="n">
        <x:f>SQRT((Inputs!$C$52+B189)^2+(Inputs!$C$52+Y189/1000)^2-2*(Inputs!$C$52+B189)*(Inputs!$C$52+Y189/1000)*COS(SQRT(A189^2+Inputs!$C$6^2)/Inputs!$C$52))</x:f>
        <x:v>403.75019755235684</x:v>
      </x:c>
      <x:c r="AB189" s="9">
        <x:f t="shared" si="46"/>
        <x:v>2506.0724898052058</x:v>
      </x:c>
      <x:c r="AC189" s="9" t="n">
        <x:f>AB189/Inputs!$C$12</x:f>
        <x:v>1407.905893148992</x:v>
      </x:c>
      <x:c r="AD189" s="9" t="n">
        <x:f>2*AB189/Inputs!$C$21*1000000</x:f>
        <x:v>16.718716051257072</x:v>
      </x:c>
      <x:c r="AE189" s="9">
        <x:f t="shared" si="47"/>
        <x:v>5.9506975452816011</x:v>
      </x:c>
      <x:c r="AF189" s="9" t="n">
        <x:f>DEGREES((2*PI()/Inputs!$C$13)*Inputs!$C$15*SIN(RADIANS(AE189)))</x:f>
        <x:v>37.3221534116037</x:v>
      </x:c>
      <x:c r="AG189" s="9">
        <x:f t="shared" si="48"/>
        <x:v>0.97540225452038187</x:v>
      </x:c>
      <x:c r="AH189" s="9">
        <x:f t="shared" si="49"/>
        <x:v>-0.10816244925886122</x:v>
      </x:c>
      <x:c r="AI189" s="9">
        <x:f t="shared" si="50"/>
        <x:v>-124.43674726518589</x:v>
      </x:c>
      <x:c r="AJ189" s="9">
        <x:f t="shared" si="51"/>
        <x:v>-1.4776716639884988</x:v>
      </x:c>
      <x:c r="AK189" s="9">
        <x:f t="shared" si="52"/>
        <x:v>223.42004301974015</x:v>
      </x:c>
      <x:c r="AL189" s="9" t="n">
        <x:f>1000*(AA190-AA188)/(A190-A188)*Inputs!$C$11</x:f>
        <x:v>645.2472716500779</x:v>
      </x:c>
      <x:c r="AM189" s="9" t="n">
        <x:f>-2*AL189/Inputs!$C$13</x:f>
        <x:v>-258.09890866003116</x:v>
      </x:c>
      <x:c r="AN189" s="9" t="n">
        <x:f>-2*AL189/Inputs!$C$14</x:f>
        <x:v>-38.75358988889357</x:v>
      </x:c>
      <x:c r="AO189" s="9">
        <x:f t="shared" si="53"/>
        <x:v>258.09890866003116</x:v>
      </x:c>
      <x:c r="AP189" s="9">
        <x:f t="shared" si="54"/>
        <x:v>38.753589888893572</x:v>
      </x:c>
      <x:c r="AQ189" s="9" t="n">
        <x:f>IF(OR(Inputs!$C$27=TRUE,Inputs!$C$27="TRUE",Inputs!$C$27=1),Inputs!$C$46/Inputs!$C$12,0)</x:f>
        <x:v>42.13483146067416</x:v>
      </x:c>
      <x:c r="AR189" s="9">
        <x:f t="shared" si="55"/>
        <x:v>1365.7710616883178</x:v>
      </x:c>
      <x:c r="AS189" s="9">
        <x:f t="shared" si="56"/>
        <x:v>1450.0407246096661</x:v>
      </x:c>
    </x:row>
    <x:row r="190">
      <x:c r="A190" s="9" t="n">
        <x:f>Inputs!$C$7+188*(Inputs!$C$8-Inputs!$C$7)/240</x:f>
        <x:v>34</x:v>
      </x:c>
      <x:c r="B190" s="9" t="n">
        <x:f>Inputs!$C$5+Inputs!$C$9*(A190/Inputs!$C$10)^2</x:f>
        <x:v>401.28444444444443</x:v>
      </x:c>
      <x:c r="C190" s="9">
        <x:f t="shared" si="38"/>
        <x:v>401.28444444444443</x:v>
      </x:c>
      <x:c r="D190" s="9" t="n">
        <x:f>SQRT((Inputs!$C$52+B190)^2+Inputs!$C$52^2-2*(Inputs!$C$52+B190)*Inputs!$C$52*COS(SQRT(A190^2+Inputs!$C$6^2)/Inputs!$C$52))</x:f>
        <x:v>404.06431073321505</x:v>
      </x:c>
      <x:c r="E190" s="9">
        <x:f t="shared" si="39"/>
        <x:v>2779.86628877062</x:v>
      </x:c>
      <x:c r="F190" s="9" t="n">
        <x:f>E190/Inputs!$C$12</x:f>
        <x:v>1561.7226341407977</x:v>
      </x:c>
      <x:c r="G190" s="9" t="n">
        <x:f>2*E190/Inputs!$C$21*1000000</x:f>
        <x:v>18.545271667712335</x:v>
      </x:c>
      <x:c r="H190" s="9" t="n">
        <x:f>SQRT(A190^2+Inputs!$C$6^2)</x:f>
        <x:v>42.20189569201838</x:v>
      </x:c>
      <x:c r="I190" s="9">
        <x:f t="shared" si="40"/>
        <x:v>6.0035588898090326</x:v>
      </x:c>
      <x:c r="J190" s="9" t="n">
        <x:f>DEGREES((2*PI()/Inputs!$C$13)*Inputs!$C$15*SIN(RADIANS(I190)))</x:f>
        <x:v>37.65248537110963</x:v>
      </x:c>
      <x:c r="K190" s="9">
        <x:f t="shared" si="41"/>
        <x:v>0.97276363850093261</x:v>
      </x:c>
      <x:c r="L190" s="9">
        <x:f t="shared" si="42"/>
        <x:v>-0.1199267151453179</x:v>
      </x:c>
      <x:c r="M190" s="9" t="n">
        <x:f>2*(Inputs!$C$9/(Inputs!$C$10^2))*A190</x:f>
        <x:v>0.07555555555555556</x:v>
      </x:c>
      <x:c r="N190" s="9" t="n">
        <x:f>M190*Inputs!$C$11</x:f>
        <x:v>0.3022222222222222</x:v>
      </x:c>
      <x:c r="O190" s="9" t="n">
        <x:f>1000*(D191-D189)/(A191-A189)*Inputs!$C$11</x:f>
        <x:v>723.632727916538</x:v>
      </x:c>
      <x:c r="P190" s="9" t="n">
        <x:f>-2*O190/Inputs!$C$13</x:f>
        <x:v>-289.4530911666152</x:v>
      </x:c>
      <x:c r="Q190" s="9" t="n">
        <x:f>-2*O190/Inputs!$C$14</x:f>
        <x:v>-43.46142510009238</x:v>
      </x:c>
      <x:c r="R190" s="9" t="n">
        <x:f>F190-Inputs!$C$16/2</x:f>
        <x:v>1546.7226341407977</x:v>
      </x:c>
      <x:c r="S190" s="9" t="n">
        <x:f>F190+Inputs!$C$16/2</x:f>
        <x:v>1576.7226341407977</x:v>
      </x:c>
      <x:c r="T190" s="9" t="n">
        <x:f>F190-Inputs!$C$17/2</x:f>
        <x:v>1411.7226341407977</x:v>
      </x:c>
      <x:c r="U190" s="9" t="n">
        <x:f>F190+Inputs!$C$17/2</x:f>
        <x:v>1711.7226341407977</x:v>
      </x:c>
      <x:c r="V190" s="9">
        <x:f t="shared" si="43"/>
        <x:v>289.4530911666152</x:v>
      </x:c>
      <x:c r="W190" s="9">
        <x:f t="shared" si="44"/>
        <x:v>43.461425100092377</x:v>
      </x:c>
      <x:c r="X190" s="9"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x:f>
        <x:v>9.90157819415245</x:v>
      </x:c>
      <x:c r="Y190" s="9"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x:f>
        <x:v>243.2704274883201</x:v>
      </x:c>
      <x:c r="Z190" s="9">
        <x:f t="shared" si="45"/>
        <x:v>401.27454286625027</x:v>
      </x:c>
      <x:c r="AA190" s="9" t="n">
        <x:f>SQRT((Inputs!$C$52+B190)^2+(Inputs!$C$52+Y190/1000)^2-2*(Inputs!$C$52+B190)*(Inputs!$C$52+Y190/1000)*COS(SQRT(A190^2+Inputs!$C$6^2)/Inputs!$C$52))</x:f>
        <x:v>403.82314699813753</x:v>
      </x:c>
      <x:c r="AB190" s="9">
        <x:f t="shared" si="46"/>
        <x:v>2548.6041318872594</x:v>
      </x:c>
      <x:c r="AC190" s="9" t="n">
        <x:f>AB190/Inputs!$C$12</x:f>
        <x:v>1431.800074093966</x:v>
      </x:c>
      <x:c r="AD190" s="9" t="n">
        <x:f>2*AB190/Inputs!$C$21*1000000</x:f>
        <x:v>17.00245662542491</x:v>
      </x:c>
      <x:c r="AE190" s="9">
        <x:f t="shared" si="47"/>
        <x:v>6.0071740102093871</x:v>
      </x:c>
      <x:c r="AF190" s="9" t="n">
        <x:f>DEGREES((2*PI()/Inputs!$C$13)*Inputs!$C$15*SIN(RADIANS(AE190)))</x:f>
        <x:v>37.67507518775606</x:v>
      </x:c>
      <x:c r="AG190" s="9">
        <x:f t="shared" si="48"/>
        <x:v>0.97499322739337624</x:v>
      </x:c>
      <x:c r="AH190" s="9">
        <x:f t="shared" si="49"/>
        <x:v>-0.10998401035719994</x:v>
      </x:c>
      <x:c r="AI190" s="9">
        <x:f t="shared" si="50"/>
        <x:v>-129.92256004683168</x:v>
      </x:c>
      <x:c r="AJ190" s="9">
        <x:f t="shared" si="51"/>
        <x:v>-1.5428150422874261</x:v>
      </x:c>
      <x:c r="AK190" s="9">
        <x:f t="shared" si="52"/>
        <x:v>233.36884929416766</x:v>
      </x:c>
      <x:c r="AL190" s="9" t="n">
        <x:f>1000*(AA191-AA189)/(A191-A189)*Inputs!$C$11</x:f>
        <x:v>634.316841919599</x:v>
      </x:c>
      <x:c r="AM190" s="9" t="n">
        <x:f>-2*AL190/Inputs!$C$13</x:f>
        <x:v>-253.7267367678396</x:v>
      </x:c>
      <x:c r="AN190" s="9" t="n">
        <x:f>-2*AL190/Inputs!$C$14</x:f>
        <x:v>-38.097107622798745</x:v>
      </x:c>
      <x:c r="AO190" s="9">
        <x:f t="shared" si="53"/>
        <x:v>253.72673676783961</x:v>
      </x:c>
      <x:c r="AP190" s="9">
        <x:f t="shared" si="54"/>
        <x:v>38.097107622798745</x:v>
      </x:c>
      <x:c r="AQ190" s="9" t="n">
        <x:f>IF(OR(Inputs!$C$27=TRUE,Inputs!$C$27="TRUE",Inputs!$C$27=1),Inputs!$C$46/Inputs!$C$12,0)</x:f>
        <x:v>42.13483146067416</x:v>
      </x:c>
      <x:c r="AR190" s="9">
        <x:f t="shared" si="55"/>
        <x:v>1389.6652426332919</x:v>
      </x:c>
      <x:c r="AS190" s="9">
        <x:f t="shared" si="56"/>
        <x:v>1473.9349055546402</x:v>
      </x:c>
    </x:row>
    <x:row r="191">
      <x:c r="A191" s="9" t="n">
        <x:f>Inputs!$C$7+189*(Inputs!$C$8-Inputs!$C$7)/240</x:f>
        <x:v>34.5</x:v>
      </x:c>
      <x:c r="B191" s="9" t="n">
        <x:f>Inputs!$C$5+Inputs!$C$9*(A191/Inputs!$C$10)^2</x:f>
        <x:v>401.3225</x:v>
      </x:c>
      <x:c r="C191" s="9">
        <x:f t="shared" si="38"/>
        <x:v>401.32249999999999</x:v>
      </x:c>
      <x:c r="D191" s="9" t="n">
        <x:f>SQRT((Inputs!$C$52+B191)^2+Inputs!$C$52^2-2*(Inputs!$C$52+B191)*Inputs!$C$52*COS(SQRT(A191^2+Inputs!$C$6^2)/Inputs!$C$52))</x:f>
        <x:v>404.15542252636084</x:v>
      </x:c>
      <x:c r="E191" s="9">
        <x:f t="shared" si="39"/>
        <x:v>2832.9225263608464</x:v>
      </x:c>
      <x:c r="F191" s="9" t="n">
        <x:f>E191/Inputs!$C$12</x:f>
        <x:v>1591.5295091914868</x:v>
      </x:c>
      <x:c r="G191" s="9" t="n">
        <x:f>2*E191/Inputs!$C$21*1000000</x:f>
        <x:v>18.899224785440378</x:v>
      </x:c>
      <x:c r="H191" s="9" t="n">
        <x:f>SQRT(A191^2+Inputs!$C$6^2)</x:f>
        <x:v>42.60575078554537</x:v>
      </x:c>
      <x:c r="I191" s="9">
        <x:f t="shared" si="40"/>
        <x:v>6.0600145195950779</x:v>
      </x:c>
      <x:c r="J191" s="9" t="n">
        <x:f>DEGREES((2*PI()/Inputs!$C$13)*Inputs!$C$15*SIN(RADIANS(I191)))</x:f>
        <x:v>38.005242715884584</x:v>
      </x:c>
      <x:c r="K191" s="9">
        <x:f t="shared" si="41"/>
        <x:v>0.97225547092145215</x:v>
      </x:c>
      <x:c r="L191" s="9">
        <x:f t="shared" si="42"/>
        <x:v>-0.12219604380746735</x:v>
      </x:c>
      <x:c r="M191" s="9" t="n">
        <x:f>2*(Inputs!$C$9/(Inputs!$C$10^2))*A191</x:f>
        <x:v>0.07666666666666666</x:v>
      </x:c>
      <x:c r="N191" s="9" t="n">
        <x:f>M191*Inputs!$C$11</x:f>
        <x:v>0.30666666666666664</x:v>
      </x:c>
      <x:c r="O191" s="9" t="n">
        <x:f>1000*(D192-D190)/(A192-A190)*Inputs!$C$11</x:f>
        <x:v>734.1533722806162</x:v>
      </x:c>
      <x:c r="P191" s="9" t="n">
        <x:f>-2*O191/Inputs!$C$13</x:f>
        <x:v>-293.66134891224647</x:v>
      </x:c>
      <x:c r="Q191" s="9" t="n">
        <x:f>-2*O191/Inputs!$C$14</x:f>
        <x:v>-44.09329563246944</x:v>
      </x:c>
      <x:c r="R191" s="9" t="n">
        <x:f>F191-Inputs!$C$16/2</x:f>
        <x:v>1576.5295091914868</x:v>
      </x:c>
      <x:c r="S191" s="9" t="n">
        <x:f>F191+Inputs!$C$16/2</x:f>
        <x:v>1606.5295091914868</x:v>
      </x:c>
      <x:c r="T191" s="9" t="n">
        <x:f>F191-Inputs!$C$17/2</x:f>
        <x:v>1441.5295091914868</x:v>
      </x:c>
      <x:c r="U191" s="9" t="n">
        <x:f>F191+Inputs!$C$17/2</x:f>
        <x:v>1741.5295091914868</x:v>
      </x:c>
      <x:c r="V191" s="9">
        <x:f t="shared" si="43"/>
        <x:v>293.66134891224647</x:v>
      </x:c>
      <x:c r="W191" s="9">
        <x:f t="shared" si="44"/>
        <x:v>44.093295632469442</x:v>
      </x:c>
      <x:c r="X191" s="9"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x:f>
        <x:v>22.306190725387925</x:v>
      </x:c>
      <x:c r="Y191" s="9"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x:f>
        <x:v>248.8414359782273</x:v>
      </x:c>
      <x:c r="Z191" s="9">
        <x:f t="shared" si="45"/>
        <x:v>401.30019380927462</x:v>
      </x:c>
      <x:c r="AA191" s="9" t="n">
        <x:f>SQRT((Inputs!$C$52+B191)^2+(Inputs!$C$52+Y191/1000)^2-2*(Inputs!$C$52+B191)*(Inputs!$C$52+Y191/1000)*COS(SQRT(A191^2+Inputs!$C$6^2)/Inputs!$C$52))</x:f>
        <x:v>403.90877676283674</x:v>
      </x:c>
      <x:c r="AB191" s="9">
        <x:f t="shared" si="46"/>
        <x:v>2608.5829535621201</x:v>
      </x:c>
      <x:c r="AC191" s="9" t="n">
        <x:f>AB191/Inputs!$C$12</x:f>
        <x:v>1465.4960413270337</x:v>
      </x:c>
      <x:c r="AD191" s="9" t="n">
        <x:f>2*AB191/Inputs!$C$21*1000000</x:f>
        <x:v>17.402592253085434</x:v>
      </x:c>
      <x:c r="AE191" s="9">
        <x:f t="shared" si="47"/>
        <x:v>6.0637463808897563</x:v>
      </x:c>
      <x:c r="AF191" s="9" t="n">
        <x:f>DEGREES((2*PI()/Inputs!$C$13)*Inputs!$C$15*SIN(RADIANS(AE191)))</x:f>
        <x:v>38.028559580767</x:v>
      </x:c>
      <x:c r="AG191" s="9">
        <x:f t="shared" si="48"/>
        <x:v>0.9744157985059001</x:v>
      </x:c>
      <x:c r="AH191" s="9">
        <x:f t="shared" si="49"/>
        <x:v>-0.1125568330283265</x:v>
      </x:c>
      <x:c r="AI191" s="9">
        <x:f t="shared" si="50"/>
        <x:v>-126.03346786445309</x:v>
      </x:c>
      <x:c r="AJ191" s="9">
        <x:f t="shared" si="51"/>
        <x:v>-1.4966325323549441</x:v>
      </x:c>
      <x:c r="AK191" s="9">
        <x:f t="shared" si="52"/>
        <x:v>226.53524525283939</x:v>
      </x:c>
      <x:c r="AL191" s="9" t="n">
        <x:f>1000*(AA192-AA190)/(A192-A190)*Inputs!$C$11</x:f>
        <x:v>739.4746314976146</x:v>
      </x:c>
      <x:c r="AM191" s="9" t="n">
        <x:f>-2*AL191/Inputs!$C$13</x:f>
        <x:v>-295.78985259904584</x:v>
      </x:c>
      <x:c r="AN191" s="9" t="n">
        <x:f>-2*AL191/Inputs!$C$14</x:f>
        <x:v>-44.41289078063752</x:v>
      </x:c>
      <x:c r="AO191" s="9">
        <x:f t="shared" si="53"/>
        <x:v>295.78985259904584</x:v>
      </x:c>
      <x:c r="AP191" s="9">
        <x:f t="shared" si="54"/>
        <x:v>44.412890780637518</x:v>
      </x:c>
      <x:c r="AQ191" s="9" t="n">
        <x:f>IF(OR(Inputs!$C$27=TRUE,Inputs!$C$27="TRUE",Inputs!$C$27=1),Inputs!$C$46/Inputs!$C$12,0)</x:f>
        <x:v>42.13483146067416</x:v>
      </x:c>
      <x:c r="AR191" s="9">
        <x:f t="shared" si="55"/>
        <x:v>1423.3612098663596</x:v>
      </x:c>
      <x:c r="AS191" s="9">
        <x:f t="shared" si="56"/>
        <x:v>1507.6308727877079</x:v>
      </x:c>
    </x:row>
    <x:row r="192">
      <x:c r="A192" s="9" t="n">
        <x:f>Inputs!$C$7+190*(Inputs!$C$8-Inputs!$C$7)/240</x:f>
        <x:v>35</x:v>
      </x:c>
      <x:c r="B192" s="9" t="n">
        <x:f>Inputs!$C$5+Inputs!$C$9*(A192/Inputs!$C$10)^2</x:f>
        <x:v>401.3611111111111</x:v>
      </x:c>
      <x:c r="C192" s="9">
        <x:f t="shared" si="38"/>
        <x:v>401.36111111111109</x:v>
      </x:c>
      <x:c r="D192" s="9" t="n">
        <x:f>SQRT((Inputs!$C$52+B192)^2+Inputs!$C$52^2-2*(Inputs!$C$52+B192)*Inputs!$C$52*COS(SQRT(A192^2+Inputs!$C$6^2)/Inputs!$C$52))</x:f>
        <x:v>404.2478490762852</x:v>
      </x:c>
      <x:c r="E192" s="9">
        <x:f t="shared" si="39"/>
        <x:v>2886.7379651741203</x:v>
      </x:c>
      <x:c r="F192" s="9" t="n">
        <x:f>E192/Inputs!$C$12</x:f>
        <x:v>1621.7629017832137</x:v>
      </x:c>
      <x:c r="G192" s="9" t="n">
        <x:f>2*E192/Inputs!$C$21*1000000</x:f>
        <x:v>19.258242748549197</x:v>
      </x:c>
      <x:c r="H192" s="9" t="n">
        <x:f>SQRT(A192^2+Inputs!$C$6^2)</x:f>
        <x:v>43.01162633521314</x:v>
      </x:c>
      <x:c r="I192" s="9">
        <x:f t="shared" si="40"/>
        <x:v>6.116724388997361</x:v>
      </x:c>
      <x:c r="J192" s="9" t="n">
        <x:f>DEGREES((2*PI()/Inputs!$C$13)*Inputs!$C$15*SIN(RADIANS(I192)))</x:f>
        <x:v>38.35955150243656</x:v>
      </x:c>
      <x:c r="K192" s="9">
        <x:f t="shared" si="41"/>
        <x:v>0.97174046983379292</x:v>
      </x:c>
      <x:c r="L192" s="9">
        <x:f t="shared" si="42"/>
        <x:v>-0.12449709939187389</x:v>
      </x:c>
      <x:c r="M192" s="9" t="n">
        <x:f>2*(Inputs!$C$9/(Inputs!$C$10^2))*A192</x:f>
        <x:v>0.07777777777777778</x:v>
      </x:c>
      <x:c r="N192" s="9" t="n">
        <x:f>M192*Inputs!$C$11</x:f>
        <x:v>0.3111111111111111</x:v>
      </x:c>
      <x:c r="O192" s="9" t="n">
        <x:f>1000*(D193-D191)/(A193-A191)*Inputs!$C$11</x:f>
        <x:v>744.6688015527343</x:v>
      </x:c>
      <x:c r="P192" s="9" t="n">
        <x:f>-2*O192/Inputs!$C$13</x:f>
        <x:v>-297.8675206210937</x:v>
      </x:c>
      <x:c r="Q192" s="9" t="n">
        <x:f>-2*O192/Inputs!$C$14</x:f>
        <x:v>-44.72485294611017</x:v>
      </x:c>
      <x:c r="R192" s="9" t="n">
        <x:f>F192-Inputs!$C$16/2</x:f>
        <x:v>1606.7629017832137</x:v>
      </x:c>
      <x:c r="S192" s="9" t="n">
        <x:f>F192+Inputs!$C$16/2</x:f>
        <x:v>1636.7629017832137</x:v>
      </x:c>
      <x:c r="T192" s="9" t="n">
        <x:f>F192-Inputs!$C$17/2</x:f>
        <x:v>1471.7629017832137</x:v>
      </x:c>
      <x:c r="U192" s="9" t="n">
        <x:f>F192+Inputs!$C$17/2</x:f>
        <x:v>1771.7629017832137</x:v>
      </x:c>
      <x:c r="V192" s="9">
        <x:f t="shared" si="43"/>
        <x:v>297.86752062109372</x:v>
      </x:c>
      <x:c r="W192" s="9">
        <x:f t="shared" si="44"/>
        <x:v>44.724852946110168</x:v>
      </x:c>
      <x:c r="X192" s="9"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x:f>
        <x:v>28.92396994213728</x:v>
      </x:c>
      <x:c r="Y192" s="9"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x:f>
        <x:v>242.00890812042311</x:v>
      </x:c>
      <x:c r="Z192" s="9">
        <x:f t="shared" si="45"/>
        <x:v>401.33218714116896</x:v>
      </x:c>
      <x:c r="AA192" s="9" t="n">
        <x:f>SQRT((Inputs!$C$52+B192)^2+(Inputs!$C$52+Y192/1000)^2-2*(Inputs!$C$52+B192)*(Inputs!$C$52+Y192/1000)*COS(SQRT(A192^2+Inputs!$C$6^2)/Inputs!$C$52))</x:f>
        <x:v>404.00801565601193</x:v>
      </x:c>
      <x:c r="AB192" s="9">
        <x:f t="shared" si="46"/>
        <x:v>2675.8285148429763</x:v>
      </x:c>
      <x:c r="AC192" s="9" t="n">
        <x:f>AB192/Inputs!$C$12</x:f>
        <x:v>1503.2744465409978</x:v>
      </x:c>
      <x:c r="AD192" s="9" t="n">
        <x:f>2*AB192/Inputs!$C$21*1000000</x:f>
        <x:v>17.85120634918025</x:v>
      </x:c>
      <x:c r="AE192" s="9">
        <x:f t="shared" si="47"/>
        <x:v>6.1203868172929434</x:v>
      </x:c>
      <x:c r="AF192" s="9" t="n">
        <x:f>DEGREES((2*PI()/Inputs!$C$13)*Inputs!$C$15*SIN(RADIANS(AE192)))</x:f>
        <x:v>38.382432131336515</x:v>
      </x:c>
      <x:c r="AG192" s="9">
        <x:f t="shared" si="48"/>
        <x:v>0.97376921495802005</x:v>
      </x:c>
      <x:c r="AH192" s="9">
        <x:f t="shared" si="49"/>
        <x:v>-0.11543959493547082</x:v>
      </x:c>
      <x:c r="AI192" s="9">
        <x:f t="shared" si="50"/>
        <x:v>-118.48845524221588</x:v>
      </x:c>
      <x:c r="AJ192" s="9">
        <x:f t="shared" si="51"/>
        <x:v>-1.4070363993689483</x:v>
      </x:c>
      <x:c r="AK192" s="9">
        <x:f t="shared" si="52"/>
        <x:v>213.08493817828582</x:v>
      </x:c>
      <x:c r="AL192" s="9" t="n">
        <x:f>1000*(AA193-AA191)/(A193-A191)*Inputs!$C$11</x:f>
        <x:v>769.5880829046473</x:v>
      </x:c>
      <x:c r="AM192" s="9" t="n">
        <x:f>-2*AL192/Inputs!$C$13</x:f>
        <x:v>-307.8352331618589</x:v>
      </x:c>
      <x:c r="AN192" s="9" t="n">
        <x:f>-2*AL192/Inputs!$C$14</x:f>
        <x:v>-46.2215064807596</x:v>
      </x:c>
      <x:c r="AO192" s="9">
        <x:f t="shared" si="53"/>
        <x:v>307.83523316185892</x:v>
      </x:c>
      <x:c r="AP192" s="9">
        <x:f t="shared" si="54"/>
        <x:v>46.221506480759601</x:v>
      </x:c>
      <x:c r="AQ192" s="9" t="n">
        <x:f>IF(OR(Inputs!$C$27=TRUE,Inputs!$C$27="TRUE",Inputs!$C$27=1),Inputs!$C$46/Inputs!$C$12,0)</x:f>
        <x:v>42.13483146067416</x:v>
      </x:c>
      <x:c r="AR192" s="9">
        <x:f t="shared" si="55"/>
        <x:v>1461.1396150803237</x:v>
      </x:c>
      <x:c r="AS192" s="9">
        <x:f t="shared" si="56"/>
        <x:v>1545.409278001672</x:v>
      </x:c>
    </x:row>
    <x:row r="193">
      <x:c r="A193" s="9" t="n">
        <x:f>Inputs!$C$7+191*(Inputs!$C$8-Inputs!$C$7)/240</x:f>
        <x:v>35.5</x:v>
      </x:c>
      <x:c r="B193" s="9" t="n">
        <x:f>Inputs!$C$5+Inputs!$C$9*(A193/Inputs!$C$10)^2</x:f>
        <x:v>401.4002777777778</x:v>
      </x:c>
      <x:c r="C193" s="9">
        <x:f t="shared" si="38"/>
        <x:v>401.40027777777777</x:v>
      </x:c>
      <x:c r="D193" s="9" t="n">
        <x:f>SQRT((Inputs!$C$52+B193)^2+Inputs!$C$52^2-2*(Inputs!$C$52+B193)*Inputs!$C$52*COS(SQRT(A193^2+Inputs!$C$6^2)/Inputs!$C$52))</x:f>
        <x:v>404.341589726749</x:v>
      </x:c>
      <x:c r="E193" s="9">
        <x:f t="shared" si="39"/>
        <x:v>2941.3119489712471</x:v>
      </x:c>
      <x:c r="F193" s="9" t="n">
        <x:f>E193/Inputs!$C$12</x:f>
        <x:v>1652.4224432422736</x:v>
      </x:c>
      <x:c r="G193" s="9" t="n">
        <x:f>2*E193/Inputs!$C$21*1000000</x:f>
        <x:v>19.622321179082146</x:v>
      </x:c>
      <x:c r="H193" s="9" t="n">
        <x:f>SQRT(A193^2+Inputs!$C$6^2)</x:f>
        <x:v>43.41946568072896</x:v>
      </x:c>
      <x:c r="I193" s="9">
        <x:f t="shared" si="40"/>
        <x:v>6.1736799158619622</x:v>
      </x:c>
      <x:c r="J193" s="9" t="n">
        <x:f>DEGREES((2*PI()/Inputs!$C$13)*Inputs!$C$15*SIN(RADIANS(I193)))</x:f>
        <x:v>38.71535727003771</x:v>
      </x:c>
      <x:c r="K193" s="9">
        <x:f t="shared" si="41"/>
        <x:v>0.97121865971571986</x:v>
      </x:c>
      <x:c r="L193" s="9">
        <x:f t="shared" si="42"/>
        <x:v>-0.1268298222668158</x:v>
      </x:c>
      <x:c r="M193" s="9" t="n">
        <x:f>2*(Inputs!$C$9/(Inputs!$C$10^2))*A193</x:f>
        <x:v>0.07888888888888888</x:v>
      </x:c>
      <x:c r="N193" s="9" t="n">
        <x:f>M193*Inputs!$C$11</x:f>
        <x:v>0.31555555555555553</x:v>
      </x:c>
      <x:c r="O193" s="9" t="n">
        <x:f>1000*(D194-D192)/(A194-A192)*Inputs!$C$11</x:f>
        <x:v>755.1789462022498</x:v>
      </x:c>
      <x:c r="P193" s="9" t="n">
        <x:f>-2*O193/Inputs!$C$13</x:f>
        <x:v>-302.0715784808999</x:v>
      </x:c>
      <x:c r="Q193" s="9" t="n">
        <x:f>-2*O193/Inputs!$C$14</x:f>
        <x:v>-45.356092864999994</x:v>
      </x:c>
      <x:c r="R193" s="9" t="n">
        <x:f>F193-Inputs!$C$16/2</x:f>
        <x:v>1637.4224432422736</x:v>
      </x:c>
      <x:c r="S193" s="9" t="n">
        <x:f>F193+Inputs!$C$16/2</x:f>
        <x:v>1667.4224432422736</x:v>
      </x:c>
      <x:c r="T193" s="9" t="n">
        <x:f>F193-Inputs!$C$17/2</x:f>
        <x:v>1502.4224432422736</x:v>
      </x:c>
      <x:c r="U193" s="9" t="n">
        <x:f>F193+Inputs!$C$17/2</x:f>
        <x:v>1802.4224432422736</x:v>
      </x:c>
      <x:c r="V193" s="9">
        <x:f t="shared" si="43"/>
        <x:v>302.07157848089992</x:v>
      </x:c>
      <x:c r="W193" s="9">
        <x:f t="shared" si="44"/>
        <x:v>45.356092864999994</x:v>
      </x:c>
      <x:c r="X193" s="9"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x:f>
        <x:v>32.227616256478356</x:v>
      </x:c>
      <x:c r="Y193" s="9"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x:f>
        <x:v>242.63788270086079</x:v>
      </x:c>
      <x:c r="Z193" s="9">
        <x:f t="shared" si="45"/>
        <x:v>401.3680501615213</x:v>
      </x:c>
      <x:c r="AA193" s="9" t="n">
        <x:f>SQRT((Inputs!$C$52+B193)^2+(Inputs!$C$52+Y193/1000)^2-2*(Inputs!$C$52+B193)*(Inputs!$C$52+Y193/1000)*COS(SQRT(A193^2+Inputs!$C$6^2)/Inputs!$C$52))</x:f>
        <x:v>404.1011737835629</x:v>
      </x:c>
      <x:c r="AB193" s="9">
        <x:f t="shared" si="46"/>
        <x:v>2733.1236220416031</x:v>
      </x:c>
      <x:c r="AC193" s="9" t="n">
        <x:f>AB193/Inputs!$C$12</x:f>
        <x:v>1535.4627090121364</x:v>
      </x:c>
      <x:c r="AD193" s="9" t="n">
        <x:f>2*AB193/Inputs!$C$21*1000000</x:f>
        <x:v>18.23343816102007</x:v>
      </x:c>
      <x:c r="AE193" s="9">
        <x:f t="shared" si="47"/>
        <x:v>6.1773851688733448</x:v>
      </x:c>
      <x:c r="AF193" s="9" t="n">
        <x:f>DEGREES((2*PI()/Inputs!$C$13)*Inputs!$C$15*SIN(RADIANS(AE193)))</x:f>
        <x:v>38.738502962722194</x:v>
      </x:c>
      <x:c r="AG193" s="9">
        <x:f t="shared" si="48"/>
        <x:v>0.97321937635673028</x:v>
      </x:c>
      <x:c r="AH193" s="9">
        <x:f t="shared" si="49"/>
        <x:v>-0.11789253048826079</x:v>
      </x:c>
      <x:c r="AI193" s="9">
        <x:f t="shared" si="50"/>
        <x:v>-116.9597342301372</x:v>
      </x:c>
      <x:c r="AJ193" s="9">
        <x:f t="shared" si="51"/>
        <x:v>-1.3888830180620744</x:v>
      </x:c>
      <x:c r="AK193" s="9">
        <x:f t="shared" si="52"/>
        <x:v>210.41026644438244</x:v>
      </x:c>
      <x:c r="AL193" s="9" t="n">
        <x:f>1000*(AA194-AA192)/(A194-A192)*Inputs!$C$11</x:f>
        <x:v>716.517485978784</x:v>
      </x:c>
      <x:c r="AM193" s="9" t="n">
        <x:f>-2*AL193/Inputs!$C$13</x:f>
        <x:v>-286.6069943915136</x:v>
      </x:c>
      <x:c r="AN193" s="9" t="n">
        <x:f>-2*AL193/Inputs!$C$14</x:f>
        <x:v>-43.03408324196901</x:v>
      </x:c>
      <x:c r="AO193" s="9">
        <x:f t="shared" si="53"/>
        <x:v>286.60699439151358</x:v>
      </x:c>
      <x:c r="AP193" s="9">
        <x:f t="shared" si="54"/>
        <x:v>43.034083241969007</x:v>
      </x:c>
      <x:c r="AQ193" s="9" t="n">
        <x:f>IF(OR(Inputs!$C$27=TRUE,Inputs!$C$27="TRUE",Inputs!$C$27=1),Inputs!$C$46/Inputs!$C$12,0)</x:f>
        <x:v>42.13483146067416</x:v>
      </x:c>
      <x:c r="AR193" s="9">
        <x:f t="shared" si="55"/>
        <x:v>1493.3278775514623</x:v>
      </x:c>
      <x:c r="AS193" s="9">
        <x:f t="shared" si="56"/>
        <x:v>1577.5975404728106</x:v>
      </x:c>
    </x:row>
    <x:row r="194">
      <x:c r="A194" s="9" t="n">
        <x:f>Inputs!$C$7+192*(Inputs!$C$8-Inputs!$C$7)/240</x:f>
        <x:v>36</x:v>
      </x:c>
      <x:c r="B194" s="9" t="n">
        <x:f>Inputs!$C$5+Inputs!$C$9*(A194/Inputs!$C$10)^2</x:f>
        <x:v>401.44</x:v>
      </x:c>
      <x:c r="C194" s="9" t="n">
        <x:f t="shared" ref="C194:C242" si="57">B194</x:f>
        <x:v>401.44</x:v>
      </x:c>
      <x:c r="D194" s="9" t="n">
        <x:f>SQRT((Inputs!$C$52+B194)^2+Inputs!$C$52^2-2*(Inputs!$C$52+B194)*Inputs!$C$52*COS(SQRT(A194^2+Inputs!$C$6^2)/Inputs!$C$52))</x:f>
        <x:v>404.43664381283577</x:v>
      </x:c>
      <x:c r="E194" s="9" t="n">
        <x:f t="shared" ref="E194:E242" si="58">(D194-C194)*1000</x:f>
        <x:v>2996.643812835771</x:v>
      </x:c>
      <x:c r="F194" s="9" t="n">
        <x:f>E194/Inputs!$C$12</x:f>
        <x:v>1683.507760020096</x:v>
      </x:c>
      <x:c r="G194" s="9" t="n">
        <x:f>2*E194/Inputs!$C$21*1000000</x:f>
        <x:v>19.99145564119409</x:v>
      </x:c>
      <x:c r="H194" s="9" t="n">
        <x:f>SQRT(A194^2+Inputs!$C$6^2)</x:f>
        <x:v>43.829214001622255</x:v>
      </x:c>
      <x:c r="I194" s="9" t="n">
        <x:f t="shared" ref="I194:I242" si="59">DEGREES(ATAN(H194/B194))</x:f>
        <x:v>6.23087278213282</x:v>
      </x:c>
      <x:c r="J194" s="9" t="n">
        <x:f>DEGREES((2*PI()/Inputs!$C$13)*Inputs!$C$15*SIN(RADIANS(I194)))</x:f>
        <x:v>39.0726072191931</x:v>
      </x:c>
      <x:c r="K194" s="9" t="n">
        <x:f t="shared" ref="K194:K242" si="60">(C194/D194)^4</x:f>
        <x:v>0.970690065330411</x:v>
      </x:c>
      <x:c r="L194" s="9" t="n">
        <x:f t="shared" ref="L194:L242" si="61">10*LOG10(K194)</x:f>
        <x:v>-0.12919415203591</x:v>
      </x:c>
      <x:c r="M194" s="9" t="n">
        <x:f>2*(Inputs!$C$9/(Inputs!$C$10^2))*A194</x:f>
        <x:v>0.08</x:v>
      </x:c>
      <x:c r="N194" s="9" t="n">
        <x:f>M194*Inputs!$C$11</x:f>
        <x:v>0.32</x:v>
      </x:c>
      <x:c r="O194" s="9" t="n">
        <x:f>1000*(D195-D193)/(A195-A193)*Inputs!$C$11</x:f>
        <x:v>765.6837369277127</x:v>
      </x:c>
      <x:c r="P194" s="9" t="n">
        <x:f>-2*O194/Inputs!$C$13</x:f>
        <x:v>-306.2734947710851</x:v>
      </x:c>
      <x:c r="Q194" s="9" t="n">
        <x:f>-2*O194/Inputs!$C$14</x:f>
        <x:v>-45.987011226889656</x:v>
      </x:c>
      <x:c r="R194" s="9" t="n">
        <x:f>F194-Inputs!$C$16/2</x:f>
        <x:v>1668.507760020096</x:v>
      </x:c>
      <x:c r="S194" s="9" t="n">
        <x:f>F194+Inputs!$C$16/2</x:f>
        <x:v>1698.507760020096</x:v>
      </x:c>
      <x:c r="T194" s="9" t="n">
        <x:f>F194-Inputs!$C$17/2</x:f>
        <x:v>1533.507760020096</x:v>
      </x:c>
      <x:c r="U194" s="9" t="n">
        <x:f>F194+Inputs!$C$17/2</x:f>
        <x:v>1833.507760020096</x:v>
      </x:c>
      <x:c r="V194" s="9" t="n">
        <x:f t="shared" ref="V194:V242" si="62">ABS(P194)</x:f>
        <x:v>306.2734947710851</x:v>
      </x:c>
      <x:c r="W194" s="9" t="n">
        <x:f t="shared" ref="W194:W242" si="63">ABS(Q194)</x:f>
        <x:v>45.987011226889656</x:v>
      </x:c>
      <x:c r="X194" s="9"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x:f>
        <x:v>45.422536466318</x:v>
      </x:c>
      <x:c r="Y194" s="9"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x:f>
        <x:v>251.8480330414438</x:v>
      </x:c>
      <x:c r="Z194" s="9" t="n">
        <x:f t="shared" ref="Z194:Z242" si="64">B194-X194/1000</x:f>
        <x:v>401.39457746353366</x:v>
      </x:c>
      <x:c r="AA194" s="9" t="n">
        <x:f>SQRT((Inputs!$C$52+B194)^2+(Inputs!$C$52+Y194/1000)^2-2*(Inputs!$C$52+B194)*(Inputs!$C$52+Y194/1000)*COS(SQRT(A194^2+Inputs!$C$6^2)/Inputs!$C$52))</x:f>
        <x:v>404.18714502750663</x:v>
      </x:c>
      <x:c r="AB194" s="9" t="n">
        <x:f t="shared" ref="AB194:AB242" si="65">(AA194-Z194)*1000</x:f>
        <x:v>2792.567563972966</x:v>
      </x:c>
      <x:c r="AC194" s="9" t="n">
        <x:f>AB194/Inputs!$C$12</x:f>
        <x:v>1568.8581820072843</x:v>
      </x:c>
      <x:c r="AD194" s="9" t="n">
        <x:f>2*AB194/Inputs!$C$21*1000000</x:f>
        <x:v>18.630005455127</x:v>
      </x:c>
      <x:c r="AE194" s="9" t="n">
        <x:f t="shared" ref="AE194:AE242" si="66">DEGREES(ATAN(H194/(B194-Y194/1000)))</x:f>
        <x:v>6.234753451370284</x:v>
      </x:c>
      <x:c r="AF194" s="9" t="n">
        <x:f>DEGREES((2*PI()/Inputs!$C$13)*Inputs!$C$15*SIN(RADIANS(AE194)))</x:f>
        <x:v>39.09684605420546</x:v>
      </x:c>
      <x:c r="AG194" s="9" t="n">
        <x:f t="shared" ref="AG194:AG242" si="67">(Z194/AA194)^4</x:f>
        <x:v>0.9726487148456855</x:v>
      </x:c>
      <x:c r="AH194" s="9" t="n">
        <x:f t="shared" ref="AH194:AH242" si="68">10*LOG10(AG194)</x:f>
        <x:v>-0.12043982702400201</x:v>
      </x:c>
      <x:c r="AI194" s="9" t="n">
        <x:f t="shared" ref="AI194:AI242" si="69">AC194-F194</x:f>
        <x:v>-114.64957801281162</x:v>
      </x:c>
      <x:c r="AJ194" s="9" t="n">
        <x:f t="shared" ref="AJ194:AJ242" si="70">AD194-G194</x:f>
        <x:v>-1.3614501860670885</x:v>
      </x:c>
      <x:c r="AK194" s="9" t="n">
        <x:f t="shared" ref="AK194:AK242" si="71">Y194-X194</x:f>
        <x:v>206.4254965751258</x:v>
      </x:c>
      <x:c r="AL194" s="9" t="n">
        <x:f>1000*(AA195-AA193)/(A195-A193)*Inputs!$C$11</x:f>
        <x:v>640.5202104870114</x:v>
      </x:c>
      <x:c r="AM194" s="9" t="n">
        <x:f>-2*AL194/Inputs!$C$13</x:f>
        <x:v>-256.20808419480454</x:v>
      </x:c>
      <x:c r="AN194" s="9" t="n">
        <x:f>-2*AL194/Inputs!$C$14</x:f>
        <x:v>-38.46968231153222</x:v>
      </x:c>
      <x:c r="AO194" s="9" t="n">
        <x:f t="shared" ref="AO194:AO242" si="72">ABS(AM194)</x:f>
        <x:v>256.20808419480454</x:v>
      </x:c>
      <x:c r="AP194" s="9" t="n">
        <x:f t="shared" ref="AP194:AP242" si="73">ABS(AN194)</x:f>
        <x:v>38.46968231153222</x:v>
      </x:c>
      <x:c r="AQ194" s="9" t="n">
        <x:f>IF(OR(Inputs!$C$27=TRUE,Inputs!$C$27="TRUE",Inputs!$C$27=1),Inputs!$C$46/Inputs!$C$12,0)</x:f>
        <x:v>42.13483146067416</x:v>
      </x:c>
      <x:c r="AR194" s="9" t="n">
        <x:f t="shared" ref="AR194:AR242" si="74">AC194-AQ194</x:f>
        <x:v>1526.7233505466102</x:v>
      </x:c>
      <x:c r="AS194" s="9" t="n">
        <x:f t="shared" ref="AS194:AS242" si="75">AC194+AQ194</x:f>
        <x:v>1610.9930134679585</x:v>
      </x:c>
    </x:row>
    <x:row r="195">
      <x:c r="A195" s="9" t="n">
        <x:f>Inputs!$C$7+193*(Inputs!$C$8-Inputs!$C$7)/240</x:f>
        <x:v>36.5</x:v>
      </x:c>
      <x:c r="B195" s="9" t="n">
        <x:f>Inputs!$C$5+Inputs!$C$9*(A195/Inputs!$C$10)^2</x:f>
        <x:v>401.48027777777776</x:v>
      </x:c>
      <x:c r="C195" s="9">
        <x:f t="shared" si="57"/>
        <x:v>401.48027777777776</x:v>
      </x:c>
      <x:c r="D195" s="9" t="n">
        <x:f>SQRT((Inputs!$C$52+B195)^2+Inputs!$C$52^2-2*(Inputs!$C$52+B195)*Inputs!$C$52*COS(SQRT(A195^2+Inputs!$C$6^2)/Inputs!$C$52))</x:f>
        <x:v>404.53301066098095</x:v>
      </x:c>
      <x:c r="E195" s="9">
        <x:f t="shared" si="58"/>
        <x:v>3052.7328832031912</x:v>
      </x:c>
      <x:c r="F195" s="9" t="n">
        <x:f>E195/Inputs!$C$12</x:f>
        <x:v>1715.0184737096579</x:v>
      </x:c>
      <x:c r="G195" s="9" t="n">
        <x:f>2*E195/Inputs!$C$21*1000000</x:f>
        <x:v>20.36564164134637</x:v>
      </x:c>
      <x:c r="H195" s="9" t="n">
        <x:f>SQRT(A195^2+Inputs!$C$6^2)</x:f>
        <x:v>44.24081825644729</x:v>
      </x:c>
      <x:c r="I195" s="9">
        <x:f t="shared" si="59"/>
        <x:v>6.2882949251900104</x:v>
      </x:c>
      <x:c r="J195" s="9" t="n">
        <x:f>DEGREES((2*PI()/Inputs!$C$13)*Inputs!$C$15*SIN(RADIANS(I195)))</x:f>
        <x:v>39.43125015731847</x:v>
      </x:c>
      <x:c r="K195" s="9">
        <x:f t="shared" si="60"/>
        <x:v>0.97015471172381817</x:v>
      </x:c>
      <x:c r="L195" s="9">
        <x:f t="shared" si="61"/>
        <x:v>-0.1315900275418308</x:v>
      </x:c>
      <x:c r="M195" s="9" t="n">
        <x:f>2*(Inputs!$C$9/(Inputs!$C$10^2))*A195</x:f>
        <x:v>0.0811111111111111</x:v>
      </x:c>
      <x:c r="N195" s="9" t="n">
        <x:f>M195*Inputs!$C$11</x:f>
        <x:v>0.3244444444444444</x:v>
      </x:c>
      <x:c r="O195" s="9" t="n">
        <x:f>1000*(D196-D194)/(A196-A194)*Inputs!$C$11</x:f>
        <x:v>776.1831047143914</x:v>
      </x:c>
      <x:c r="P195" s="9" t="n">
        <x:f>-2*O195/Inputs!$C$13</x:f>
        <x:v>-310.4732418857566</x:v>
      </x:c>
      <x:c r="Q195" s="9" t="n">
        <x:f>-2*O195/Inputs!$C$14</x:f>
        <x:v>-46.61760388675024</x:v>
      </x:c>
      <x:c r="R195" s="9" t="n">
        <x:f>F195-Inputs!$C$16/2</x:f>
        <x:v>1700.0184737096579</x:v>
      </x:c>
      <x:c r="S195" s="9" t="n">
        <x:f>F195+Inputs!$C$16/2</x:f>
        <x:v>1730.0184737096579</x:v>
      </x:c>
      <x:c r="T195" s="9" t="n">
        <x:f>F195-Inputs!$C$17/2</x:f>
        <x:v>1565.0184737096579</x:v>
      </x:c>
      <x:c r="U195" s="9" t="n">
        <x:f>F195+Inputs!$C$17/2</x:f>
        <x:v>1865.0184737096579</x:v>
      </x:c>
      <x:c r="V195" s="9">
        <x:f t="shared" si="62"/>
        <x:v>310.47324188575658</x:v>
      </x:c>
      <x:c r="W195" s="9">
        <x:f t="shared" si="63"/>
        <x:v>46.617603886750238</x:v>
      </x:c>
      <x:c r="X195" s="9"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x:f>
        <x:v>44.98219479967033</x:v>
      </x:c>
      <x:c r="Y195" s="9"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x:f>
        <x:v>274.3131350022337</x:v>
      </x:c>
      <x:c r="Z195" s="9">
        <x:f t="shared" si="64"/>
        <x:v>401.43529558297809</x:v>
      </x:c>
      <x:c r="AA195" s="9" t="n">
        <x:f>SQRT((Inputs!$C$52+B195)^2+(Inputs!$C$52+Y195/1000)^2-2*(Inputs!$C$52+B195)*(Inputs!$C$52+Y195/1000)*COS(SQRT(A195^2+Inputs!$C$6^2)/Inputs!$C$52))</x:f>
        <x:v>404.26130383618465</x:v>
      </x:c>
      <x:c r="AB195" s="9">
        <x:f t="shared" si="65"/>
        <x:v>2826.0082532065667</x:v>
      </x:c>
      <x:c r="AC195" s="9" t="n">
        <x:f>AB195/Inputs!$C$12</x:f>
        <x:v>1587.6450860711047</x:v>
      </x:c>
      <x:c r="AD195" s="9" t="n">
        <x:f>2*AB195/Inputs!$C$21*1000000</x:f>
        <x:v>18.853097720067172</x:v>
      </x:c>
      <x:c r="AE195" s="9">
        <x:f t="shared" si="66"/>
        <x:v>6.2925598899623232</x:v>
      </x:c>
      <x:c r="AF195" s="9" t="n">
        <x:f>DEGREES((2*PI()/Inputs!$C$13)*Inputs!$C$15*SIN(RADIANS(AE195)))</x:f>
        <x:v>39.457886380548615</x:v>
      </x:c>
      <x:c r="AG195" s="9">
        <x:f t="shared" si="67"/>
        <x:v>0.97232964852800441</x:v>
      </x:c>
      <x:c r="AH195" s="9">
        <x:f t="shared" si="68"/>
        <x:v>-0.1218647142616444</x:v>
      </x:c>
      <x:c r="AI195" s="9">
        <x:f t="shared" si="69"/>
        <x:v>-127.37338763855314</x:v>
      </x:c>
      <x:c r="AJ195" s="9">
        <x:f t="shared" si="70"/>
        <x:v>-1.5125439212791996</x:v>
      </x:c>
      <x:c r="AK195" s="9">
        <x:f t="shared" si="71"/>
        <x:v>229.33094020253881</x:v>
      </x:c>
      <x:c r="AL195" s="9" t="n">
        <x:f>1000*(AA196-AA194)/(A196-A194)*Inputs!$C$11</x:f>
        <x:v>675.8302911002829</x:v>
      </x:c>
      <x:c r="AM195" s="9" t="n">
        <x:f>-2*AL195/Inputs!$C$13</x:f>
        <x:v>-270.33211644011317</x:v>
      </x:c>
      <x:c r="AN195" s="9" t="n">
        <x:f>-2*AL195/Inputs!$C$14</x:f>
        <x:v>-40.59040787389087</x:v>
      </x:c>
      <x:c r="AO195" s="9">
        <x:f t="shared" si="72"/>
        <x:v>270.33211644011317</x:v>
      </x:c>
      <x:c r="AP195" s="9">
        <x:f t="shared" si="73"/>
        <x:v>40.590407873890868</x:v>
      </x:c>
      <x:c r="AQ195" s="9" t="n">
        <x:f>IF(OR(Inputs!$C$27=TRUE,Inputs!$C$27="TRUE",Inputs!$C$27=1),Inputs!$C$46/Inputs!$C$12,0)</x:f>
        <x:v>42.13483146067416</x:v>
      </x:c>
      <x:c r="AR195" s="9">
        <x:f t="shared" si="74"/>
        <x:v>1545.5102546104306</x:v>
      </x:c>
      <x:c r="AS195" s="9">
        <x:f t="shared" si="75"/>
        <x:v>1629.7799175317789</x:v>
      </x:c>
    </x:row>
    <x:row r="196">
      <x:c r="A196" s="9" t="n">
        <x:f>Inputs!$C$7+194*(Inputs!$C$8-Inputs!$C$7)/240</x:f>
        <x:v>37</x:v>
      </x:c>
      <x:c r="B196" s="9" t="n">
        <x:f>Inputs!$C$5+Inputs!$C$9*(A196/Inputs!$C$10)^2</x:f>
        <x:v>401.5211111111111</x:v>
      </x:c>
      <x:c r="C196" s="9">
        <x:f t="shared" si="57"/>
        <x:v>401.52111111111111</x:v>
      </x:c>
      <x:c r="D196" s="9" t="n">
        <x:f>SQRT((Inputs!$C$52+B196)^2+Inputs!$C$52^2-2*(Inputs!$C$52+B196)*Inputs!$C$52*COS(SQRT(A196^2+Inputs!$C$6^2)/Inputs!$C$52))</x:f>
        <x:v>404.63068958901437</x:v>
      </x:c>
      <x:c r="E196" s="9">
        <x:f t="shared" si="58"/>
        <x:v>3109.5784779032556</x:v>
      </x:c>
      <x:c r="F196" s="9" t="n">
        <x:f>E196/Inputs!$C$12</x:f>
        <x:v>1746.9542010692446</x:v>
      </x:c>
      <x:c r="G196" s="9" t="n">
        <x:f>2*E196/Inputs!$C$21*1000000</x:f>
        <x:v>20.744874628588924</x:v>
      </x:c>
      <x:c r="H196" s="9" t="n">
        <x:f>SQRT(A196^2+Inputs!$C$6^2)</x:f>
        <x:v>44.654227123532216</x:v>
      </x:c>
      <x:c r="I196" s="9">
        <x:f t="shared" si="59"/>
        <x:v>6.3459385294073707</x:v>
      </x:c>
      <x:c r="J196" s="9" t="n">
        <x:f>DEGREES((2*PI()/Inputs!$C$13)*Inputs!$C$15*SIN(RADIANS(I196)))</x:f>
        <x:v>39.791236445792514</x:v>
      </x:c>
      <x:c r="K196" s="9">
        <x:f t="shared" si="60"/>
        <x:v>0.96961262422188055</x:v>
      </x:c>
      <x:c r="L196" s="9">
        <x:f t="shared" si="61"/>
        <x:v>-0.13401738687061548</x:v>
      </x:c>
      <x:c r="M196" s="9" t="n">
        <x:f>2*(Inputs!$C$9/(Inputs!$C$10^2))*A196</x:f>
        <x:v>0.08222222222222222</x:v>
      </x:c>
      <x:c r="N196" s="9" t="n">
        <x:f>M196*Inputs!$C$11</x:f>
        <x:v>0.3288888888888889</x:v>
      </x:c>
      <x:c r="O196" s="9" t="n">
        <x:f>1000*(D197-D195)/(A197-A195)*Inputs!$C$11</x:f>
        <x:v>786.6769807858418</x:v>
      </x:c>
      <x:c r="P196" s="9" t="n">
        <x:f>-2*O196/Inputs!$C$13</x:f>
        <x:v>-314.6707923143367</x:v>
      </x:c>
      <x:c r="Q196" s="9" t="n">
        <x:f>-2*O196/Inputs!$C$14</x:f>
        <x:v>-47.247866713864376</x:v>
      </x:c>
      <x:c r="R196" s="9" t="n">
        <x:f>F196-Inputs!$C$16/2</x:f>
        <x:v>1731.9542010692446</x:v>
      </x:c>
      <x:c r="S196" s="9" t="n">
        <x:f>F196+Inputs!$C$16/2</x:f>
        <x:v>1761.9542010692446</x:v>
      </x:c>
      <x:c r="T196" s="9" t="n">
        <x:f>F196-Inputs!$C$17/2</x:f>
        <x:v>1596.9542010692446</x:v>
      </x:c>
      <x:c r="U196" s="9" t="n">
        <x:f>F196+Inputs!$C$17/2</x:f>
        <x:v>1896.9542010692446</x:v>
      </x:c>
      <x:c r="V196" s="9">
        <x:f t="shared" si="62"/>
        <x:v>314.67079231433672</x:v>
      </x:c>
      <x:c r="W196" s="9">
        <x:f t="shared" si="63"/>
        <x:v>47.247866713864376</x:v>
      </x:c>
      <x:c r="X196" s="9"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x:f>
        <x:v>58.36098804305038</x:v>
      </x:c>
      <x:c r="Y196" s="9"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x:f>
        <x:v>277.26991348245565</x:v>
      </x:c>
      <x:c r="Z196" s="9">
        <x:f t="shared" si="64"/>
        <x:v>401.46275012306808</x:v>
      </x:c>
      <x:c r="AA196" s="9" t="n">
        <x:f>SQRT((Inputs!$C$52+B196)^2+(Inputs!$C$52+Y196/1000)^2-2*(Inputs!$C$52+B196)*(Inputs!$C$52+Y196/1000)*COS(SQRT(A196^2+Inputs!$C$6^2)/Inputs!$C$52))</x:f>
        <x:v>404.3561026002817</x:v>
      </x:c>
      <x:c r="AB196" s="9">
        <x:f t="shared" si="65"/>
        <x:v>2893.3524772136252</x:v>
      </x:c>
      <x:c r="AC196" s="9" t="n">
        <x:f>AB196/Inputs!$C$12</x:f>
        <x:v>1625.4789197829355</x:v>
      </x:c>
      <x:c r="AD196" s="9" t="n">
        <x:f>2*AB196/Inputs!$C$21*1000000</x:f>
        <x:v>19.302370023021897</x:v>
      </x:c>
      <x:c r="AE196" s="9">
        <x:f t="shared" si="66"/>
        <x:v>6.350287925973654</x:v>
      </x:c>
      <x:c r="AF196" s="9" t="n">
        <x:f>DEGREES((2*PI()/Inputs!$C$13)*Inputs!$C$15*SIN(RADIANS(AE196)))</x:f>
        <x:v>39.818396947193</x:v>
      </x:c>
      <x:c r="AG196" s="9">
        <x:f t="shared" si="67"/>
        <x:v>0.97168391476079718</x:v>
      </x:c>
      <x:c r="AH196" s="9">
        <x:f t="shared" si="68"/>
        <x:v>-0.12474986514213735</x:v>
      </x:c>
      <x:c r="AI196" s="9">
        <x:f t="shared" si="69"/>
        <x:v>-121.47528128630915</x:v>
      </x:c>
      <x:c r="AJ196" s="9">
        <x:f t="shared" si="70"/>
        <x:v>-1.4425046055670272</x:v>
      </x:c>
      <x:c r="AK196" s="9">
        <x:f t="shared" si="71"/>
        <x:v>218.90892543940527</x:v>
      </x:c>
      <x:c r="AL196" s="9" t="n">
        <x:f>1000*(AA197-AA195)/(A197-A195)*Inputs!$C$11</x:f>
        <x:v>761.8300064207233</x:v>
      </x:c>
      <x:c r="AM196" s="9" t="n">
        <x:f>-2*AL196/Inputs!$C$13</x:f>
        <x:v>-304.7320025682893</x:v>
      </x:c>
      <x:c r="AN196" s="9" t="n">
        <x:f>-2*AL196/Inputs!$C$14</x:f>
        <x:v>-45.75555594118459</x:v>
      </x:c>
      <x:c r="AO196" s="9">
        <x:f t="shared" si="72"/>
        <x:v>304.73200256828932</x:v>
      </x:c>
      <x:c r="AP196" s="9">
        <x:f t="shared" si="73"/>
        <x:v>45.755555941184589</x:v>
      </x:c>
      <x:c r="AQ196" s="9" t="n">
        <x:f>IF(OR(Inputs!$C$27=TRUE,Inputs!$C$27="TRUE",Inputs!$C$27=1),Inputs!$C$46/Inputs!$C$12,0)</x:f>
        <x:v>42.13483146067416</x:v>
      </x:c>
      <x:c r="AR196" s="9">
        <x:f t="shared" si="74"/>
        <x:v>1583.3440883222613</x:v>
      </x:c>
      <x:c r="AS196" s="9">
        <x:f t="shared" si="75"/>
        <x:v>1667.6137512436096</x:v>
      </x:c>
    </x:row>
    <x:row r="197">
      <x:c r="A197" s="9" t="n">
        <x:f>Inputs!$C$7+195*(Inputs!$C$8-Inputs!$C$7)/240</x:f>
        <x:v>37.5</x:v>
      </x:c>
      <x:c r="B197" s="9" t="n">
        <x:f>Inputs!$C$5+Inputs!$C$9*(A197/Inputs!$C$10)^2</x:f>
        <x:v>401.5625</x:v>
      </x:c>
      <x:c r="C197" s="9">
        <x:f t="shared" si="57"/>
        <x:v>401.5625</x:v>
      </x:c>
      <x:c r="D197" s="9" t="n">
        <x:f>SQRT((Inputs!$C$52+B197)^2+Inputs!$C$52^2-2*(Inputs!$C$52+B197)*Inputs!$C$52*COS(SQRT(A197^2+Inputs!$C$6^2)/Inputs!$C$52))</x:f>
        <x:v>404.7296799061774</x:v>
      </x:c>
      <x:c r="E197" s="9">
        <x:f t="shared" si="58"/>
        <x:v>3167.1799061774095</x:v>
      </x:c>
      <x:c r="F197" s="9" t="n">
        <x:f>E197/Inputs!$C$12</x:f>
        <x:v>1779.3145540322525</x:v>
      </x:c>
      <x:c r="G197" s="9" t="n">
        <x:f>2*E197/Inputs!$C$21*1000000</x:f>
        <x:v>21.129149994676713</x:v>
      </x:c>
      <x:c r="H197" s="9" t="n">
        <x:f>SQRT(A197^2+Inputs!$C$6^2)</x:f>
        <x:v>45.069390943299865</x:v>
      </x:c>
      <x:c r="I197" s="9">
        <x:f t="shared" si="59"/>
        <x:v>6.4037960179333062</x:v>
      </x:c>
      <x:c r="J197" s="9" t="n">
        <x:f>DEGREES((2*PI()/Inputs!$C$13)*Inputs!$C$15*SIN(RADIANS(I197)))</x:f>
        <x:v>40.15251794840797</x:v>
      </x:c>
      <x:c r="K197" s="9">
        <x:f t="shared" si="60"/>
        <x:v>0.96906382842795635</x:v>
      </x:c>
      <x:c r="L197" s="9">
        <x:f t="shared" si="61"/>
        <x:v>-0.13647616735493498</x:v>
      </x:c>
      <x:c r="M197" s="9" t="n">
        <x:f>2*(Inputs!$C$9/(Inputs!$C$10^2))*A197</x:f>
        <x:v>0.08333333333333333</x:v>
      </x:c>
      <x:c r="N197" s="9" t="n">
        <x:f>M197*Inputs!$C$11</x:f>
        <x:v>0.3333333333333333</x:v>
      </x:c>
      <x:c r="O197" s="9" t="n">
        <x:f>1000*(D198-D196)/(A198-A196)*Inputs!$C$11</x:f>
        <x:v>797.165296622552</x:v>
      </x:c>
      <x:c r="P197" s="9" t="n">
        <x:f>-2*O197/Inputs!$C$13</x:f>
        <x:v>-318.8661186490208</x:v>
      </x:c>
      <x:c r="Q197" s="9" t="n">
        <x:f>-2*O197/Inputs!$C$14</x:f>
        <x:v>-47.87779559294607</x:v>
      </x:c>
      <x:c r="R197" s="9" t="n">
        <x:f>F197-Inputs!$C$16/2</x:f>
        <x:v>1764.3145540322525</x:v>
      </x:c>
      <x:c r="S197" s="9" t="n">
        <x:f>F197+Inputs!$C$16/2</x:f>
        <x:v>1794.3145540322525</x:v>
      </x:c>
      <x:c r="T197" s="9" t="n">
        <x:f>F197-Inputs!$C$17/2</x:f>
        <x:v>1629.3145540322525</x:v>
      </x:c>
      <x:c r="U197" s="9" t="n">
        <x:f>F197+Inputs!$C$17/2</x:f>
        <x:v>1929.3145540322525</x:v>
      </x:c>
      <x:c r="V197" s="9">
        <x:f t="shared" si="62"/>
        <x:v>318.86611864902079</x:v>
      </x:c>
      <x:c r="W197" s="9">
        <x:f t="shared" si="63"/>
        <x:v>47.877795592946072</x:v>
      </x:c>
      <x:c r="X197" s="9"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x:f>
        <x:v>56.08108474403666</x:v>
      </x:c>
      <x:c r="Y197" s="9"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x:f>
        <x:v>280.6842863692354</x:v>
      </x:c>
      <x:c r="Z197" s="9">
        <x:f t="shared" si="64"/>
        <x:v>401.50641891525595</x:v>
      </x:c>
      <x:c r="AA197" s="9" t="n">
        <x:f>SQRT((Inputs!$C$52+B197)^2+(Inputs!$C$52+Y197/1000)^2-2*(Inputs!$C$52+B197)*(Inputs!$C$52+Y197/1000)*COS(SQRT(A197^2+Inputs!$C$6^2)/Inputs!$C$52))</x:f>
        <x:v>404.45176133778983</x:v>
      </x:c>
      <x:c r="AB197" s="9">
        <x:f t="shared" si="65"/>
        <x:v>2945.3424225338836</x:v>
      </x:c>
      <x:c r="AC197" s="9" t="n">
        <x:f>AB197/Inputs!$C$12</x:f>
        <x:v>1654.6867542325188</x:v>
      </x:c>
      <x:c r="AD197" s="9" t="n">
        <x:f>2*AB197/Inputs!$C$21*1000000</x:f>
        <x:v>19.649209604424964</x:v>
      </x:c>
      <x:c r="AE197" s="9">
        <x:f t="shared" si="66"/>
        <x:v>6.4082380276193209</x:v>
      </x:c>
      <x:c r="AF197" s="9" t="n">
        <x:f>DEGREES((2*PI()/Inputs!$C$13)*Inputs!$C$15*SIN(RADIANS(AE197)))</x:f>
        <x:v>40.180253654335004</x:v>
      </x:c>
      <x:c r="AG197" s="9">
        <x:f t="shared" si="67"/>
        <x:v>0.97118741687689947</x:v>
      </x:c>
      <x:c r="AH197" s="9">
        <x:f t="shared" si="68"/>
        <x:v>-0.12696953139008688</x:v>
      </x:c>
      <x:c r="AI197" s="9">
        <x:f t="shared" si="69"/>
        <x:v>-124.62779979973379</x:v>
      </x:c>
      <x:c r="AJ197" s="9">
        <x:f t="shared" si="70"/>
        <x:v>-1.4799403902517483</x:v>
      </x:c>
      <x:c r="AK197" s="9">
        <x:f t="shared" si="71"/>
        <x:v>224.60320162519872</x:v>
      </x:c>
      <x:c r="AL197" s="9" t="n">
        <x:f>1000*(AA198-AA196)/(A198-A196)*Inputs!$C$11</x:f>
        <x:v>777.3582721436014</x:v>
      </x:c>
      <x:c r="AM197" s="9" t="n">
        <x:f>-2*AL197/Inputs!$C$13</x:f>
        <x:v>-310.94330885744057</x:v>
      </x:c>
      <x:c r="AN197" s="9" t="n">
        <x:f>-2*AL197/Inputs!$C$14</x:f>
        <x:v>-46.688184513129215</x:v>
      </x:c>
      <x:c r="AO197" s="9">
        <x:f t="shared" si="72"/>
        <x:v>310.94330885744057</x:v>
      </x:c>
      <x:c r="AP197" s="9">
        <x:f t="shared" si="73"/>
        <x:v>46.688184513129215</x:v>
      </x:c>
      <x:c r="AQ197" s="9" t="n">
        <x:f>IF(OR(Inputs!$C$27=TRUE,Inputs!$C$27="TRUE",Inputs!$C$27=1),Inputs!$C$46/Inputs!$C$12,0)</x:f>
        <x:v>42.13483146067416</x:v>
      </x:c>
      <x:c r="AR197" s="9">
        <x:f t="shared" si="74"/>
        <x:v>1612.5519227718446</x:v>
      </x:c>
      <x:c r="AS197" s="9">
        <x:f t="shared" si="75"/>
        <x:v>1696.8215856931929</x:v>
      </x:c>
    </x:row>
    <x:row r="198">
      <x:c r="A198" s="9" t="n">
        <x:f>Inputs!$C$7+196*(Inputs!$C$8-Inputs!$C$7)/240</x:f>
        <x:v>38</x:v>
      </x:c>
      <x:c r="B198" s="9" t="n">
        <x:f>Inputs!$C$5+Inputs!$C$9*(A198/Inputs!$C$10)^2</x:f>
        <x:v>401.6044444444444</x:v>
      </x:c>
      <x:c r="C198" s="9">
        <x:f t="shared" si="57"/>
        <x:v>401.60444444444443</x:v>
      </x:c>
      <x:c r="D198" s="9" t="n">
        <x:f>SQRT((Inputs!$C$52+B198)^2+Inputs!$C$52^2-2*(Inputs!$C$52+B198)*Inputs!$C$52*COS(SQRT(A198^2+Inputs!$C$6^2)/Inputs!$C$52))</x:f>
        <x:v>404.82998091317</x:v>
      </x:c>
      <x:c r="E198" s="9">
        <x:f t="shared" si="58"/>
        <x:v>3225.5364687255792</x:v>
      </x:c>
      <x:c r="F198" s="9" t="n">
        <x:f>E198/Inputs!$C$12</x:f>
        <x:v>1812.0991397334715</x:v>
      </x:c>
      <x:c r="G198" s="9" t="n">
        <x:f>2*E198/Inputs!$C$21*1000000</x:f>
        <x:v>21.518463074381806</x:v>
      </x:c>
      <x:c r="H198" s="9" t="n">
        <x:f>SQRT(A198^2+Inputs!$C$6^2)</x:f>
        <x:v>45.48626166217664</x:v>
      </x:c>
      <x:c r="I198" s="9">
        <x:f t="shared" si="59"/>
        <x:v>6.4618600446971843</x:v>
      </x:c>
      <x:c r="J198" s="9" t="n">
        <x:f>DEGREES((2*PI()/Inputs!$C$13)*Inputs!$C$15*SIN(RADIANS(I198)))</x:f>
        <x:v>40.515047981236954</x:v>
      </x:c>
      <x:c r="K198" s="9">
        <x:f t="shared" si="60"/>
        <x:v>0.96850835021994941</x:v>
      </x:c>
      <x:c r="L198" s="9">
        <x:f t="shared" si="61"/>
        <x:v>-0.13896630557866255</x:v>
      </x:c>
      <x:c r="M198" s="9" t="n">
        <x:f>2*(Inputs!$C$9/(Inputs!$C$10^2))*A198</x:f>
        <x:v>0.08444444444444445</x:v>
      </x:c>
      <x:c r="N198" s="9" t="n">
        <x:f>M198*Inputs!$C$11</x:f>
        <x:v>0.3377777777777778</x:v>
      </x:c>
      <x:c r="O198" s="9" t="n">
        <x:f>1000*(D199-D197)/(A199-A197)*Inputs!$C$11</x:f>
        <x:v>807.647983991501</x:v>
      </x:c>
      <x:c r="P198" s="9" t="n">
        <x:f>-2*O198/Inputs!$C$13</x:f>
        <x:v>-323.0591935966004</x:v>
      </x:c>
      <x:c r="Q198" s="9" t="n">
        <x:f>-2*O198/Inputs!$C$14</x:f>
        <x:v>-48.507386425915975</x:v>
      </x:c>
      <x:c r="R198" s="9" t="n">
        <x:f>F198-Inputs!$C$16/2</x:f>
        <x:v>1797.0991397334715</x:v>
      </x:c>
      <x:c r="S198" s="9" t="n">
        <x:f>F198+Inputs!$C$16/2</x:f>
        <x:v>1827.0991397334715</x:v>
      </x:c>
      <x:c r="T198" s="9" t="n">
        <x:f>F198-Inputs!$C$17/2</x:f>
        <x:v>1662.0991397334715</x:v>
      </x:c>
      <x:c r="U198" s="9" t="n">
        <x:f>F198+Inputs!$C$17/2</x:f>
        <x:v>1962.0991397334715</x:v>
      </x:c>
      <x:c r="V198" s="9">
        <x:f t="shared" si="62"/>
        <x:v>323.05919359660038</x:v>
      </x:c>
      <x:c r="W198" s="9">
        <x:f t="shared" si="63"/>
        <x:v>48.507386425915975</x:v>
      </x:c>
      <x:c r="X198" s="9"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x:f>
        <x:v>74.89136844725374</x:v>
      </x:c>
      <x:c r="Y198" s="9"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x:f>
        <x:v>282.3717678695042</x:v>
      </x:c>
      <x:c r="Z198" s="9">
        <x:f t="shared" si="64"/>
        <x:v>401.52955307599717</x:v>
      </x:c>
      <x:c r="AA198" s="9" t="n">
        <x:f>SQRT((Inputs!$C$52+B198)^2+(Inputs!$C$52+Y198/1000)^2-2*(Inputs!$C$52+B198)*(Inputs!$C$52+Y198/1000)*COS(SQRT(A198^2+Inputs!$C$6^2)/Inputs!$C$52))</x:f>
        <x:v>404.5504421683176</x:v>
      </x:c>
      <x:c r="AB198" s="9">
        <x:f t="shared" si="65"/>
        <x:v>3020.8890923204308</x:v>
      </x:c>
      <x:c r="AC198" s="9" t="n">
        <x:f>AB198/Inputs!$C$12</x:f>
        <x:v>1697.1287035508037</x:v>
      </x:c>
      <x:c r="AD198" s="9" t="n">
        <x:f>2*AB198/Inputs!$C$21*1000000</x:f>
        <x:v>20.153202735476626</x:v>
      </x:c>
      <x:c r="AE198" s="9">
        <x:f t="shared" si="66"/>
        <x:v>6.4663681387296696</x:v>
      </x:c>
      <x:c r="AF198" s="9" t="n">
        <x:f>DEGREES((2*PI()/Inputs!$C$13)*Inputs!$C$15*SIN(RADIANS(AE198)))</x:f>
        <x:v>40.543193095807204</x:v>
      </x:c>
      <x:c r="AG198" s="9">
        <x:f t="shared" si="67"/>
        <x:v>0.97046380178184277</x:v>
      </x:c>
      <x:c r="AH198" s="9">
        <x:f t="shared" si="68"/>
        <x:v>-0.13020659121148417</x:v>
      </x:c>
      <x:c r="AI198" s="9">
        <x:f t="shared" si="69"/>
        <x:v>-114.97043618266775</x:v>
      </x:c>
      <x:c r="AJ198" s="9">
        <x:f t="shared" si="70"/>
        <x:v>-1.3652603389051805</x:v>
      </x:c>
      <x:c r="AK198" s="9">
        <x:f t="shared" si="71"/>
        <x:v>207.48039942225046</x:v>
      </x:c>
      <x:c r="AL198" s="9" t="n">
        <x:f>1000*(AA199-AA197)/(A199-A197)*Inputs!$C$11</x:f>
        <x:v>687.309908687439</x:v>
      </x:c>
      <x:c r="AM198" s="9" t="n">
        <x:f>-2*AL198/Inputs!$C$13</x:f>
        <x:v>-274.9239634749756</x:v>
      </x:c>
      <x:c r="AN198" s="9" t="n">
        <x:f>-2*AL198/Inputs!$C$14</x:f>
        <x:v>-41.27987439564199</x:v>
      </x:c>
      <x:c r="AO198" s="9">
        <x:f t="shared" si="72"/>
        <x:v>274.92396347497561</x:v>
      </x:c>
      <x:c r="AP198" s="9">
        <x:f t="shared" si="73"/>
        <x:v>41.27987439564199</x:v>
      </x:c>
      <x:c r="AQ198" s="9" t="n">
        <x:f>IF(OR(Inputs!$C$27=TRUE,Inputs!$C$27="TRUE",Inputs!$C$27=1),Inputs!$C$46/Inputs!$C$12,0)</x:f>
        <x:v>42.13483146067416</x:v>
      </x:c>
      <x:c r="AR198" s="9">
        <x:f t="shared" si="74"/>
        <x:v>1654.9938720901296</x:v>
      </x:c>
      <x:c r="AS198" s="9">
        <x:f t="shared" si="75"/>
        <x:v>1739.2635350114779</x:v>
      </x:c>
    </x:row>
    <x:row r="199">
      <x:c r="A199" s="9" t="n">
        <x:f>Inputs!$C$7+197*(Inputs!$C$8-Inputs!$C$7)/240</x:f>
        <x:v>38.5</x:v>
      </x:c>
      <x:c r="B199" s="9" t="n">
        <x:f>Inputs!$C$5+Inputs!$C$9*(A199/Inputs!$C$10)^2</x:f>
        <x:v>401.64694444444444</x:v>
      </x:c>
      <x:c r="C199" s="9">
        <x:f t="shared" si="57"/>
        <x:v>401.64694444444444</x:v>
      </x:c>
      <x:c r="D199" s="9" t="n">
        <x:f>SQRT((Inputs!$C$52+B199)^2+Inputs!$C$52^2-2*(Inputs!$C$52+B199)*Inputs!$C$52*COS(SQRT(A199^2+Inputs!$C$6^2)/Inputs!$C$52))</x:f>
        <x:v>404.9315919021753</x:v>
      </x:c>
      <x:c r="E199" s="9">
        <x:f t="shared" si="58"/>
        <x:v>3284.6474577308413</x:v>
      </x:c>
      <x:c r="F199" s="9" t="n">
        <x:f>E199/Inputs!$C$12</x:f>
        <x:v>1845.3075605229446</x:v>
      </x:c>
      <x:c r="G199" s="9" t="n">
        <x:f>2*E199/Inputs!$C$21*1000000</x:f>
        <x:v>21.91280914565797</x:v>
      </x:c>
      <x:c r="H199" s="9" t="n">
        <x:f>SQRT(A199^2+Inputs!$C$6^2)</x:f>
        <x:v>45.90479277809671</x:v>
      </x:c>
      <x:c r="I199" s="9">
        <x:f t="shared" si="59"/>
        <x:v>6.5201234866425004</x:v>
      </x:c>
      <x:c r="J199" s="9" t="n">
        <x:f>DEGREES((2*PI()/Inputs!$C$13)*Inputs!$C$15*SIN(RADIANS(I199)))</x:f>
        <x:v>40.87878126391779</x:v>
      </x:c>
      <x:c r="K199" s="9">
        <x:f t="shared" si="60"/>
        <x:v>0.96794621574763717</x:v>
      </x:c>
      <x:c r="L199" s="9">
        <x:f t="shared" si="61"/>
        <x:v>-0.14148773738048093</x:v>
      </x:c>
      <x:c r="M199" s="9" t="n">
        <x:f>2*(Inputs!$C$9/(Inputs!$C$10^2))*A199</x:f>
        <x:v>0.08555555555555555</x:v>
      </x:c>
      <x:c r="N199" s="9" t="n">
        <x:f>M199*Inputs!$C$11</x:f>
        <x:v>0.3422222222222222</x:v>
      </x:c>
      <x:c r="O199" s="9" t="n">
        <x:f>1000*(D200-D198)/(A200-A198)*Inputs!$C$11</x:f>
        <x:v>818.1249749061408</x:v>
      </x:c>
      <x:c r="P199" s="9" t="n">
        <x:f>-2*O199/Inputs!$C$13</x:f>
        <x:v>-327.2499899624563</x:v>
      </x:c>
      <x:c r="Q199" s="9" t="n">
        <x:f>-2*O199/Inputs!$C$14</x:f>
        <x:v>-49.13663512949795</x:v>
      </x:c>
      <x:c r="R199" s="9" t="n">
        <x:f>F199-Inputs!$C$16/2</x:f>
        <x:v>1830.3075605229446</x:v>
      </x:c>
      <x:c r="S199" s="9" t="n">
        <x:f>F199+Inputs!$C$16/2</x:f>
        <x:v>1860.3075605229446</x:v>
      </x:c>
      <x:c r="T199" s="9" t="n">
        <x:f>F199-Inputs!$C$17/2</x:f>
        <x:v>1695.3075605229446</x:v>
      </x:c>
      <x:c r="U199" s="9" t="n">
        <x:f>F199+Inputs!$C$17/2</x:f>
        <x:v>1995.3075605229446</x:v>
      </x:c>
      <x:c r="V199" s="9">
        <x:f t="shared" si="62"/>
        <x:v>327.24998996245631</x:v>
      </x:c>
      <x:c r="W199" s="9">
        <x:f t="shared" si="63"/>
        <x:v>49.136635129497947</x:v>
      </x:c>
      <x:c r="X199" s="9"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x:f>
        <x:v>81.22943665181958</x:v>
      </x:c>
      <x:c r="Y199" s="9"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x:f>
        <x:v>311.18191933727104</x:v>
      </x:c>
      <x:c r="Z199" s="9">
        <x:f t="shared" si="64"/>
        <x:v>401.56571500779262</x:v>
      </x:c>
      <x:c r="AA199" s="9" t="n">
        <x:f>SQRT((Inputs!$C$52+B199)^2+(Inputs!$C$52+Y199/1000)^2-2*(Inputs!$C$52+B199)*(Inputs!$C$52+Y199/1000)*COS(SQRT(A199^2+Inputs!$C$6^2)/Inputs!$C$52))</x:f>
        <x:v>404.6235888149617</x:v>
      </x:c>
      <x:c r="AB199" s="9">
        <x:f t="shared" si="65"/>
        <x:v>3057.8738071690736</x:v>
      </x:c>
      <x:c r="AC199" s="9" t="n">
        <x:f>AB199/Inputs!$C$12</x:f>
        <x:v>1717.9066332410525</x:v>
      </x:c>
      <x:c r="AD199" s="9" t="n">
        <x:f>2*AB199/Inputs!$C$21*1000000</x:f>
        <x:v>20.39993819436961</x:v>
      </x:c>
      <x:c r="AE199" s="9">
        <x:f t="shared" si="66"/>
        <x:v>6.5251353831822403</x:v>
      </x:c>
      <x:c r="AF199" s="9" t="n">
        <x:f>DEGREES((2*PI()/Inputs!$C$13)*Inputs!$C$15*SIN(RADIANS(AE199)))</x:f>
        <x:v>40.910068101600466</x:v>
      </x:c>
      <x:c r="AG199" s="9">
        <x:f t="shared" si="67"/>
        <x:v>0.97011163792051658</x:v>
      </x:c>
      <x:c r="AH199" s="9">
        <x:f t="shared" si="68"/>
        <x:v>-0.13178285380091603</x:v>
      </x:c>
      <x:c r="AI199" s="9">
        <x:f t="shared" si="69"/>
        <x:v>-127.40092728189211</x:v>
      </x:c>
      <x:c r="AJ199" s="9">
        <x:f t="shared" si="70"/>
        <x:v>-1.5128709512883596</x:v>
      </x:c>
      <x:c r="AK199" s="9">
        <x:f t="shared" si="71"/>
        <x:v>229.95248268545146</x:v>
      </x:c>
      <x:c r="AL199" s="9" t="n">
        <x:f>1000*(AA200-AA198)/(A200-A198)*Inputs!$C$11</x:f>
        <x:v>737.502906333475</x:v>
      </x:c>
      <x:c r="AM199" s="9" t="n">
        <x:f>-2*AL199/Inputs!$C$13</x:f>
        <x:v>-295.00116253339</x:v>
      </x:c>
      <x:c r="AN199" s="9" t="n">
        <x:f>-2*AL199/Inputs!$C$14</x:f>
        <x:v>-44.29446884885736</x:v>
      </x:c>
      <x:c r="AO199" s="9">
        <x:f t="shared" si="72"/>
        <x:v>295.00116253339002</x:v>
      </x:c>
      <x:c r="AP199" s="9">
        <x:f t="shared" si="73"/>
        <x:v>44.294468848857363</x:v>
      </x:c>
      <x:c r="AQ199" s="9" t="n">
        <x:f>IF(OR(Inputs!$C$27=TRUE,Inputs!$C$27="TRUE",Inputs!$C$27=1),Inputs!$C$46/Inputs!$C$12,0)</x:f>
        <x:v>42.13483146067416</x:v>
      </x:c>
      <x:c r="AR199" s="9">
        <x:f t="shared" si="74"/>
        <x:v>1675.7718017803784</x:v>
      </x:c>
      <x:c r="AS199" s="9">
        <x:f t="shared" si="75"/>
        <x:v>1760.0414647017267</x:v>
      </x:c>
    </x:row>
    <x:row r="200">
      <x:c r="A200" s="9" t="n">
        <x:f>Inputs!$C$7+198*(Inputs!$C$8-Inputs!$C$7)/240</x:f>
        <x:v>39</x:v>
      </x:c>
      <x:c r="B200" s="9" t="n">
        <x:f>Inputs!$C$5+Inputs!$C$9*(A200/Inputs!$C$10)^2</x:f>
        <x:v>401.69</x:v>
      </x:c>
      <x:c r="C200" s="9">
        <x:f t="shared" si="57"/>
        <x:v>401.69</x:v>
      </x:c>
      <x:c r="D200" s="9" t="n">
        <x:f>SQRT((Inputs!$C$52+B200)^2+Inputs!$C$52^2-2*(Inputs!$C$52+B200)*Inputs!$C$52*COS(SQRT(A200^2+Inputs!$C$6^2)/Inputs!$C$52))</x:f>
        <x:v>405.03451215689654</x:v>
      </x:c>
      <x:c r="E200" s="9">
        <x:f t="shared" si="58"/>
        <x:v>3344.5121568965419</x:v>
      </x:c>
      <x:c r="F200" s="9" t="n">
        <x:f>E200/Inputs!$C$12</x:f>
        <x:v>1878.9394139868214</x:v>
      </x:c>
      <x:c r="G200" s="9" t="n">
        <x:f>2*E200/Inputs!$C$21*1000000</x:f>
        <x:v>22.3121834298883</x:v>
      </x:c>
      <x:c r="H200" s="9" t="n">
        <x:f>SQRT(A200^2+Inputs!$C$6^2)</x:f>
        <x:v>46.32493928760188</x:v>
      </x:c>
      <x:c r="I200" s="9">
        <x:f t="shared" si="59"/>
        <x:v>6.5785794361869598</x:v>
      </x:c>
      <x:c r="J200" s="9" t="n">
        <x:f>DEGREES((2*PI()/Inputs!$C$13)*Inputs!$C$15*SIN(RADIANS(I200)))</x:f>
        <x:v>41.2436738723648</x:v>
      </x:c>
      <x:c r="K200" s="9">
        <x:f t="shared" si="60"/>
        <x:v>0.96737745142985054</x:v>
      </x:c>
      <x:c r="L200" s="9">
        <x:f t="shared" si="61"/>
        <x:v>-0.14404039785809303</x:v>
      </x:c>
      <x:c r="M200" s="9" t="n">
        <x:f>2*(Inputs!$C$9/(Inputs!$C$10^2))*A200</x:f>
        <x:v>0.08666666666666667</x:v>
      </x:c>
      <x:c r="N200" s="9" t="n">
        <x:f>M200*Inputs!$C$11</x:f>
        <x:v>0.3466666666666667</x:v>
      </x:c>
      <x:c r="O200" s="9" t="n">
        <x:f>1000*(D201-D199)/(A201-A199)*Inputs!$C$11</x:f>
        <x:v>828.5962016493613</x:v>
      </x:c>
      <x:c r="P200" s="9" t="n">
        <x:f>-2*O200/Inputs!$C$13</x:f>
        <x:v>-331.4384806597445</x:v>
      </x:c>
      <x:c r="Q200" s="9" t="n">
        <x:f>-2*O200/Inputs!$C$14</x:f>
        <x:v>-49.76553763659828</x:v>
      </x:c>
      <x:c r="R200" s="9" t="n">
        <x:f>F200-Inputs!$C$16/2</x:f>
        <x:v>1863.9394139868214</x:v>
      </x:c>
      <x:c r="S200" s="9" t="n">
        <x:f>F200+Inputs!$C$16/2</x:f>
        <x:v>1893.9394139868214</x:v>
      </x:c>
      <x:c r="T200" s="9" t="n">
        <x:f>F200-Inputs!$C$17/2</x:f>
        <x:v>1728.9394139868214</x:v>
      </x:c>
      <x:c r="U200" s="9" t="n">
        <x:f>F200+Inputs!$C$17/2</x:f>
        <x:v>2028.9394139868214</x:v>
      </x:c>
      <x:c r="V200" s="9">
        <x:f t="shared" si="62"/>
        <x:v>331.43848065974453</x:v>
      </x:c>
      <x:c r="W200" s="9">
        <x:f t="shared" si="63"/>
        <x:v>49.765537636598282</x:v>
      </x:c>
      <x:c r="X200" s="9"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x:f>
        <x:v>82.75771702731363</x:v>
      </x:c>
      <x:c r="Y200" s="9"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x:f>
        <x:v>302.8435496777789</x:v>
      </x:c>
      <x:c r="Z200" s="9">
        <x:f t="shared" si="64"/>
        <x:v>401.60724228297266</x:v>
      </x:c>
      <x:c r="AA200" s="9" t="n">
        <x:f>SQRT((Inputs!$C$52+B200)^2+(Inputs!$C$52+Y200/1000)^2-2*(Inputs!$C$52+B200)*(Inputs!$C$52+Y200/1000)*COS(SQRT(A200^2+Inputs!$C$6^2)/Inputs!$C$52))</x:f>
        <x:v>404.73481789490097</x:v>
      </x:c>
      <x:c r="AB200" s="9">
        <x:f t="shared" si="65"/>
        <x:v>3127.5756119283074</x:v>
      </x:c>
      <x:c r="AC200" s="9" t="n">
        <x:f>AB200/Inputs!$C$12</x:f>
        <x:v>1757.064950521521</x:v>
      </x:c>
      <x:c r="AD200" s="9" t="n">
        <x:f>2*AB200/Inputs!$C$21*1000000</x:f>
        <x:v>20.86493858313345</x:v>
      </x:c>
      <x:c r="AE200" s="9">
        <x:f t="shared" si="66"/>
        <x:v>6.5834993674439071</x:v>
      </x:c>
      <x:c r="AF200" s="9" t="n">
        <x:f>DEGREES((2*PI()/Inputs!$C$13)*Inputs!$C$15*SIN(RADIANS(AE200)))</x:f>
        <x:v>41.27438301961188</x:v>
      </x:c>
      <x:c r="AG200" s="9">
        <x:f t="shared" si="67"/>
        <x:v>0.96944656589844536</x:v>
      </x:c>
      <x:c r="AH200" s="9">
        <x:f t="shared" si="68"/>
        <x:v>-0.13476123434144838</x:v>
      </x:c>
      <x:c r="AI200" s="9">
        <x:f t="shared" si="69"/>
        <x:v>-121.87446346530032</x:v>
      </x:c>
      <x:c r="AJ200" s="9">
        <x:f t="shared" si="70"/>
        <x:v>-1.4472448467548489</x:v>
      </x:c>
      <x:c r="AK200" s="9">
        <x:f t="shared" si="71"/>
        <x:v>220.08583265046531</x:v>
      </x:c>
      <x:c r="AL200" s="9" t="n">
        <x:f>1000*(AA201-AA199)/(A201-A199)*Inputs!$C$11</x:f>
        <x:v>877.5477287108515</x:v>
      </x:c>
      <x:c r="AM200" s="9" t="n">
        <x:f>-2*AL200/Inputs!$C$13</x:f>
        <x:v>-351.0190914843406</x:v>
      </x:c>
      <x:c r="AN200" s="9" t="n">
        <x:f>-2*AL200/Inputs!$C$14</x:f>
        <x:v>-52.705569291943036</x:v>
      </x:c>
      <x:c r="AO200" s="9">
        <x:f t="shared" si="72"/>
        <x:v>351.01909148434061</x:v>
      </x:c>
      <x:c r="AP200" s="9">
        <x:f t="shared" si="73"/>
        <x:v>52.705569291943036</x:v>
      </x:c>
      <x:c r="AQ200" s="9" t="n">
        <x:f>IF(OR(Inputs!$C$27=TRUE,Inputs!$C$27="TRUE",Inputs!$C$27=1),Inputs!$C$46/Inputs!$C$12,0)</x:f>
        <x:v>42.13483146067416</x:v>
      </x:c>
      <x:c r="AR200" s="9">
        <x:f t="shared" si="74"/>
        <x:v>1714.9301190608469</x:v>
      </x:c>
      <x:c r="AS200" s="9">
        <x:f t="shared" si="75"/>
        <x:v>1799.1997819821952</x:v>
      </x:c>
    </x:row>
    <x:row r="201">
      <x:c r="A201" s="9" t="n">
        <x:f>Inputs!$C$7+199*(Inputs!$C$8-Inputs!$C$7)/240</x:f>
        <x:v>39.5</x:v>
      </x:c>
      <x:c r="B201" s="9" t="n">
        <x:f>Inputs!$C$5+Inputs!$C$9*(A201/Inputs!$C$10)^2</x:f>
        <x:v>401.7336111111111</x:v>
      </x:c>
      <x:c r="C201" s="9">
        <x:f t="shared" si="57"/>
        <x:v>401.73361111111109</x:v>
      </x:c>
      <x:c r="D201" s="9" t="n">
        <x:f>SQRT((Inputs!$C$52+B201)^2+Inputs!$C$52^2-2*(Inputs!$C$52+B201)*Inputs!$C$52*COS(SQRT(A201^2+Inputs!$C$6^2)/Inputs!$C$52))</x:f>
        <x:v>405.1387409525876</x:v>
      </x:c>
      <x:c r="E201" s="9">
        <x:f t="shared" si="58"/>
        <x:v>3405.129841476537</x:v>
      </x:c>
      <x:c r="F201" s="9" t="n">
        <x:f>E201/Inputs!$C$12</x:f>
        <x:v>1912.9942929643466</x:v>
      </x:c>
      <x:c r="G201" s="9" t="n">
        <x:f>2*E201/Inputs!$C$21*1000000</x:f>
        <x:v>22.716581092086958</x:v>
      </x:c>
      <x:c r="H201" s="9" t="n">
        <x:f>SQRT(A201^2+Inputs!$C$6^2)</x:f>
        <x:v>46.74665763453041</x:v>
      </x:c>
      <x:c r="I201" s="9">
        <x:f t="shared" si="59"/>
        <x:v>6.6372211939086254</x:v>
      </x:c>
      <x:c r="J201" s="9" t="n">
        <x:f>DEGREES((2*PI()/Inputs!$C$13)*Inputs!$C$15*SIN(RADIANS(I201)))</x:f>
        <x:v>41.609683192895545</x:v>
      </x:c>
      <x:c r="K201" s="9">
        <x:f t="shared" si="60"/>
        <x:v>0.96680208395170664</x:v>
      </x:c>
      <x:c r="L201" s="9">
        <x:f t="shared" si="61"/>
        <x:v>-0.1466242213721376</x:v>
      </x:c>
      <x:c r="M201" s="9" t="n">
        <x:f>2*(Inputs!$C$9/(Inputs!$C$10^2))*A201</x:f>
        <x:v>0.08777777777777777</x:v>
      </x:c>
      <x:c r="N201" s="9" t="n">
        <x:f>M201*Inputs!$C$11</x:f>
        <x:v>0.3511111111111111</x:v>
      </x:c>
      <x:c r="O201" s="9" t="n">
        <x:f>1000*(D202-D200)/(A202-A200)*Inputs!$C$11</x:f>
        <x:v>839.0615967759913</x:v>
      </x:c>
      <x:c r="P201" s="9" t="n">
        <x:f>-2*O201/Inputs!$C$13</x:f>
        <x:v>-335.62463871039654</x:v>
      </x:c>
      <x:c r="Q201" s="9" t="n">
        <x:f>-2*O201/Inputs!$C$14</x:f>
        <x:v>-50.39408989645594</x:v>
      </x:c>
      <x:c r="R201" s="9" t="n">
        <x:f>F201-Inputs!$C$16/2</x:f>
        <x:v>1897.9942929643466</x:v>
      </x:c>
      <x:c r="S201" s="9" t="n">
        <x:f>F201+Inputs!$C$16/2</x:f>
        <x:v>1927.9942929643466</x:v>
      </x:c>
      <x:c r="T201" s="9" t="n">
        <x:f>F201-Inputs!$C$17/2</x:f>
        <x:v>1762.9942929643466</x:v>
      </x:c>
      <x:c r="U201" s="9" t="n">
        <x:f>F201+Inputs!$C$17/2</x:f>
        <x:v>2062.9942929643466</x:v>
      </x:c>
      <x:c r="V201" s="9">
        <x:f t="shared" si="62"/>
        <x:v>335.62463871039654</x:v>
      </x:c>
      <x:c r="W201" s="9">
        <x:f t="shared" si="63"/>
        <x:v>50.394089896455938</x:v>
      </x:c>
      <x:c r="X201" s="9"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x:f>
        <x:v>76.31271490051972</x:v>
      </x:c>
      <x:c r="Y201" s="9"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x:f>
        <x:v>298.92940490783735</x:v>
      </x:c>
      <x:c r="Z201" s="9">
        <x:f t="shared" si="64"/>
        <x:v>401.65729839621059</x:v>
      </x:c>
      <x:c r="AA201" s="9" t="n">
        <x:f>SQRT((Inputs!$C$52+B201)^2+(Inputs!$C$52+Y201/1000)^2-2*(Inputs!$C$52+B201)*(Inputs!$C$52+Y201/1000)*COS(SQRT(A201^2+Inputs!$C$6^2)/Inputs!$C$52))</x:f>
        <x:v>404.8429757471394</x:v>
      </x:c>
      <x:c r="AB201" s="9">
        <x:f t="shared" si="65"/>
        <x:v>3185.6773509288132</x:v>
      </x:c>
      <x:c r="AC201" s="9" t="n">
        <x:f>AB201/Inputs!$C$12</x:f>
        <x:v>1789.7063769262995</x:v>
      </x:c>
      <x:c r="AD201" s="9" t="n">
        <x:f>2*AB201/Inputs!$C$21*1000000</x:f>
        <x:v>21.25255166311631</x:v>
      </x:c>
      <x:c r="AE201" s="9">
        <x:f t="shared" si="66"/>
        <x:v>6.6421194724658417</x:v>
      </x:c>
      <x:c r="AF201" s="9" t="n">
        <x:f>DEGREES((2*PI()/Inputs!$C$13)*Inputs!$C$15*SIN(RADIANS(AE201)))</x:f>
        <x:v>41.64025356319031</x:v>
      </x:c>
      <x:c r="AG201" s="9">
        <x:f t="shared" si="67"/>
        <x:v>0.9688938907798772</x:v>
      </x:c>
      <x:c r="AH201" s="9">
        <x:f t="shared" si="68"/>
        <x:v>-0.1372378246634105</x:v>
      </x:c>
      <x:c r="AI201" s="9">
        <x:f t="shared" si="69"/>
        <x:v>-123.28791603804711</x:v>
      </x:c>
      <x:c r="AJ201" s="9">
        <x:f t="shared" si="70"/>
        <x:v>-1.4640294289706475</x:v>
      </x:c>
      <x:c r="AK201" s="9">
        <x:f t="shared" si="71"/>
        <x:v>222.61669000726852</x:v>
      </x:c>
      <x:c r="AL201" s="9" t="n">
        <x:f>1000*(AA202-AA200)/(A202-A200)*Inputs!$C$11</x:f>
        <x:v>831.6900835675369</x:v>
      </x:c>
      <x:c r="AM201" s="9" t="n">
        <x:f>-2*AL201/Inputs!$C$13</x:f>
        <x:v>-332.6760334270148</x:v>
      </x:c>
      <x:c r="AN201" s="9" t="n">
        <x:f>-2*AL201/Inputs!$C$14</x:f>
        <x:v>-49.951356370422644</x:v>
      </x:c>
      <x:c r="AO201" s="9">
        <x:f t="shared" si="72"/>
        <x:v>332.67603342701477</x:v>
      </x:c>
      <x:c r="AP201" s="9">
        <x:f t="shared" si="73"/>
        <x:v>49.951356370422644</x:v>
      </x:c>
      <x:c r="AQ201" s="9" t="n">
        <x:f>IF(OR(Inputs!$C$27=TRUE,Inputs!$C$27="TRUE",Inputs!$C$27=1),Inputs!$C$46/Inputs!$C$12,0)</x:f>
        <x:v>42.13483146067416</x:v>
      </x:c>
      <x:c r="AR201" s="9">
        <x:f t="shared" si="74"/>
        <x:v>1747.5715454656254</x:v>
      </x:c>
      <x:c r="AS201" s="9">
        <x:f t="shared" si="75"/>
        <x:v>1831.8412083869737</x:v>
      </x:c>
    </x:row>
    <x:row r="202">
      <x:c r="A202" s="9" t="n">
        <x:f>Inputs!$C$7+200*(Inputs!$C$8-Inputs!$C$7)/240</x:f>
        <x:v>40</x:v>
      </x:c>
      <x:c r="B202" s="9" t="n">
        <x:f>Inputs!$C$5+Inputs!$C$9*(A202/Inputs!$C$10)^2</x:f>
        <x:v>401.77777777777777</x:v>
      </x:c>
      <x:c r="C202" s="9">
        <x:f t="shared" si="57"/>
        <x:v>401.77777777777777</x:v>
      </x:c>
      <x:c r="D202" s="9" t="n">
        <x:f>SQRT((Inputs!$C$52+B202)^2+Inputs!$C$52^2-2*(Inputs!$C$52+B202)*Inputs!$C$52*COS(SQRT(A202^2+Inputs!$C$6^2)/Inputs!$C$52))</x:f>
        <x:v>405.24427755609054</x:v>
      </x:c>
      <x:c r="E202" s="9">
        <x:f t="shared" si="58"/>
        <x:v>3466.499778312766</x:v>
      </x:c>
      <x:c r="F202" s="9" t="n">
        <x:f>E202/Inputs!$C$12</x:f>
        <x:v>1947.4717855689696</x:v>
      </x:c>
      <x:c r="G202" s="9" t="n">
        <x:f>2*E202/Inputs!$C$21*1000000</x:f>
        <x:v>23.12599724114985</x:v>
      </x:c>
      <x:c r="H202" s="9" t="n">
        <x:f>SQRT(A202^2+Inputs!$C$6^2)</x:f>
        <x:v>47.16990566028302</x:v>
      </x:c>
      <x:c r="I202" s="9">
        <x:f t="shared" si="59"/>
        <x:v>6.6960422614565118</x:v>
      </x:c>
      <x:c r="J202" s="9" t="n">
        <x:f>DEGREES((2*PI()/Inputs!$C$13)*Inputs!$C$15*SIN(RADIANS(I202)))</x:f>
        <x:v>41.976767877765525</x:v>
      </x:c>
      <x:c r="K202" s="9">
        <x:f t="shared" si="60"/>
        <x:v>0.96622014026175418</x:v>
      </x:c>
      <x:c r="L202" s="9">
        <x:f t="shared" si="61"/>
        <x:v>-0.14923914155044041</x:v>
      </x:c>
      <x:c r="M202" s="9" t="n">
        <x:f>2*(Inputs!$C$9/(Inputs!$C$10^2))*A202</x:f>
        <x:v>0.08888888888888889</x:v>
      </x:c>
      <x:c r="N202" s="9" t="n">
        <x:f>M202*Inputs!$C$11</x:f>
        <x:v>0.35555555555555557</x:v>
      </x:c>
      <x:c r="O202" s="9" t="n">
        <x:f>1000*(D203-D201)/(A203-A201)*Inputs!$C$11</x:f>
        <x:v>849.5210931248494</x:v>
      </x:c>
      <x:c r="P202" s="9" t="n">
        <x:f>-2*O202/Inputs!$C$13</x:f>
        <x:v>-339.80843724993974</x:v>
      </x:c>
      <x:c r="Q202" s="9" t="n">
        <x:f>-2*O202/Inputs!$C$14</x:f>
        <x:v>-51.02228787536633</x:v>
      </x:c>
      <x:c r="R202" s="9" t="n">
        <x:f>F202-Inputs!$C$16/2</x:f>
        <x:v>1932.4717855689696</x:v>
      </x:c>
      <x:c r="S202" s="9" t="n">
        <x:f>F202+Inputs!$C$16/2</x:f>
        <x:v>1962.4717855689696</x:v>
      </x:c>
      <x:c r="T202" s="9" t="n">
        <x:f>F202-Inputs!$C$17/2</x:f>
        <x:v>1797.4717855689696</x:v>
      </x:c>
      <x:c r="U202" s="9" t="n">
        <x:f>F202+Inputs!$C$17/2</x:f>
        <x:v>2097.4717855689696</x:v>
      </x:c>
      <x:c r="V202" s="9">
        <x:f t="shared" si="62"/>
        <x:v>339.80843724993974</x:v>
      </x:c>
      <x:c r="W202" s="9">
        <x:f t="shared" si="63"/>
        <x:v>51.022287875366331</x:v>
      </x:c>
      <x:c r="X202" s="9"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x:f>
        <x:v>66.26609020115302</x:v>
      </x:c>
      <x:c r="Y202" s="9"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x:f>
        <x:v>304.82117281231683</x:v>
      </x:c>
      <x:c r="Z202" s="9">
        <x:f t="shared" si="64"/>
        <x:v>401.7115116875766</x:v>
      </x:c>
      <x:c r="AA202" s="9" t="n">
        <x:f>SQRT((Inputs!$C$52+B202)^2+(Inputs!$C$52+Y202/1000)^2-2*(Inputs!$C$52+B202)*(Inputs!$C$52+Y202/1000)*COS(SQRT(A202^2+Inputs!$C$6^2)/Inputs!$C$52))</x:f>
        <x:v>404.94274041579285</x:v>
      </x:c>
      <x:c r="AB202" s="9">
        <x:f t="shared" si="65"/>
        <x:v>3231.2287282162515</x:v>
      </x:c>
      <x:c r="AC202" s="9" t="n">
        <x:f>AB202/Inputs!$C$12</x:f>
        <x:v>1815.2970383237368</x:v>
      </x:c>
      <x:c r="AD202" s="9" t="n">
        <x:f>2*AB202/Inputs!$C$21*1000000</x:f>
        <x:v>21.556437742114593</x:v>
      </x:c>
      <x:c r="AE202" s="9">
        <x:f t="shared" si="66"/>
        <x:v>6.7010800609249275</x:v>
      </x:c>
      <x:c r="AF202" s="9" t="n">
        <x:f>DEGREES((2*PI()/Inputs!$C$13)*Inputs!$C$15*SIN(RADIANS(AE202)))</x:f>
        <x:v>42.008205225736646</x:v>
      </x:c>
      <x:c r="AG202" s="9">
        <x:f t="shared" si="67"/>
        <x:v>0.96846212073573557</x:v>
      </x:c>
      <x:c r="AH202" s="9">
        <x:f t="shared" si="68"/>
        <x:v>-0.13917361085460939</x:v>
      </x:c>
      <x:c r="AI202" s="9">
        <x:f t="shared" si="69"/>
        <x:v>-132.17474724523277</x:v>
      </x:c>
      <x:c r="AJ202" s="9">
        <x:f t="shared" si="70"/>
        <x:v>-1.5695594990352575</x:v>
      </x:c>
      <x:c r="AK202" s="9">
        <x:f t="shared" si="71"/>
        <x:v>238.55508261111476</x:v>
      </x:c>
      <x:c r="AL202" s="9" t="n">
        <x:f>1000*(AA203-AA201)/(A203-A201)*Inputs!$C$11</x:f>
        <x:v>842.9794297849185</x:v>
      </x:c>
      <x:c r="AM202" s="9" t="n">
        <x:f>-2*AL202/Inputs!$C$13</x:f>
        <x:v>-337.1917719139674</x:v>
      </x:c>
      <x:c r="AN202" s="9" t="n">
        <x:f>-2*AL202/Inputs!$C$14</x:f>
        <x:v>-50.62939518227739</x:v>
      </x:c>
      <x:c r="AO202" s="9">
        <x:f t="shared" si="72"/>
        <x:v>337.19177191396739</x:v>
      </x:c>
      <x:c r="AP202" s="9">
        <x:f t="shared" si="73"/>
        <x:v>50.629395182277392</x:v>
      </x:c>
      <x:c r="AQ202" s="9" t="n">
        <x:f>IF(OR(Inputs!$C$27=TRUE,Inputs!$C$27="TRUE",Inputs!$C$27=1),Inputs!$C$46/Inputs!$C$12,0)</x:f>
        <x:v>42.13483146067416</x:v>
      </x:c>
      <x:c r="AR202" s="9">
        <x:f t="shared" si="74"/>
        <x:v>1773.1622068630627</x:v>
      </x:c>
      <x:c r="AS202" s="9">
        <x:f t="shared" si="75"/>
        <x:v>1857.431869784411</x:v>
      </x:c>
    </x:row>
    <x:row r="203">
      <x:c r="A203" s="9" t="n">
        <x:f>Inputs!$C$7+201*(Inputs!$C$8-Inputs!$C$7)/240</x:f>
        <x:v>40.5</x:v>
      </x:c>
      <x:c r="B203" s="9" t="n">
        <x:f>Inputs!$C$5+Inputs!$C$9*(A203/Inputs!$C$10)^2</x:f>
        <x:v>401.8225</x:v>
      </x:c>
      <x:c r="C203" s="9">
        <x:f t="shared" si="57"/>
        <x:v>401.82249999999999</x:v>
      </x:c>
      <x:c r="D203" s="9" t="n">
        <x:f>SQRT((Inputs!$C$52+B203)^2+Inputs!$C$52^2-2*(Inputs!$C$52+B203)*Inputs!$C$52*COS(SQRT(A203^2+Inputs!$C$6^2)/Inputs!$C$52))</x:f>
        <x:v>405.35112122586884</x:v>
      </x:c>
      <x:c r="E203" s="9">
        <x:f t="shared" si="58"/>
        <x:v>3528.6212258688465</x:v>
      </x:c>
      <x:c r="F203" s="9" t="n">
        <x:f>E203/Inputs!$C$12</x:f>
        <x:v>1982.3714752072171</x:v>
      </x:c>
      <x:c r="G203" s="9" t="n">
        <x:f>2*E203/Inputs!$C$21*1000000</x:f>
        <x:v>23.540426930078716</x:v>
      </x:c>
      <x:c r="H203" s="9" t="n">
        <x:f>SQRT(A203^2+Inputs!$C$6^2)</x:f>
        <x:v>47.59464255564905</x:v>
      </x:c>
      <x:c r="I203" s="9">
        <x:f t="shared" si="59"/>
        <x:v>6.7550363346833162</x:v>
      </x:c>
      <x:c r="J203" s="9" t="n">
        <x:f>DEGREES((2*PI()/Inputs!$C$13)*Inputs!$C$15*SIN(RADIANS(I203)))</x:f>
        <x:v>42.34488780209607</x:v>
      </x:c>
      <x:c r="K203" s="9">
        <x:f t="shared" si="60"/>
        <x:v>0.96563164756913622</x:v>
      </x:c>
      <x:c r="L203" s="9">
        <x:f t="shared" si="61"/>
        <x:v>-0.15188509129213362</x:v>
      </x:c>
      <x:c r="M203" s="9" t="n">
        <x:f>2*(Inputs!$C$9/(Inputs!$C$10^2))*A203</x:f>
        <x:v>0.09</x:v>
      </x:c>
      <x:c r="N203" s="9" t="n">
        <x:f>M203*Inputs!$C$11</x:f>
        <x:v>0.36</x:v>
      </x:c>
      <x:c r="O203" s="9" t="n">
        <x:f>1000*(D204-D202)/(A204-A202)*Inputs!$C$11</x:f>
        <x:v>859.9746238114676</x:v>
      </x:c>
      <x:c r="P203" s="9" t="n">
        <x:f>-2*O203/Inputs!$C$13</x:f>
        <x:v>-343.98984952458704</x:v>
      </x:c>
      <x:c r="Q203" s="9" t="n">
        <x:f>-2*O203/Inputs!$C$14</x:f>
        <x:v>-51.65012755624431</x:v>
      </x:c>
      <x:c r="R203" s="9" t="n">
        <x:f>F203-Inputs!$C$16/2</x:f>
        <x:v>1967.3714752072171</x:v>
      </x:c>
      <x:c r="S203" s="9" t="n">
        <x:f>F203+Inputs!$C$16/2</x:f>
        <x:v>1997.3714752072171</x:v>
      </x:c>
      <x:c r="T203" s="9" t="n">
        <x:f>F203-Inputs!$C$17/2</x:f>
        <x:v>1832.3714752072171</x:v>
      </x:c>
      <x:c r="U203" s="9" t="n">
        <x:f>F203+Inputs!$C$17/2</x:f>
        <x:v>2132.3714752072174</x:v>
      </x:c>
      <x:c r="V203" s="9">
        <x:f t="shared" si="62"/>
        <x:v>343.98984952458704</x:v>
      </x:c>
      <x:c r="W203" s="9">
        <x:f t="shared" si="63"/>
        <x:v>51.650127556244307</x:v>
      </x:c>
      <x:c r="X203" s="9"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x:f>
        <x:v>60.152205166209214</x:v>
      </x:c>
      <x:c r="Y203" s="9"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x:f>
        <x:v>300.6975060152245</x:v>
      </x:c>
      <x:c r="Z203" s="9">
        <x:f t="shared" si="64"/>
        <x:v>401.76234779483377</x:v>
      </x:c>
      <x:c r="AA203" s="9" t="n">
        <x:f>SQRT((Inputs!$C$52+B203)^2+(Inputs!$C$52+Y203/1000)^2-2*(Inputs!$C$52+B203)*(Inputs!$C$52+Y203/1000)*COS(SQRT(A203^2+Inputs!$C$6^2)/Inputs!$C$52))</x:f>
        <x:v>405.05372060458564</x:v>
      </x:c>
      <x:c r="AB203" s="9">
        <x:f t="shared" si="65"/>
        <x:v>3291.3728097518629</x:v>
      </x:c>
      <x:c r="AC203" s="9" t="n">
        <x:f>AB203/Inputs!$C$12</x:f>
        <x:v>1849.0858481752039</x:v>
      </x:c>
      <x:c r="AD203" s="9" t="n">
        <x:f>2*AB203/Inputs!$C$21*1000000</x:f>
        <x:v>21.95767586489359</x:v>
      </x:c>
      <x:c r="AE203" s="9">
        <x:f t="shared" si="66"/>
        <x:v>6.7600483452562825</x:v>
      </x:c>
      <x:c r="AF203" s="9" t="n">
        <x:f>DEGREES((2*PI()/Inputs!$C$13)*Inputs!$C$15*SIN(RADIANS(AE203)))</x:f>
        <x:v>42.37616042182354</x:v>
      </x:c>
      <x:c r="AG203" s="9">
        <x:f t="shared" si="67"/>
        <x:v>0.96789095248152945</x:v>
      </x:c>
      <x:c r="AH203" s="9">
        <x:f t="shared" si="68"/>
        <x:v>-0.14173569761105143</x:v>
      </x:c>
      <x:c r="AI203" s="9">
        <x:f t="shared" si="69"/>
        <x:v>-133.28562703201328</x:v>
      </x:c>
      <x:c r="AJ203" s="9">
        <x:f t="shared" si="70"/>
        <x:v>-1.5827510651851249</x:v>
      </x:c>
      <x:c r="AK203" s="9">
        <x:f t="shared" si="71"/>
        <x:v>240.54530084891707</x:v>
      </x:c>
      <x:c r="AL203" s="9" t="n">
        <x:f>1000*(AA204-AA202)/(A204-A202)*Inputs!$C$11</x:f>
        <x:v>972.2361430960973</x:v>
      </x:c>
      <x:c r="AM203" s="9" t="n">
        <x:f>-2*AL203/Inputs!$C$13</x:f>
        <x:v>-388.8944572384389</x:v>
      </x:c>
      <x:c r="AN203" s="9" t="n">
        <x:f>-2*AL203/Inputs!$C$14</x:f>
        <x:v>-58.392561146912755</x:v>
      </x:c>
      <x:c r="AO203" s="9">
        <x:f t="shared" si="72"/>
        <x:v>388.89445723843892</x:v>
      </x:c>
      <x:c r="AP203" s="9">
        <x:f t="shared" si="73"/>
        <x:v>58.392561146912755</x:v>
      </x:c>
      <x:c r="AQ203" s="9" t="n">
        <x:f>IF(OR(Inputs!$C$27=TRUE,Inputs!$C$27="TRUE",Inputs!$C$27=1),Inputs!$C$46/Inputs!$C$12,0)</x:f>
        <x:v>42.13483146067416</x:v>
      </x:c>
      <x:c r="AR203" s="9">
        <x:f t="shared" si="74"/>
        <x:v>1806.9510167145297</x:v>
      </x:c>
      <x:c r="AS203" s="9">
        <x:f t="shared" si="75"/>
        <x:v>1891.220679635878</x:v>
      </x:c>
    </x:row>
    <x:row r="204">
      <x:c r="A204" s="9" t="n">
        <x:f>Inputs!$C$7+202*(Inputs!$C$8-Inputs!$C$7)/240</x:f>
        <x:v>41</x:v>
      </x:c>
      <x:c r="B204" s="9" t="n">
        <x:f>Inputs!$C$5+Inputs!$C$9*(A204/Inputs!$C$10)^2</x:f>
        <x:v>401.8677777777778</x:v>
      </x:c>
      <x:c r="C204" s="9">
        <x:f t="shared" si="57"/>
        <x:v>401.8677777777778</x:v>
      </x:c>
      <x:c r="D204" s="9" t="n">
        <x:f>SQRT((Inputs!$C$52+B204)^2+Inputs!$C$52^2-2*(Inputs!$C$52+B204)*Inputs!$C$52*COS(SQRT(A204^2+Inputs!$C$6^2)/Inputs!$C$52))</x:f>
        <x:v>405.4592712120434</x:v>
      </x:c>
      <x:c r="E204" s="9">
        <x:f t="shared" si="58"/>
        <x:v>3591.4934342656011</x:v>
      </x:c>
      <x:c r="F204" s="9" t="n">
        <x:f>E204/Inputs!$C$12</x:f>
        <x:v>2017.6929405986523</x:v>
      </x:c>
      <x:c r="G204" s="9" t="n">
        <x:f>2*E204/Inputs!$C$21*1000000</x:f>
        <x:v>23.95986515621818</x:v>
      </x:c>
      <x:c r="H204" s="9" t="n">
        <x:f>SQRT(A204^2+Inputs!$C$6^2)</x:f>
        <x:v>48.02082881417188</x:v>
      </x:c>
      <x:c r="I204" s="9">
        <x:f t="shared" si="59"/>
        <x:v>6.8141972969973379</x:v>
      </x:c>
      <x:c r="J204" s="9" t="n">
        <x:f>DEGREES((2*PI()/Inputs!$C$13)*Inputs!$C$15*SIN(RADIANS(I204)))</x:f>
        <x:v>42.71400402217685</x:v>
      </x:c>
      <x:c r="K204" s="9">
        <x:f t="shared" si="60"/>
        <x:v>0.96503663334071799</x:v>
      </x:c>
      <x:c r="L204" s="9">
        <x:f t="shared" si="61"/>
        <x:v>-0.15456200277187909</x:v>
      </x:c>
      <x:c r="M204" s="9" t="n">
        <x:f>2*(Inputs!$C$9/(Inputs!$C$10^2))*A204</x:f>
        <x:v>0.09111111111111111</x:v>
      </x:c>
      <x:c r="N204" s="9" t="n">
        <x:f>M204*Inputs!$C$11</x:f>
        <x:v>0.36444444444444446</x:v>
      </x:c>
      <x:c r="O204" s="9" t="n">
        <x:f>1000*(D205-D203)/(A205-A203)*Inputs!$C$11</x:f>
        <x:v>870.4221222078559</x:v>
      </x:c>
      <x:c r="P204" s="9" t="n">
        <x:f>-2*O204/Inputs!$C$13</x:f>
        <x:v>-348.16884888314235</x:v>
      </x:c>
      <x:c r="Q204" s="9" t="n">
        <x:f>-2*O204/Inputs!$C$14</x:f>
        <x:v>-52.27760493740877</x:v>
      </x:c>
      <x:c r="R204" s="9" t="n">
        <x:f>F204-Inputs!$C$16/2</x:f>
        <x:v>2002.6929405986523</x:v>
      </x:c>
      <x:c r="S204" s="9" t="n">
        <x:f>F204+Inputs!$C$16/2</x:f>
        <x:v>2032.6929405986523</x:v>
      </x:c>
      <x:c r="T204" s="9" t="n">
        <x:f>F204-Inputs!$C$17/2</x:f>
        <x:v>1867.6929405986523</x:v>
      </x:c>
      <x:c r="U204" s="9" t="n">
        <x:f>F204+Inputs!$C$17/2</x:f>
        <x:v>2167.692940598652</x:v>
      </x:c>
      <x:c r="V204" s="9">
        <x:f t="shared" si="62"/>
        <x:v>348.16884888314235</x:v>
      </x:c>
      <x:c r="W204" s="9">
        <x:f t="shared" si="63"/>
        <x:v>52.277604937408768</x:v>
      </x:c>
      <x:c r="X204" s="9"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x:f>
        <x:v>52.60933898915909</x:v>
      </x:c>
      <x:c r="Y204" s="9"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x:f>
        <x:v>276.55710773836364</x:v>
      </x:c>
      <x:c r="Z204" s="9">
        <x:f t="shared" si="64"/>
        <x:v>401.81516843878865</x:v>
      </x:c>
      <x:c r="AA204" s="9" t="n">
        <x:f>SQRT((Inputs!$C$52+B204)^2+(Inputs!$C$52+Y204/1000)^2-2*(Inputs!$C$52+B204)*(Inputs!$C$52+Y204/1000)*COS(SQRT(A204^2+Inputs!$C$6^2)/Inputs!$C$52))</x:f>
        <x:v>405.1857994515669</x:v>
      </x:c>
      <x:c r="AB204" s="9">
        <x:f t="shared" si="65"/>
        <x:v>3370.6310127782331</x:v>
      </x:c>
      <x:c r="AC204" s="9" t="n">
        <x:f>AB204/Inputs!$C$12</x:f>
        <x:v>1893.6129285270972</x:v>
      </x:c>
      <x:c r="AD204" s="9" t="n">
        <x:f>2*AB204/Inputs!$C$21*1000000</x:f>
        <x:v>22.486429680484044</x:v>
      </x:c>
      <x:c r="AE204" s="9">
        <x:f t="shared" si="66"/>
        <x:v>6.8188457467044747</x:v>
      </x:c>
      <x:c r="AF204" s="9" t="n">
        <x:f>DEGREES((2*PI()/Inputs!$C$13)*Inputs!$C$15*SIN(RADIANS(AE204)))</x:f>
        <x:v>42.743004637762105</x:v>
      </x:c>
      <x:c r="AG204" s="9">
        <x:f t="shared" si="67"/>
        <x:v>0.967137992167864</x:v>
      </x:c>
      <x:c r="AH204" s="9">
        <x:f t="shared" si="68"/>
        <x:v>-0.14511555946506494</x:v>
      </x:c>
      <x:c r="AI204" s="9">
        <x:f t="shared" si="69"/>
        <x:v>-124.08001207155507</x:v>
      </x:c>
      <x:c r="AJ204" s="9">
        <x:f t="shared" si="70"/>
        <x:v>-1.473435475734135</x:v>
      </x:c>
      <x:c r="AK204" s="9">
        <x:f t="shared" si="71"/>
        <x:v>223.94776874910633</x:v>
      </x:c>
      <x:c r="AL204" s="9" t="n">
        <x:f>1000*(AA205-AA203)/(A205-A203)*Inputs!$C$11</x:f>
        <x:v>995.3859946210741</x:v>
      </x:c>
      <x:c r="AM204" s="9" t="n">
        <x:f>-2*AL204/Inputs!$C$13</x:f>
        <x:v>-398.15439784842965</x:v>
      </x:c>
      <x:c r="AN204" s="9" t="n">
        <x:f>-2*AL204/Inputs!$C$14</x:f>
        <x:v>-59.78294261988434</x:v>
      </x:c>
      <x:c r="AO204" s="9">
        <x:f t="shared" si="72"/>
        <x:v>398.15439784842965</x:v>
      </x:c>
      <x:c r="AP204" s="9">
        <x:f t="shared" si="73"/>
        <x:v>59.782942619884338</x:v>
      </x:c>
      <x:c r="AQ204" s="9" t="n">
        <x:f>IF(OR(Inputs!$C$27=TRUE,Inputs!$C$27="TRUE",Inputs!$C$27=1),Inputs!$C$46/Inputs!$C$12,0)</x:f>
        <x:v>42.13483146067416</x:v>
      </x:c>
      <x:c r="AR204" s="9">
        <x:f t="shared" si="74"/>
        <x:v>1851.4780970664231</x:v>
      </x:c>
      <x:c r="AS204" s="9">
        <x:f t="shared" si="75"/>
        <x:v>1935.7477599877714</x:v>
      </x:c>
    </x:row>
    <x:row r="205">
      <x:c r="A205" s="9" t="n">
        <x:f>Inputs!$C$7+203*(Inputs!$C$8-Inputs!$C$7)/240</x:f>
        <x:v>41.5</x:v>
      </x:c>
      <x:c r="B205" s="9" t="n">
        <x:f>Inputs!$C$5+Inputs!$C$9*(A205/Inputs!$C$10)^2</x:f>
        <x:v>401.9136111111111</x:v>
      </x:c>
      <x:c r="C205" s="9">
        <x:f t="shared" si="57"/>
        <x:v>401.91361111111109</x:v>
      </x:c>
      <x:c r="D205" s="9" t="n">
        <x:f>SQRT((Inputs!$C$52+B205)^2+Inputs!$C$52^2-2*(Inputs!$C$52+B205)*Inputs!$C$52*COS(SQRT(A205^2+Inputs!$C$6^2)/Inputs!$C$52))</x:f>
        <x:v>405.5687267564208</x:v>
      </x:c>
      <x:c r="E205" s="9">
        <x:f t="shared" si="58"/>
        <x:v>3655.1156453097065</x:v>
      </x:c>
      <x:c r="F205" s="9" t="n">
        <x:f>E205/Inputs!$C$12</x:f>
        <x:v>2053.4357557919698</x:v>
      </x:c>
      <x:c r="G205" s="9" t="n">
        <x:f>2*E205/Inputs!$C$21*1000000</x:f>
        <x:v>24.384306861446838</x:v>
      </x:c>
      <x:c r="H205" s="9" t="n">
        <x:f>SQRT(A205^2+Inputs!$C$6^2)</x:f>
        <x:v>48.44842618702903</x:v>
      </x:c>
      <x:c r="I205" s="9">
        <x:f t="shared" si="59"/>
        <x:v>6.8735192129301588</x:v>
      </x:c>
      <x:c r="J205" s="9" t="n">
        <x:f>DEGREES((2*PI()/Inputs!$C$13)*Inputs!$C$15*SIN(RADIANS(I205)))</x:f>
        <x:v>43.0840787351217</x:v>
      </x:c>
      <x:c r="K205" s="9">
        <x:f t="shared" si="60"/>
        <x:v>0.96443512529826658</x:v>
      </x:c>
      <x:c r="L205" s="9">
        <x:f t="shared" si="61"/>
        <x:v>-0.15726980744380722</x:v>
      </x:c>
      <x:c r="M205" s="9" t="n">
        <x:f>2*(Inputs!$C$9/(Inputs!$C$10^2))*A205</x:f>
        <x:v>0.09222222222222222</x:v>
      </x:c>
      <x:c r="N205" s="9" t="n">
        <x:f>M205*Inputs!$C$11</x:f>
        <x:v>0.3688888888888889</x:v>
      </x:c>
      <x:c r="O205" s="9" t="n">
        <x:f>1000*(D206-D204)/(A206-A204)*Inputs!$C$11</x:f>
        <x:v>880.8635219918415</x:v>
      </x:c>
      <x:c r="P205" s="9" t="n">
        <x:f>-2*O205/Inputs!$C$13</x:f>
        <x:v>-352.3454087967366</x:v>
      </x:c>
      <x:c r="Q205" s="9" t="n">
        <x:f>-2*O205/Inputs!$C$14</x:f>
        <x:v>-52.90471603554604</x:v>
      </x:c>
      <x:c r="R205" s="9" t="n">
        <x:f>F205-Inputs!$C$16/2</x:f>
        <x:v>2038.4357557919698</x:v>
      </x:c>
      <x:c r="S205" s="9" t="n">
        <x:f>F205+Inputs!$C$16/2</x:f>
        <x:v>2068.4357557919698</x:v>
      </x:c>
      <x:c r="T205" s="9" t="n">
        <x:f>F205-Inputs!$C$17/2</x:f>
        <x:v>1903.4357557919698</x:v>
      </x:c>
      <x:c r="U205" s="9" t="n">
        <x:f>F205+Inputs!$C$17/2</x:f>
        <x:v>2203.4357557919698</x:v>
      </x:c>
      <x:c r="V205" s="9">
        <x:f t="shared" si="62"/>
        <x:v>352.34540879673659</x:v>
      </x:c>
      <x:c r="W205" s="9">
        <x:f t="shared" si="63"/>
        <x:v>52.904716035546038</x:v>
      </x:c>
      <x:c r="X205" s="9"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x:f>
        <x:v>58.38095189793533</x:v>
      </x:c>
      <x:c r="Y205" s="9"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x:f>
        <x:v>269.21554101681534</x:v>
      </x:c>
      <x:c r="Z205" s="9">
        <x:f t="shared" si="64"/>
        <x:v>401.85523015921314</x:v>
      </x:c>
      <x:c r="AA205" s="9" t="n">
        <x:f>SQRT((Inputs!$C$52+B205)^2+(Inputs!$C$52+Y205/1000)^2-2*(Inputs!$C$52+B205)*(Inputs!$C$52+Y205/1000)*COS(SQRT(A205^2+Inputs!$C$6^2)/Inputs!$C$52))</x:f>
        <x:v>405.3025671032409</x:v>
      </x:c>
      <x:c r="AB205" s="9">
        <x:f t="shared" si="65"/>
        <x:v>3447.3369440277679</x:v>
      </x:c>
      <x:c r="AC205" s="9" t="n">
        <x:f>AB205/Inputs!$C$12</x:f>
        <x:v>1936.7061483302066</x:v>
      </x:c>
      <x:c r="AD205" s="9" t="n">
        <x:f>2*AB205/Inputs!$C$21*1000000</x:f>
        <x:v>22.998156571555697</x:v>
      </x:c>
      <x:c r="AE205" s="9">
        <x:f t="shared" si="66"/>
        <x:v>6.8780822977133367</x:v>
      </x:c>
      <x:c r="AF205" s="9" t="n">
        <x:f>DEGREES((2*PI()/Inputs!$C$13)*Inputs!$C$15*SIN(RADIANS(AE205)))</x:f>
        <x:v>43.112543242479305</x:v>
      </x:c>
      <x:c r="AG205" s="9">
        <x:f t="shared" si="67"/>
        <x:v>0.96640925923158061</x:v>
      </x:c>
      <x:c r="AH205" s="9">
        <x:f t="shared" si="68"/>
        <x:v>-0.14838917698607496</x:v>
      </x:c>
      <x:c r="AI205" s="9">
        <x:f t="shared" si="69"/>
        <x:v>-116.72960746176318</x:v>
      </x:c>
      <x:c r="AJ205" s="9">
        <x:f t="shared" si="70"/>
        <x:v>-1.3861502898911411</x:v>
      </x:c>
      <x:c r="AK205" s="9">
        <x:f t="shared" si="71"/>
        <x:v>210.83458911887999</x:v>
      </x:c>
      <x:c r="AL205" s="9" t="n">
        <x:f>1000*(AA206-AA204)/(A206-A204)*Inputs!$C$11</x:f>
        <x:v>902.7699962027782</x:v>
      </x:c>
      <x:c r="AM205" s="9" t="n">
        <x:f>-2*AL205/Inputs!$C$13</x:f>
        <x:v>-361.1079984811113</x:v>
      </x:c>
      <x:c r="AN205" s="9" t="n">
        <x:f>-2*AL205/Inputs!$C$14</x:f>
        <x:v>-54.22042019235906</x:v>
      </x:c>
      <x:c r="AO205" s="9">
        <x:f t="shared" si="72"/>
        <x:v>361.10799848111128</x:v>
      </x:c>
      <x:c r="AP205" s="9">
        <x:f t="shared" si="73"/>
        <x:v>54.220420192359057</x:v>
      </x:c>
      <x:c r="AQ205" s="9" t="n">
        <x:f>IF(OR(Inputs!$C$27=TRUE,Inputs!$C$27="TRUE",Inputs!$C$27=1),Inputs!$C$46/Inputs!$C$12,0)</x:f>
        <x:v>42.13483146067416</x:v>
      </x:c>
      <x:c r="AR205" s="9">
        <x:f t="shared" si="74"/>
        <x:v>1894.5713168695324</x:v>
      </x:c>
      <x:c r="AS205" s="9">
        <x:f t="shared" si="75"/>
        <x:v>1978.8409797908807</x:v>
      </x:c>
    </x:row>
    <x:row r="206">
      <x:c r="A206" s="9" t="n">
        <x:f>Inputs!$C$7+204*(Inputs!$C$8-Inputs!$C$7)/240</x:f>
        <x:v>42</x:v>
      </x:c>
      <x:c r="B206" s="9" t="n">
        <x:f>Inputs!$C$5+Inputs!$C$9*(A206/Inputs!$C$10)^2</x:f>
        <x:v>401.96</x:v>
      </x:c>
      <x:c r="C206" s="9">
        <x:f t="shared" si="57"/>
        <x:v>401.96</x:v>
      </x:c>
      <x:c r="D206" s="9" t="n">
        <x:f>SQRT((Inputs!$C$52+B206)^2+Inputs!$C$52^2-2*(Inputs!$C$52+B206)*Inputs!$C$52*COS(SQRT(A206^2+Inputs!$C$6^2)/Inputs!$C$52))</x:f>
        <x:v>405.67948709254136</x:v>
      </x:c>
      <x:c r="E206" s="9">
        <x:f t="shared" si="58"/>
        <x:v>3719.4870925413852</x:v>
      </x:c>
      <x:c r="F206" s="9" t="n">
        <x:f>E206/Inputs!$C$12</x:f>
        <x:v>2089.5994901917893</x:v>
      </x:c>
      <x:c r="G206" s="9" t="n">
        <x:f>2*E206/Inputs!$C$21*1000000</x:f>
        <x:v>24.813746932495448</x:v>
      </x:c>
      <x:c r="H206" s="9" t="n">
        <x:f>SQRT(A206^2+Inputs!$C$6^2)</x:f>
        <x:v>48.877397639399746</x:v>
      </x:c>
      <x:c r="I206" s="9">
        <x:f t="shared" si="59"/>
        <x:v>6.9329963219162467</x:v>
      </x:c>
      <x:c r="J206" s="9" t="n">
        <x:f>DEGREES((2*PI()/Inputs!$C$13)*Inputs!$C$15*SIN(RADIANS(I206)))</x:f>
        <x:v>43.45507523985368</x:v>
      </x:c>
      <x:c r="K206" s="9">
        <x:f t="shared" si="60"/>
        <x:v>0.96382715141542996</x:v>
      </x:c>
      <x:c r="L206" s="9">
        <x:f t="shared" si="61"/>
        <x:v>-0.16000843604631027</x:v>
      </x:c>
      <x:c r="M206" s="9" t="n">
        <x:f>2*(Inputs!$C$9/(Inputs!$C$10^2))*A206</x:f>
        <x:v>0.09333333333333334</x:v>
      </x:c>
      <x:c r="N206" s="9" t="n">
        <x:f>M206*Inputs!$C$11</x:f>
        <x:v>0.37333333333333335</x:v>
      </x:c>
      <x:c r="O206" s="9" t="n">
        <x:f>1000*(D207-D205)/(A207-A205)*Inputs!$C$11</x:f>
        <x:v>891.298757131608</x:v>
      </x:c>
      <x:c r="P206" s="9" t="n">
        <x:f>-2*O206/Inputs!$C$13</x:f>
        <x:v>-356.5195028526432</x:v>
      </x:c>
      <x:c r="Q206" s="9" t="n">
        <x:f>-2*O206/Inputs!$C$14</x:f>
        <x:v>-53.531456884781264</x:v>
      </x:c>
      <x:c r="R206" s="9" t="n">
        <x:f>F206-Inputs!$C$16/2</x:f>
        <x:v>2074.5994901917893</x:v>
      </x:c>
      <x:c r="S206" s="9" t="n">
        <x:f>F206+Inputs!$C$16/2</x:f>
        <x:v>2104.5994901917893</x:v>
      </x:c>
      <x:c r="T206" s="9" t="n">
        <x:f>F206-Inputs!$C$17/2</x:f>
        <x:v>1939.5994901917893</x:v>
      </x:c>
      <x:c r="U206" s="9" t="n">
        <x:f>F206+Inputs!$C$17/2</x:f>
        <x:v>2239.5994901917893</x:v>
      </x:c>
      <x:c r="V206" s="9">
        <x:f t="shared" si="62"/>
        <x:v>356.5195028526432</x:v>
      </x:c>
      <x:c r="W206" s="9">
        <x:f t="shared" si="63"/>
        <x:v>53.531456884781264</x:v>
      </x:c>
      <x:c r="X206" s="9"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x:f>
        <x:v>34.52124211278962</x:v>
      </x:c>
      <x:c r="Y206" s="9"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x:f>
        <x:v>271.1262021129023</x:v>
      </x:c>
      <x:c r="Z206" s="9">
        <x:f t="shared" si="64"/>
        <x:v>401.92547875788716</x:v>
      </x:c>
      <x:c r="AA206" s="9" t="n">
        <x:f>SQRT((Inputs!$C$52+B206)^2+(Inputs!$C$52+Y206/1000)^2-2*(Inputs!$C$52+B206)*(Inputs!$C$52+Y206/1000)*COS(SQRT(A206^2+Inputs!$C$6^2)/Inputs!$C$52))</x:f>
        <x:v>405.4114919506176</x:v>
      </x:c>
      <x:c r="AB206" s="9">
        <x:f t="shared" si="65"/>
        <x:v>3486.013192730411</x:v>
      </x:c>
      <x:c r="AC206" s="9" t="n">
        <x:f>AB206/Inputs!$C$12</x:f>
        <x:v>1958.434377938433</x:v>
      </x:c>
      <x:c r="AD206" s="9" t="n">
        <x:f>2*AB206/Inputs!$C$21*1000000</x:f>
        <x:v>23.256176729638817</x:v>
      </x:c>
      <x:c r="AE206" s="9">
        <x:f t="shared" si="66"/>
        <x:v>6.9376302663516594</x:v>
      </x:c>
      <x:c r="AF206" s="9" t="n">
        <x:f>DEGREES((2*PI()/Inputs!$C$13)*Inputs!$C$15*SIN(RADIANS(AE206)))</x:f>
        <x:v>43.48397813334025</x:v>
      </x:c>
      <x:c r="AG206" s="9">
        <x:f t="shared" si="67"/>
        <x:v>0.96604627481651562</x:v>
      </x:c>
      <x:c r="AH206" s="9">
        <x:f t="shared" si="68"/>
        <x:v>-0.15002069841108154</x:v>
      </x:c>
      <x:c r="AI206" s="9">
        <x:f t="shared" si="69"/>
        <x:v>-131.16511225335626</x:v>
      </x:c>
      <x:c r="AJ206" s="9">
        <x:f t="shared" si="70"/>
        <x:v>-1.5575702028566312</x:v>
      </x:c>
      <x:c r="AK206" s="9">
        <x:f t="shared" si="71"/>
        <x:v>236.6049600001127</x:v>
      </x:c>
      <x:c r="AL206" s="9" t="n">
        <x:f>1000*(AA207-AA205)/(A207-A205)*Inputs!$C$11</x:f>
        <x:v>929.0367972541844</x:v>
      </x:c>
      <x:c r="AM206" s="9" t="n">
        <x:f>-2*AL206/Inputs!$C$13</x:f>
        <x:v>-371.61471890167377</x:v>
      </x:c>
      <x:c r="AN206" s="9" t="n">
        <x:f>-2*AL206/Inputs!$C$14</x:f>
        <x:v>-55.79800584109216</x:v>
      </x:c>
      <x:c r="AO206" s="9">
        <x:f t="shared" si="72"/>
        <x:v>371.61471890167377</x:v>
      </x:c>
      <x:c r="AP206" s="9">
        <x:f t="shared" si="73"/>
        <x:v>55.798005841092163</x:v>
      </x:c>
      <x:c r="AQ206" s="9" t="n">
        <x:f>IF(OR(Inputs!$C$27=TRUE,Inputs!$C$27="TRUE",Inputs!$C$27=1),Inputs!$C$46/Inputs!$C$12,0)</x:f>
        <x:v>42.13483146067416</x:v>
      </x:c>
      <x:c r="AR206" s="9">
        <x:f t="shared" si="74"/>
        <x:v>1916.2995464777589</x:v>
      </x:c>
      <x:c r="AS206" s="9">
        <x:f t="shared" si="75"/>
        <x:v>2000.5692093991072</x:v>
      </x:c>
    </x:row>
    <x:row r="207">
      <x:c r="A207" s="9" t="n">
        <x:f>Inputs!$C$7+205*(Inputs!$C$8-Inputs!$C$7)/240</x:f>
        <x:v>42.5</x:v>
      </x:c>
      <x:c r="B207" s="9" t="n">
        <x:f>Inputs!$C$5+Inputs!$C$9*(A207/Inputs!$C$10)^2</x:f>
        <x:v>402.00694444444446</x:v>
      </x:c>
      <x:c r="C207" s="9">
        <x:f t="shared" si="57"/>
        <x:v>402.00694444444446</x:v>
      </x:c>
      <x:c r="D207" s="9" t="n">
        <x:f>SQRT((Inputs!$C$52+B207)^2+Inputs!$C$52^2-2*(Inputs!$C$52+B207)*Inputs!$C$52*COS(SQRT(A207^2+Inputs!$C$6^2)/Inputs!$C$52))</x:f>
        <x:v>405.7915514457037</x:v>
      </x:c>
      <x:c r="E207" s="9">
        <x:f t="shared" si="58"/>
        <x:v>3784.6070012592463</x:v>
      </x:c>
      <x:c r="F207" s="9" t="n">
        <x:f>E207/Inputs!$C$12</x:f>
        <x:v>2126.18370857261</x:v>
      </x:c>
      <x:c r="G207" s="9" t="n">
        <x:f>2*E207/Inputs!$C$21*1000000</x:f>
        <x:v>25.24818020111264</x:v>
      </x:c>
      <x:c r="H207" s="9" t="n">
        <x:f>SQRT(A207^2+Inputs!$C$6^2)</x:f>
        <x:v>49.30770730829005</x:v>
      </x:c>
      <x:c r="I207" s="9">
        <x:f t="shared" si="59"/>
        <x:v>6.9926230322802692</x:v>
      </x:c>
      <x:c r="J207" s="9" t="n">
        <x:f>DEGREES((2*PI()/Inputs!$C$13)*Inputs!$C$15*SIN(RADIANS(I207)))</x:f>
        <x:v>43.82695789939304</x:v>
      </x:c>
      <x:c r="K207" s="9">
        <x:f t="shared" si="60"/>
        <x:v>0.96321273991492051</x:v>
      </x:c>
      <x:c r="L207" s="9">
        <x:f t="shared" si="61"/>
        <x:v>-0.16277781860586732</x:v>
      </x:c>
      <x:c r="M207" s="9" t="n">
        <x:f>2*(Inputs!$C$9/(Inputs!$C$10^2))*A207</x:f>
        <x:v>0.09444444444444444</x:v>
      </x:c>
      <x:c r="N207" s="9" t="n">
        <x:f>M207*Inputs!$C$11</x:f>
        <x:v>0.37777777777777777</x:v>
      </x:c>
      <x:c r="O207" s="9" t="n">
        <x:f>1000*(D208-D206)/(A208-A206)*Inputs!$C$11</x:f>
        <x:v>901.7277618504522</x:v>
      </x:c>
      <x:c r="P207" s="9" t="n">
        <x:f>-2*O207/Inputs!$C$13</x:f>
        <x:v>-360.6911047401809</x:v>
      </x:c>
      <x:c r="Q207" s="9" t="n">
        <x:f>-2*O207/Inputs!$C$14</x:f>
        <x:v>-54.1578235345617</x:v>
      </x:c>
      <x:c r="R207" s="9" t="n">
        <x:f>F207-Inputs!$C$16/2</x:f>
        <x:v>2111.18370857261</x:v>
      </x:c>
      <x:c r="S207" s="9" t="n">
        <x:f>F207+Inputs!$C$16/2</x:f>
        <x:v>2141.18370857261</x:v>
      </x:c>
      <x:c r="T207" s="9" t="n">
        <x:f>F207-Inputs!$C$17/2</x:f>
        <x:v>1976.1837085726102</x:v>
      </x:c>
      <x:c r="U207" s="9" t="n">
        <x:f>F207+Inputs!$C$17/2</x:f>
        <x:v>2276.18370857261</x:v>
      </x:c>
      <x:c r="V207" s="9">
        <x:f t="shared" si="62"/>
        <x:v>360.69110474018089</x:v>
      </x:c>
      <x:c r="W207" s="9">
        <x:f t="shared" si="63"/>
        <x:v>54.1578235345617</x:v>
      </x:c>
      <x:c r="X207" s="9"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x:f>
        <x:v>40.25127636090155</x:v>
      </x:c>
      <x:c r="Y207" s="9"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x:f>
        <x:v>259.7768551367322</x:v>
      </x:c>
      <x:c r="Z207" s="9">
        <x:f t="shared" si="64"/>
        <x:v>401.96669316808357</x:v>
      </x:c>
      <x:c r="AA207" s="9" t="n">
        <x:f>SQRT((Inputs!$C$52+B207)^2+(Inputs!$C$52+Y207/1000)^2-2*(Inputs!$C$52+B207)*(Inputs!$C$52+Y207/1000)*COS(SQRT(A207^2+Inputs!$C$6^2)/Inputs!$C$52))</x:f>
        <x:v>405.53482630255445</x:v>
      </x:c>
      <x:c r="AB207" s="9">
        <x:f t="shared" si="65"/>
        <x:v>3568.1331344708838</x:v>
      </x:c>
      <x:c r="AC207" s="9" t="n">
        <x:f>AB207/Inputs!$C$12</x:f>
        <x:v>2004.5691766690359</x:v>
      </x:c>
      <x:c r="AD207" s="9" t="n">
        <x:f>2*AB207/Inputs!$C$21*1000000</x:f>
        <x:v>23.80402201092653</x:v>
      </x:c>
      <x:c r="AE207" s="9">
        <x:f t="shared" si="66"/>
        <x:v>6.9970997787367342</x:v>
      </x:c>
      <x:c r="AF207" s="9" t="n">
        <x:f>DEGREES((2*PI()/Inputs!$C$13)*Inputs!$C$15*SIN(RADIANS(AE207)))</x:f>
        <x:v>43.85487677072877</x:v>
      </x:c>
      <x:c r="AG207" s="9">
        <x:f t="shared" si="67"/>
        <x:v>0.96526742725517423</x:v>
      </x:c>
      <x:c r="AH207" s="9">
        <x:f t="shared" si="68"/>
        <x:v>-0.15352348737910851</x:v>
      </x:c>
      <x:c r="AI207" s="9">
        <x:f t="shared" si="69"/>
        <x:v>-121.61453190357429</x:v>
      </x:c>
      <x:c r="AJ207" s="9">
        <x:f t="shared" si="70"/>
        <x:v>-1.4441581901861085</x:v>
      </x:c>
      <x:c r="AK207" s="9">
        <x:f t="shared" si="71"/>
        <x:v>219.52557877583064</x:v>
      </x:c>
      <x:c r="AL207" s="9" t="n">
        <x:f>1000*(AA208-AA206)/(A208-A206)*Inputs!$C$11</x:f>
        <x:v>996.4743057389569</x:v>
      </x:c>
      <x:c r="AM207" s="9" t="n">
        <x:f>-2*AL207/Inputs!$C$13</x:f>
        <x:v>-398.58972229558276</x:v>
      </x:c>
      <x:c r="AN207" s="9" t="n">
        <x:f>-2*AL207/Inputs!$C$14</x:f>
        <x:v>-59.848306650988405</x:v>
      </x:c>
      <x:c r="AO207" s="9">
        <x:f t="shared" si="72"/>
        <x:v>398.58972229558276</x:v>
      </x:c>
      <x:c r="AP207" s="9">
        <x:f t="shared" si="73"/>
        <x:v>59.848306650988405</x:v>
      </x:c>
      <x:c r="AQ207" s="9" t="n">
        <x:f>IF(OR(Inputs!$C$27=TRUE,Inputs!$C$27="TRUE",Inputs!$C$27=1),Inputs!$C$46/Inputs!$C$12,0)</x:f>
        <x:v>42.13483146067416</x:v>
      </x:c>
      <x:c r="AR207" s="9">
        <x:f t="shared" si="74"/>
        <x:v>1962.4343452083617</x:v>
      </x:c>
      <x:c r="AS207" s="9">
        <x:f t="shared" si="75"/>
        <x:v>2046.70400812971</x:v>
      </x:c>
    </x:row>
    <x:row r="208">
      <x:c r="A208" s="9" t="n">
        <x:f>Inputs!$C$7+206*(Inputs!$C$8-Inputs!$C$7)/240</x:f>
        <x:v>43</x:v>
      </x:c>
      <x:c r="B208" s="9" t="n">
        <x:f>Inputs!$C$5+Inputs!$C$9*(A208/Inputs!$C$10)^2</x:f>
        <x:v>402.05444444444447</x:v>
      </x:c>
      <x:c r="C208" s="9">
        <x:f t="shared" si="57"/>
        <x:v>402.05444444444447</x:v>
      </x:c>
      <x:c r="D208" s="9" t="n">
        <x:f>SQRT((Inputs!$C$52+B208)^2+Inputs!$C$52^2-2*(Inputs!$C$52+B208)*Inputs!$C$52*COS(SQRT(A208^2+Inputs!$C$6^2)/Inputs!$C$52))</x:f>
        <x:v>405.904919033004</x:v>
      </x:c>
      <x:c r="E208" s="9">
        <x:f t="shared" si="58"/>
        <x:v>3850.4745885595071</x:v>
      </x:c>
      <x:c r="F208" s="9" t="n">
        <x:f>E208/Inputs!$C$12</x:f>
        <x:v>2163.1879711008464</x:v>
      </x:c>
      <x:c r="G208" s="9" t="n">
        <x:f>2*E208/Inputs!$C$21*1000000</x:f>
        <x:v>25.687601444326575</x:v>
      </x:c>
      <x:c r="H208" s="9" t="n">
        <x:f>SQRT(A208^2+Inputs!$C$6^2)</x:f>
        <x:v>49.73932046178355</x:v>
      </x:c>
      <x:c r="I208" s="9">
        <x:f t="shared" si="59"/>
        <x:v>7.0523939154276203</x:v>
      </x:c>
      <x:c r="J208" s="9" t="n">
        <x:f>DEGREES((2*PI()/Inputs!$C$13)*Inputs!$C$15*SIN(RADIANS(I208)))</x:f>
        <x:v>44.1996921044198</x:v>
      </x:c>
      <x:c r="K208" s="9">
        <x:f t="shared" si="60"/>
        <x:v>0.96259191926554377</x:v>
      </x:c>
      <x:c r="L208" s="9">
        <x:f t="shared" si="61"/>
        <x:v>-0.16557788444152105</x:v>
      </x:c>
      <x:c r="M208" s="9" t="n">
        <x:f>2*(Inputs!$C$9/(Inputs!$C$10^2))*A208</x:f>
        <x:v>0.09555555555555556</x:v>
      </x:c>
      <x:c r="N208" s="9" t="n">
        <x:f>M208*Inputs!$C$11</x:f>
        <x:v>0.38222222222222224</x:v>
      </x:c>
      <x:c r="O208" s="9" t="n">
        <x:f>1000*(D209-D207)/(A209-A207)*Inputs!$C$11</x:f>
        <x:v>912.1504706984069</x:v>
      </x:c>
      <x:c r="P208" s="9" t="n">
        <x:f>-2*O208/Inputs!$C$13</x:f>
        <x:v>-364.8601882793628</x:v>
      </x:c>
      <x:c r="Q208" s="9" t="n">
        <x:f>-2*O208/Inputs!$C$14</x:f>
        <x:v>-54.78381205395838</x:v>
      </x:c>
      <x:c r="R208" s="9" t="n">
        <x:f>F208-Inputs!$C$16/2</x:f>
        <x:v>2148.1879711008464</x:v>
      </x:c>
      <x:c r="S208" s="9" t="n">
        <x:f>F208+Inputs!$C$16/2</x:f>
        <x:v>2178.1879711008464</x:v>
      </x:c>
      <x:c r="T208" s="9" t="n">
        <x:f>F208-Inputs!$C$17/2</x:f>
        <x:v>2013.1879711008464</x:v>
      </x:c>
      <x:c r="U208" s="9" t="n">
        <x:f>F208+Inputs!$C$17/2</x:f>
        <x:v>2313.1879711008464</x:v>
      </x:c>
      <x:c r="V208" s="9">
        <x:f t="shared" si="62"/>
        <x:v>364.86018827936277</x:v>
      </x:c>
      <x:c r="W208" s="9">
        <x:f t="shared" si="63"/>
        <x:v>54.783812053958378</x:v>
      </x:c>
      <x:c r="X208" s="9"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x:f>
        <x:v>33.32797910139238</x:v>
      </x:c>
      <x:c r="Y208" s="9"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x:f>
        <x:v>247.2629698422237</x:v>
      </x:c>
      <x:c r="Z208" s="9">
        <x:f t="shared" si="64"/>
        <x:v>402.02111646534308</x:v>
      </x:c>
      <x:c r="AA208" s="9" t="n">
        <x:f>SQRT((Inputs!$C$52+B208)^2+(Inputs!$C$52+Y208/1000)^2-2*(Inputs!$C$52+B208)*(Inputs!$C$52+Y208/1000)*COS(SQRT(A208^2+Inputs!$C$6^2)/Inputs!$C$52))</x:f>
        <x:v>405.6606105270523</x:v>
      </x:c>
      <x:c r="AB208" s="9">
        <x:f t="shared" si="65"/>
        <x:v>3639.4940617092288</x:v>
      </x:c>
      <x:c r="AC208" s="9" t="n">
        <x:f>AB208/Inputs!$C$12</x:f>
        <x:v>2044.6595852299038</x:v>
      </x:c>
      <x:c r="AD208" s="9" t="n">
        <x:f>2*AB208/Inputs!$C$21*1000000</x:f>
        <x:v>24.280090873461724</x:v>
      </x:c>
      <x:c r="AE208" s="9">
        <x:f t="shared" si="66"/>
        <x:v>7.0566900561236876</x:v>
      </x:c>
      <x:c r="AF208" s="9" t="n">
        <x:f>DEGREES((2*PI()/Inputs!$C$13)*Inputs!$C$15*SIN(RADIANS(AE208)))</x:f>
        <x:v>44.226481203741976</x:v>
      </x:c>
      <x:c r="AG208" s="9">
        <x:f t="shared" si="67"/>
        <x:v>0.96459299026157586</x:v>
      </x:c>
      <x:c r="AH208" s="9">
        <x:f t="shared" si="68"/>
        <x:v>-0.15655898439202154</x:v>
      </x:c>
      <x:c r="AI208" s="9">
        <x:f t="shared" si="69"/>
        <x:v>-118.52838587094266</x:v>
      </x:c>
      <x:c r="AJ208" s="9">
        <x:f t="shared" si="70"/>
        <x:v>-1.4075105708648508</x:v>
      </x:c>
      <x:c r="AK208" s="9">
        <x:f t="shared" si="71"/>
        <x:v>213.93499074083132</x:v>
      </x:c>
      <x:c r="AL208" s="9" t="n">
        <x:f>1000*(AA209-AA207)/(A209-A207)*Inputs!$C$11</x:f>
        <x:v>1048.583804247528</x:v>
      </x:c>
      <x:c r="AM208" s="9" t="n">
        <x:f>-2*AL208/Inputs!$C$13</x:f>
        <x:v>-419.4335216990112</x:v>
      </x:c>
      <x:c r="AN208" s="9" t="n">
        <x:f>-2*AL208/Inputs!$C$14</x:f>
        <x:v>-62.978006261112796</x:v>
      </x:c>
      <x:c r="AO208" s="9">
        <x:f t="shared" si="72"/>
        <x:v>419.43352169901118</x:v>
      </x:c>
      <x:c r="AP208" s="9">
        <x:f t="shared" si="73"/>
        <x:v>62.978006261112796</x:v>
      </x:c>
      <x:c r="AQ208" s="9" t="n">
        <x:f>IF(OR(Inputs!$C$27=TRUE,Inputs!$C$27="TRUE",Inputs!$C$27=1),Inputs!$C$46/Inputs!$C$12,0)</x:f>
        <x:v>42.13483146067416</x:v>
      </x:c>
      <x:c r="AR208" s="9">
        <x:f t="shared" si="74"/>
        <x:v>2002.5247537692296</x:v>
      </x:c>
      <x:c r="AS208" s="9">
        <x:f t="shared" si="75"/>
        <x:v>2086.7944166905781</x:v>
      </x:c>
    </x:row>
    <x:row r="209">
      <x:c r="A209" s="9" t="n">
        <x:f>Inputs!$C$7+207*(Inputs!$C$8-Inputs!$C$7)/240</x:f>
        <x:v>43.5</x:v>
      </x:c>
      <x:c r="B209" s="9" t="n">
        <x:f>Inputs!$C$5+Inputs!$C$9*(A209/Inputs!$C$10)^2</x:f>
        <x:v>402.1025</x:v>
      </x:c>
      <x:c r="C209" s="9">
        <x:f t="shared" si="57"/>
        <x:v>402.10250000000002</x:v>
      </x:c>
      <x:c r="D209" s="9" t="n">
        <x:f>SQRT((Inputs!$C$52+B209)^2+Inputs!$C$52^2-2*(Inputs!$C$52+B209)*Inputs!$C$52*COS(SQRT(A209^2+Inputs!$C$6^2)/Inputs!$C$52))</x:f>
        <x:v>406.0195890633783</x:v>
      </x:c>
      <x:c r="E209" s="9">
        <x:f t="shared" si="58"/>
        <x:v>3917.0890633782847</x:v>
      </x:c>
      <x:c r="F209" s="9" t="n">
        <x:f>E209/Inputs!$C$12</x:f>
        <x:v>2200.611833358587</x:v>
      </x:c>
      <x:c r="G209" s="9" t="n">
        <x:f>2*E209/Inputs!$C$21*1000000</x:f>
        <x:v>26.132005384727087</x:v>
      </x:c>
      <x:c r="H209" s="9" t="n">
        <x:f>SQRT(A209^2+Inputs!$C$6^2)</x:f>
        <x:v>50.172203459684724</x:v>
      </x:c>
      <x:c r="I209" s="9">
        <x:f t="shared" si="59"/>
        <x:v>7.1123037002334444</x:v>
      </x:c>
      <x:c r="J209" s="9" t="n">
        <x:f>DEGREES((2*PI()/Inputs!$C$13)*Inputs!$C$15*SIN(RADIANS(I209)))</x:f>
        <x:v>44.5732442380817</x:v>
      </x:c>
      <x:c r="K209" s="9">
        <x:f t="shared" si="60"/>
        <x:v>0.9619647181791855</x:v>
      </x:c>
      <x:c r="L209" s="9">
        <x:f t="shared" si="61"/>
        <x:v>-0.16840856216949901</x:v>
      </x:c>
      <x:c r="M209" s="9" t="n">
        <x:f>2*(Inputs!$C$9/(Inputs!$C$10^2))*A209</x:f>
        <x:v>0.09666666666666666</x:v>
      </x:c>
      <x:c r="N209" s="9" t="n">
        <x:f>M209*Inputs!$C$11</x:f>
        <x:v>0.38666666666666666</x:v>
      </x:c>
      <x:c r="O209" s="9" t="n">
        <x:f>1000*(D210-D208)/(A210-A208)*Inputs!$C$11</x:f>
        <x:v>922.566818496307</x:v>
      </x:c>
      <x:c r="P209" s="9" t="n">
        <x:f>-2*O209/Inputs!$C$13</x:f>
        <x:v>-369.0267273985228</x:v>
      </x:c>
      <x:c r="Q209" s="9" t="n">
        <x:f>-2*O209/Inputs!$C$14</x:f>
        <x:v>-55.40941852830673</x:v>
      </x:c>
      <x:c r="R209" s="9" t="n">
        <x:f>F209-Inputs!$C$16/2</x:f>
        <x:v>2185.611833358587</x:v>
      </x:c>
      <x:c r="S209" s="9" t="n">
        <x:f>F209+Inputs!$C$16/2</x:f>
        <x:v>2215.611833358587</x:v>
      </x:c>
      <x:c r="T209" s="9" t="n">
        <x:f>F209-Inputs!$C$17/2</x:f>
        <x:v>2050.611833358587</x:v>
      </x:c>
      <x:c r="U209" s="9" t="n">
        <x:f>F209+Inputs!$C$17/2</x:f>
        <x:v>2350.611833358587</x:v>
      </x:c>
      <x:c r="V209" s="9">
        <x:f t="shared" si="62"/>
        <x:v>369.02672739852278</x:v>
      </x:c>
      <x:c r="W209" s="9">
        <x:f t="shared" si="63"/>
        <x:v>55.40941852830673</x:v>
      </x:c>
      <x:c r="X209" s="9"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x:f>
        <x:v>20.522948331606614</x:v>
      </x:c>
      <x:c r="Y209" s="9"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x:f>
        <x:v>225.35528260314678</x:v>
      </x:c>
      <x:c r="Z209" s="9">
        <x:f t="shared" si="64"/>
        <x:v>402.08197705166845</x:v>
      </x:c>
      <x:c r="AA209" s="9" t="n">
        <x:f>SQRT((Inputs!$C$52+B209)^2+(Inputs!$C$52+Y209/1000)^2-2*(Inputs!$C$52+B209)*(Inputs!$C$52+Y209/1000)*COS(SQRT(A209^2+Inputs!$C$6^2)/Inputs!$C$52))</x:f>
        <x:v>405.79697225361633</x:v>
      </x:c>
      <x:c r="AB209" s="9">
        <x:f t="shared" si="65"/>
        <x:v>3714.995201947886</x:v>
      </x:c>
      <x:c r="AC209" s="9" t="n">
        <x:f>AB209/Inputs!$C$12</x:f>
        <x:v>2087.075956150498</x:v>
      </x:c>
      <x:c r="AD209" s="9" t="n">
        <x:f>2*AB209/Inputs!$C$21*1000000</x:f>
        <x:v>24.783780264064458</x:v>
      </x:c>
      <x:c r="AE209" s="9">
        <x:f t="shared" si="66"/>
        <x:v>7.116251093722707</x:v>
      </x:c>
      <x:c r="AF209" s="9" t="n">
        <x:f>DEGREES((2*PI()/Inputs!$C$13)*Inputs!$C$15*SIN(RADIANS(AE209)))</x:f>
        <x:v>44.59785549333255</x:v>
      </x:c>
      <x:c r="AG209" s="9">
        <x:f t="shared" si="67"/>
        <x:v>0.96388055141892226</x:v>
      </x:c>
      <x:c r="AH209" s="9">
        <x:f t="shared" si="68"/>
        <x:v>-0.15976782563818509</x:v>
      </x:c>
      <x:c r="AI209" s="9">
        <x:f t="shared" si="69"/>
        <x:v>-113.535877208089</x:v>
      </x:c>
      <x:c r="AJ209" s="9">
        <x:f t="shared" si="70"/>
        <x:v>-1.3482251206626295</x:v>
      </x:c>
      <x:c r="AK209" s="9">
        <x:f t="shared" si="71"/>
        <x:v>204.83233427158927</x:v>
      </x:c>
      <x:c r="AL209" s="9" t="n">
        <x:f>1000*(AA210-AA208)/(A210-A208)*Inputs!$C$11</x:f>
        <x:v>1074.7629693883027</x:v>
      </x:c>
      <x:c r="AM209" s="9" t="n">
        <x:f>-2*AL209/Inputs!$C$13</x:f>
        <x:v>-429.9051877553211</x:v>
      </x:c>
      <x:c r="AN209" s="9" t="n">
        <x:f>-2*AL209/Inputs!$C$14</x:f>
        <x:v>-64.55032849178995</x:v>
      </x:c>
      <x:c r="AO209" s="9">
        <x:f t="shared" si="72"/>
        <x:v>429.90518775532109</x:v>
      </x:c>
      <x:c r="AP209" s="9">
        <x:f t="shared" si="73"/>
        <x:v>64.550328491789955</x:v>
      </x:c>
      <x:c r="AQ209" s="9" t="n">
        <x:f>IF(OR(Inputs!$C$27=TRUE,Inputs!$C$27="TRUE",Inputs!$C$27=1),Inputs!$C$46/Inputs!$C$12,0)</x:f>
        <x:v>42.13483146067416</x:v>
      </x:c>
      <x:c r="AR209" s="9">
        <x:f t="shared" si="74"/>
        <x:v>2044.9411246898237</x:v>
      </x:c>
      <x:c r="AS209" s="9">
        <x:f t="shared" si="75"/>
        <x:v>2129.2107876111722</x:v>
      </x:c>
    </x:row>
    <x:row r="210">
      <x:c r="A210" s="9" t="n">
        <x:f>Inputs!$C$7+208*(Inputs!$C$8-Inputs!$C$7)/240</x:f>
        <x:v>44</x:v>
      </x:c>
      <x:c r="B210" s="9" t="n">
        <x:f>Inputs!$C$5+Inputs!$C$9*(A210/Inputs!$C$10)^2</x:f>
        <x:v>402.1511111111111</x:v>
      </x:c>
      <x:c r="C210" s="9">
        <x:f t="shared" si="57"/>
        <x:v>402.15111111111111</x:v>
      </x:c>
      <x:c r="D210" s="9" t="n">
        <x:f>SQRT((Inputs!$C$52+B210)^2+Inputs!$C$52^2-2*(Inputs!$C$52+B210)*Inputs!$C$52*COS(SQRT(A210^2+Inputs!$C$6^2)/Inputs!$C$52))</x:f>
        <x:v>406.13556073762805</x:v>
      </x:c>
      <x:c r="E210" s="9">
        <x:f t="shared" si="58"/>
        <x:v>3984.4496265169482</x:v>
      </x:c>
      <x:c r="F210" s="9" t="n">
        <x:f>E210/Inputs!$C$12</x:f>
        <x:v>2238.4548463578362</x:v>
      </x:c>
      <x:c r="G210" s="9" t="n">
        <x:f>2*E210/Inputs!$C$21*1000000</x:f>
        <x:v>26.58138669063481</x:v>
      </x:c>
      <x:c r="H210" s="9" t="n">
        <x:f>SQRT(A210^2+Inputs!$C$6^2)</x:f>
        <x:v>50.60632371551998</x:v>
      </x:c>
      <x:c r="I210" s="9">
        <x:f t="shared" si="59"/>
        <x:v>7.1723472676252644</x:v>
      </x:c>
      <x:c r="J210" s="9" t="n">
        <x:f>DEGREES((2*PI()/Inputs!$C$13)*Inputs!$C$15*SIN(RADIANS(I210)))</x:f>
        <x:v>44.947581642016374</x:v>
      </x:c>
      <x:c r="K210" s="9">
        <x:f t="shared" si="60"/>
        <x:v>0.96133116560794785</x:v>
      </x:c>
      <x:c r="L210" s="9">
        <x:f t="shared" si="61"/>
        <x:v>-0.17126977970712021</x:v>
      </x:c>
      <x:c r="M210" s="9" t="n">
        <x:f>2*(Inputs!$C$9/(Inputs!$C$10^2))*A210</x:f>
        <x:v>0.09777777777777778</x:v>
      </x:c>
      <x:c r="N210" s="9" t="n">
        <x:f>M210*Inputs!$C$11</x:f>
        <x:v>0.39111111111111113</x:v>
      </x:c>
      <x:c r="O210" s="9" t="n">
        <x:f>1000*(D211-D209)/(A211-A209)*Inputs!$C$11</x:f>
        <x:v>932.9767403644382</x:v>
      </x:c>
      <x:c r="P210" s="9" t="n">
        <x:f>-2*O210/Inputs!$C$13</x:f>
        <x:v>-373.1906961457753</x:v>
      </x:c>
      <x:c r="Q210" s="9" t="n">
        <x:f>-2*O210/Inputs!$C$14</x:f>
        <x:v>-56.034639060927226</x:v>
      </x:c>
      <x:c r="R210" s="9" t="n">
        <x:f>F210-Inputs!$C$16/2</x:f>
        <x:v>2223.4548463578362</x:v>
      </x:c>
      <x:c r="S210" s="9" t="n">
        <x:f>F210+Inputs!$C$16/2</x:f>
        <x:v>2253.4548463578362</x:v>
      </x:c>
      <x:c r="T210" s="9" t="n">
        <x:f>F210-Inputs!$C$17/2</x:f>
        <x:v>2088.4548463578362</x:v>
      </x:c>
      <x:c r="U210" s="9" t="n">
        <x:f>F210+Inputs!$C$17/2</x:f>
        <x:v>2388.4548463578362</x:v>
      </x:c>
      <x:c r="V210" s="9">
        <x:f t="shared" si="62"/>
        <x:v>373.19069614577529</x:v>
      </x:c>
      <x:c r="W210" s="9">
        <x:f t="shared" si="63"/>
        <x:v>56.034639060927226</x:v>
      </x:c>
      <x:c r="X210" s="9"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x:f>
        <x:v>7.051899638170276</x:v>
      </x:c>
      <x:c r="Y210" s="9"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x:f>
        <x:v>208.84015984832814</x:v>
      </x:c>
      <x:c r="Z210" s="9">
        <x:f t="shared" si="64"/>
        <x:v>402.14405921147295</x:v>
      </x:c>
      <x:c r="AA210" s="9" t="n">
        <x:f>SQRT((Inputs!$C$52+B210)^2+(Inputs!$C$52+Y210/1000)^2-2*(Inputs!$C$52+B210)*(Inputs!$C$52+Y210/1000)*COS(SQRT(A210^2+Inputs!$C$6^2)/Inputs!$C$52))</x:f>
        <x:v>405.9293012693994</x:v>
      </x:c>
      <x:c r="AB210" s="9">
        <x:f t="shared" si="65"/>
        <x:v>3785.242057926439</x:v>
      </x:c>
      <x:c r="AC210" s="9" t="n">
        <x:f>AB210/Inputs!$C$12</x:f>
        <x:v>2126.5404819811456</x:v>
      </x:c>
      <x:c r="AD210" s="9" t="n">
        <x:f>2*AB210/Inputs!$C$21*1000000</x:f>
        <x:v>25.25241684316447</x:v>
      </x:c>
      <x:c r="AE210" s="9">
        <x:f t="shared" si="66"/>
        <x:v>7.1760350186413948</x:v>
      </x:c>
      <x:c r="AF210" s="9" t="n">
        <x:f>DEGREES((2*PI()/Inputs!$C$13)*Inputs!$C$15*SIN(RADIANS(AE210)))</x:f>
        <x:v>44.97057106195993</x:v>
      </x:c>
      <x:c r="AG210" s="9">
        <x:f t="shared" si="67"/>
        <x:v>0.96321896422704045</x:v>
      </x:c>
      <x:c r="AH210" s="9">
        <x:f t="shared" si="68"/>
        <x:v>-0.16274975444556999</x:v>
      </x:c>
      <x:c r="AI210" s="9">
        <x:f t="shared" si="69"/>
        <x:v>-111.91436437669063</x:v>
      </x:c>
      <x:c r="AJ210" s="9">
        <x:f t="shared" si="70"/>
        <x:v>-1.32896984747034</x:v>
      </x:c>
      <x:c r="AK210" s="9">
        <x:f t="shared" si="71"/>
        <x:v>201.78826021018241</x:v>
      </x:c>
      <x:c r="AL210" s="9" t="n">
        <x:f>1000*(AA211-AA209)/(A211-A209)*Inputs!$C$11</x:f>
        <x:v>1116.5864190365937</x:v>
      </x:c>
      <x:c r="AM210" s="9" t="n">
        <x:f>-2*AL210/Inputs!$C$13</x:f>
        <x:v>-446.6345676146375</x:v>
      </x:c>
      <x:c r="AN210" s="9" t="n">
        <x:f>-2*AL210/Inputs!$C$14</x:f>
        <x:v>-67.06224738958521</x:v>
      </x:c>
      <x:c r="AO210" s="9">
        <x:f t="shared" si="72"/>
        <x:v>446.63456761463749</x:v>
      </x:c>
      <x:c r="AP210" s="9">
        <x:f t="shared" si="73"/>
        <x:v>67.06224738958521</x:v>
      </x:c>
      <x:c r="AQ210" s="9" t="n">
        <x:f>IF(OR(Inputs!$C$27=TRUE,Inputs!$C$27="TRUE",Inputs!$C$27=1),Inputs!$C$46/Inputs!$C$12,0)</x:f>
        <x:v>42.13483146067416</x:v>
      </x:c>
      <x:c r="AR210" s="9">
        <x:f t="shared" si="74"/>
        <x:v>2084.4056505204712</x:v>
      </x:c>
      <x:c r="AS210" s="9">
        <x:f t="shared" si="75"/>
        <x:v>2168.67531344182</x:v>
      </x:c>
    </x:row>
    <x:row r="211">
      <x:c r="A211" s="9" t="n">
        <x:f>Inputs!$C$7+209*(Inputs!$C$8-Inputs!$C$7)/240</x:f>
        <x:v>44.5</x:v>
      </x:c>
      <x:c r="B211" s="9" t="n">
        <x:f>Inputs!$C$5+Inputs!$C$9*(A211/Inputs!$C$10)^2</x:f>
        <x:v>402.2002777777778</x:v>
      </x:c>
      <x:c r="C211" s="9">
        <x:f t="shared" si="57"/>
        <x:v>402.20027777777779</x:v>
      </x:c>
      <x:c r="D211" s="9" t="n">
        <x:f>SQRT((Inputs!$C$52+B211)^2+Inputs!$C$52^2-2*(Inputs!$C$52+B211)*Inputs!$C$52*COS(SQRT(A211^2+Inputs!$C$6^2)/Inputs!$C$52))</x:f>
        <x:v>406.2528332484694</x:v>
      </x:c>
      <x:c r="E211" s="9">
        <x:f t="shared" si="58"/>
        <x:v>4052.5554706916296</x:v>
      </x:c>
      <x:c r="F211" s="9" t="n">
        <x:f>E211/Inputs!$C$12</x:f>
        <x:v>2276.7165565683313</x:v>
      </x:c>
      <x:c r="G211" s="9" t="n">
        <x:f>2*E211/Inputs!$C$21*1000000</x:f>
        <x:v>27.035739976431493</x:v>
      </x:c>
      <x:c r="H211" s="9" t="n">
        <x:f>SQRT(A211^2+Inputs!$C$6^2)</x:f>
        <x:v>51.041649659861115</x:v>
      </x:c>
      <x:c r="I211" s="9">
        <x:f t="shared" si="59"/>
        <x:v>7.2325196453541665</x:v>
      </x:c>
      <x:c r="J211" s="9" t="n">
        <x:f>DEGREES((2*PI()/Inputs!$C$13)*Inputs!$C$15*SIN(RADIANS(I211)))</x:f>
        <x:v>45.32267258355667</x:v>
      </x:c>
      <x:c r="K211" s="9">
        <x:f t="shared" si="60"/>
        <x:v>0.9606912907410361</x:v>
      </x:c>
      <x:c r="L211" s="9">
        <x:f t="shared" si="61"/>
        <x:v>-0.17416146427778792</x:v>
      </x:c>
      <x:c r="M211" s="9" t="n">
        <x:f>2*(Inputs!$C$9/(Inputs!$C$10^2))*A211</x:f>
        <x:v>0.09888888888888889</x:v>
      </x:c>
      <x:c r="N211" s="9" t="n">
        <x:f>M211*Inputs!$C$11</x:f>
        <x:v>0.39555555555555555</x:v>
      </x:c>
      <x:c r="O211" s="9" t="n">
        <x:f>1000*(D212-D210)/(A212-A210)*Inputs!$C$11</x:f>
        <x:v>943.3801717254937</x:v>
      </x:c>
      <x:c r="P211" s="9" t="n">
        <x:f>-2*O211/Inputs!$C$13</x:f>
        <x:v>-377.3520686901975</x:v>
      </x:c>
      <x:c r="Q211" s="9" t="n">
        <x:f>-2*O211/Inputs!$C$14</x:f>
        <x:v>-56.65946977330293</x:v>
      </x:c>
      <x:c r="R211" s="9" t="n">
        <x:f>F211-Inputs!$C$16/2</x:f>
        <x:v>2261.7165565683313</x:v>
      </x:c>
      <x:c r="S211" s="9" t="n">
        <x:f>F211+Inputs!$C$16/2</x:f>
        <x:v>2291.7165565683313</x:v>
      </x:c>
      <x:c r="T211" s="9" t="n">
        <x:f>F211-Inputs!$C$17/2</x:f>
        <x:v>2126.7165565683313</x:v>
      </x:c>
      <x:c r="U211" s="9" t="n">
        <x:f>F211+Inputs!$C$17/2</x:f>
        <x:v>2426.7165565683313</x:v>
      </x:c>
      <x:c r="V211" s="9">
        <x:f t="shared" si="62"/>
        <x:v>377.35206869019748</x:v>
      </x:c>
      <x:c r="W211" s="9">
        <x:f t="shared" si="63"/>
        <x:v>56.659469773302931</x:v>
      </x:c>
      <x:c r="X211" s="9"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x:f>
        <x:v>-3.283716108943903</x:v>
      </x:c>
      <x:c r="Y211" s="9"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x:f>
        <x:v>178.96296340227542</x:v>
      </x:c>
      <x:c r="Z211" s="9">
        <x:f t="shared" si="64"/>
        <x:v>402.20356149388675</x:v>
      </x:c>
      <x:c r="AA211" s="9" t="n">
        <x:f>SQRT((Inputs!$C$52+B211)^2+(Inputs!$C$52+Y211/1000)^2-2*(Inputs!$C$52+B211)*(Inputs!$C$52+Y211/1000)*COS(SQRT(A211^2+Inputs!$C$6^2)/Inputs!$C$52))</x:f>
        <x:v>406.0761188583755</x:v>
      </x:c>
      <x:c r="AB211" s="9">
        <x:f t="shared" si="65"/>
        <x:v>3872.5573644887277</x:v>
      </x:c>
      <x:c r="AC211" s="9" t="n">
        <x:f>AB211/Inputs!$C$12</x:f>
        <x:v>2175.594024993667</x:v>
      </x:c>
      <x:c r="AD211" s="9" t="n">
        <x:f>2*AB211/Inputs!$C$21*1000000</x:f>
        <x:v>25.834921867772454</x:v>
      </x:c>
      <x:c r="AE211" s="9">
        <x:f t="shared" si="66"/>
        <x:v>7.235705143347186</x:v>
      </x:c>
      <x:c r="AF211" s="9" t="n">
        <x:f>DEGREES((2*PI()/Inputs!$C$13)*Inputs!$C$15*SIN(RADIANS(AE211)))</x:f>
        <x:v>45.342528335855626</x:v>
      </x:c>
      <x:c r="AG211" s="9">
        <x:f t="shared" si="67"/>
        <x:v>0.96239608885406525</x:v>
      </x:c>
      <x:c r="AH211" s="9">
        <x:f t="shared" si="68"/>
        <x:v>-0.16646150623062961</x:v>
      </x:c>
      <x:c r="AI211" s="9">
        <x:f t="shared" si="69"/>
        <x:v>-101.12253157466421</x:v>
      </x:c>
      <x:c r="AJ211" s="9">
        <x:f t="shared" si="70"/>
        <x:v>-1.200818108659039</x:v>
      </x:c>
      <x:c r="AK211" s="9">
        <x:f t="shared" si="71"/>
        <x:v>182.24667951121933</x:v>
      </x:c>
      <x:c r="AL211" s="9" t="n">
        <x:f>1000*(AA212-AA210)/(A212-A210)*Inputs!$C$11</x:f>
        <x:v>1115.7997388834247</x:v>
      </x:c>
      <x:c r="AM211" s="9" t="n">
        <x:f>-2*AL211/Inputs!$C$13</x:f>
        <x:v>-446.31989555336986</x:v>
      </x:c>
      <x:c r="AN211" s="9" t="n">
        <x:f>-2*AL211/Inputs!$C$14</x:f>
        <x:v>-67.01499933233782</x:v>
      </x:c>
      <x:c r="AO211" s="9">
        <x:f t="shared" si="72"/>
        <x:v>446.31989555336986</x:v>
      </x:c>
      <x:c r="AP211" s="9">
        <x:f t="shared" si="73"/>
        <x:v>67.014999332337823</x:v>
      </x:c>
      <x:c r="AQ211" s="9" t="n">
        <x:f>IF(OR(Inputs!$C$27=TRUE,Inputs!$C$27="TRUE",Inputs!$C$27=1),Inputs!$C$46/Inputs!$C$12,0)</x:f>
        <x:v>42.13483146067416</x:v>
      </x:c>
      <x:c r="AR211" s="9">
        <x:f t="shared" si="74"/>
        <x:v>2133.4591935329927</x:v>
      </x:c>
      <x:c r="AS211" s="9">
        <x:f t="shared" si="75"/>
        <x:v>2217.7288564543414</x:v>
      </x:c>
    </x:row>
    <x:row r="212">
      <x:c r="A212" s="9" t="n">
        <x:f>Inputs!$C$7+210*(Inputs!$C$8-Inputs!$C$7)/240</x:f>
        <x:v>45</x:v>
      </x:c>
      <x:c r="B212" s="9" t="n">
        <x:f>Inputs!$C$5+Inputs!$C$9*(A212/Inputs!$C$10)^2</x:f>
        <x:v>402.25</x:v>
      </x:c>
      <x:c r="C212" s="9">
        <x:f t="shared" si="57"/>
        <x:v>402.25</x:v>
      </x:c>
      <x:c r="D212" s="9" t="n">
        <x:f>SQRT((Inputs!$C$52+B212)^2+Inputs!$C$52^2-2*(Inputs!$C$52+B212)*Inputs!$C$52*COS(SQRT(A212^2+Inputs!$C$6^2)/Inputs!$C$52))</x:f>
        <x:v>406.3714057805594</x:v>
      </x:c>
      <x:c r="E212" s="9">
        <x:f t="shared" si="58"/>
        <x:v>4121.4057805594275</x:v>
      </x:c>
      <x:c r="F212" s="9" t="n">
        <x:f>E212/Inputs!$C$12</x:f>
        <x:v>2315.3965059322627</x:v>
      </x:c>
      <x:c r="G212" s="9" t="n">
        <x:f>2*E212/Inputs!$C$21*1000000</x:f>
        <x:v>27.49505980273478</x:v>
      </x:c>
      <x:c r="H212" s="9" t="n">
        <x:f>SQRT(A212^2+Inputs!$C$6^2)</x:f>
        <x:v>51.478150704935004</x:v>
      </x:c>
      <x:c r="I212" s="9">
        <x:f t="shared" si="59"/>
        <x:v>7.2928160029494338</x:v>
      </x:c>
      <x:c r="J212" s="9" t="n">
        <x:f>DEGREES((2*PI()/Inputs!$C$13)*Inputs!$C$15*SIN(RADIANS(I212)))</x:f>
        <x:v>45.69848622408668</x:v>
      </x:c>
      <x:c r="K212" s="9">
        <x:f t="shared" si="60"/>
        <x:v>0.96004512300185918</x:v>
      </x:c>
      <x:c r="L212" s="9">
        <x:f t="shared" si="61"/>
        <x:v>-0.17708354241497856</x:v>
      </x:c>
      <x:c r="M212" s="9" t="n">
        <x:f>2*(Inputs!$C$9/(Inputs!$C$10^2))*A212</x:f>
        <x:v>0.1</x:v>
      </x:c>
      <x:c r="N212" s="9" t="n">
        <x:f>M212*Inputs!$C$11</x:f>
        <x:v>0.4</x:v>
      </x:c>
      <x:c r="O212" s="9" t="n">
        <x:f>1000*(D213-D211)/(A213-A211)*Inputs!$C$11</x:f>
        <x:v>953.7770482984342</x:v>
      </x:c>
      <x:c r="P212" s="9" t="n">
        <x:f>-2*O212/Inputs!$C$13</x:f>
        <x:v>-381.5108193193737</x:v>
      </x:c>
      <x:c r="Q212" s="9" t="n">
        <x:f>-2*O212/Inputs!$C$14</x:f>
        <x:v>-57.28390680471077</x:v>
      </x:c>
      <x:c r="R212" s="9" t="n">
        <x:f>F212-Inputs!$C$16/2</x:f>
        <x:v>2300.3965059322627</x:v>
      </x:c>
      <x:c r="S212" s="9" t="n">
        <x:f>F212+Inputs!$C$16/2</x:f>
        <x:v>2330.3965059322627</x:v>
      </x:c>
      <x:c r="T212" s="9" t="n">
        <x:f>F212-Inputs!$C$17/2</x:f>
        <x:v>2165.3965059322627</x:v>
      </x:c>
      <x:c r="U212" s="9" t="n">
        <x:f>F212+Inputs!$C$17/2</x:f>
        <x:v>2465.3965059322627</x:v>
      </x:c>
      <x:c r="V212" s="9">
        <x:f t="shared" si="62"/>
        <x:v>381.5108193193737</x:v>
      </x:c>
      <x:c r="W212" s="9">
        <x:f t="shared" si="63"/>
        <x:v>57.283906804710767</x:v>
      </x:c>
      <x:c r="X212" s="9"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x:f>
        <x:v>-4.746207968267804</x:v>
      </x:c>
      <x:c r="Y212" s="9"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x:f>
        <x:v>165.26573251393552</x:v>
      </x:c>
      <x:c r="Z212" s="9">
        <x:f t="shared" si="64"/>
        <x:v>402.25474620796825</x:v>
      </x:c>
      <x:c r="AA212" s="9" t="n">
        <x:f>SQRT((Inputs!$C$52+B212)^2+(Inputs!$C$52+Y212/1000)^2-2*(Inputs!$C$52+B212)*(Inputs!$C$52+Y212/1000)*COS(SQRT(A212^2+Inputs!$C$6^2)/Inputs!$C$52))</x:f>
        <x:v>406.20825120412024</x:v>
      </x:c>
      <x:c r="AB212" s="9">
        <x:f t="shared" si="65"/>
        <x:v>3953.5049961519917</x:v>
      </x:c>
      <x:c r="AC212" s="9" t="n">
        <x:f>AB212/Inputs!$C$12</x:f>
        <x:v>2221.0702225572986</x:v>
      </x:c>
      <x:c r="AD212" s="9" t="n">
        <x:f>2*AB212/Inputs!$C$21*1000000</x:f>
        <x:v>26.374946338056255</x:v>
      </x:c>
      <x:c r="AE212" s="9">
        <x:f t="shared" si="66"/>
        <x:v>7.2957812216224553</x:v>
      </x:c>
      <x:c r="AF212" s="9" t="n">
        <x:f>DEGREES((2*PI()/Inputs!$C$13)*Inputs!$C$15*SIN(RADIANS(AE212)))</x:f>
        <x:v>45.716966463172334</x:v>
      </x:c>
      <x:c r="AG212" s="9">
        <x:f t="shared" si="67"/>
        <x:v>0.96163385528765233</x:v>
      </x:c>
      <x:c r="AH212" s="9">
        <x:f t="shared" si="68"/>
        <x:v>-0.16990255297879206</x:v>
      </x:c>
      <x:c r="AI212" s="9">
        <x:f t="shared" si="69"/>
        <x:v>-94.326283374964078</x:v>
      </x:c>
      <x:c r="AJ212" s="9">
        <x:f t="shared" si="70"/>
        <x:v>-1.1201134646785249</x:v>
      </x:c>
      <x:c r="AK212" s="9">
        <x:f t="shared" si="71"/>
        <x:v>170.01194048220333</x:v>
      </x:c>
      <x:c r="AL212" s="9" t="n">
        <x:f>1000*(AA213-AA211)/(A213-A211)*Inputs!$C$11</x:f>
        <x:v>994.2748757757727</x:v>
      </x:c>
      <x:c r="AM212" s="9" t="n">
        <x:f>-2*AL212/Inputs!$C$13</x:f>
        <x:v>-397.70995031030907</x:v>
      </x:c>
      <x:c r="AN212" s="9" t="n">
        <x:f>-2*AL212/Inputs!$C$14</x:f>
        <x:v>-59.716208755301665</x:v>
      </x:c>
      <x:c r="AO212" s="9">
        <x:f t="shared" si="72"/>
        <x:v>397.70995031030907</x:v>
      </x:c>
      <x:c r="AP212" s="9">
        <x:f t="shared" si="73"/>
        <x:v>59.716208755301665</x:v>
      </x:c>
      <x:c r="AQ212" s="9" t="n">
        <x:f>IF(OR(Inputs!$C$27=TRUE,Inputs!$C$27="TRUE",Inputs!$C$27=1),Inputs!$C$46/Inputs!$C$12,0)</x:f>
        <x:v>42.13483146067416</x:v>
      </x:c>
      <x:c r="AR212" s="9">
        <x:f t="shared" si="74"/>
        <x:v>2178.9353910966242</x:v>
      </x:c>
      <x:c r="AS212" s="9">
        <x:f t="shared" si="75"/>
        <x:v>2263.205054017973</x:v>
      </x:c>
    </x:row>
    <x:row r="213">
      <x:c r="A213" s="9" t="n">
        <x:f>Inputs!$C$7+211*(Inputs!$C$8-Inputs!$C$7)/240</x:f>
        <x:v>45.5</x:v>
      </x:c>
      <x:c r="B213" s="9" t="n">
        <x:f>Inputs!$C$5+Inputs!$C$9*(A213/Inputs!$C$10)^2</x:f>
        <x:v>402.30027777777775</x:v>
      </x:c>
      <x:c r="C213" s="9">
        <x:f t="shared" si="57"/>
        <x:v>402.30027777777775</x:v>
      </x:c>
      <x:c r="D213" s="9" t="n">
        <x:f>SQRT((Inputs!$C$52+B213)^2+Inputs!$C$52^2-2*(Inputs!$C$52+B213)*Inputs!$C$52*COS(SQRT(A213^2+Inputs!$C$6^2)/Inputs!$C$52))</x:f>
        <x:v>406.491277510544</x:v>
      </x:c>
      <x:c r="E213" s="9">
        <x:f t="shared" si="58"/>
        <x:v>4190.9997327662722</x:v>
      </x:c>
      <x:c r="F213" s="9" t="n">
        <x:f>E213/Inputs!$C$12</x:f>
        <x:v>2354.494231891164</x:v>
      </x:c>
      <x:c r="G213" s="9" t="n">
        <x:f>2*E213/Inputs!$C$21*1000000</x:f>
        <x:v>27.959340676717574</x:v>
      </x:c>
      <x:c r="H213" s="9" t="n">
        <x:f>SQRT(A213^2+Inputs!$C$6^2)</x:f>
        <x:v>51.915797210483056</x:v>
      </x:c>
      <x:c r="I213" s="9">
        <x:f t="shared" si="59"/>
        <x:v>7.3532316468514338</x:v>
      </x:c>
      <x:c r="J213" s="9" t="n">
        <x:f>DEGREES((2*PI()/Inputs!$C$13)*Inputs!$C$15*SIN(RADIANS(I213)))</x:f>
        <x:v>46.07499258851599</x:v>
      </x:c>
      <x:c r="K213" s="9">
        <x:f t="shared" si="60"/>
        <x:v>0.9593926920449114</x:v>
      </x:c>
      <x:c r="L213" s="9">
        <x:f t="shared" si="61"/>
        <x:v>-0.18003593996718301</x:v>
      </x:c>
      <x:c r="M213" s="9" t="n">
        <x:f>2*(Inputs!$C$9/(Inputs!$C$10^2))*A213</x:f>
        <x:v>0.10111111111111111</x:v>
      </x:c>
      <x:c r="N213" s="9" t="n">
        <x:f>M213*Inputs!$C$11</x:f>
        <x:v>0.40444444444444444</x:v>
      </x:c>
      <x:c r="O213" s="9" t="n">
        <x:f>1000*(D214-D212)/(A214-A212)*Inputs!$C$11</x:f>
        <x:v>964.1673060955327</x:v>
      </x:c>
      <x:c r="P213" s="9" t="n">
        <x:f>-2*O213/Inputs!$C$13</x:f>
        <x:v>-385.6669224382131</x:v>
      </x:c>
      <x:c r="Q213" s="9" t="n">
        <x:f>-2*O213/Inputs!$C$14</x:f>
        <x:v>-57.90794631204401</x:v>
      </x:c>
      <x:c r="R213" s="9" t="n">
        <x:f>F213-Inputs!$C$16/2</x:f>
        <x:v>2339.494231891164</x:v>
      </x:c>
      <x:c r="S213" s="9" t="n">
        <x:f>F213+Inputs!$C$16/2</x:f>
        <x:v>2369.494231891164</x:v>
      </x:c>
      <x:c r="T213" s="9" t="n">
        <x:f>F213-Inputs!$C$17/2</x:f>
        <x:v>2204.494231891164</x:v>
      </x:c>
      <x:c r="U213" s="9" t="n">
        <x:f>F213+Inputs!$C$17/2</x:f>
        <x:v>2504.494231891164</x:v>
      </x:c>
      <x:c r="V213" s="9">
        <x:f t="shared" si="62"/>
        <x:v>385.66692243821308</x:v>
      </x:c>
      <x:c r="W213" s="9">
        <x:f t="shared" si="63"/>
        <x:v>57.907946312044011</x:v>
      </x:c>
      <x:c r="X213" s="9"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x:f>
        <x:v>-4.954776418919145</x:v>
      </x:c>
      <x:c r="Y213" s="9"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x:f>
        <x:v>168.78187987738474</x:v>
      </x:c>
      <x:c r="Z213" s="9">
        <x:f t="shared" si="64"/>
        <x:v>402.30523255419666</x:v>
      </x:c>
      <x:c r="AA213" s="9" t="n">
        <x:f>SQRT((Inputs!$C$52+B213)^2+(Inputs!$C$52+Y213/1000)^2-2*(Inputs!$C$52+B213)*(Inputs!$C$52+Y213/1000)*COS(SQRT(A213^2+Inputs!$C$6^2)/Inputs!$C$52))</x:f>
        <x:v>406.3246875773194</x:v>
      </x:c>
      <x:c r="AB213" s="9">
        <x:f t="shared" si="65"/>
        <x:v>4019.4550231227595</x:v>
      </x:c>
      <x:c r="AC213" s="9" t="n">
        <x:f>AB213/Inputs!$C$12</x:f>
        <x:v>2258.120799507168</x:v>
      </x:c>
      <x:c r="AD213" s="9" t="n">
        <x:f>2*AB213/Inputs!$C$21*1000000</x:f>
        <x:v>26.81491755955221</x:v>
      </x:c>
      <x:c r="AE213" s="9">
        <x:f t="shared" si="66"/>
        <x:v>7.3562841331839328</x:v>
      </x:c>
      <x:c r="AF213" s="9" t="n">
        <x:f>DEGREES((2*PI()/Inputs!$C$13)*Inputs!$C$15*SIN(RADIANS(AE213)))</x:f>
        <x:v>46.09401412881295</x:v>
      </x:c>
      <x:c r="AG213" s="9">
        <x:f t="shared" si="67"/>
        <x:v>0.96101437621095664</x:v>
      </x:c>
      <x:c r="AH213" s="9">
        <x:f t="shared" si="68"/>
        <x:v>-0.17270115492339866</x:v>
      </x:c>
      <x:c r="AI213" s="9">
        <x:f t="shared" si="69"/>
        <x:v>-96.373432383995805</x:v>
      </x:c>
      <x:c r="AJ213" s="9">
        <x:f t="shared" si="70"/>
        <x:v>-1.1444231171653634</x:v>
      </x:c>
      <x:c r="AK213" s="9">
        <x:f t="shared" si="71"/>
        <x:v>173.73665629630389</x:v>
      </x:c>
      <x:c r="AL213" s="9" t="n">
        <x:f>1000*(AA214-AA212)/(A214-A212)*Inputs!$C$11</x:f>
        <x:v>1035.664864365117</x:v>
      </x:c>
      <x:c r="AM213" s="9" t="n">
        <x:f>-2*AL213/Inputs!$C$13</x:f>
        <x:v>-414.2659457460468</x:v>
      </x:c>
      <x:c r="AN213" s="9" t="n">
        <x:f>-2*AL213/Inputs!$C$14</x:f>
        <x:v>-62.202093955862885</x:v>
      </x:c>
      <x:c r="AO213" s="9">
        <x:f t="shared" si="72"/>
        <x:v>414.26594574604678</x:v>
      </x:c>
      <x:c r="AP213" s="9">
        <x:f t="shared" si="73"/>
        <x:v>62.202093955862885</x:v>
      </x:c>
      <x:c r="AQ213" s="9" t="n">
        <x:f>IF(OR(Inputs!$C$27=TRUE,Inputs!$C$27="TRUE",Inputs!$C$27=1),Inputs!$C$46/Inputs!$C$12,0)</x:f>
        <x:v>42.13483146067416</x:v>
      </x:c>
      <x:c r="AR213" s="9">
        <x:f t="shared" si="74"/>
        <x:v>2215.9859680464938</x:v>
      </x:c>
      <x:c r="AS213" s="9">
        <x:f t="shared" si="75"/>
        <x:v>2300.2556309678425</x:v>
      </x:c>
    </x:row>
    <x:row r="214">
      <x:c r="A214" s="9" t="n">
        <x:f>Inputs!$C$7+212*(Inputs!$C$8-Inputs!$C$7)/240</x:f>
        <x:v>46</x:v>
      </x:c>
      <x:c r="B214" s="9" t="n">
        <x:f>Inputs!$C$5+Inputs!$C$9*(A214/Inputs!$C$10)^2</x:f>
        <x:v>402.3511111111111</x:v>
      </x:c>
      <x:c r="C214" s="9">
        <x:f t="shared" si="57"/>
        <x:v>402.35111111111109</x:v>
      </x:c>
      <x:c r="D214" s="9" t="n">
        <x:f>SQRT((Inputs!$C$52+B214)^2+Inputs!$C$52^2-2*(Inputs!$C$52+B214)*Inputs!$C$52*COS(SQRT(A214^2+Inputs!$C$6^2)/Inputs!$C$52))</x:f>
        <x:v>406.6124476070833</x:v>
      </x:c>
      <x:c r="E214" s="9">
        <x:f t="shared" si="58"/>
        <x:v>4261.3364959722167</x:v>
      </x:c>
      <x:c r="F214" s="9" t="n">
        <x:f>E214/Inputs!$C$12</x:f>
        <x:v>2394.0092674001216</x:v>
      </x:c>
      <x:c r="G214" s="9" t="n">
        <x:f>2*E214/Inputs!$C$21*1000000</x:f>
        <x:v>28.428577052276722</x:v>
      </x:c>
      <x:c r="H214" s="9" t="n">
        <x:f>SQRT(A214^2+Inputs!$C$6^2)</x:f>
        <x:v>52.354560450833695</x:v>
      </x:c>
      <x:c r="I214" s="9">
        <x:f t="shared" si="59"/>
        <x:v>7.4137620157175332</x:v>
      </x:c>
      <x:c r="J214" s="9" t="n">
        <x:f>DEGREES((2*PI()/Inputs!$C$13)*Inputs!$C$15*SIN(RADIANS(I214)))</x:f>
        <x:v>46.45216253583958</x:v>
      </x:c>
      <x:c r="K214" s="9">
        <x:f t="shared" si="60"/>
        <x:v>0.95873402775285366</x:v>
      </x:c>
      <x:c r="L214" s="9">
        <x:f t="shared" si="61"/>
        <x:v>-0.18301858210191152</x:v>
      </x:c>
      <x:c r="M214" s="9" t="n">
        <x:f>2*(Inputs!$C$9/(Inputs!$C$10^2))*A214</x:f>
        <x:v>0.10222222222222223</x:v>
      </x:c>
      <x:c r="N214" s="9" t="n">
        <x:f>M214*Inputs!$C$11</x:f>
        <x:v>0.4088888888888889</x:v>
      </x:c>
      <x:c r="O214" s="9" t="n">
        <x:f>1000*(D215-D213)/(A215-A213)*Inputs!$C$11</x:f>
        <x:v>974.5508814573896</x:v>
      </x:c>
      <x:c r="P214" s="9" t="n">
        <x:f>-2*O214/Inputs!$C$13</x:f>
        <x:v>-389.8203525829558</x:v>
      </x:c>
      <x:c r="Q214" s="9" t="n">
        <x:f>-2*O214/Inputs!$C$14</x:f>
        <x:v>-58.531584471915295</x:v>
      </x:c>
      <x:c r="R214" s="9" t="n">
        <x:f>F214-Inputs!$C$16/2</x:f>
        <x:v>2379.0092674001216</x:v>
      </x:c>
      <x:c r="S214" s="9" t="n">
        <x:f>F214+Inputs!$C$16/2</x:f>
        <x:v>2409.0092674001216</x:v>
      </x:c>
      <x:c r="T214" s="9" t="n">
        <x:f>F214-Inputs!$C$17/2</x:f>
        <x:v>2244.0092674001216</x:v>
      </x:c>
      <x:c r="U214" s="9" t="n">
        <x:f>F214+Inputs!$C$17/2</x:f>
        <x:v>2544.0092674001216</x:v>
      </x:c>
      <x:c r="V214" s="9">
        <x:f t="shared" si="62"/>
        <x:v>389.82035258295582</x:v>
      </x:c>
      <x:c r="W214" s="9">
        <x:f t="shared" si="63"/>
        <x:v>58.531584471915295</x:v>
      </x:c>
      <x:c r="X214" s="9"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x:f>
        <x:v>-0.04819256513620118</x:v>
      </x:c>
      <x:c r="Y214" s="9"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x:f>
        <x:v>147.2236511039814</x:v>
      </x:c>
      <x:c r="Z214" s="9">
        <x:f t="shared" si="64"/>
        <x:v>402.35115930367624</x:v>
      </x:c>
      <x:c r="AA214" s="9" t="n">
        <x:f>SQRT((Inputs!$C$52+B214)^2+(Inputs!$C$52+Y214/1000)^2-2*(Inputs!$C$52+B214)*(Inputs!$C$52+Y214/1000)*COS(SQRT(A214^2+Inputs!$C$6^2)/Inputs!$C$52))</x:f>
        <x:v>406.4671674202115</x:v>
      </x:c>
      <x:c r="AB214" s="9">
        <x:f t="shared" si="65"/>
        <x:v>4116.008116535284</x:v>
      </x:c>
      <x:c r="AC214" s="9" t="n">
        <x:f>AB214/Inputs!$C$12</x:f>
        <x:v>2312.3641104130807</x:v>
      </x:c>
      <x:c r="AD214" s="9" t="n">
        <x:f>2*AB214/Inputs!$C$21*1000000</x:f>
        <x:v>27.45905046440684</x:v>
      </x:c>
      <x:c r="AE214" s="9">
        <x:f t="shared" si="66"/>
        <x:v>7.4164455606099589</x:v>
      </x:c>
      <x:c r="AF214" s="9" t="n">
        <x:f>DEGREES((2*PI()/Inputs!$C$13)*Inputs!$C$15*SIN(RADIANS(AE214)))</x:f>
        <x:v>46.468882738347205</x:v>
      </x:c>
      <x:c r="AG214" s="9">
        <x:f t="shared" si="67"/>
        <x:v>0.96010591218761898</x:v>
      </x:c>
      <x:c r="AH214" s="9">
        <x:f t="shared" si="68"/>
        <x:v>-0.17680855979684207</x:v>
      </x:c>
      <x:c r="AI214" s="9">
        <x:f t="shared" si="69"/>
        <x:v>-81.645156987040991</x:v>
      </x:c>
      <x:c r="AJ214" s="9">
        <x:f t="shared" si="70"/>
        <x:v>-0.96952658786988266</x:v>
      </x:c>
      <x:c r="AK214" s="9">
        <x:f t="shared" si="71"/>
        <x:v>147.2718436691176</x:v>
      </x:c>
      <x:c r="AL214" s="9" t="n">
        <x:f>1000*(AA215-AA213)/(A215-A213)*Inputs!$C$11</x:f>
        <x:v>1146.5767878601127</x:v>
      </x:c>
      <x:c r="AM214" s="9" t="n">
        <x:f>-2*AL214/Inputs!$C$13</x:f>
        <x:v>-458.6307151440451</x:v>
      </x:c>
      <x:c r="AN214" s="9" t="n">
        <x:f>-2*AL214/Inputs!$C$14</x:f>
        <x:v>-68.86347074234912</x:v>
      </x:c>
      <x:c r="AO214" s="9">
        <x:f t="shared" si="72"/>
        <x:v>458.6307151440451</x:v>
      </x:c>
      <x:c r="AP214" s="9">
        <x:f t="shared" si="73"/>
        <x:v>68.863470742349122</x:v>
      </x:c>
      <x:c r="AQ214" s="9" t="n">
        <x:f>IF(OR(Inputs!$C$27=TRUE,Inputs!$C$27="TRUE",Inputs!$C$27=1),Inputs!$C$46/Inputs!$C$12,0)</x:f>
        <x:v>42.13483146067416</x:v>
      </x:c>
      <x:c r="AR214" s="9">
        <x:f t="shared" si="74"/>
        <x:v>2270.2292789524063</x:v>
      </x:c>
      <x:c r="AS214" s="9">
        <x:f t="shared" si="75"/>
        <x:v>2354.498941873755</x:v>
      </x:c>
    </x:row>
    <x:row r="215">
      <x:c r="A215" s="9" t="n">
        <x:f>Inputs!$C$7+213*(Inputs!$C$8-Inputs!$C$7)/240</x:f>
        <x:v>46.5</x:v>
      </x:c>
      <x:c r="B215" s="9" t="n">
        <x:f>Inputs!$C$5+Inputs!$C$9*(A215/Inputs!$C$10)^2</x:f>
        <x:v>402.4025</x:v>
      </x:c>
      <x:c r="C215" s="9">
        <x:f t="shared" si="57"/>
        <x:v>402.40249999999997</x:v>
      </x:c>
      <x:c r="D215" s="9" t="n">
        <x:f>SQRT((Inputs!$C$52+B215)^2+Inputs!$C$52^2-2*(Inputs!$C$52+B215)*Inputs!$C$52*COS(SQRT(A215^2+Inputs!$C$6^2)/Inputs!$C$52))</x:f>
        <x:v>406.73491523090837</x:v>
      </x:c>
      <x:c r="E215" s="9">
        <x:f t="shared" si="58"/>
        <x:v>4332.4152309083956</x:v>
      </x:c>
      <x:c r="F215" s="9" t="n">
        <x:f>E215/Inputs!$C$12</x:f>
        <x:v>2433.941140959773</x:v>
      </x:c>
      <x:c r="G215" s="9" t="n">
        <x:f>2*E215/Inputs!$C$21*1000000</x:f>
        <x:v>28.90276333041304</x:v>
      </x:c>
      <x:c r="H215" s="9" t="n">
        <x:f>SQRT(A215^2+Inputs!$C$6^2)</x:f>
        <x:v>52.79441258315126</x:v>
      </x:c>
      <x:c r="I215" s="9">
        <x:f t="shared" si="59"/>
        <x:v>7.4744026758958535</x:v>
      </x:c>
      <x:c r="J215" s="9" t="n">
        <x:f>DEGREES((2*PI()/Inputs!$C$13)*Inputs!$C$15*SIN(RADIANS(I215)))</x:f>
        <x:v>46.82996773075058</x:v>
      </x:c>
      <x:c r="K215" s="9">
        <x:f t="shared" si="60"/>
        <x:v>0.95806916023328526</x:v>
      </x:c>
      <x:c r="L215" s="9">
        <x:f t="shared" si="61"/>
        <x:v>-0.18603139331106608</x:v>
      </x:c>
      <x:c r="M215" s="9" t="n">
        <x:f>2*(Inputs!$C$9/(Inputs!$C$10^2))*A215</x:f>
        <x:v>0.10333333333333333</x:v>
      </x:c>
      <x:c r="N215" s="9" t="n">
        <x:f>M215*Inputs!$C$11</x:f>
        <x:v>0.41333333333333333</x:v>
      </x:c>
      <x:c r="O215" s="9" t="n">
        <x:f>1000*(D216-D214)/(A216-A214)*Inputs!$C$11</x:f>
        <x:v>984.927711027467</x:v>
      </x:c>
      <x:c r="P215" s="9" t="n">
        <x:f>-2*O215/Inputs!$C$13</x:f>
        <x:v>-393.9710844109868</x:v>
      </x:c>
      <x:c r="Q215" s="9" t="n">
        <x:f>-2*O215/Inputs!$C$14</x:f>
        <x:v>-59.15481747912715</x:v>
      </x:c>
      <x:c r="R215" s="9" t="n">
        <x:f>F215-Inputs!$C$16/2</x:f>
        <x:v>2418.941140959773</x:v>
      </x:c>
      <x:c r="S215" s="9" t="n">
        <x:f>F215+Inputs!$C$16/2</x:f>
        <x:v>2448.941140959773</x:v>
      </x:c>
      <x:c r="T215" s="9" t="n">
        <x:f>F215-Inputs!$C$17/2</x:f>
        <x:v>2283.941140959773</x:v>
      </x:c>
      <x:c r="U215" s="9" t="n">
        <x:f>F215+Inputs!$C$17/2</x:f>
        <x:v>2583.941140959773</x:v>
      </x:c>
      <x:c r="V215" s="9">
        <x:f t="shared" si="62"/>
        <x:v>393.9710844109868</x:v>
      </x:c>
      <x:c r="W215" s="9">
        <x:f t="shared" si="63"/>
        <x:v>59.154817479127153</x:v>
      </x:c>
      <x:c r="X215" s="9"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x:f>
        <x:v>-12.32376640540756</x:v>
      </x:c>
      <x:c r="Y215" s="9"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x:f>
        <x:v>125.26409736726505</x:v>
      </x:c>
      <x:c r="Z215" s="9">
        <x:f t="shared" si="64"/>
        <x:v>402.41482376640539</x:v>
      </x:c>
      <x:c r="AA215" s="9" t="n">
        <x:f>SQRT((Inputs!$C$52+B215)^2+(Inputs!$C$52+Y215/1000)^2-2*(Inputs!$C$52+B215)*(Inputs!$C$52+Y215/1000)*COS(SQRT(A215^2+Inputs!$C$6^2)/Inputs!$C$52))</x:f>
        <x:v>406.61133177428445</x:v>
      </x:c>
      <x:c r="AB215" s="9">
        <x:f t="shared" si="65"/>
        <x:v>4196.5080078790606</x:v>
      </x:c>
      <x:c r="AC215" s="9" t="n">
        <x:f>AB215/Inputs!$C$12</x:f>
        <x:v>2357.5887684713825</x:v>
      </x:c>
      <x:c r="AD215" s="9" t="n">
        <x:f>2*AB215/Inputs!$C$21*1000000</x:f>
        <x:v>27.99608793279957</x:v>
      </x:c>
      <x:c r="AE215" s="9">
        <x:f t="shared" si="66"/>
        <x:v>7.4767037834776495</x:v>
      </x:c>
      <x:c r="AF215" s="9" t="n">
        <x:f>DEGREES((2*PI()/Inputs!$C$13)*Inputs!$C$15*SIN(RADIANS(AE215)))</x:f>
        <x:v>46.8443031273752</x:v>
      </x:c>
      <x:c r="AG215" s="9">
        <x:f t="shared" si="67"/>
        <x:v>0.95935196818070911</x:v>
      </x:c>
      <x:c r="AH215" s="9">
        <x:f t="shared" si="68"/>
        <x:v>-0.18022029122427427</x:v>
      </x:c>
      <x:c r="AI215" s="9">
        <x:f t="shared" si="69"/>
        <x:v>-76.352372488390301</x:v>
      </x:c>
      <x:c r="AJ215" s="9">
        <x:f t="shared" si="70"/>
        <x:v>-0.90667539761347271</x:v>
      </x:c>
      <x:c r="AK215" s="9">
        <x:f t="shared" si="71"/>
        <x:v>137.58786377267262</x:v>
      </x:c>
      <x:c r="AL215" s="9" t="n">
        <x:f>1000*(AA216-AA214)/(A216-A214)*Inputs!$C$11</x:f>
        <x:v>1096.243634253824</x:v>
      </x:c>
      <x:c r="AM215" s="9" t="n">
        <x:f>-2*AL215/Inputs!$C$13</x:f>
        <x:v>-438.4974537015296</x:v>
      </x:c>
      <x:c r="AN215" s="9" t="n">
        <x:f>-2*AL215/Inputs!$C$14</x:f>
        <x:v>-65.84045851374319</x:v>
      </x:c>
      <x:c r="AO215" s="9">
        <x:f t="shared" si="72"/>
        <x:v>438.49745370152959</x:v>
      </x:c>
      <x:c r="AP215" s="9">
        <x:f t="shared" si="73"/>
        <x:v>65.840458513743187</x:v>
      </x:c>
      <x:c r="AQ215" s="9" t="n">
        <x:f>IF(OR(Inputs!$C$27=TRUE,Inputs!$C$27="TRUE",Inputs!$C$27=1),Inputs!$C$46/Inputs!$C$12,0)</x:f>
        <x:v>42.13483146067416</x:v>
      </x:c>
      <x:c r="AR215" s="9">
        <x:f t="shared" si="74"/>
        <x:v>2315.4539370107082</x:v>
      </x:c>
      <x:c r="AS215" s="9">
        <x:f t="shared" si="75"/>
        <x:v>2399.7235999320569</x:v>
      </x:c>
    </x:row>
    <x:row r="216">
      <x:c r="A216" s="9" t="n">
        <x:f>Inputs!$C$7+214*(Inputs!$C$8-Inputs!$C$7)/240</x:f>
        <x:v>47</x:v>
      </x:c>
      <x:c r="B216" s="9" t="n">
        <x:f>Inputs!$C$5+Inputs!$C$9*(A216/Inputs!$C$10)^2</x:f>
        <x:v>402.45444444444445</x:v>
      </x:c>
      <x:c r="C216" s="9">
        <x:f t="shared" si="57"/>
        <x:v>402.45444444444445</x:v>
      </x:c>
      <x:c r="D216" s="9" t="n">
        <x:f>SQRT((Inputs!$C$52+B216)^2+Inputs!$C$52^2-2*(Inputs!$C$52+B216)*Inputs!$C$52*COS(SQRT(A216^2+Inputs!$C$6^2)/Inputs!$C$52))</x:f>
        <x:v>406.8586795348402</x:v>
      </x:c>
      <x:c r="E216" s="9">
        <x:f t="shared" si="58"/>
        <x:v>4404.2350903957304</x:v>
      </x:c>
      <x:c r="F216" s="9" t="n">
        <x:f>E216/Inputs!$C$12</x:f>
        <x:v>2474.289376626815</x:v>
      </x:c>
      <x:c r="G216" s="9" t="n">
        <x:f>2*E216/Inputs!$C$21*1000000</x:f>
        <x:v>29.381893859356065</x:v>
      </x:c>
      <x:c r="H216" s="9" t="n">
        <x:f>SQRT(A216^2+Inputs!$C$6^2)</x:f>
        <x:v>53.23532661682466</x:v>
      </x:c>
      <x:c r="I216" s="9">
        <x:f t="shared" si="59"/>
        <x:v>7.5351493170616237</x:v>
      </x:c>
      <x:c r="J216" s="9" t="n">
        <x:f>DEGREES((2*PI()/Inputs!$C$13)*Inputs!$C$15*SIN(RADIANS(I216)))</x:f>
        <x:v>47.20838061627316</x:v>
      </x:c>
      <x:c r="K216" s="9">
        <x:f t="shared" si="60"/>
        <x:v>0.95739811981586398</x:v>
      </x:c>
      <x:c r="L216" s="9">
        <x:f t="shared" si="61"/>
        <x:v>-0.18907429741470522</x:v>
      </x:c>
      <x:c r="M216" s="9" t="n">
        <x:f>2*(Inputs!$C$9/(Inputs!$C$10^2))*A216</x:f>
        <x:v>0.10444444444444445</x:v>
      </x:c>
      <x:c r="N216" s="9" t="n">
        <x:f>M216*Inputs!$C$11</x:f>
        <x:v>0.4177777777777778</x:v>
      </x:c>
      <x:c r="O216" s="9" t="n">
        <x:f>1000*(D217-D215)/(A217-A215)*Inputs!$C$11</x:f>
        <x:v>995.2977317227578</x:v>
      </x:c>
      <x:c r="P216" s="9" t="n">
        <x:f>-2*O216/Inputs!$C$13</x:f>
        <x:v>-398.1190926891031</x:v>
      </x:c>
      <x:c r="Q216" s="9" t="n">
        <x:f>-2*O216/Inputs!$C$14</x:f>
        <x:v>-59.77764154491039</x:v>
      </x:c>
      <x:c r="R216" s="9" t="n">
        <x:f>F216-Inputs!$C$16/2</x:f>
        <x:v>2459.289376626815</x:v>
      </x:c>
      <x:c r="S216" s="9" t="n">
        <x:f>F216+Inputs!$C$16/2</x:f>
        <x:v>2489.289376626815</x:v>
      </x:c>
      <x:c r="T216" s="9" t="n">
        <x:f>F216-Inputs!$C$17/2</x:f>
        <x:v>2324.289376626815</x:v>
      </x:c>
      <x:c r="U216" s="9" t="n">
        <x:f>F216+Inputs!$C$17/2</x:f>
        <x:v>2624.289376626815</x:v>
      </x:c>
      <x:c r="V216" s="9">
        <x:f t="shared" si="62"/>
        <x:v>398.11909268910313</x:v>
      </x:c>
      <x:c r="W216" s="9">
        <x:f t="shared" si="63"/>
        <x:v>59.777641544910388</x:v>
      </x:c>
      <x:c r="X216" s="9"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x:f>
        <x:v>5.624733438492097</x:v>
      </x:c>
      <x:c r="Y216" s="9"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x:f>
        <x:v>119.07484471636309</x:v>
      </x:c>
      <x:c r="Z216" s="9">
        <x:f t="shared" si="64"/>
        <x:v>402.44881971100597</x:v>
      </x:c>
      <x:c r="AA216" s="9" t="n">
        <x:f>SQRT((Inputs!$C$52+B216)^2+(Inputs!$C$52+Y216/1000)^2-2*(Inputs!$C$52+B216)*(Inputs!$C$52+Y216/1000)*COS(SQRT(A216^2+Inputs!$C$6^2)/Inputs!$C$52))</x:f>
        <x:v>406.741228328775</x:v>
      </x:c>
      <x:c r="AB216" s="9">
        <x:f t="shared" si="65"/>
        <x:v>4292.4086177690133</x:v>
      </x:c>
      <x:c r="AC216" s="9" t="n">
        <x:f>AB216/Inputs!$C$12</x:f>
        <x:v>2411.4655156005692</x:v>
      </x:c>
      <x:c r="AD216" s="9" t="n">
        <x:f>2*AB216/Inputs!$C$21*1000000</x:f>
        <x:v>28.63586793613743</x:v>
      </x:c>
      <x:c r="AE216" s="9">
        <x:f t="shared" si="66"/>
        <x:v>7.5373537771580006</x:v>
      </x:c>
      <x:c r="AF216" s="9" t="n">
        <x:f>DEGREES((2*PI()/Inputs!$C$13)*Inputs!$C$15*SIN(RADIANS(AE216)))</x:f>
        <x:v>47.22211200343021</x:v>
      </x:c>
      <x:c r="AG216" s="9">
        <x:f t="shared" si="67"/>
        <x:v>0.95845085435586819</x:v>
      </x:c>
      <x:c r="AH216" s="9">
        <x:f t="shared" si="68"/>
        <x:v>-0.18430151152384233</x:v>
      </x:c>
      <x:c r="AI216" s="9">
        <x:f t="shared" si="69"/>
        <x:v>-62.823861026245595</x:v>
      </x:c>
      <x:c r="AJ216" s="9">
        <x:f t="shared" si="70"/>
        <x:v>-0.74602592321863526</x:v>
      </x:c>
      <x:c r="AK216" s="9">
        <x:f t="shared" si="71"/>
        <x:v>113.45011127796921</x:v>
      </x:c>
      <x:c r="AL216" s="9" t="n">
        <x:f>1000*(AA217-AA215)/(A217-A215)*Inputs!$C$11</x:f>
        <x:v>1064.5928352605551</x:v>
      </x:c>
      <x:c r="AM216" s="9" t="n">
        <x:f>-2*AL216/Inputs!$C$13</x:f>
        <x:v>-425.83713410422206</x:v>
      </x:c>
      <x:c r="AN216" s="9" t="n">
        <x:f>-2*AL216/Inputs!$C$14</x:f>
        <x:v>-63.93950962525857</x:v>
      </x:c>
      <x:c r="AO216" s="9">
        <x:f t="shared" si="72"/>
        <x:v>425.83713410422206</x:v>
      </x:c>
      <x:c r="AP216" s="9">
        <x:f t="shared" si="73"/>
        <x:v>63.939509625258573</x:v>
      </x:c>
      <x:c r="AQ216" s="9" t="n">
        <x:f>IF(OR(Inputs!$C$27=TRUE,Inputs!$C$27="TRUE",Inputs!$C$27=1),Inputs!$C$46/Inputs!$C$12,0)</x:f>
        <x:v>42.13483146067416</x:v>
      </x:c>
      <x:c r="AR216" s="9">
        <x:f t="shared" si="74"/>
        <x:v>2369.3306841398949</x:v>
      </x:c>
      <x:c r="AS216" s="9">
        <x:f t="shared" si="75"/>
        <x:v>2453.6003470612436</x:v>
      </x:c>
    </x:row>
    <x:row r="217">
      <x:c r="A217" s="9" t="n">
        <x:f>Inputs!$C$7+215*(Inputs!$C$8-Inputs!$C$7)/240</x:f>
        <x:v>47.5</x:v>
      </x:c>
      <x:c r="B217" s="9" t="n">
        <x:f>Inputs!$C$5+Inputs!$C$9*(A217/Inputs!$C$10)^2</x:f>
        <x:v>402.50694444444446</x:v>
      </x:c>
      <x:c r="C217" s="9">
        <x:f t="shared" si="57"/>
        <x:v>402.50694444444446</x:v>
      </x:c>
      <x:c r="D217" s="9" t="n">
        <x:f>SQRT((Inputs!$C$52+B217)^2+Inputs!$C$52^2-2*(Inputs!$C$52+B217)*Inputs!$C$52*COS(SQRT(A217^2+Inputs!$C$6^2)/Inputs!$C$52))</x:f>
        <x:v>406.98373966383906</x:v>
      </x:c>
      <x:c r="E217" s="9">
        <x:f t="shared" si="58"/>
        <x:v>4476.795219394603</x:v>
      </x:c>
      <x:c r="F217" s="9" t="n">
        <x:f>E217/Inputs!$C$12</x:f>
        <x:v>2515.0534940419116</x:v>
      </x:c>
      <x:c r="G217" s="9" t="n">
        <x:f>2*E217/Inputs!$C$21*1000000</x:f>
        <x:v>29.865962934895467</x:v>
      </x:c>
      <x:c r="H217" s="9" t="n">
        <x:f>SQRT(A217^2+Inputs!$C$6^2)</x:f>
        <x:v>53.67727638395972</x:v>
      </x:c>
      <x:c r="I217" s="9">
        <x:f t="shared" si="59"/>
        <x:v>7.595997748011027</x:v>
      </x:c>
      <x:c r="J217" s="9" t="n">
        <x:f>DEGREES((2*PI()/Inputs!$C$13)*Inputs!$C$15*SIN(RADIANS(I217)))</x:f>
        <x:v>47.58737438738348</x:v>
      </x:c>
      <x:c r="K217" s="9">
        <x:f t="shared" si="60"/>
        <x:v>0.95672093704912897</x:v>
      </x:c>
      <x:c r="L217" s="9">
        <x:f t="shared" si="61"/>
        <x:v>-0.19214721756612593</x:v>
      </x:c>
      <x:c r="M217" s="9" t="n">
        <x:f>2*(Inputs!$C$9/(Inputs!$C$10^2))*A217</x:f>
        <x:v>0.10555555555555556</x:v>
      </x:c>
      <x:c r="N217" s="9" t="n">
        <x:f>M217*Inputs!$C$11</x:f>
        <x:v>0.4222222222222222</x:v>
      </x:c>
      <x:c r="O217" s="9" t="n">
        <x:f>1000*(D218-D216)/(A218-A216)*Inputs!$C$11</x:f>
        <x:v>1005.6608808090459</x:v>
      </x:c>
      <x:c r="P217" s="9" t="n">
        <x:f>-2*O217/Inputs!$C$13</x:f>
        <x:v>-402.26435232361837</x:v>
      </x:c>
      <x:c r="Q217" s="9" t="n">
        <x:f>-2*O217/Inputs!$C$14</x:f>
        <x:v>-60.400052901444205</x:v>
      </x:c>
      <x:c r="R217" s="9" t="n">
        <x:f>F217-Inputs!$C$16/2</x:f>
        <x:v>2500.0534940419116</x:v>
      </x:c>
      <x:c r="S217" s="9" t="n">
        <x:f>F217+Inputs!$C$16/2</x:f>
        <x:v>2530.0534940419116</x:v>
      </x:c>
      <x:c r="T217" s="9" t="n">
        <x:f>F217-Inputs!$C$17/2</x:f>
        <x:v>2365.0534940419116</x:v>
      </x:c>
      <x:c r="U217" s="9" t="n">
        <x:f>F217+Inputs!$C$17/2</x:f>
        <x:v>2665.0534940419116</x:v>
      </x:c>
      <x:c r="V217" s="9">
        <x:f t="shared" si="62"/>
        <x:v>402.26435232361837</x:v>
      </x:c>
      <x:c r="W217" s="9">
        <x:f t="shared" si="63"/>
        <x:v>60.400052901444205</x:v>
      </x:c>
      <x:c r="X217" s="9"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x:f>
        <x:v>4.725819493947935</x:v>
      </x:c>
      <x:c r="Y217" s="9"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x:f>
        <x:v>107.75271022723112</x:v>
      </x:c>
      <x:c r="Z217" s="9">
        <x:f t="shared" si="64"/>
        <x:v>402.5022186249505</x:v>
      </x:c>
      <x:c r="AA217" s="9" t="n">
        <x:f>SQRT((Inputs!$C$52+B217)^2+(Inputs!$C$52+Y217/1000)^2-2*(Inputs!$C$52+B217)*(Inputs!$C$52+Y217/1000)*COS(SQRT(A217^2+Inputs!$C$6^2)/Inputs!$C$52))</x:f>
        <x:v>406.8774799830996</x:v>
      </x:c>
      <x:c r="AB217" s="9">
        <x:f t="shared" si="65"/>
        <x:v>4375.2613581490896</x:v>
      </x:c>
      <x:c r="AC217" s="9" t="n">
        <x:f>AB217/Inputs!$C$12</x:f>
        <x:v>2458.0119989601626</x:v>
      </x:c>
      <x:c r="AD217" s="9" t="n">
        <x:f>2*AB217/Inputs!$C$21*1000000</x:f>
        <x:v>29.18860192372878</x:v>
      </x:c>
      <x:c r="AE217" s="9">
        <x:f t="shared" si="66"/>
        <x:v>7.5980080120075364</x:v>
      </x:c>
      <x:c r="AF217" s="9" t="n">
        <x:f>DEGREES((2*PI()/Inputs!$C$13)*Inputs!$C$15*SIN(RADIANS(AE217)))</x:f>
        <x:v>47.59989438066412</x:v>
      </x:c>
      <x:c r="AG217" s="9">
        <x:f t="shared" si="67"/>
        <x:v>0.9576757759664779</x:v>
      </x:c>
      <x:c r="AH217" s="9">
        <x:f t="shared" si="68"/>
        <x:v>-0.18781497749824028</x:v>
      </x:c>
      <x:c r="AI217" s="9">
        <x:f t="shared" si="69"/>
        <x:v>-57.041495081748963</x:v>
      </x:c>
      <x:c r="AJ217" s="9">
        <x:f t="shared" si="70"/>
        <x:v>-0.67736101116668834</x:v>
      </x:c>
      <x:c r="AK217" s="9">
        <x:f t="shared" si="71"/>
        <x:v>103.02689073333536</x:v>
      </x:c>
      <x:c r="AL217" s="9" t="n">
        <x:f>1000*(AA218-AA216)/(A218-A216)*Inputs!$C$11</x:f>
        <x:v>982.5168320905959</x:v>
      </x:c>
      <x:c r="AM217" s="9" t="n">
        <x:f>-2*AL217/Inputs!$C$13</x:f>
        <x:v>-393.00673283623837</x:v>
      </x:c>
      <x:c r="AN217" s="9" t="n">
        <x:f>-2*AL217/Inputs!$C$14</x:f>
        <x:v>-59.01001994538114</x:v>
      </x:c>
      <x:c r="AO217" s="9">
        <x:f t="shared" si="72"/>
        <x:v>393.00673283623837</x:v>
      </x:c>
      <x:c r="AP217" s="9">
        <x:f t="shared" si="73"/>
        <x:v>59.010019945381138</x:v>
      </x:c>
      <x:c r="AQ217" s="9" t="n">
        <x:f>IF(OR(Inputs!$C$27=TRUE,Inputs!$C$27="TRUE",Inputs!$C$27=1),Inputs!$C$46/Inputs!$C$12,0)</x:f>
        <x:v>42.13483146067416</x:v>
      </x:c>
      <x:c r="AR217" s="9">
        <x:f t="shared" si="74"/>
        <x:v>2415.8771674994882</x:v>
      </x:c>
      <x:c r="AS217" s="9">
        <x:f t="shared" si="75"/>
        <x:v>2500.146830420837</x:v>
      </x:c>
    </x:row>
    <x:row r="218">
      <x:c r="A218" s="9" t="n">
        <x:f>Inputs!$C$7+216*(Inputs!$C$8-Inputs!$C$7)/240</x:f>
        <x:v>48</x:v>
      </x:c>
      <x:c r="B218" s="9" t="n">
        <x:f>Inputs!$C$5+Inputs!$C$9*(A218/Inputs!$C$10)^2</x:f>
        <x:v>402.56</x:v>
      </x:c>
      <x:c r="C218" s="9">
        <x:f t="shared" si="57"/>
        <x:v>402.56</x:v>
      </x:c>
      <x:c r="D218" s="9" t="n">
        <x:f>SQRT((Inputs!$C$52+B218)^2+Inputs!$C$52^2-2*(Inputs!$C$52+B218)*Inputs!$C$52*COS(SQRT(A218^2+Inputs!$C$6^2)/Inputs!$C$52))</x:f>
        <x:v>407.11009475504244</x:v>
      </x:c>
      <x:c r="E218" s="9">
        <x:f t="shared" si="58"/>
        <x:v>4550.0947550424371</x:v>
      </x:c>
      <x:c r="F218" s="9" t="n">
        <x:f>E218/Inputs!$C$12</x:f>
        <x:v>2556.233008450807</x:v>
      </x:c>
      <x:c r="G218" s="9" t="n">
        <x:f>2*E218/Inputs!$C$21*1000000</x:f>
        <x:v>30.354964800631755</x:v>
      </x:c>
      <x:c r="H218" s="9" t="n">
        <x:f>SQRT(A218^2+Inputs!$C$6^2)</x:f>
        <x:v>54.120236510939236</x:v>
      </x:c>
      <x:c r="I218" s="9">
        <x:f t="shared" si="59"/>
        <x:v>7.6569438926073863</x:v>
      </x:c>
      <x:c r="J218" s="9" t="n">
        <x:f>DEGREES((2*PI()/Inputs!$C$13)*Inputs!$C$15*SIN(RADIANS(I218)))</x:f>
        <x:v>47.96692296558639</x:v>
      </x:c>
      <x:c r="K218" s="9">
        <x:f t="shared" si="60"/>
        <x:v>0.9560376426974182</x:v>
      </x:c>
      <x:c r="L218" s="9">
        <x:f t="shared" si="61"/>
        <x:v>-0.19525007625649005</x:v>
      </x:c>
      <x:c r="M218" s="9" t="n">
        <x:f>2*(Inputs!$C$9/(Inputs!$C$10^2))*A218</x:f>
        <x:v>0.10666666666666666</x:v>
      </x:c>
      <x:c r="N218" s="9" t="n">
        <x:f>M218*Inputs!$C$11</x:f>
        <x:v>0.42666666666666664</x:v>
      </x:c>
      <x:c r="O218" s="9" t="n">
        <x:f>1000*(D219-D217)/(A219-A217)*Inputs!$C$11</x:f>
        <x:v>1016.0170958615709</x:v>
      </x:c>
      <x:c r="P218" s="9" t="n">
        <x:f>-2*O218/Inputs!$C$13</x:f>
        <x:v>-406.40683834462834</x:v>
      </x:c>
      <x:c r="Q218" s="9" t="n">
        <x:f>-2*O218/Inputs!$C$14</x:f>
        <x:v>-61.02204779949375</x:v>
      </x:c>
      <x:c r="R218" s="9" t="n">
        <x:f>F218-Inputs!$C$16/2</x:f>
        <x:v>2541.233008450807</x:v>
      </x:c>
      <x:c r="S218" s="9" t="n">
        <x:f>F218+Inputs!$C$16/2</x:f>
        <x:v>2571.233008450807</x:v>
      </x:c>
      <x:c r="T218" s="9" t="n">
        <x:f>F218-Inputs!$C$17/2</x:f>
        <x:v>2406.233008450807</x:v>
      </x:c>
      <x:c r="U218" s="9" t="n">
        <x:f>F218+Inputs!$C$17/2</x:f>
        <x:v>2706.233008450807</x:v>
      </x:c>
      <x:c r="V218" s="9">
        <x:f t="shared" si="62"/>
        <x:v>406.40683834462834</x:v>
      </x:c>
      <x:c r="W218" s="9">
        <x:f t="shared" si="63"/>
        <x:v>61.022047799493748</x:v>
      </x:c>
      <x:c r="X218" s="9"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x:f>
        <x:v>-9.076914728959792</x:v>
      </x:c>
      <x:c r="Y218" s="9"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x:f>
        <x:v>124.99715373468393</x:v>
      </x:c>
      <x:c r="Z218" s="9">
        <x:f t="shared" si="64"/>
        <x:v>402.56907691472895</x:v>
      </x:c>
      <x:c r="AA218" s="9" t="n">
        <x:f>SQRT((Inputs!$C$52+B218)^2+(Inputs!$C$52+Y218/1000)^2-2*(Inputs!$C$52+B218)*(Inputs!$C$52+Y218/1000)*COS(SQRT(A218^2+Inputs!$C$6^2)/Inputs!$C$52))</x:f>
        <x:v>406.98685753679763</x:v>
      </x:c>
      <x:c r="AB218" s="9">
        <x:f t="shared" si="65"/>
        <x:v>4417.7806220686762</x:v>
      </x:c>
      <x:c r="AC218" s="9" t="n">
        <x:f>AB218/Inputs!$C$12</x:f>
        <x:v>2481.8992258812787</x:v>
      </x:c>
      <x:c r="AD218" s="9" t="n">
        <x:f>2*AB218/Inputs!$C$21*1000000</x:f>
        <x:v>29.472259919685346</x:v>
      </x:c>
      <x:c r="AE218" s="9">
        <x:f t="shared" si="66"/>
        <x:v>7.6592939272550291</x:v>
      </x:c>
      <x:c r="AF218" s="9" t="n">
        <x:f>DEGREES((2*PI()/Inputs!$C$13)*Inputs!$C$15*SIN(RADIANS(AE218)))</x:f>
        <x:v>47.981556971586194</x:v>
      </x:c>
      <x:c r="AG218" s="9">
        <x:f t="shared" si="67"/>
        <x:v>0.95728247084176321</x:v>
      </x:c>
      <x:c r="AH218" s="9">
        <x:f t="shared" si="68"/>
        <x:v>-0.18959893543104989</x:v>
      </x:c>
      <x:c r="AI218" s="9">
        <x:f t="shared" si="69"/>
        <x:v>-74.333782569528466</x:v>
      </x:c>
      <x:c r="AJ218" s="9">
        <x:f t="shared" si="70"/>
        <x:v>-0.88270488094640953</x:v>
      </x:c>
      <x:c r="AK218" s="9">
        <x:f t="shared" si="71"/>
        <x:v>134.07406846369284</x:v>
      </x:c>
      <x:c r="AL218" s="9" t="n">
        <x:f>1000*(AA219-AA217)/(A219-A217)*Inputs!$C$11</x:f>
        <x:v>990.5345235411005</x:v>
      </x:c>
      <x:c r="AM218" s="9" t="n">
        <x:f>-2*AL218/Inputs!$C$13</x:f>
        <x:v>-396.2138094164402</x:v>
      </x:c>
      <x:c r="AN218" s="9" t="n">
        <x:f>-2*AL218/Inputs!$C$14</x:f>
        <x:v>-59.491562975441475</x:v>
      </x:c>
      <x:c r="AO218" s="9">
        <x:f t="shared" si="72"/>
        <x:v>396.2138094164402</x:v>
      </x:c>
      <x:c r="AP218" s="9">
        <x:f t="shared" si="73"/>
        <x:v>59.491562975441475</x:v>
      </x:c>
      <x:c r="AQ218" s="9" t="n">
        <x:f>IF(OR(Inputs!$C$27=TRUE,Inputs!$C$27="TRUE",Inputs!$C$27=1),Inputs!$C$46/Inputs!$C$12,0)</x:f>
        <x:v>42.13483146067416</x:v>
      </x:c>
      <x:c r="AR218" s="9">
        <x:f t="shared" si="74"/>
        <x:v>2439.7643944206043</x:v>
      </x:c>
      <x:c r="AS218" s="9">
        <x:f t="shared" si="75"/>
        <x:v>2524.034057341953</x:v>
      </x:c>
    </x:row>
    <x:row r="219">
      <x:c r="A219" s="9" t="n">
        <x:f>Inputs!$C$7+217*(Inputs!$C$8-Inputs!$C$7)/240</x:f>
        <x:v>48.5</x:v>
      </x:c>
      <x:c r="B219" s="9" t="n">
        <x:f>Inputs!$C$5+Inputs!$C$9*(A219/Inputs!$C$10)^2</x:f>
        <x:v>402.6136111111111</x:v>
      </x:c>
      <x:c r="C219" s="9">
        <x:f t="shared" si="57"/>
        <x:v>402.61361111111108</x:v>
      </x:c>
      <x:c r="D219" s="9" t="n">
        <x:f>SQRT((Inputs!$C$52+B219)^2+Inputs!$C$52^2-2*(Inputs!$C$52+B219)*Inputs!$C$52*COS(SQRT(A219^2+Inputs!$C$6^2)/Inputs!$C$52))</x:f>
        <x:v>407.23774393780445</x:v>
      </x:c>
      <x:c r="E219" s="9">
        <x:f t="shared" si="58"/>
        <x:v>4624.1328266933688</x:v>
      </x:c>
      <x:c r="F219" s="9" t="n">
        <x:f>E219/Inputs!$C$12</x:f>
        <x:v>2597.8274307266115</x:v>
      </x:c>
      <x:c r="G219" s="9" t="n">
        <x:f>2*E219/Inputs!$C$21*1000000</x:f>
        <x:v>30.84889364824094</x:v>
      </x:c>
      <x:c r="H219" s="9" t="n">
        <x:f>SQRT(A219^2+Inputs!$C$6^2)</x:f>
        <x:v>54.56418239101544</x:v>
      </x:c>
      <x:c r="I219" s="9">
        <x:f t="shared" si="59"/>
        <x:v>7.7179837858747007</x:v>
      </x:c>
      <x:c r="J219" s="9" t="n">
        <x:f>DEGREES((2*PI()/Inputs!$C$13)*Inputs!$C$15*SIN(RADIANS(I219)))</x:f>
        <x:v>48.347000974416595</x:v>
      </x:c>
      <x:c r="K219" s="9">
        <x:f t="shared" si="60"/>
        <x:v>0.95534826773776638</x:v>
      </x:c>
      <x:c r="L219" s="9">
        <x:f t="shared" si="61"/>
        <x:v>-0.19838279531951419</x:v>
      </x:c>
      <x:c r="M219" s="9" t="n">
        <x:f>2*(Inputs!$C$9/(Inputs!$C$10^2))*A219</x:f>
        <x:v>0.10777777777777778</x:v>
      </x:c>
      <x:c r="N219" s="9" t="n">
        <x:f>M219*Inputs!$C$11</x:f>
        <x:v>0.4311111111111111</x:v>
      </x:c>
      <x:c r="O219" s="9" t="n">
        <x:f>1000*(D220-D218)/(A220-A218)*Inputs!$C$11</x:f>
        <x:v>1026.3663147777606</x:v>
      </x:c>
      <x:c r="P219" s="9" t="n">
        <x:f>-2*O219/Inputs!$C$13</x:f>
        <x:v>-410.54652591110425</x:v>
      </x:c>
      <x:c r="Q219" s="9" t="n">
        <x:f>-2*O219/Inputs!$C$14</x:f>
        <x:v>-61.64362250917482</x:v>
      </x:c>
      <x:c r="R219" s="9" t="n">
        <x:f>F219-Inputs!$C$16/2</x:f>
        <x:v>2582.8274307266115</x:v>
      </x:c>
      <x:c r="S219" s="9" t="n">
        <x:f>F219+Inputs!$C$16/2</x:f>
        <x:v>2612.8274307266115</x:v>
      </x:c>
      <x:c r="T219" s="9" t="n">
        <x:f>F219-Inputs!$C$17/2</x:f>
        <x:v>2447.8274307266115</x:v>
      </x:c>
      <x:c r="U219" s="9" t="n">
        <x:f>F219+Inputs!$C$17/2</x:f>
        <x:v>2747.8274307266115</x:v>
      </x:c>
      <x:c r="V219" s="9">
        <x:f t="shared" si="62"/>
        <x:v>410.54652591110425</x:v>
      </x:c>
      <x:c r="W219" s="9">
        <x:f t="shared" si="63"/>
        <x:v>61.643622509174818</x:v>
      </x:c>
      <x:c r="X219" s="9"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x:f>
        <x:v>-2.0408727900443155</x:v>
      </x:c>
      <x:c r="Y219" s="9"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x:f>
        <x:v>114.2648488799635</x:v>
      </x:c>
      <x:c r="Z219" s="9">
        <x:f t="shared" si="64"/>
        <x:v>402.6156519839011</x:v>
      </x:c>
      <x:c r="AA219" s="9" t="n">
        <x:f>SQRT((Inputs!$C$52+B219)^2+(Inputs!$C$52+Y219/1000)^2-2*(Inputs!$C$52+B219)*(Inputs!$C$52+Y219/1000)*COS(SQRT(A219^2+Inputs!$C$6^2)/Inputs!$C$52))</x:f>
        <x:v>407.12511361398487</x:v>
      </x:c>
      <x:c r="AB219" s="9">
        <x:f t="shared" si="65"/>
        <x:v>4509.4616300837624</x:v>
      </x:c>
      <x:c r="AC219" s="9" t="n">
        <x:f>AB219/Inputs!$C$12</x:f>
        <x:v>2533.405410159417</x:v>
      </x:c>
      <x:c r="AD219" s="9" t="n">
        <x:f>2*AB219/Inputs!$C$21*1000000</x:f>
        <x:v>30.083889769393483</x:v>
      </x:c>
      <x:c r="AE219" s="9">
        <x:f t="shared" si="66"/>
        <x:v>7.7201484113091103</x:v>
      </x:c>
      <x:c r="AF219" s="9" t="n">
        <x:f>DEGREES((2*PI()/Inputs!$C$13)*Inputs!$C$15*SIN(RADIANS(AE219)))</x:f>
        <x:v>48.36047847481001</x:v>
      </x:c>
      <x:c r="AG219" s="9">
        <x:f t="shared" si="67"/>
        <x:v>0.95642527950320377</x:v>
      </x:c>
      <x:c r="AH219" s="9">
        <x:f t="shared" si="68"/>
        <x:v>-0.19348953464194213</x:v>
      </x:c>
      <x:c r="AI219" s="9">
        <x:f t="shared" si="69"/>
        <x:v>-64.422020567194522</x:v>
      </x:c>
      <x:c r="AJ219" s="9">
        <x:f t="shared" si="70"/>
        <x:v>-0.76500387884745535</x:v>
      </x:c>
      <x:c r="AK219" s="9">
        <x:f t="shared" si="71"/>
        <x:v>116.30572167010604</x:v>
      </x:c>
      <x:c r="AL219" s="9" t="n">
        <x:f>1000*(AA220-AA218)/(A220-A218)*Inputs!$C$11</x:f>
        <x:v>1087.5066376124778</x:v>
      </x:c>
      <x:c r="AM219" s="9" t="n">
        <x:f>-2*AL219/Inputs!$C$13</x:f>
        <x:v>-435.0026550449911</x:v>
      </x:c>
      <x:c r="AN219" s="9" t="n">
        <x:f>-2*AL219/Inputs!$C$14</x:f>
        <x:v>-65.31571397071939</x:v>
      </x:c>
      <x:c r="AO219" s="9">
        <x:f t="shared" si="72"/>
        <x:v>435.00265504499112</x:v>
      </x:c>
      <x:c r="AP219" s="9">
        <x:f t="shared" si="73"/>
        <x:v>65.315713970719386</x:v>
      </x:c>
      <x:c r="AQ219" s="9" t="n">
        <x:f>IF(OR(Inputs!$C$27=TRUE,Inputs!$C$27="TRUE",Inputs!$C$27=1),Inputs!$C$46/Inputs!$C$12,0)</x:f>
        <x:v>42.13483146067416</x:v>
      </x:c>
      <x:c r="AR219" s="9">
        <x:f t="shared" si="74"/>
        <x:v>2491.2705786987426</x:v>
      </x:c>
      <x:c r="AS219" s="9">
        <x:f t="shared" si="75"/>
        <x:v>2575.5402416200914</x:v>
      </x:c>
    </x:row>
    <x:row r="220">
      <x:c r="A220" s="9" t="n">
        <x:f>Inputs!$C$7+218*(Inputs!$C$8-Inputs!$C$7)/240</x:f>
        <x:v>49</x:v>
      </x:c>
      <x:c r="B220" s="9" t="n">
        <x:f>Inputs!$C$5+Inputs!$C$9*(A220/Inputs!$C$10)^2</x:f>
        <x:v>402.66777777777776</x:v>
      </x:c>
      <x:c r="C220" s="9">
        <x:f t="shared" si="57"/>
        <x:v>402.66777777777776</x:v>
      </x:c>
      <x:c r="D220" s="9" t="n">
        <x:f>SQRT((Inputs!$C$52+B220)^2+Inputs!$C$52^2-2*(Inputs!$C$52+B220)*Inputs!$C$52*COS(SQRT(A220^2+Inputs!$C$6^2)/Inputs!$C$52))</x:f>
        <x:v>407.3666863337369</x:v>
      </x:c>
      <x:c r="E220" s="9">
        <x:f t="shared" si="58"/>
        <x:v>4698.9085559591222</x:v>
      </x:c>
      <x:c r="F220" s="9" t="n">
        <x:f>E220/Inputs!$C$12</x:f>
        <x:v>2639.8362673927654</x:v>
      </x:c>
      <x:c r="G220" s="9" t="n">
        <x:f>2*E220/Inputs!$C$21*1000000</x:f>
        <x:v>31.347743617747195</x:v>
      </x:c>
      <x:c r="H220" s="9" t="n">
        <x:f>SQRT(A220^2+Inputs!$C$6^2)</x:f>
        <x:v>55.00909015790027</x:v>
      </x:c>
      <x:c r="I220" s="9">
        <x:f t="shared" si="59"/>
        <x:v>7.7791135702335419</x:v>
      </x:c>
      <x:c r="J220" s="9" t="n">
        <x:f>DEGREES((2*PI()/Inputs!$C$13)*Inputs!$C$15*SIN(RADIANS(I220)))</x:f>
        <x:v>48.727583715832836</x:v>
      </x:c>
      <x:c r="K220" s="9">
        <x:f t="shared" si="60"/>
        <x:v>0.95465284335677503</x:v>
      </x:c>
      <x:c r="L220" s="9">
        <x:f t="shared" si="61"/>
        <x:v>-0.20154529593626289</x:v>
      </x:c>
      <x:c r="M220" s="9" t="n">
        <x:f>2*(Inputs!$C$9/(Inputs!$C$10^2))*A220</x:f>
        <x:v>0.10888888888888888</x:v>
      </x:c>
      <x:c r="N220" s="9" t="n">
        <x:f>M220*Inputs!$C$11</x:f>
        <x:v>0.43555555555555553</x:v>
      </x:c>
      <x:c r="O220" s="9" t="n">
        <x:f>1000*(D221-D219)/(A221-A219)*Inputs!$C$11</x:f>
        <x:v>1036.7084757508565</x:v>
      </x:c>
      <x:c r="P220" s="9" t="n">
        <x:f>-2*O220/Inputs!$C$13</x:f>
        <x:v>-414.6833903003426</x:v>
      </x:c>
      <x:c r="Q220" s="9" t="n">
        <x:f>-2*O220/Inputs!$C$14</x:f>
        <x:v>-62.26477331836976</x:v>
      </x:c>
      <x:c r="R220" s="9" t="n">
        <x:f>F220-Inputs!$C$16/2</x:f>
        <x:v>2624.8362673927654</x:v>
      </x:c>
      <x:c r="S220" s="9" t="n">
        <x:f>F220+Inputs!$C$16/2</x:f>
        <x:v>2654.8362673927654</x:v>
      </x:c>
      <x:c r="T220" s="9" t="n">
        <x:f>F220-Inputs!$C$17/2</x:f>
        <x:v>2489.8362673927654</x:v>
      </x:c>
      <x:c r="U220" s="9" t="n">
        <x:f>F220+Inputs!$C$17/2</x:f>
        <x:v>2789.8362673927654</x:v>
      </x:c>
      <x:c r="V220" s="9">
        <x:f t="shared" si="62"/>
        <x:v>414.68339030034258</x:v>
      </x:c>
      <x:c r="W220" s="9">
        <x:f t="shared" si="63"/>
        <x:v>62.264773318369762</x:v>
      </x:c>
      <x:c r="X220" s="9"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x:f>
        <x:v>10.43102720072224</x:v>
      </x:c>
      <x:c r="Y220" s="9"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x:f>
        <x:v>109.54402369059221</x:v>
      </x:c>
      <x:c r="Z220" s="9">
        <x:f t="shared" si="64"/>
        <x:v>402.65734675057706</x:v>
      </x:c>
      <x:c r="AA220" s="9" t="n">
        <x:f>SQRT((Inputs!$C$52+B220)^2+(Inputs!$C$52+Y220/1000)^2-2*(Inputs!$C$52+B220)*(Inputs!$C$52+Y220/1000)*COS(SQRT(A220^2+Inputs!$C$6^2)/Inputs!$C$52))</x:f>
        <x:v>407.25873419620075</x:v>
      </x:c>
      <x:c r="AB220" s="9">
        <x:f t="shared" si="65"/>
        <x:v>4601.3874456236863</x:v>
      </x:c>
      <x:c r="AC220" s="9" t="n">
        <x:f>AB220/Inputs!$C$12</x:f>
        <x:v>2585.04912675488</x:v>
      </x:c>
      <x:c r="AD220" s="9" t="n">
        <x:f>2*AB220/Inputs!$C$21*1000000</x:f>
        <x:v>30.697152799112022</x:v>
      </x:c>
      <x:c r="AE220" s="9">
        <x:f t="shared" si="66"/>
        <x:v>7.7812044911608735</x:v>
      </x:c>
      <x:c r="AF220" s="9" t="n">
        <x:f>DEGREES((2*PI()/Inputs!$C$13)*Inputs!$C$15*SIN(RADIANS(AE220)))</x:f>
        <x:v>48.74060042455543</x:v>
      </x:c>
      <x:c r="AG220" s="9">
        <x:f t="shared" si="67"/>
        <x:v>0.95556642437759942</x:v>
      </x:c>
      <x:c r="AH220" s="9">
        <x:f t="shared" si="68"/>
        <x:v>-0.19739118406996359</x:v>
      </x:c>
      <x:c r="AI220" s="9">
        <x:f t="shared" si="69"/>
        <x:v>-54.787140637885386</x:v>
      </x:c>
      <x:c r="AJ220" s="9">
        <x:f t="shared" si="70"/>
        <x:v>-0.65059081863517321</x:v>
      </x:c>
      <x:c r="AK220" s="9">
        <x:f t="shared" si="71"/>
        <x:v>99.112996489869971</x:v>
      </x:c>
      <x:c r="AL220" s="9" t="n">
        <x:f>1000*(AA221-AA219)/(A221-A219)*Inputs!$C$11</x:f>
        <x:v>1030.793517861639</x:v>
      </x:c>
      <x:c r="AM220" s="9" t="n">
        <x:f>-2*AL220/Inputs!$C$13</x:f>
        <x:v>-412.3174071446556</x:v>
      </x:c>
      <x:c r="AN220" s="9" t="n">
        <x:f>-2*AL220/Inputs!$C$14</x:f>
        <x:v>-61.90952059229063</x:v>
      </x:c>
      <x:c r="AO220" s="9">
        <x:f t="shared" si="72"/>
        <x:v>412.31740714465559</x:v>
      </x:c>
      <x:c r="AP220" s="9">
        <x:f t="shared" si="73"/>
        <x:v>61.909520592290633</x:v>
      </x:c>
      <x:c r="AQ220" s="9" t="n">
        <x:f>IF(OR(Inputs!$C$27=TRUE,Inputs!$C$27="TRUE",Inputs!$C$27=1),Inputs!$C$46/Inputs!$C$12,0)</x:f>
        <x:v>42.13483146067416</x:v>
      </x:c>
      <x:c r="AR220" s="9">
        <x:f t="shared" si="74"/>
        <x:v>2542.9142952942057</x:v>
      </x:c>
      <x:c r="AS220" s="9">
        <x:f t="shared" si="75"/>
        <x:v>2627.1839582155544</x:v>
      </x:c>
    </x:row>
    <x:row r="221">
      <x:c r="A221" s="9" t="n">
        <x:f>Inputs!$C$7+219*(Inputs!$C$8-Inputs!$C$7)/240</x:f>
        <x:v>49.5</x:v>
      </x:c>
      <x:c r="B221" s="9" t="n">
        <x:f>Inputs!$C$5+Inputs!$C$9*(A221/Inputs!$C$10)^2</x:f>
        <x:v>402.7225</x:v>
      </x:c>
      <x:c r="C221" s="9">
        <x:f t="shared" si="57"/>
        <x:v>402.72250000000003</x:v>
      </x:c>
      <x:c r="D221" s="9" t="n">
        <x:f>SQRT((Inputs!$C$52+B221)^2+Inputs!$C$52^2-2*(Inputs!$C$52+B221)*Inputs!$C$52*COS(SQRT(A221^2+Inputs!$C$6^2)/Inputs!$C$52))</x:f>
        <x:v>407.49692105674217</x:v>
      </x:c>
      <x:c r="E221" s="9">
        <x:f t="shared" si="58"/>
        <x:v>4774.4210567421414</x:v>
      </x:c>
      <x:c r="F221" s="9" t="n">
        <x:f>E221/Inputs!$C$12</x:f>
        <x:v>2682.2590206416526</x:v>
      </x:c>
      <x:c r="G221" s="9" t="n">
        <x:f>2*E221/Inputs!$C$21*1000000</x:f>
        <x:v>31.851508797743943</x:v>
      </x:c>
      <x:c r="H221" s="9" t="n">
        <x:f>SQRT(A221^2+Inputs!$C$6^2)</x:f>
        <x:v>55.45493666031907</x:v>
      </x:c>
      <x:c r="I221" s="9">
        <x:f t="shared" si="59"/>
        <x:v>7.8403294918744804</x:v>
      </x:c>
      <x:c r="J221" s="9" t="n">
        <x:f>DEGREES((2*PI()/Inputs!$C$13)*Inputs!$C$15*SIN(RADIANS(I221)))</x:f>
        <x:v>49.108647147475075</x:v>
      </x:c>
      <x:c r="K221" s="9">
        <x:f t="shared" si="60"/>
        <x:v>0.95395140094755182</x:v>
      </x:c>
      <x:c r="L221" s="9">
        <x:f t="shared" si="61"/>
        <x:v>-0.204737498639605</x:v>
      </x:c>
      <x:c r="M221" s="9" t="n">
        <x:f>2*(Inputs!$C$9/(Inputs!$C$10^2))*A221</x:f>
        <x:v>0.11</x:v>
      </x:c>
      <x:c r="N221" s="9" t="n">
        <x:f>M221*Inputs!$C$11</x:f>
        <x:v>0.44</x:v>
      </x:c>
      <x:c r="O221" s="9" t="n">
        <x:f>1000*(D222-D220)/(A222-A220)*Inputs!$C$11</x:f>
        <x:v>1047.0435173044734</x:v>
      </x:c>
      <x:c r="P221" s="9" t="n">
        <x:f>-2*O221/Inputs!$C$13</x:f>
        <x:v>-418.81740692178937</x:v>
      </x:c>
      <x:c r="Q221" s="9" t="n">
        <x:f>-2*O221/Inputs!$C$14</x:f>
        <x:v>-62.88549653480322</x:v>
      </x:c>
      <x:c r="R221" s="9" t="n">
        <x:f>F221-Inputs!$C$16/2</x:f>
        <x:v>2667.2590206416526</x:v>
      </x:c>
      <x:c r="S221" s="9" t="n">
        <x:f>F221+Inputs!$C$16/2</x:f>
        <x:v>2697.2590206416526</x:v>
      </x:c>
      <x:c r="T221" s="9" t="n">
        <x:f>F221-Inputs!$C$17/2</x:f>
        <x:v>2532.2590206416526</x:v>
      </x:c>
      <x:c r="U221" s="9" t="n">
        <x:f>F221+Inputs!$C$17/2</x:f>
        <x:v>2832.2590206416526</x:v>
      </x:c>
      <x:c r="V221" s="9">
        <x:f t="shared" si="62"/>
        <x:v>418.81740692178937</x:v>
      </x:c>
      <x:c r="W221" s="9">
        <x:f t="shared" si="63"/>
        <x:v>62.885496534803217</x:v>
      </x:c>
      <x:c r="X221" s="9"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x:f>
        <x:v>-2.2699304094542576</x:v>
      </x:c>
      <x:c r="Y221" s="9"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x:f>
        <x:v>115.81874031490976</x:v>
      </x:c>
      <x:c r="Z221" s="9">
        <x:f t="shared" si="64"/>
        <x:v>402.72476993040948</x:v>
      </x:c>
      <x:c r="AA221" s="9" t="n">
        <x:f>SQRT((Inputs!$C$52+B221)^2+(Inputs!$C$52+Y221/1000)^2-2*(Inputs!$C$52+B221)*(Inputs!$C$52+Y221/1000)*COS(SQRT(A221^2+Inputs!$C$6^2)/Inputs!$C$52))</x:f>
        <x:v>407.3828119934503</x:v>
      </x:c>
      <x:c r="AB221" s="9">
        <x:f t="shared" si="65"/>
        <x:v>4658.0420630407953</x:v>
      </x:c>
      <x:c r="AC221" s="9" t="n">
        <x:f>AB221/Inputs!$C$12</x:f>
        <x:v>2616.8775635060647</x:v>
      </x:c>
      <x:c r="AD221" s="9" t="n">
        <x:f>2*AB221/Inputs!$C$21*1000000</x:f>
        <x:v>31.07511172306273</x:v>
      </x:c>
      <x:c r="AE221" s="9">
        <x:f t="shared" si="66"/>
        <x:v>7.8425568742881735</x:v>
      </x:c>
      <x:c r="AF221" s="9" t="n">
        <x:f>DEGREES((2*PI()/Inputs!$C$13)*Inputs!$C$15*SIN(RADIANS(AE221)))</x:f>
        <x:v>49.12251134197166</x:v>
      </x:c>
      <x:c r="AG221" s="9">
        <x:f t="shared" si="67"/>
        <x:v>0.95504219984139016</x:v>
      </x:c>
      <x:c r="AH221" s="9">
        <x:f t="shared" si="68"/>
        <x:v>-0.19977438098618325</x:v>
      </x:c>
      <x:c r="AI221" s="9">
        <x:f t="shared" si="69"/>
        <x:v>-65.38145713558788</x:v>
      </x:c>
      <x:c r="AJ221" s="9">
        <x:f t="shared" si="70"/>
        <x:v>-0.77639707468121344</x:v>
      </x:c>
      <x:c r="AK221" s="9">
        <x:f t="shared" si="71"/>
        <x:v>118.08867072436402</x:v>
      </x:c>
      <x:c r="AL221" s="9" t="n">
        <x:f>1000*(AA222-AA220)/(A222-A220)*Inputs!$C$11</x:f>
        <x:v>1024.822068342246</x:v>
      </x:c>
      <x:c r="AM221" s="9" t="n">
        <x:f>-2*AL221/Inputs!$C$13</x:f>
        <x:v>-409.9288273368984</x:v>
      </x:c>
      <x:c r="AN221" s="9" t="n">
        <x:f>-2*AL221/Inputs!$C$14</x:f>
        <x:v>-61.550874975510276</x:v>
      </x:c>
      <x:c r="AO221" s="9">
        <x:f t="shared" si="72"/>
        <x:v>409.92882733689839</x:v>
      </x:c>
      <x:c r="AP221" s="9">
        <x:f t="shared" si="73"/>
        <x:v>61.550874975510276</x:v>
      </x:c>
      <x:c r="AQ221" s="9" t="n">
        <x:f>IF(OR(Inputs!$C$27=TRUE,Inputs!$C$27="TRUE",Inputs!$C$27=1),Inputs!$C$46/Inputs!$C$12,0)</x:f>
        <x:v>42.13483146067416</x:v>
      </x:c>
      <x:c r="AR221" s="9">
        <x:f t="shared" si="74"/>
        <x:v>2574.7427320453903</x:v>
      </x:c>
      <x:c r="AS221" s="9">
        <x:f t="shared" si="75"/>
        <x:v>2659.0123949667391</x:v>
      </x:c>
    </x:row>
    <x:row r="222">
      <x:c r="A222" s="9" t="n">
        <x:f>Inputs!$C$7+220*(Inputs!$C$8-Inputs!$C$7)/240</x:f>
        <x:v>50</x:v>
      </x:c>
      <x:c r="B222" s="9" t="n">
        <x:f>Inputs!$C$5+Inputs!$C$9*(A222/Inputs!$C$10)^2</x:f>
        <x:v>402.77777777777777</x:v>
      </x:c>
      <x:c r="C222" s="9">
        <x:f t="shared" si="57"/>
        <x:v>402.77777777777777</x:v>
      </x:c>
      <x:c r="D222" s="9" t="n">
        <x:f>SQRT((Inputs!$C$52+B222)^2+Inputs!$C$52^2-2*(Inputs!$C$52+B222)*Inputs!$C$52*COS(SQRT(A222^2+Inputs!$C$6^2)/Inputs!$C$52))</x:f>
        <x:v>407.628447213063</x:v>
      </x:c>
      <x:c r="E222" s="9">
        <x:f t="shared" si="58"/>
        <x:v>4850.6694352852264</x:v>
      </x:c>
      <x:c r="F222" s="9" t="n">
        <x:f>E222/Inputs!$C$12</x:f>
        <x:v>2725.0951883624866</x:v>
      </x:c>
      <x:c r="G222" s="9" t="n">
        <x:f>2*E222/Inputs!$C$21*1000000</x:f>
        <x:v>32.36018322572495</x:v>
      </x:c>
      <x:c r="H222" s="9" t="n">
        <x:f>SQRT(A222^2+Inputs!$C$6^2)</x:f>
        <x:v>55.90169943749474</x:v>
      </x:c>
      <x:c r="I222" s="9">
        <x:f t="shared" si="59"/>
        <x:v>7.9016278972643068</x:v>
      </x:c>
      <x:c r="J222" s="9" t="n">
        <x:f>DEGREES((2*PI()/Inputs!$C$13)*Inputs!$C$15*SIN(RADIANS(I222)))</x:f>
        <x:v>49.490167860754674</x:v>
      </x:c>
      <x:c r="K222" s="9">
        <x:f t="shared" si="60"/>
        <x:v>0.95324397210648193</x:v>
      </x:c>
      <x:c r="L222" s="9">
        <x:f t="shared" si="61"/>
        <x:v>-0.20795932331941441</x:v>
      </x:c>
      <x:c r="M222" s="9" t="n">
        <x:f>2*(Inputs!$C$9/(Inputs!$C$10^2))*A222</x:f>
        <x:v>0.1111111111111111</x:v>
      </x:c>
      <x:c r="N222" s="9" t="n">
        <x:f>M222*Inputs!$C$11</x:f>
        <x:v>0.4444444444444444</x:v>
      </x:c>
      <x:c r="O222" s="9" t="n">
        <x:f>1000*(D223-D221)/(A223-A221)*Inputs!$C$11</x:f>
        <x:v>1057.371378303742</x:v>
      </x:c>
      <x:c r="P222" s="9" t="n">
        <x:f>-2*O222/Inputs!$C$13</x:f>
        <x:v>-422.9485513214968</x:v>
      </x:c>
      <x:c r="Q222" s="9" t="n">
        <x:f>-2*O222/Inputs!$C$14</x:f>
        <x:v>-63.50578848671123</x:v>
      </x:c>
      <x:c r="R222" s="9" t="n">
        <x:f>F222-Inputs!$C$16/2</x:f>
        <x:v>2710.0951883624866</x:v>
      </x:c>
      <x:c r="S222" s="9" t="n">
        <x:f>F222+Inputs!$C$16/2</x:f>
        <x:v>2740.0951883624866</x:v>
      </x:c>
      <x:c r="T222" s="9" t="n">
        <x:f>F222-Inputs!$C$17/2</x:f>
        <x:v>2575.0951883624866</x:v>
      </x:c>
      <x:c r="U222" s="9" t="n">
        <x:f>F222+Inputs!$C$17/2</x:f>
        <x:v>2875.0951883624866</x:v>
      </x:c>
      <x:c r="V222" s="9">
        <x:f t="shared" si="62"/>
        <x:v>422.94855132149678</x:v>
      </x:c>
      <x:c r="W222" s="9">
        <x:f t="shared" si="63"/>
        <x:v>63.505788486711232</x:v>
      </x:c>
      <x:c r="X222" s="9"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x:f>
        <x:v>8.17258837755962</x:v>
      </x:c>
      <x:c r="Y222" s="9"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x:f>
        <x:v>115.23525161719914</x:v>
      </x:c>
      <x:c r="Z222" s="9">
        <x:f t="shared" si="64"/>
        <x:v>402.76960518940024</x:v>
      </x:c>
      <x:c r="AA222" s="9" t="n">
        <x:f>SQRT((Inputs!$C$52+B222)^2+(Inputs!$C$52+Y222/1000)^2-2*(Inputs!$C$52+B222)*(Inputs!$C$52+Y222/1000)*COS(SQRT(A222^2+Inputs!$C$6^2)/Inputs!$C$52))</x:f>
        <x:v>407.5149397132863</x:v>
      </x:c>
      <x:c r="AB222" s="9">
        <x:f t="shared" si="65"/>
        <x:v>4745.334523886072</x:v>
      </x:c>
      <x:c r="AC222" s="9" t="n">
        <x:f>AB222/Inputs!$C$12</x:f>
        <x:v>2665.918271846108</x:v>
      </x:c>
      <x:c r="AD222" s="9" t="n">
        <x:f>2*AB222/Inputs!$C$21*1000000</x:f>
        <x:v>31.65746433745222</x:v>
      </x:c>
      <x:c r="AE222" s="9">
        <x:f t="shared" si="66"/>
        <x:v>7.903860635188158</x:v>
      </x:c>
      <x:c r="AF222" s="9" t="n">
        <x:f>DEGREES((2*PI()/Inputs!$C$13)*Inputs!$C$15*SIN(RADIANS(AE222)))</x:f>
        <x:v>49.504063334552136</x:v>
      </x:c>
      <x:c r="AG222" s="9">
        <x:f t="shared" si="67"/>
        <x:v>0.95422901489786249</x:v>
      </x:c>
      <x:c r="AH222" s="9">
        <x:f t="shared" si="68"/>
        <x:v>-0.20347382140480313</x:v>
      </x:c>
      <x:c r="AI222" s="9">
        <x:f t="shared" si="69"/>
        <x:v>-59.176916516378697</x:v>
      </x:c>
      <x:c r="AJ222" s="9">
        <x:f t="shared" si="70"/>
        <x:v>-0.70271888827273088</x:v>
      </x:c>
      <x:c r="AK222" s="9">
        <x:f t="shared" si="71"/>
        <x:v>107.06266323963952</x:v>
      </x:c>
      <x:c r="AL222" s="9" t="n">
        <x:f>1000*(AA223-AA221)/(A223-A221)*Inputs!$C$11</x:f>
        <x:v>974.2068138866671</x:v>
      </x:c>
      <x:c r="AM222" s="9" t="n">
        <x:f>-2*AL222/Inputs!$C$13</x:f>
        <x:v>-389.68272555466683</x:v>
      </x:c>
      <x:c r="AN222" s="9" t="n">
        <x:f>-2*AL222/Inputs!$C$14</x:f>
        <x:v>-58.51091975295298</x:v>
      </x:c>
      <x:c r="AO222" s="9">
        <x:f t="shared" si="72"/>
        <x:v>389.68272555466683</x:v>
      </x:c>
      <x:c r="AP222" s="9">
        <x:f t="shared" si="73"/>
        <x:v>58.510919752952979</x:v>
      </x:c>
      <x:c r="AQ222" s="9" t="n">
        <x:f>IF(OR(Inputs!$C$27=TRUE,Inputs!$C$27="TRUE",Inputs!$C$27=1),Inputs!$C$46/Inputs!$C$12,0)</x:f>
        <x:v>42.13483146067416</x:v>
      </x:c>
      <x:c r="AR222" s="9">
        <x:f t="shared" si="74"/>
        <x:v>2623.7834403854336</x:v>
      </x:c>
      <x:c r="AS222" s="9">
        <x:f t="shared" si="75"/>
        <x:v>2708.0531033067823</x:v>
      </x:c>
    </x:row>
    <x:row r="223">
      <x:c r="A223" s="9" t="n">
        <x:f>Inputs!$C$7+221*(Inputs!$C$8-Inputs!$C$7)/240</x:f>
        <x:v>50.5</x:v>
      </x:c>
      <x:c r="B223" s="9" t="n">
        <x:f>Inputs!$C$5+Inputs!$C$9*(A223/Inputs!$C$10)^2</x:f>
        <x:v>402.8336111111111</x:v>
      </x:c>
      <x:c r="C223" s="9">
        <x:f t="shared" si="57"/>
        <x:v>402.83361111111111</x:v>
      </x:c>
      <x:c r="D223" s="9" t="n">
        <x:f>SQRT((Inputs!$C$52+B223)^2+Inputs!$C$52^2-2*(Inputs!$C$52+B223)*Inputs!$C$52*COS(SQRT(A223^2+Inputs!$C$6^2)/Inputs!$C$52))</x:f>
        <x:v>407.7612639013181</x:v>
      </x:c>
      <x:c r="E223" s="9">
        <x:f t="shared" si="58"/>
        <x:v>4927.652790206992</x:v>
      </x:c>
      <x:c r="F223" s="9" t="n">
        <x:f>E223/Inputs!$C$12</x:f>
        <x:v>2768.3442641612314</x:v>
      </x:c>
      <x:c r="G223" s="9" t="n">
        <x:f>2*E223/Inputs!$C$21*1000000</x:f>
        <x:v>32.873760888320895</x:v>
      </x:c>
      <x:c r="H223" s="9" t="n">
        <x:f>SQRT(A223^2+Inputs!$C$6^2)</x:f>
        <x:v>56.349356695529366</x:v>
      </x:c>
      <x:c r="I223" s="9">
        <x:f t="shared" si="59"/>
        <x:v>7.9630052297803147</x:v>
      </x:c>
      <x:c r="J223" s="9" t="n">
        <x:f>DEGREES((2*PI()/Inputs!$C$13)*Inputs!$C$15*SIN(RADIANS(I223)))</x:f>
        <x:v>49.87212305974802</x:v>
      </x:c>
      <x:c r="K223" s="9">
        <x:f t="shared" si="60"/>
        <x:v>0.95253058863013107</x:v>
      </x:c>
      <x:c r="L223" s="9">
        <x:f t="shared" si="61"/>
        <x:v>-0.21121068922715408</x:v>
      </x:c>
      <x:c r="M223" s="9" t="n">
        <x:f>2*(Inputs!$C$9/(Inputs!$C$10^2))*A223</x:f>
        <x:v>0.11222222222222222</x:v>
      </x:c>
      <x:c r="N223" s="9" t="n">
        <x:f>M223*Inputs!$C$11</x:f>
        <x:v>0.4488888888888889</x:v>
      </x:c>
      <x:c r="O223" s="9" t="n">
        <x:f>1000*(D224-D222)/(A224-A222)*Inputs!$C$11</x:f>
        <x:v>1067.691997902557</x:v>
      </x:c>
      <x:c r="P223" s="9" t="n">
        <x:f>-2*O223/Inputs!$C$13</x:f>
        <x:v>-427.0767991610228</x:v>
      </x:c>
      <x:c r="Q223" s="9" t="n">
        <x:f>-2*O223/Inputs!$C$14</x:f>
        <x:v>-64.1256455196731</x:v>
      </x:c>
      <x:c r="R223" s="9" t="n">
        <x:f>F223-Inputs!$C$16/2</x:f>
        <x:v>2753.3442641612314</x:v>
      </x:c>
      <x:c r="S223" s="9" t="n">
        <x:f>F223+Inputs!$C$16/2</x:f>
        <x:v>2783.3442641612314</x:v>
      </x:c>
      <x:c r="T223" s="9" t="n">
        <x:f>F223-Inputs!$C$17/2</x:f>
        <x:v>2618.3442641612314</x:v>
      </x:c>
      <x:c r="U223" s="9" t="n">
        <x:f>F223+Inputs!$C$17/2</x:f>
        <x:v>2918.3442641612314</x:v>
      </x:c>
      <x:c r="V223" s="9">
        <x:f t="shared" si="62"/>
        <x:v>427.07679916102279</x:v>
      </x:c>
      <x:c r="W223" s="9">
        <x:f t="shared" si="63"/>
        <x:v>64.1256455196731</x:v>
      </x:c>
      <x:c r="X223" s="9"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x:f>
        <x:v>7.175411887622014</x:v>
      </x:c>
      <x:c r="Y223" s="9"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x:f>
        <x:v>136.98620076238512</x:v>
      </x:c>
      <x:c r="Z223" s="9">
        <x:f t="shared" si="64"/>
        <x:v>402.8264356992234</x:v>
      </x:c>
      <x:c r="AA223" s="9" t="n">
        <x:f>SQRT((Inputs!$C$52+B223)^2+(Inputs!$C$52+Y223/1000)^2-2*(Inputs!$C$52+B223)*(Inputs!$C$52+Y223/1000)*COS(SQRT(A223^2+Inputs!$C$6^2)/Inputs!$C$52))</x:f>
        <x:v>407.62636369692194</x:v>
      </x:c>
      <x:c r="AB223" s="9">
        <x:f t="shared" si="65"/>
        <x:v>4799.9279976985463</x:v>
      </x:c>
      <x:c r="AC223" s="9" t="n">
        <x:f>AB223/Inputs!$C$12</x:f>
        <x:v>2696.5887627519924</x:v>
      </x:c>
      <x:c r="AD223" s="9" t="n">
        <x:f>2*AB223/Inputs!$C$21*1000000</x:f>
        <x:v>32.02167279137187</x:v>
      </x:c>
      <x:c r="AE223" s="9">
        <x:f t="shared" si="66"/>
        <x:v>7.9656792585579161</x:v>
      </x:c>
      <x:c r="AF223" s="9" t="n">
        <x:f>DEGREES((2*PI()/Inputs!$C$13)*Inputs!$C$15*SIN(RADIANS(AE223)))</x:f>
        <x:v>49.88876241983588</x:v>
      </x:c>
      <x:c r="AG223" s="9">
        <x:f t="shared" si="67"/>
        <x:v>0.95372418444555818</x:v>
      </x:c>
      <x:c r="AH223" s="9">
        <x:f t="shared" si="68"/>
        <x:v>-0.20577204428494852</x:v>
      </x:c>
      <x:c r="AI223" s="9">
        <x:f t="shared" si="69"/>
        <x:v>-71.755501409239059</x:v>
      </x:c>
      <x:c r="AJ223" s="9">
        <x:f t="shared" si="70"/>
        <x:v>-0.85208809694902499</x:v>
      </x:c>
      <x:c r="AK223" s="9">
        <x:f t="shared" si="71"/>
        <x:v>129.81078887466489</x:v>
      </x:c>
      <x:c r="AL223" s="9" t="n">
        <x:f>1000*(AA224-AA222)/(A224-A222)*Inputs!$C$11</x:f>
        <x:v>981.8696016061494</x:v>
      </x:c>
      <x:c r="AM223" s="9" t="n">
        <x:f>-2*AL223/Inputs!$C$13</x:f>
        <x:v>-392.7478406424598</x:v>
      </x:c>
      <x:c r="AN223" s="9" t="n">
        <x:f>-2*AL223/Inputs!$C$14</x:f>
        <x:v>-58.971147243612585</x:v>
      </x:c>
      <x:c r="AO223" s="9">
        <x:f t="shared" si="72"/>
        <x:v>392.74784064245978</x:v>
      </x:c>
      <x:c r="AP223" s="9">
        <x:f t="shared" si="73"/>
        <x:v>58.971147243612585</x:v>
      </x:c>
      <x:c r="AQ223" s="9" t="n">
        <x:f>IF(OR(Inputs!$C$27=TRUE,Inputs!$C$27="TRUE",Inputs!$C$27=1),Inputs!$C$46/Inputs!$C$12,0)</x:f>
        <x:v>42.13483146067416</x:v>
      </x:c>
      <x:c r="AR223" s="9">
        <x:f t="shared" si="74"/>
        <x:v>2654.453931291318</x:v>
      </x:c>
      <x:c r="AS223" s="9">
        <x:f t="shared" si="75"/>
        <x:v>2738.7235942126667</x:v>
      </x:c>
    </x:row>
    <x:row r="224">
      <x:c r="A224" s="9" t="n">
        <x:f>Inputs!$C$7+222*(Inputs!$C$8-Inputs!$C$7)/240</x:f>
        <x:v>51</x:v>
      </x:c>
      <x:c r="B224" s="9" t="n">
        <x:f>Inputs!$C$5+Inputs!$C$9*(A224/Inputs!$C$10)^2</x:f>
        <x:v>402.89</x:v>
      </x:c>
      <x:c r="C224" s="9">
        <x:f t="shared" si="57"/>
        <x:v>402.89</x:v>
      </x:c>
      <x:c r="D224" s="9" t="n">
        <x:f>SQRT((Inputs!$C$52+B224)^2+Inputs!$C$52^2-2*(Inputs!$C$52+B224)*Inputs!$C$52*COS(SQRT(A224^2+Inputs!$C$6^2)/Inputs!$C$52))</x:f>
        <x:v>407.89537021253864</x:v>
      </x:c>
      <x:c r="E224" s="9">
        <x:f t="shared" si="58"/>
        <x:v>5005.3702125386508</x:v>
      </x:c>
      <x:c r="F224" s="9" t="n">
        <x:f>E224/Inputs!$C$12</x:f>
        <x:v>2812.005737381264</x:v>
      </x:c>
      <x:c r="G224" s="9" t="n">
        <x:f>2*E224/Inputs!$C$21*1000000</x:f>
        <x:v>33.39223572154474</x:v>
      </x:c>
      <x:c r="H224" s="9" t="n">
        <x:f>SQRT(A224^2+Inputs!$C$6^2)</x:f>
        <x:v>56.79788728465171</x:v>
      </x:c>
      <x:c r="I224" s="9">
        <x:f t="shared" si="59"/>
        <x:v>8.0244580264682188</x:v>
      </x:c>
      <x:c r="J224" s="9" t="n">
        <x:f>DEGREES((2*PI()/Inputs!$C$13)*Inputs!$C$15*SIN(RADIANS(I224)))</x:f>
        <x:v>50.25449054086581</x:v>
      </x:c>
      <x:c r="K224" s="9">
        <x:f t="shared" si="60"/>
        <x:v>0.9518112825121221</x:v>
      </x:c>
      <x:c r="L224" s="9">
        <x:f t="shared" si="61"/>
        <x:v>-0.21449151498056357</x:v>
      </x:c>
      <x:c r="M224" s="9" t="n">
        <x:f>2*(Inputs!$C$9/(Inputs!$C$10^2))*A224</x:f>
        <x:v>0.11333333333333333</x:v>
      </x:c>
      <x:c r="N224" s="9" t="n">
        <x:f>M224*Inputs!$C$11</x:f>
        <x:v>0.4533333333333333</x:v>
      </x:c>
      <x:c r="O224" s="9" t="n">
        <x:f>1000*(D225-D223)/(A225-A223)*Inputs!$C$11</x:f>
        <x:v>1078.0053156152007</x:v>
      </x:c>
      <x:c r="P224" s="9" t="n">
        <x:f>-2*O224/Inputs!$C$13</x:f>
        <x:v>-431.2021262460803</x:v>
      </x:c>
      <x:c r="Q224" s="9" t="n">
        <x:f>-2*O224/Inputs!$C$14</x:f>
        <x:v>-64.74506400091296</x:v>
      </x:c>
      <x:c r="R224" s="9" t="n">
        <x:f>F224-Inputs!$C$16/2</x:f>
        <x:v>2797.005737381264</x:v>
      </x:c>
      <x:c r="S224" s="9" t="n">
        <x:f>F224+Inputs!$C$16/2</x:f>
        <x:v>2827.005737381264</x:v>
      </x:c>
      <x:c r="T224" s="9" t="n">
        <x:f>F224-Inputs!$C$17/2</x:f>
        <x:v>2662.005737381264</x:v>
      </x:c>
      <x:c r="U224" s="9" t="n">
        <x:f>F224+Inputs!$C$17/2</x:f>
        <x:v>2962.005737381264</x:v>
      </x:c>
      <x:c r="V224" s="9">
        <x:f t="shared" si="62"/>
        <x:v>431.2021262460803</x:v>
      </x:c>
      <x:c r="W224" s="9">
        <x:f t="shared" si="63"/>
        <x:v>64.745064000912961</x:v>
      </x:c>
      <x:c r="X224" s="9"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x:f>
        <x:v>11.525237738664625</x:v>
      </x:c>
      <x:c r="Y224" s="9"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x:f>
        <x:v>137.08289632779307</x:v>
      </x:c>
      <x:c r="Z224" s="9">
        <x:f t="shared" si="64"/>
        <x:v>402.87847476226131</x:v>
      </x:c>
      <x:c r="AA224" s="9" t="n">
        <x:f>SQRT((Inputs!$C$52+B224)^2+(Inputs!$C$52+Y224/1000)^2-2*(Inputs!$C$52+B224)*(Inputs!$C$52+Y224/1000)*COS(SQRT(A224^2+Inputs!$C$6^2)/Inputs!$C$52))</x:f>
        <x:v>407.76040711368785</x:v>
      </x:c>
      <x:c r="AB224" s="9">
        <x:f t="shared" si="65"/>
        <x:v>4881.9323514265416</x:v>
      </x:c>
      <x:c r="AC224" s="9" t="n">
        <x:f>AB224/Inputs!$C$12</x:f>
        <x:v>2742.6586243969336</x:v>
      </x:c>
      <x:c r="AD224" s="9" t="n">
        <x:f>2*AB224/Inputs!$C$21*1000000</x:f>
        <x:v>32.568746952443625</x:v>
      </x:c>
      <x:c r="AE224" s="9">
        <x:f t="shared" si="66"/>
        <x:v>8.0271536757214843</x:v>
      </x:c>
      <x:c r="AF224" s="9" t="n">
        <x:f>DEGREES((2*PI()/Inputs!$C$13)*Inputs!$C$15*SIN(RADIANS(AE224)))</x:f>
        <x:v>50.271261908976534</x:v>
      </x:c>
      <x:c r="AG224" s="9">
        <x:f t="shared" si="67"/>
        <x:v>0.95296300296416681</x:v>
      </x:c>
      <x:c r="AH224" s="9">
        <x:f t="shared" si="68"/>
        <x:v>-0.20923959718864327</x:v>
      </x:c>
      <x:c r="AI224" s="9">
        <x:f t="shared" si="69"/>
        <x:v>-69.347112984330579</x:v>
      </x:c>
      <x:c r="AJ224" s="9">
        <x:f t="shared" si="70"/>
        <x:v>-0.82348876910111812</x:v>
      </x:c>
      <x:c r="AK224" s="9">
        <x:f t="shared" si="71"/>
        <x:v>125.55765858912844</x:v>
      </x:c>
      <x:c r="AL224" s="9" t="n">
        <x:f>1000*(AA225-AA223)/(A225-A223)*Inputs!$C$11</x:f>
        <x:v>989.1584415254329</x:v>
      </x:c>
      <x:c r="AM224" s="9" t="n">
        <x:f>-2*AL224/Inputs!$C$13</x:f>
        <x:v>-395.66337661017315</x:v>
      </x:c>
      <x:c r="AN224" s="9" t="n">
        <x:f>-2*AL224/Inputs!$C$14</x:f>
        <x:v>-59.40891540693291</x:v>
      </x:c>
      <x:c r="AO224" s="9">
        <x:f t="shared" si="72"/>
        <x:v>395.66337661017315</x:v>
      </x:c>
      <x:c r="AP224" s="9">
        <x:f t="shared" si="73"/>
        <x:v>59.408915406932913</x:v>
      </x:c>
      <x:c r="AQ224" s="9" t="n">
        <x:f>IF(OR(Inputs!$C$27=TRUE,Inputs!$C$27="TRUE",Inputs!$C$27=1),Inputs!$C$46/Inputs!$C$12,0)</x:f>
        <x:v>42.13483146067416</x:v>
      </x:c>
      <x:c r="AR224" s="9">
        <x:f t="shared" si="74"/>
        <x:v>2700.5237929362593</x:v>
      </x:c>
      <x:c r="AS224" s="9">
        <x:f t="shared" si="75"/>
        <x:v>2784.793455857608</x:v>
      </x:c>
    </x:row>
    <x:row r="225">
      <x:c r="A225" s="9" t="n">
        <x:f>Inputs!$C$7+223*(Inputs!$C$8-Inputs!$C$7)/240</x:f>
        <x:v>51.5</x:v>
      </x:c>
      <x:c r="B225" s="9" t="n">
        <x:f>Inputs!$C$5+Inputs!$C$9*(A225/Inputs!$C$10)^2</x:f>
        <x:v>402.94694444444445</x:v>
      </x:c>
      <x:c r="C225" s="9">
        <x:f t="shared" si="57"/>
        <x:v>402.94694444444445</x:v>
      </x:c>
      <x:c r="D225" s="9" t="n">
        <x:f>SQRT((Inputs!$C$52+B225)^2+Inputs!$C$52^2-2*(Inputs!$C$52+B225)*Inputs!$C$52*COS(SQRT(A225^2+Inputs!$C$6^2)/Inputs!$C$52))</x:f>
        <x:v>408.0307652302219</x:v>
      </x:c>
      <x:c r="E225" s="9">
        <x:f t="shared" si="58"/>
        <x:v>5083.8207857774478</x:v>
      </x:c>
      <x:c r="F225" s="9" t="n">
        <x:f>E225/Inputs!$C$12</x:f>
        <x:v>2856.0790931333977</x:v>
      </x:c>
      <x:c r="G225" s="9" t="n">
        <x:f>2*E225/Inputs!$C$21*1000000</x:f>
        <x:v>33.91560161114826</x:v>
      </x:c>
      <x:c r="H225" s="9" t="n">
        <x:f>SQRT(A225^2+Inputs!$C$6^2)</x:f>
        <x:v>57.24727067729954</x:v>
      </x:c>
      <x:c r="I225" s="9">
        <x:f t="shared" si="59"/>
        <x:v>8.0859829149192013</x:v>
      </x:c>
      <x:c r="J225" s="9" t="n">
        <x:f>DEGREES((2*PI()/Inputs!$C$13)*Inputs!$C$15*SIN(RADIANS(I225)))</x:f>
        <x:v>50.63724867326966</x:v>
      </x:c>
      <x:c r="K225" s="9">
        <x:f t="shared" si="60"/>
        <x:v>0.95108608593985455</x:v>
      </x:c>
      <x:c r="L225" s="9">
        <x:f t="shared" si="61"/>
        <x:v>-0.21780171856904923</x:v>
      </x:c>
      <x:c r="M225" s="9" t="n">
        <x:f>2*(Inputs!$C$9/(Inputs!$C$10^2))*A225</x:f>
        <x:v>0.11444444444444445</x:v>
      </x:c>
      <x:c r="N225" s="9" t="n">
        <x:f>M225*Inputs!$C$11</x:f>
        <x:v>0.4577777777777778</x:v>
      </x:c>
      <x:c r="O225" s="9" t="n">
        <x:f>1000*(D226-D224)/(A226-A224)*Inputs!$C$11</x:f>
        <x:v>1088.3112712756429</x:v>
      </x:c>
      <x:c r="P225" s="9" t="n">
        <x:f>-2*O225/Inputs!$C$13</x:f>
        <x:v>-435.32450851025715</x:v>
      </x:c>
      <x:c r="Q225" s="9" t="n">
        <x:f>-2*O225/Inputs!$C$14</x:f>
        <x:v>-65.36404031685544</x:v>
      </x:c>
      <x:c r="R225" s="9" t="n">
        <x:f>F225-Inputs!$C$16/2</x:f>
        <x:v>2841.0790931333977</x:v>
      </x:c>
      <x:c r="S225" s="9" t="n">
        <x:f>F225+Inputs!$C$16/2</x:f>
        <x:v>2871.0790931333977</x:v>
      </x:c>
      <x:c r="T225" s="9" t="n">
        <x:f>F225-Inputs!$C$17/2</x:f>
        <x:v>2706.0790931333977</x:v>
      </x:c>
      <x:c r="U225" s="9" t="n">
        <x:f>F225+Inputs!$C$17/2</x:f>
        <x:v>3006.0790931333977</x:v>
      </x:c>
      <x:c r="V225" s="9">
        <x:f t="shared" si="62"/>
        <x:v>435.32450851025715</x:v>
      </x:c>
      <x:c r="W225" s="9">
        <x:f t="shared" si="63"/>
        <x:v>65.364040316855437</x:v>
      </x:c>
      <x:c r="X225" s="9"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x:f>
        <x:v>-4.550946531934956</x:v>
      </x:c>
      <x:c r="Y225" s="9"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x:f>
        <x:v>159.61831316527434</x:v>
      </x:c>
      <x:c r="Z225" s="9">
        <x:f t="shared" si="64"/>
        <x:v>402.95149539097639</x:v>
      </x:c>
      <x:c r="AA225" s="9" t="n">
        <x:f>SQRT((Inputs!$C$52+B225)^2+(Inputs!$C$52+Y225/1000)^2-2*(Inputs!$C$52+B225)*(Inputs!$C$52+Y225/1000)*COS(SQRT(A225^2+Inputs!$C$6^2)/Inputs!$C$52))</x:f>
        <x:v>407.8736533073033</x:v>
      </x:c>
      <x:c r="AB225" s="9">
        <x:f t="shared" si="65"/>
        <x:v>4922.1579163269098</x:v>
      </x:c>
      <x:c r="AC225" s="9" t="n">
        <x:f>AB225/Inputs!$C$12</x:f>
        <x:v>2765.2572563634326</x:v>
      </x:c>
      <x:c r="AD225" s="9" t="n">
        <x:f>2*AB225/Inputs!$C$21*1000000</x:f>
        <x:v>32.83710303564014</x:v>
      </x:c>
      <x:c r="AE225" s="9">
        <x:f t="shared" si="66"/>
        <x:v>8.0891448607650744</x:v>
      </x:c>
      <x:c r="AF225" s="9" t="n">
        <x:f>DEGREES((2*PI()/Inputs!$C$13)*Inputs!$C$15*SIN(RADIANS(AE225)))</x:f>
        <x:v>50.65691817116859</x:v>
      </x:c>
      <x:c r="AG225" s="9">
        <x:f t="shared" si="67"/>
        <x:v>0.95259539074713762</x:v>
      </x:c>
      <x:c r="AH225" s="9">
        <x:f t="shared" si="68"/>
        <x:v>-0.21091524207933193</x:v>
      </x:c>
      <x:c r="AI225" s="9">
        <x:f t="shared" si="69"/>
        <x:v>-90.821836769965103</x:v>
      </x:c>
      <x:c r="AJ225" s="9">
        <x:f t="shared" si="70"/>
        <x:v>-1.0784985755081209</x:v>
      </x:c>
      <x:c r="AK225" s="9">
        <x:f t="shared" si="71"/>
        <x:v>164.16925969719088</x:v>
      </x:c>
      <x:c r="AL225" s="9" t="n">
        <x:f>1000*(AA226-AA224)/(A226-A224)*Inputs!$C$11</x:f>
        <x:v>970.8404617647375</x:v>
      </x:c>
      <x:c r="AM225" s="9" t="n">
        <x:f>-2*AL225/Inputs!$C$13</x:f>
        <x:v>-388.336184705895</x:v>
      </x:c>
      <x:c r="AN225" s="9" t="n">
        <x:f>-2*AL225/Inputs!$C$14</x:f>
        <x:v>-58.308736442326584</x:v>
      </x:c>
      <x:c r="AO225" s="9">
        <x:f t="shared" si="72"/>
        <x:v>388.33618470589499</x:v>
      </x:c>
      <x:c r="AP225" s="9">
        <x:f t="shared" si="73"/>
        <x:v>58.308736442326584</x:v>
      </x:c>
      <x:c r="AQ225" s="9" t="n">
        <x:f>IF(OR(Inputs!$C$27=TRUE,Inputs!$C$27="TRUE",Inputs!$C$27=1),Inputs!$C$46/Inputs!$C$12,0)</x:f>
        <x:v>42.13483146067416</x:v>
      </x:c>
      <x:c r="AR225" s="9">
        <x:f t="shared" si="74"/>
        <x:v>2723.1224249027582</x:v>
      </x:c>
      <x:c r="AS225" s="9">
        <x:f t="shared" si="75"/>
        <x:v>2807.392087824107</x:v>
      </x:c>
    </x:row>
    <x:row r="226">
      <x:c r="A226" s="9" t="n">
        <x:f>Inputs!$C$7+224*(Inputs!$C$8-Inputs!$C$7)/240</x:f>
        <x:v>52</x:v>
      </x:c>
      <x:c r="B226" s="9" t="n">
        <x:f>Inputs!$C$5+Inputs!$C$9*(A226/Inputs!$C$10)^2</x:f>
        <x:v>403.00444444444446</x:v>
      </x:c>
      <x:c r="C226" s="9">
        <x:f t="shared" si="57"/>
        <x:v>403.00444444444446</x:v>
      </x:c>
      <x:c r="D226" s="9" t="n">
        <x:f>SQRT((Inputs!$C$52+B226)^2+Inputs!$C$52^2-2*(Inputs!$C$52+B226)*Inputs!$C$52*COS(SQRT(A226^2+Inputs!$C$6^2)/Inputs!$C$52))</x:f>
        <x:v>408.16744803035755</x:v>
      </x:c>
      <x:c r="E226" s="9">
        <x:f t="shared" si="58"/>
        <x:v>5163.0035859130885</x:v>
      </x:c>
      <x:c r="F226" s="9" t="n">
        <x:f>E226/Inputs!$C$12</x:f>
        <x:v>2900.5638123107237</x:v>
      </x:c>
      <x:c r="G226" s="9" t="n">
        <x:f>2*E226/Inputs!$C$21*1000000</x:f>
        <x:v>34.44385239279828</x:v>
      </x:c>
      <x:c r="H226" s="9" t="n">
        <x:f>SQRT(A226^2+Inputs!$C$6^2)</x:f>
        <x:v>57.697486947006624</x:v>
      </x:c>
      <x:c r="I226" s="9">
        <x:f t="shared" si="59"/>
        <x:v>8.1475766102618188</x:v>
      </x:c>
      <x:c r="J226" s="9" t="n">
        <x:f>DEGREES((2*PI()/Inputs!$C$13)*Inputs!$C$15*SIN(RADIANS(I226)))</x:f>
        <x:v>51.02037638000933</x:v>
      </x:c>
      <x:c r="K226" s="9">
        <x:f t="shared" si="60"/>
        <x:v>0.95035503129146714</x:v>
      </x:c>
      <x:c r="L226" s="9">
        <x:f t="shared" si="61"/>
        <x:v>-0.2211412173579535</x:v>
      </x:c>
      <x:c r="M226" s="9" t="n">
        <x:f>2*(Inputs!$C$9/(Inputs!$C$10^2))*A226</x:f>
        <x:v>0.11555555555555555</x:v>
      </x:c>
      <x:c r="N226" s="9" t="n">
        <x:f>M226*Inputs!$C$11</x:f>
        <x:v>0.4622222222222222</x:v>
      </x:c>
      <x:c r="O226" s="9" t="n">
        <x:f>1000*(D227-D225)/(A227-A225)*Inputs!$C$11</x:f>
        <x:v>1098.6098050404962</x:v>
      </x:c>
      <x:c r="P226" s="9" t="n">
        <x:f>-2*O226/Inputs!$C$13</x:f>
        <x:v>-439.4439220161985</x:v>
      </x:c>
      <x:c r="Q226" s="9" t="n">
        <x:f>-2*O226/Inputs!$C$14</x:f>
        <x:v>-65.98257087330308</x:v>
      </x:c>
      <x:c r="R226" s="9" t="n">
        <x:f>F226-Inputs!$C$16/2</x:f>
        <x:v>2885.5638123107237</x:v>
      </x:c>
      <x:c r="S226" s="9" t="n">
        <x:f>F226+Inputs!$C$16/2</x:f>
        <x:v>2915.5638123107237</x:v>
      </x:c>
      <x:c r="T226" s="9" t="n">
        <x:f>F226-Inputs!$C$17/2</x:f>
        <x:v>2750.5638123107237</x:v>
      </x:c>
      <x:c r="U226" s="9" t="n">
        <x:f>F226+Inputs!$C$17/2</x:f>
        <x:v>3050.5638123107237</x:v>
      </x:c>
      <x:c r="V226" s="9">
        <x:f t="shared" si="62"/>
        <x:v>439.44392201619848</x:v>
      </x:c>
      <x:c r="W226" s="9">
        <x:f t="shared" si="63"/>
        <x:v>65.982570873303075</x:v>
      </x:c>
      <x:c r="X226" s="9"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x:f>
        <x:v>-7.85094902162108</x:v>
      </x:c>
      <x:c r="Y226" s="9"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x:f>
        <x:v>166.9931224443313</x:v>
      </x:c>
      <x:c r="Z226" s="9">
        <x:f t="shared" si="64"/>
        <x:v>403.01229539346605</x:v>
      </x:c>
      <x:c r="AA226" s="9" t="n">
        <x:f>SQRT((Inputs!$C$52+B226)^2+(Inputs!$C$52+Y226/1000)^2-2*(Inputs!$C$52+B226)*(Inputs!$C$52+Y226/1000)*COS(SQRT(A226^2+Inputs!$C$6^2)/Inputs!$C$52))</x:f>
        <x:v>408.00311722912903</x:v>
      </x:c>
      <x:c r="AB226" s="9">
        <x:f t="shared" si="65"/>
        <x:v>4990.8218356629841</x:v>
      </x:c>
      <x:c r="AC226" s="9" t="n">
        <x:f>AB226/Inputs!$C$12</x:f>
        <x:v>2803.8324919454967</x:v>
      </x:c>
      <x:c r="AD226" s="9" t="n">
        <x:f>2*AB226/Inputs!$C$21*1000000</x:f>
        <x:v>33.29517939816207</x:v>
      </x:c>
      <x:c r="AE226" s="9">
        <x:f t="shared" si="66"/>
        <x:v>8.1509087485298988</x:v>
      </x:c>
      <x:c r="AF226" s="9" t="n">
        <x:f>DEGREES((2*PI()/Inputs!$C$13)*Inputs!$C$15*SIN(RADIANS(AE226)))</x:f>
        <x:v>51.0411014101024</x:v>
      </x:c>
      <x:c r="AG226" s="9">
        <x:f t="shared" si="67"/>
        <x:v>0.95196122601136557</x:v>
      </x:c>
      <x:c r="AH226" s="9">
        <x:f t="shared" si="68"/>
        <x:v>-0.21380740346869115</x:v>
      </x:c>
      <x:c r="AI226" s="9">
        <x:f t="shared" si="69"/>
        <x:v>-96.73132036522702</x:v>
      </x:c>
      <x:c r="AJ226" s="9">
        <x:f t="shared" si="70"/>
        <x:v>-1.1486729946362075</x:v>
      </x:c>
      <x:c r="AK226" s="9">
        <x:f t="shared" si="71"/>
        <x:v>174.84407146590328</x:v>
      </x:c>
      <x:c r="AL226" s="9" t="n">
        <x:f>1000*(AA227-AA225)/(A227-A225)*Inputs!$C$11</x:f>
        <x:v>1081.405382576122</x:v>
      </x:c>
      <x:c r="AM226" s="9" t="n">
        <x:f>-2*AL226/Inputs!$C$13</x:f>
        <x:v>-432.5621530304488</x:v>
      </x:c>
      <x:c r="AN226" s="9" t="n">
        <x:f>-2*AL226/Inputs!$C$14</x:f>
        <x:v>-64.94927222679412</x:v>
      </x:c>
      <x:c r="AO226" s="9">
        <x:f t="shared" si="72"/>
        <x:v>432.56215303044883</x:v>
      </x:c>
      <x:c r="AP226" s="9">
        <x:f t="shared" si="73"/>
        <x:v>64.949272226794122</x:v>
      </x:c>
      <x:c r="AQ226" s="9" t="n">
        <x:f>IF(OR(Inputs!$C$27=TRUE,Inputs!$C$27="TRUE",Inputs!$C$27=1),Inputs!$C$46/Inputs!$C$12,0)</x:f>
        <x:v>42.13483146067416</x:v>
      </x:c>
      <x:c r="AR226" s="9">
        <x:f t="shared" si="74"/>
        <x:v>2761.6976604848223</x:v>
      </x:c>
      <x:c r="AS226" s="9">
        <x:f t="shared" si="75"/>
        <x:v>2845.9673234061711</x:v>
      </x:c>
    </x:row>
    <x:row r="227">
      <x:c r="A227" s="9" t="n">
        <x:f>Inputs!$C$7+225*(Inputs!$C$8-Inputs!$C$7)/240</x:f>
        <x:v>52.5</x:v>
      </x:c>
      <x:c r="B227" s="9" t="n">
        <x:f>Inputs!$C$5+Inputs!$C$9*(A227/Inputs!$C$10)^2</x:f>
        <x:v>403.0625</x:v>
      </x:c>
      <x:c r="C227" s="9">
        <x:f t="shared" si="57"/>
        <x:v>403.0625</x:v>
      </x:c>
      <x:c r="D227" s="9" t="n">
        <x:f>SQRT((Inputs!$C$52+B227)^2+Inputs!$C$52^2-2*(Inputs!$C$52+B227)*Inputs!$C$52*COS(SQRT(A227^2+Inputs!$C$6^2)/Inputs!$C$52))</x:f>
        <x:v>408.305417681482</x:v>
      </x:c>
      <x:c r="E227" s="9">
        <x:f t="shared" si="58"/>
        <x:v>5242.9176814820266</x:v>
      </x:c>
      <x:c r="F227" s="9" t="n">
        <x:f>E227/Inputs!$C$12</x:f>
        <x:v>2945.459371619116</x:v>
      </x:c>
      <x:c r="G227" s="9" t="n">
        <x:f>2*E227/Inputs!$C$21*1000000</x:f>
        <x:v>34.97698185243891</x:v>
      </x:c>
      <x:c r="H227" s="9" t="n">
        <x:f>SQRT(A227^2+Inputs!$C$6^2)</x:f>
        <x:v>58.148516748065035</x:v>
      </x:c>
      <x:c r="I227" s="9">
        <x:f t="shared" si="59"/>
        <x:v>8.2092359122645995</x:v>
      </x:c>
      <x:c r="J227" s="9" t="n">
        <x:f>DEGREES((2*PI()/Inputs!$C$13)*Inputs!$C$15*SIN(RADIANS(I227)))</x:f>
        <x:v>51.403853119854354</x:v>
      </x:c>
      <x:c r="K227" s="9">
        <x:f t="shared" si="60"/>
        <x:v>0.94961815113253667</x:v>
      </x:c>
      <x:c r="L227" s="9">
        <x:f t="shared" si="61"/>
        <x:v>-0.22450992809401674</x:v>
      </x:c>
      <x:c r="M227" s="9" t="n">
        <x:f>2*(Inputs!$C$9/(Inputs!$C$10^2))*A227</x:f>
        <x:v>0.11666666666666667</x:v>
      </x:c>
      <x:c r="N227" s="9" t="n">
        <x:f>M227*Inputs!$C$11</x:f>
        <x:v>0.4666666666666667</x:v>
      </x:c>
      <x:c r="O227" s="9" t="n">
        <x:f>1000*(D228-D226)/(A228-A226)*Inputs!$C$11</x:f>
        <x:v>1108.9008574281252</x:v>
      </x:c>
      <x:c r="P227" s="9" t="n">
        <x:f>-2*O227/Inputs!$C$13</x:f>
        <x:v>-443.56034297125007</x:v>
      </x:c>
      <x:c r="Q227" s="9" t="n">
        <x:f>-2*O227/Inputs!$C$14</x:f>
        <x:v>-66.6006520977853</x:v>
      </x:c>
      <x:c r="R227" s="9" t="n">
        <x:f>F227-Inputs!$C$16/2</x:f>
        <x:v>2930.459371619116</x:v>
      </x:c>
      <x:c r="S227" s="9" t="n">
        <x:f>F227+Inputs!$C$16/2</x:f>
        <x:v>2960.459371619116</x:v>
      </x:c>
      <x:c r="T227" s="9" t="n">
        <x:f>F227-Inputs!$C$17/2</x:f>
        <x:v>2795.459371619116</x:v>
      </x:c>
      <x:c r="U227" s="9" t="n">
        <x:f>F227+Inputs!$C$17/2</x:f>
        <x:v>3095.459371619116</x:v>
      </x:c>
      <x:c r="V227" s="9">
        <x:f t="shared" si="62"/>
        <x:v>443.56034297125007</x:v>
      </x:c>
      <x:c r="W227" s="9">
        <x:f t="shared" si="63"/>
        <x:v>66.6006520977853</x:v>
      </x:c>
      <x:c r="X227" s="9"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x:f>
        <x:v>6.588346931916092</x:v>
      </x:c>
      <x:c r="Y227" s="9"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x:f>
        <x:v>164.06842387185546</x:v>
      </x:c>
      <x:c r="Z227" s="9">
        <x:f t="shared" si="64"/>
        <x:v>403.05591165306805</x:v>
      </x:c>
      <x:c r="AA227" s="9" t="n">
        <x:f>SQRT((Inputs!$C$52+B227)^2+(Inputs!$C$52+Y227/1000)^2-2*(Inputs!$C$52+B227)*(Inputs!$C$52+Y227/1000)*COS(SQRT(A227^2+Inputs!$C$6^2)/Inputs!$C$52))</x:f>
        <x:v>408.14400465294733</x:v>
      </x:c>
      <x:c r="AB227" s="9">
        <x:f t="shared" si="65"/>
        <x:v>5088.0929998792799</x:v>
      </x:c>
      <x:c r="AC227" s="9" t="n">
        <x:f>AB227/Inputs!$C$12</x:f>
        <x:v>2858.479213415326</x:v>
      </x:c>
      <x:c r="AD227" s="9" t="n">
        <x:f>2*AB227/Inputs!$C$21*1000000</x:f>
        <x:v>33.94410275577566</x:v>
      </x:c>
      <x:c r="AE227" s="9">
        <x:f t="shared" si="66"/>
        <x:v>8.2125332888897535</x:v>
      </x:c>
      <x:c r="AF227" s="9" t="n">
        <x:f>DEGREES((2*PI()/Inputs!$C$13)*Inputs!$C$15*SIN(RADIANS(AE227)))</x:f>
        <x:v>51.42435877014111</x:v>
      </x:c>
      <x:c r="AG227" s="9">
        <x:f t="shared" si="67"/>
        <x:v>0.95105907914938381</x:v>
      </x:c>
      <x:c r="AH227" s="9">
        <x:f t="shared" si="68"/>
        <x:v>-0.21792504143936858</x:v>
      </x:c>
      <x:c r="AI227" s="9">
        <x:f t="shared" si="69"/>
        <x:v>-86.980158203790324</x:v>
      </x:c>
      <x:c r="AJ227" s="9">
        <x:f t="shared" si="70"/>
        <x:v>-1.0328790966632511</x:v>
      </x:c>
      <x:c r="AK227" s="9">
        <x:f t="shared" si="71"/>
        <x:v>157.48007693989027</x:v>
      </x:c>
      <x:c r="AL227" s="9" t="n">
        <x:f>1000*(AA228-AA226)/(A228-A226)*Inputs!$C$11</x:f>
        <x:v>1044.1918139285917</x:v>
      </x:c>
      <x:c r="AM227" s="9" t="n">
        <x:f>-2*AL227/Inputs!$C$13</x:f>
        <x:v>-417.6767255714367</x:v>
      </x:c>
      <x:c r="AN227" s="9" t="n">
        <x:f>-2*AL227/Inputs!$C$14</x:f>
        <x:v>-62.71422305877428</x:v>
      </x:c>
      <x:c r="AO227" s="9">
        <x:f t="shared" si="72"/>
        <x:v>417.67672557143669</x:v>
      </x:c>
      <x:c r="AP227" s="9">
        <x:f t="shared" si="73"/>
        <x:v>62.71422305877428</x:v>
      </x:c>
      <x:c r="AQ227" s="9" t="n">
        <x:f>IF(OR(Inputs!$C$27=TRUE,Inputs!$C$27="TRUE",Inputs!$C$27=1),Inputs!$C$46/Inputs!$C$12,0)</x:f>
        <x:v>42.13483146067416</x:v>
      </x:c>
      <x:c r="AR227" s="9">
        <x:f t="shared" si="74"/>
        <x:v>2816.3443819546515</x:v>
      </x:c>
      <x:c r="AS227" s="9">
        <x:f t="shared" si="75"/>
        <x:v>2900.6140448760002</x:v>
      </x:c>
    </x:row>
    <x:row r="228">
      <x:c r="A228" s="9" t="n">
        <x:f>Inputs!$C$7+226*(Inputs!$C$8-Inputs!$C$7)/240</x:f>
        <x:v>53</x:v>
      </x:c>
      <x:c r="B228" s="9" t="n">
        <x:f>Inputs!$C$5+Inputs!$C$9*(A228/Inputs!$C$10)^2</x:f>
        <x:v>403.12111111111113</x:v>
      </x:c>
      <x:c r="C228" s="9">
        <x:f t="shared" si="57"/>
        <x:v>403.12111111111113</x:v>
      </x:c>
      <x:c r="D228" s="9" t="n">
        <x:f>SQRT((Inputs!$C$52+B228)^2+Inputs!$C$52^2-2*(Inputs!$C$52+B228)*Inputs!$C$52*COS(SQRT(A228^2+Inputs!$C$6^2)/Inputs!$C$52))</x:f>
        <x:v>408.4446732447146</x:v>
      </x:c>
      <x:c r="E228" s="9">
        <x:f t="shared" si="58"/>
        <x:v>5323.5621336034455</x:v>
      </x:c>
      <x:c r="F228" s="9" t="n">
        <x:f>E228/Inputs!$C$12</x:f>
        <x:v>2990.7652435974414</x:v>
      </x:c>
      <x:c r="G228" s="9" t="n">
        <x:f>2*E228/Inputs!$C$21*1000000</x:f>
        <x:v>35.51498372653154</x:v>
      </x:c>
      <x:c r="H228" s="9" t="n">
        <x:f>SQRT(A228^2+Inputs!$C$6^2)</x:f>
        <x:v>58.60034129593445</x:v>
      </x:c>
      <x:c r="I228" s="9">
        <x:f t="shared" si="59"/>
        <x:v>8.2709577025452408</x:v>
      </x:c>
      <x:c r="J228" s="9" t="n">
        <x:f>DEGREES((2*PI()/Inputs!$C$13)*Inputs!$C$15*SIN(RADIANS(I228)))</x:f>
        <x:v>51.78765886979433</x:v>
      </x:c>
      <x:c r="K228" s="9">
        <x:f t="shared" si="60"/>
        <x:v>0.94887547821294138</x:v>
      </x:c>
      <x:c r="L228" s="9">
        <x:f t="shared" si="61"/>
        <x:v>-0.2279077669100798</x:v>
      </x:c>
      <x:c r="M228" s="9" t="n">
        <x:f>2*(Inputs!$C$9/(Inputs!$C$10^2))*A228</x:f>
        <x:v>0.11777777777777777</x:v>
      </x:c>
      <x:c r="N228" s="9" t="n">
        <x:f>M228*Inputs!$C$11</x:f>
        <x:v>0.4711111111111111</x:v>
      </x:c>
      <x:c r="O228" s="9" t="n">
        <x:f>1000*(D229-D227)/(A229-A227)*Inputs!$C$11</x:f>
        <x:v>1119.1843692326984</x:v>
      </x:c>
      <x:c r="P228" s="9" t="n">
        <x:f>-2*O228/Inputs!$C$13</x:f>
        <x:v>-447.67374769307935</x:v>
      </x:c>
      <x:c r="Q228" s="9" t="n">
        <x:f>-2*O228/Inputs!$C$14</x:f>
        <x:v>-67.2182804343963</x:v>
      </x:c>
      <x:c r="R228" s="9" t="n">
        <x:f>F228-Inputs!$C$16/2</x:f>
        <x:v>2975.7652435974414</x:v>
      </x:c>
      <x:c r="S228" s="9" t="n">
        <x:f>F228+Inputs!$C$16/2</x:f>
        <x:v>3005.7652435974414</x:v>
      </x:c>
      <x:c r="T228" s="9" t="n">
        <x:f>F228-Inputs!$C$17/2</x:f>
        <x:v>2840.7652435974414</x:v>
      </x:c>
      <x:c r="U228" s="9" t="n">
        <x:f>F228+Inputs!$C$17/2</x:f>
        <x:v>3140.7652435974414</x:v>
      </x:c>
      <x:c r="V228" s="9">
        <x:f t="shared" si="62"/>
        <x:v>447.67374769307935</x:v>
      </x:c>
      <x:c r="W228" s="9">
        <x:f t="shared" si="63"/>
        <x:v>67.218280434396306</x:v>
      </x:c>
      <x:c r="X228" s="9"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x:f>
        <x:v>4.508396540761183</x:v>
      </x:c>
      <x:c r="Y228" s="9"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x:f>
        <x:v>183.5232809151917</x:v>
      </x:c>
      <x:c r="Z228" s="9">
        <x:f t="shared" si="64"/>
        <x:v>403.11660271457038</x:v>
      </x:c>
      <x:c r="AA228" s="9" t="n">
        <x:f>SQRT((Inputs!$C$52+B228)^2+(Inputs!$C$52+Y228/1000)^2-2*(Inputs!$C$52+B228)*(Inputs!$C$52+Y228/1000)*COS(SQRT(A228^2+Inputs!$C$6^2)/Inputs!$C$52))</x:f>
        <x:v>408.2641651826112</x:v>
      </x:c>
      <x:c r="AB228" s="9">
        <x:f t="shared" si="65"/>
        <x:v>5147.5624680408037</x:v>
      </x:c>
      <x:c r="AC228" s="9" t="n">
        <x:f>AB228/Inputs!$C$12</x:f>
        <x:v>2891.8890269892154</x:v>
      </x:c>
      <x:c r="AD228" s="9" t="n">
        <x:f>2*AB228/Inputs!$C$21*1000000</x:f>
        <x:v>34.34084034255994</x:v>
      </x:c>
      <x:c r="AE228" s="9">
        <x:f t="shared" si="66"/>
        <x:v>8.2746726688029</x:v>
      </x:c>
      <x:c r="AF228" s="9" t="n">
        <x:f>DEGREES((2*PI()/Inputs!$C$13)*Inputs!$C$15*SIN(RADIANS(AE228)))</x:f>
        <x:v>51.81075780016188</x:v>
      </x:c>
      <x:c r="AG228" s="9">
        <x:f t="shared" si="67"/>
        <x:v>0.95051219517632324</x:v>
      </x:c>
      <x:c r="AH228" s="9">
        <x:f t="shared" si="68"/>
        <x:v>-0.22042306716679214</x:v>
      </x:c>
      <x:c r="AI228" s="9">
        <x:f t="shared" si="69"/>
        <x:v>-98.876216608226059</x:v>
      </x:c>
      <x:c r="AJ228" s="9">
        <x:f t="shared" si="70"/>
        <x:v>-1.1741433839715967</x:v>
      </x:c>
      <x:c r="AK228" s="9">
        <x:f t="shared" si="71"/>
        <x:v>179.01488437443049</x:v>
      </x:c>
      <x:c r="AL228" s="9" t="n">
        <x:f>1000*(AA229-AA227)/(A229-A227)*Inputs!$C$11</x:f>
        <x:v>1052.7450629535906</x:v>
      </x:c>
      <x:c r="AM228" s="9" t="n">
        <x:f>-2*AL228/Inputs!$C$13</x:f>
        <x:v>-421.09802518143624</x:v>
      </x:c>
      <x:c r="AN228" s="9" t="n">
        <x:f>-2*AL228/Inputs!$C$14</x:f>
        <x:v>-63.227931708924366</x:v>
      </x:c>
      <x:c r="AO228" s="9">
        <x:f t="shared" si="72"/>
        <x:v>421.09802518143624</x:v>
      </x:c>
      <x:c r="AP228" s="9">
        <x:f t="shared" si="73"/>
        <x:v>63.227931708924366</x:v>
      </x:c>
      <x:c r="AQ228" s="9" t="n">
        <x:f>IF(OR(Inputs!$C$27=TRUE,Inputs!$C$27="TRUE",Inputs!$C$27=1),Inputs!$C$46/Inputs!$C$12,0)</x:f>
        <x:v>42.13483146067416</x:v>
      </x:c>
      <x:c r="AR228" s="9">
        <x:f t="shared" si="74"/>
        <x:v>2849.754195528541</x:v>
      </x:c>
      <x:c r="AS228" s="9">
        <x:f t="shared" si="75"/>
        <x:v>2934.0238584498898</x:v>
      </x:c>
    </x:row>
    <x:row r="229">
      <x:c r="A229" s="9" t="n">
        <x:f>Inputs!$C$7+227*(Inputs!$C$8-Inputs!$C$7)/240</x:f>
        <x:v>53.5</x:v>
      </x:c>
      <x:c r="B229" s="9" t="n">
        <x:f>Inputs!$C$5+Inputs!$C$9*(A229/Inputs!$C$10)^2</x:f>
        <x:v>403.1802777777778</x:v>
      </x:c>
      <x:c r="C229" s="9">
        <x:f t="shared" si="57"/>
        <x:v>403.1802777777778</x:v>
      </x:c>
      <x:c r="D229" s="9" t="n">
        <x:f>SQRT((Inputs!$C$52+B229)^2+Inputs!$C$52^2-2*(Inputs!$C$52+B229)*Inputs!$C$52*COS(SQRT(A229^2+Inputs!$C$6^2)/Inputs!$C$52))</x:f>
        <x:v>408.5852137737902</x:v>
      </x:c>
      <x:c r="E229" s="9">
        <x:f t="shared" si="58"/>
        <x:v>5404.9359960123984</x:v>
      </x:c>
      <x:c r="F229" s="9" t="n">
        <x:f>E229/Inputs!$C$12</x:f>
        <x:v>3036.480896636179</x:v>
      </x:c>
      <x:c r="G229" s="9" t="n">
        <x:f>2*E229/Inputs!$C$21*1000000</x:f>
        <x:v>36.05785170227597</x:v>
      </x:c>
      <x:c r="H229" s="9" t="n">
        <x:f>SQRT(A229^2+Inputs!$C$6^2)</x:f>
        <x:v>59.052942348370756</x:v>
      </x:c>
      <x:c r="I229" s="9">
        <x:f t="shared" si="59"/>
        <x:v>8.3327389418825106</x:v>
      </x:c>
      <x:c r="J229" s="9" t="n">
        <x:f>DEGREES((2*PI()/Inputs!$C$13)*Inputs!$C$15*SIN(RADIANS(I229)))</x:f>
        <x:v>52.17177410818362</x:v>
      </x:c>
      <x:c r="K229" s="9">
        <x:f t="shared" si="60"/>
        <x:v>0.94812704546374582</x:v>
      </x:c>
      <x:c r="L229" s="9">
        <x:f t="shared" si="61"/>
        <x:v>-0.23133464932968043</x:v>
      </x:c>
      <x:c r="M229" s="9" t="n">
        <x:f>2*(Inputs!$C$9/(Inputs!$C$10^2))*A229</x:f>
        <x:v>0.11888888888888889</x:v>
      </x:c>
      <x:c r="N229" s="9" t="n">
        <x:f>M229*Inputs!$C$11</x:f>
        <x:v>0.47555555555555556</x:v>
      </x:c>
      <x:c r="O229" s="9" t="n">
        <x:f>1000*(D230-D228)/(A230-A228)*Inputs!$C$11</x:f>
        <x:v>1129.4602816408315</x:v>
      </x:c>
      <x:c r="P229" s="9" t="n">
        <x:f>-2*O229/Inputs!$C$13</x:f>
        <x:v>-451.7841126563326</x:v>
      </x:c>
      <x:c r="Q229" s="9" t="n">
        <x:f>-2*O229/Inputs!$C$14</x:f>
        <x:v>-67.8354523508007</x:v>
      </x:c>
      <x:c r="R229" s="9" t="n">
        <x:f>F229-Inputs!$C$16/2</x:f>
        <x:v>3021.480896636179</x:v>
      </x:c>
      <x:c r="S229" s="9" t="n">
        <x:f>F229+Inputs!$C$16/2</x:f>
        <x:v>3051.480896636179</x:v>
      </x:c>
      <x:c r="T229" s="9" t="n">
        <x:f>F229-Inputs!$C$17/2</x:f>
        <x:v>2886.480896636179</x:v>
      </x:c>
      <x:c r="U229" s="9" t="n">
        <x:f>F229+Inputs!$C$17/2</x:f>
        <x:v>3186.480896636179</x:v>
      </x:c>
      <x:c r="V229" s="9">
        <x:f t="shared" si="62"/>
        <x:v>451.78411265633258</x:v>
      </x:c>
      <x:c r="W229" s="9">
        <x:f t="shared" si="63"/>
        <x:v>67.835452350800693</x:v>
      </x:c>
      <x:c r="X229" s="9"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x:f>
        <x:v>-0.1280560890739677</x:v>
      </x:c>
      <x:c r="Y229" s="9"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x:f>
        <x:v>181.04186719105834</x:v>
      </x:c>
      <x:c r="Z229" s="9">
        <x:f t="shared" si="64"/>
        <x:v>403.18040583386687</x:v>
      </x:c>
      <x:c r="AA229" s="9" t="n">
        <x:f>SQRT((Inputs!$C$52+B229)^2+(Inputs!$C$52+Y229/1000)^2-2*(Inputs!$C$52+B229)*(Inputs!$C$52+Y229/1000)*COS(SQRT(A229^2+Inputs!$C$6^2)/Inputs!$C$52))</x:f>
        <x:v>408.4071909186857</x:v>
      </x:c>
      <x:c r="AB229" s="9">
        <x:f t="shared" si="65"/>
        <x:v>5226.7850848188573</x:v>
      </x:c>
      <x:c r="AC229" s="9" t="n">
        <x:f>AB229/Inputs!$C$12</x:f>
        <x:v>2936.3961150667737</x:v>
      </x:c>
      <x:c r="AD229" s="9" t="n">
        <x:f>2*AB229/Inputs!$C$21*1000000</x:f>
        <x:v>34.869356752255975</x:v>
      </x:c>
      <x:c r="AE229" s="9">
        <x:f t="shared" si="66"/>
        <x:v>8.33642971440627</x:v>
      </x:c>
      <x:c r="AF229" s="9" t="n">
        <x:f>DEGREES((2*PI()/Inputs!$C$13)*Inputs!$C$15*SIN(RADIANS(AE229)))</x:f>
        <x:v>52.194718996114005</x:v>
      </x:c>
      <x:c r="AG229" s="9">
        <x:f t="shared" si="67"/>
        <x:v>0.94978247056550547</x:v>
      </x:c>
      <x:c r="AH229" s="9">
        <x:f t="shared" si="68"/>
        <x:v>-0.22375850132948241</x:v>
      </x:c>
      <x:c r="AI229" s="9">
        <x:f t="shared" si="69"/>
        <x:v>-100.0847815694051</x:v>
      </x:c>
      <x:c r="AJ229" s="9">
        <x:f t="shared" si="70"/>
        <x:v>-1.1884949500199937</x:v>
      </x:c>
      <x:c r="AK229" s="9">
        <x:f t="shared" si="71"/>
        <x:v>181.16992328013231</x:v>
      </x:c>
      <x:c r="AL229" s="9" t="n">
        <x:f>1000*(AA230-AA228)/(A230-A228)*Inputs!$C$11</x:f>
        <x:v>1137.6148807951267</x:v>
      </x:c>
      <x:c r="AM229" s="9" t="n">
        <x:f>-2*AL229/Inputs!$C$13</x:f>
        <x:v>-455.0459523180507</x:v>
      </x:c>
      <x:c r="AN229" s="9" t="n">
        <x:f>-2*AL229/Inputs!$C$14</x:f>
        <x:v>-68.32521806577338</x:v>
      </x:c>
      <x:c r="AO229" s="9">
        <x:f t="shared" si="72"/>
        <x:v>455.04595231805069</x:v>
      </x:c>
      <x:c r="AP229" s="9">
        <x:f t="shared" si="73"/>
        <x:v>68.325218065773385</x:v>
      </x:c>
      <x:c r="AQ229" s="9" t="n">
        <x:f>IF(OR(Inputs!$C$27=TRUE,Inputs!$C$27="TRUE",Inputs!$C$27=1),Inputs!$C$46/Inputs!$C$12,0)</x:f>
        <x:v>42.13483146067416</x:v>
      </x:c>
      <x:c r="AR229" s="9">
        <x:f t="shared" si="74"/>
        <x:v>2894.2612836060994</x:v>
      </x:c>
      <x:c r="AS229" s="9">
        <x:f t="shared" si="75"/>
        <x:v>2978.5309465274481</x:v>
      </x:c>
    </x:row>
    <x:row r="230">
      <x:c r="A230" s="9" t="n">
        <x:f>Inputs!$C$7+228*(Inputs!$C$8-Inputs!$C$7)/240</x:f>
        <x:v>54</x:v>
      </x:c>
      <x:c r="B230" s="9" t="n">
        <x:f>Inputs!$C$5+Inputs!$C$9*(A230/Inputs!$C$10)^2</x:f>
        <x:v>403.24</x:v>
      </x:c>
      <x:c r="C230" s="9">
        <x:f t="shared" si="57"/>
        <x:v>403.24</x:v>
      </x:c>
      <x:c r="D230" s="9" t="n">
        <x:f>SQRT((Inputs!$C$52+B230)^2+Inputs!$C$52^2-2*(Inputs!$C$52+B230)*Inputs!$C$52*COS(SQRT(A230^2+Inputs!$C$6^2)/Inputs!$C$52))</x:f>
        <x:v>408.7270383151248</x:v>
      </x:c>
      <x:c r="E230" s="9">
        <x:f t="shared" si="58"/>
        <x:v>5487.0383151247779</x:v>
      </x:c>
      <x:c r="F230" s="9" t="n">
        <x:f>E230/Inputs!$C$12</x:f>
        <x:v>3082.60579501392</x:v>
      </x:c>
      <x:c r="G230" s="9" t="n">
        <x:f>2*E230/Inputs!$C$21*1000000</x:f>
        <x:v>36.60557941804378</x:v>
      </x:c>
      <x:c r="H230" s="9" t="n">
        <x:f>SQRT(A230^2+Inputs!$C$6^2)</x:f>
        <x:v>59.50630218724736</x:v>
      </x:c>
      <x:c r="I230" s="9">
        <x:f t="shared" si="59"/>
        <x:v>8.3945766676270033</x:v>
      </x:c>
      <x:c r="J230" s="9" t="n">
        <x:f>DEGREES((2*PI()/Inputs!$C$13)*Inputs!$C$15*SIN(RADIANS(I230)))</x:f>
        <x:v>52.55617979850606</x:v>
      </x:c>
      <x:c r="K230" s="9">
        <x:f t="shared" si="60"/>
        <x:v>0.947372885993786</x:v>
      </x:c>
      <x:c r="L230" s="9">
        <x:f t="shared" si="61"/>
        <x:v>-0.23479049027301646</x:v>
      </x:c>
      <x:c r="M230" s="9" t="n">
        <x:f>2*(Inputs!$C$9/(Inputs!$C$10^2))*A230</x:f>
        <x:v>0.12</x:v>
      </x:c>
      <x:c r="N230" s="9" t="n">
        <x:f>M230*Inputs!$C$11</x:f>
        <x:v>0.48</x:v>
      </x:c>
      <x:c r="O230" s="9" t="n">
        <x:f>1000*(D231-D229)/(A231-A229)*Inputs!$C$11</x:f>
        <x:v>1139.7285361831564</x:v>
      </x:c>
      <x:c r="P230" s="9" t="n">
        <x:f>-2*O230/Inputs!$C$13</x:f>
        <x:v>-455.89141447326256</x:v>
      </x:c>
      <x:c r="Q230" s="9" t="n">
        <x:f>-2*O230/Inputs!$C$14</x:f>
        <x:v>-68.45216433532471</x:v>
      </x:c>
      <x:c r="R230" s="9" t="n">
        <x:f>F230-Inputs!$C$16/2</x:f>
        <x:v>3067.60579501392</x:v>
      </x:c>
      <x:c r="S230" s="9" t="n">
        <x:f>F230+Inputs!$C$16/2</x:f>
        <x:v>3097.60579501392</x:v>
      </x:c>
      <x:c r="T230" s="9" t="n">
        <x:f>F230-Inputs!$C$17/2</x:f>
        <x:v>2932.60579501392</x:v>
      </x:c>
      <x:c r="U230" s="9" t="n">
        <x:f>F230+Inputs!$C$17/2</x:f>
        <x:v>3232.60579501392</x:v>
      </x:c>
      <x:c r="V230" s="9">
        <x:f t="shared" si="62"/>
        <x:v>455.89141447326256</x:v>
      </x:c>
      <x:c r="W230" s="9">
        <x:f t="shared" si="63"/>
        <x:v>68.45216433532471</x:v>
      </x:c>
      <x:c r="X230" s="9"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x:f>
        <x:v>-7.852837825142384</x:v>
      </x:c>
      <x:c r="Y230" s="9"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x:f>
        <x:v>181.54184215615243</x:v>
      </x:c>
      <x:c r="Z230" s="9">
        <x:f t="shared" si="64"/>
        <x:v>403.24785283782518</x:v>
      </x:c>
      <x:c r="AA230" s="9" t="n">
        <x:f>SQRT((Inputs!$C$52+B230)^2+(Inputs!$C$52+Y230/1000)^2-2*(Inputs!$C$52+B230)*(Inputs!$C$52+Y230/1000)*COS(SQRT(A230^2+Inputs!$C$6^2)/Inputs!$C$52))</x:f>
        <x:v>408.54856890280996</x:v>
      </x:c>
      <x:c r="AB230" s="9">
        <x:f t="shared" si="65"/>
        <x:v>5300.7160649847829</x:v>
      </x:c>
      <x:c r="AC230" s="9" t="n">
        <x:f>AB230/Inputs!$C$12</x:f>
        <x:v>2977.9303735869566</x:v>
      </x:c>
      <x:c r="AD230" s="9" t="n">
        <x:f>2*AB230/Inputs!$C$21*1000000</x:f>
        <x:v>35.36257116237916</x:v>
      </x:c>
      <x:c r="AE230" s="9">
        <x:f t="shared" si="66"/>
        <x:v>8.3983037619366012</x:v>
      </x:c>
      <x:c r="AF230" s="9" t="n">
        <x:f>DEGREES((2*PI()/Inputs!$C$13)*Inputs!$C$15*SIN(RADIANS(AE230)))</x:f>
        <x:v>52.579346814440605</x:v>
      </x:c>
      <x:c r="AG230" s="9">
        <x:f t="shared" si="67"/>
        <x:v>0.9491032928300156</x:v>
      </x:c>
      <x:c r="AH230" s="9">
        <x:f t="shared" si="68"/>
        <x:v>-0.22686519854127754</x:v>
      </x:c>
      <x:c r="AI230" s="9">
        <x:f t="shared" si="69"/>
        <x:v>-104.67542142696357</x:v>
      </x:c>
      <x:c r="AJ230" s="9">
        <x:f t="shared" si="70"/>
        <x:v>-1.2430082556646198</x:v>
      </x:c>
      <x:c r="AK230" s="9">
        <x:f t="shared" si="71"/>
        <x:v>189.39467998129481</x:v>
      </x:c>
      <x:c r="AL230" s="9" t="n">
        <x:f>1000*(AA231-AA229)/(A231-A229)*Inputs!$C$11</x:f>
        <x:v>1157.239206704844</x:v>
      </x:c>
      <x:c r="AM230" s="9" t="n">
        <x:f>-2*AL230/Inputs!$C$13</x:f>
        <x:v>-462.8956826819376</x:v>
      </x:c>
      <x:c r="AN230" s="9" t="n">
        <x:f>-2*AL230/Inputs!$C$14</x:f>
        <x:v>-69.50385625854919</x:v>
      </x:c>
      <x:c r="AO230" s="9">
        <x:f t="shared" si="72"/>
        <x:v>462.89568268011863</x:v>
      </x:c>
      <x:c r="AP230" s="9">
        <x:f t="shared" si="73"/>
        <x:v>69.503856258276073</x:v>
      </x:c>
      <x:c r="AQ230" s="9" t="n">
        <x:f>IF(OR(Inputs!$C$27=TRUE,Inputs!$C$27="TRUE",Inputs!$C$27=1),Inputs!$C$46/Inputs!$C$12,0)</x:f>
        <x:v>42.13483146067416</x:v>
      </x:c>
      <x:c r="AR230" s="9">
        <x:f t="shared" si="74"/>
        <x:v>2935.7955421262823</x:v>
      </x:c>
      <x:c r="AS230" s="9">
        <x:f t="shared" si="75"/>
        <x:v>3020.065205047631</x:v>
      </x:c>
    </x:row>
    <x:row r="231">
      <x:c r="A231" s="9" t="n">
        <x:f>Inputs!$C$7+229*(Inputs!$C$8-Inputs!$C$7)/240</x:f>
        <x:v>54.5</x:v>
      </x:c>
      <x:c r="B231" s="9" t="n">
        <x:f>Inputs!$C$5+Inputs!$C$9*(A231/Inputs!$C$10)^2</x:f>
        <x:v>403.30027777777775</x:v>
      </x:c>
      <x:c r="C231" s="9">
        <x:f t="shared" si="57"/>
        <x:v>403.30027777777775</x:v>
      </x:c>
      <x:c r="D231" s="9" t="n">
        <x:f>SQRT((Inputs!$C$52+B231)^2+Inputs!$C$52^2-2*(Inputs!$C$52+B231)*Inputs!$C$52*COS(SQRT(A231^2+Inputs!$C$6^2)/Inputs!$C$52))</x:f>
        <x:v>408.870145907836</x:v>
      </x:c>
      <x:c r="E231" s="9">
        <x:f t="shared" si="58"/>
        <x:v>5569.8681300582393</x:v>
      </x:c>
      <x:c r="F231" s="9" t="n">
        <x:f>E231/Inputs!$C$12</x:f>
        <x:v>3129.139398909123</x:v>
      </x:c>
      <x:c r="G231" s="9" t="n">
        <x:f>2*E231/Inputs!$C$21*1000000</x:f>
        <x:v>37.158160463517994</x:v>
      </x:c>
      <x:c r="H231" s="9" t="n">
        <x:f>SQRT(A231^2+Inputs!$C$6^2)</x:f>
        <x:v>59.96040360104325</x:v>
      </x:c>
      <x:c r="I231" s="9">
        <x:f t="shared" si="59"/>
        <x:v>8.4564679912070897</x:v>
      </x:c>
      <x:c r="J231" s="9" t="n">
        <x:f>DEGREES((2*PI()/Inputs!$C$13)*Inputs!$C$15*SIN(RADIANS(I231)))</x:f>
        <x:v>52.94085737373685</x:v>
      </x:c>
      <x:c r="K231" s="9">
        <x:f t="shared" si="60"/>
        <x:v>0.94661303308665978</x:v>
      </x:c>
      <x:c r="L231" s="9">
        <x:f t="shared" si="61"/>
        <x:v>-0.23827520406105102</x:v>
      </x:c>
      <x:c r="M231" s="9" t="n">
        <x:f>2*(Inputs!$C$9/(Inputs!$C$10^2))*A231</x:f>
        <x:v>0.12111111111111111</x:v>
      </x:c>
      <x:c r="N231" s="9" t="n">
        <x:f>M231*Inputs!$C$11</x:f>
        <x:v>0.48444444444444446</x:v>
      </x:c>
      <x:c r="O231" s="9" t="n">
        <x:f>1000*(D232-D230)/(A232-A230)*Inputs!$C$11</x:f>
        <x:v>1149.9890746863457</x:v>
      </x:c>
      <x:c r="P231" s="9" t="n">
        <x:f>-2*O231/Inputs!$C$13</x:f>
        <x:v>-459.9956298745383</x:v>
      </x:c>
      <x:c r="Q231" s="9" t="n">
        <x:f>-2*O231/Inputs!$C$14</x:f>
        <x:v>-69.06841289407483</x:v>
      </x:c>
      <x:c r="R231" s="9" t="n">
        <x:f>F231-Inputs!$C$16/2</x:f>
        <x:v>3114.139398909123</x:v>
      </x:c>
      <x:c r="S231" s="9" t="n">
        <x:f>F231+Inputs!$C$16/2</x:f>
        <x:v>3144.139398909123</x:v>
      </x:c>
      <x:c r="T231" s="9" t="n">
        <x:f>F231-Inputs!$C$17/2</x:f>
        <x:v>2979.139398909123</x:v>
      </x:c>
      <x:c r="U231" s="9" t="n">
        <x:f>F231+Inputs!$C$17/2</x:f>
        <x:v>3279.139398909123</x:v>
      </x:c>
      <x:c r="V231" s="9">
        <x:f t="shared" si="62"/>
        <x:v>459.99562987453828</x:v>
      </x:c>
      <x:c r="W231" s="9">
        <x:f t="shared" si="63"/>
        <x:v>69.068412894074825</x:v>
      </x:c>
      <x:c r="X231" s="9"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x:f>
        <x:v>-10.88592803052483</x:v>
      </x:c>
      <x:c r="Y231" s="9"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x:f>
        <x:v>176.67952286630316</x:v>
      </x:c>
      <x:c r="Z231" s="9">
        <x:f t="shared" si="64"/>
        <x:v>403.31116370580827</x:v>
      </x:c>
      <x:c r="AA231" s="9" t="n">
        <x:f>SQRT((Inputs!$C$52+B231)^2+(Inputs!$C$52+Y231/1000)^2-2*(Inputs!$C$52+B231)*(Inputs!$C$52+Y231/1000)*COS(SQRT(A231^2+Inputs!$C$6^2)/Inputs!$C$52))</x:f>
        <x:v>408.69650072036194</x:v>
      </x:c>
      <x:c r="AB231" s="9">
        <x:f t="shared" si="65"/>
        <x:v>5385.3370145525332</x:v>
      </x:c>
      <x:c r="AC231" s="9" t="n">
        <x:f>AB231/Inputs!$C$12</x:f>
        <x:v>3025.4702328946814</x:v>
      </x:c>
      <x:c r="AD231" s="9" t="n">
        <x:f>2*AB231/Inputs!$C$21*1000000</x:f>
        <x:v>35.92710137192667</x:v>
      </x:c>
      <x:c r="AE231" s="9">
        <x:f t="shared" si="66"/>
        <x:v>8.4601206358629071</x:v>
      </x:c>
      <x:c r="AF231" s="9" t="n">
        <x:f>DEGREES((2*PI()/Inputs!$C$13)*Inputs!$C$15*SIN(RADIANS(AE231)))</x:f>
        <x:v>52.96355799157851</x:v>
      </x:c>
      <x:c r="AG231" s="9">
        <x:f t="shared" si="67"/>
        <x:v>0.94832521225235789</x:v>
      </x:c>
      <x:c r="AH231" s="9">
        <x:f t="shared" si="68"/>
        <x:v>-0.23042703098333103</x:v>
      </x:c>
      <x:c r="AI231" s="9">
        <x:f t="shared" si="69"/>
        <x:v>-103.66916601444154</x:v>
      </x:c>
      <x:c r="AJ231" s="9">
        <x:f t="shared" si="70"/>
        <x:v>-1.2310590915913266</x:v>
      </x:c>
      <x:c r="AK231" s="9">
        <x:f t="shared" si="71"/>
        <x:v>187.56545089675433</x:v>
      </x:c>
      <x:c r="AL231" s="9" t="n">
        <x:f>1000*(AA232-AA230)/(A232-A230)*Inputs!$C$11</x:f>
        <x:v>1122.9829585383868</x:v>
      </x:c>
      <x:c r="AM231" s="9" t="n">
        <x:f>-2*AL231/Inputs!$C$13</x:f>
        <x:v>-449.1931834153547</x:v>
      </x:c>
      <x:c r="AN231" s="9" t="n">
        <x:f>-2*AL231/Inputs!$C$14</x:f>
        <x:v>-67.44642393623946</x:v>
      </x:c>
      <x:c r="AO231" s="9">
        <x:f t="shared" si="72"/>
        <x:v>449.19318341535472</x:v>
      </x:c>
      <x:c r="AP231" s="9">
        <x:f t="shared" si="73"/>
        <x:v>67.446423936239455</x:v>
      </x:c>
      <x:c r="AQ231" s="9" t="n">
        <x:f>IF(OR(Inputs!$C$27=TRUE,Inputs!$C$27="TRUE",Inputs!$C$27=1),Inputs!$C$46/Inputs!$C$12,0)</x:f>
        <x:v>42.13483146067416</x:v>
      </x:c>
      <x:c r="AR231" s="9">
        <x:f t="shared" si="74"/>
        <x:v>2983.3354014340071</x:v>
      </x:c>
      <x:c r="AS231" s="9">
        <x:f t="shared" si="75"/>
        <x:v>3067.6050643553558</x:v>
      </x:c>
    </x:row>
    <x:row r="232">
      <x:c r="A232" s="9" t="n">
        <x:f>Inputs!$C$7+230*(Inputs!$C$8-Inputs!$C$7)/240</x:f>
        <x:v>55</x:v>
      </x:c>
      <x:c r="B232" s="9" t="n">
        <x:f>Inputs!$C$5+Inputs!$C$9*(A232/Inputs!$C$10)^2</x:f>
        <x:v>403.3611111111111</x:v>
      </x:c>
      <x:c r="C232" s="9">
        <x:f t="shared" si="57"/>
        <x:v>403.36111111111109</x:v>
      </x:c>
      <x:c r="D232" s="9" t="n">
        <x:f>SQRT((Inputs!$C$52+B232)^2+Inputs!$C$52^2-2*(Inputs!$C$52+B232)*Inputs!$C$52*COS(SQRT(A232^2+Inputs!$C$6^2)/Inputs!$C$52))</x:f>
        <x:v>409.0145355837964</x:v>
      </x:c>
      <x:c r="E232" s="9">
        <x:f t="shared" si="58"/>
        <x:v>5653.4244726852876</x:v>
      </x:c>
      <x:c r="F232" s="9" t="n">
        <x:f>E232/Inputs!$C$12</x:f>
        <x:v>3176.081164429937</x:v>
      </x:c>
      <x:c r="G232" s="9" t="n">
        <x:f>2*E232/Inputs!$C$21*1000000</x:f>
        <x:v>37.71558838004716</x:v>
      </x:c>
      <x:c r="H232" s="9" t="n">
        <x:f>SQRT(A232^2+Inputs!$C$6^2)</x:f>
        <x:v>60.41522986797286</x:v>
      </x:c>
      <x:c r="I232" s="9">
        <x:f t="shared" si="59"/>
        <x:v>8.5184100957264786</x:v>
      </x:c>
      <x:c r="J232" s="9" t="n">
        <x:f>DEGREES((2*PI()/Inputs!$C$13)*Inputs!$C$15*SIN(RADIANS(I232)))</x:f>
        <x:v>53.32578872127919</x:v>
      </x:c>
      <x:c r="K232" s="9">
        <x:f t="shared" si="60"/>
        <x:v>0.9458475201974168</x:v>
      </x:c>
      <x:c r="L232" s="9">
        <x:f t="shared" si="61"/>
        <x:v>-0.24178870442099248</x:v>
      </x:c>
      <x:c r="M232" s="9" t="n">
        <x:f>2*(Inputs!$C$9/(Inputs!$C$10^2))*A232</x:f>
        <x:v>0.12222222222222222</x:v>
      </x:c>
      <x:c r="N232" s="9" t="n">
        <x:f>M232*Inputs!$C$11</x:f>
        <x:v>0.4888888888888889</x:v>
      </x:c>
      <x:c r="O232" s="9" t="n">
        <x:f>1000*(D233-D231)/(A233-A231)*Inputs!$C$11</x:f>
        <x:v>1160.241839347691</x:v>
      </x:c>
      <x:c r="P232" s="9" t="n">
        <x:f>-2*O232/Inputs!$C$13</x:f>
        <x:v>-464.0967357390764</x:v>
      </x:c>
      <x:c r="Q232" s="9" t="n">
        <x:f>-2*O232/Inputs!$C$14</x:f>
        <x:v>-69.68419455541688</x:v>
      </x:c>
      <x:c r="R232" s="9" t="n">
        <x:f>F232-Inputs!$C$16/2</x:f>
        <x:v>3161.081164429937</x:v>
      </x:c>
      <x:c r="S232" s="9" t="n">
        <x:f>F232+Inputs!$C$16/2</x:f>
        <x:v>3191.081164429937</x:v>
      </x:c>
      <x:c r="T232" s="9" t="n">
        <x:f>F232-Inputs!$C$17/2</x:f>
        <x:v>3026.081164429937</x:v>
      </x:c>
      <x:c r="U232" s="9" t="n">
        <x:f>F232+Inputs!$C$17/2</x:f>
        <x:v>3326.081164429937</x:v>
      </x:c>
      <x:c r="V232" s="9">
        <x:f t="shared" si="62"/>
        <x:v>464.09673573907639</x:v>
      </x:c>
      <x:c r="W232" s="9">
        <x:f t="shared" si="63"/>
        <x:v>69.68419455541688</x:v>
      </x:c>
      <x:c r="X232" s="9"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x:f>
        <x:v>-2.7391578251359494</x:v>
      </x:c>
      <x:c r="Y232" s="9"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x:f>
        <x:v>188.50605986389118</x:v>
      </x:c>
      <x:c r="Z232" s="9">
        <x:f t="shared" si="64"/>
        <x:v>403.36385026893623</x:v>
      </x:c>
      <x:c r="AA232" s="9" t="n">
        <x:f>SQRT((Inputs!$C$52+B232)^2+(Inputs!$C$52+Y232/1000)^2-2*(Inputs!$C$52+B232)*(Inputs!$C$52+Y232/1000)*COS(SQRT(A232^2+Inputs!$C$6^2)/Inputs!$C$52))</x:f>
        <x:v>408.82931464244456</x:v>
      </x:c>
      <x:c r="AB232" s="9">
        <x:f t="shared" si="65"/>
        <x:v>5465.4643735083255</x:v>
      </x:c>
      <x:c r="AC232" s="9" t="n">
        <x:f>AB232/Inputs!$C$12</x:f>
        <x:v>3070.485603094565</x:v>
      </x:c>
      <x:c r="AD232" s="9" t="n">
        <x:f>2*AB232/Inputs!$C$21*1000000</x:f>
        <x:v>36.46165357174079</x:v>
      </x:c>
      <x:c r="AE232" s="9">
        <x:f t="shared" si="66"/>
        <x:v>8.5223344629848139</x:v>
      </x:c>
      <x:c r="AF232" s="9" t="n">
        <x:f>DEGREES((2*PI()/Inputs!$C$13)*Inputs!$C$15*SIN(RADIANS(AE232)))</x:f>
        <x:v>53.3501741088967</x:v>
      </x:c>
      <x:c r="AG232" s="9">
        <x:f t="shared" si="67"/>
        <x:v>0.94758849708590154</x:v>
      </x:c>
      <x:c r="AH232" s="9">
        <x:f t="shared" si="68"/>
        <x:v>-0.2338021988093158</x:v>
      </x:c>
      <x:c r="AI232" s="9">
        <x:f t="shared" si="69"/>
        <x:v>-105.59556133537217</x:v>
      </x:c>
      <x:c r="AJ232" s="9">
        <x:f t="shared" si="70"/>
        <x:v>-1.2539348083063686</x:v>
      </x:c>
      <x:c r="AK232" s="9">
        <x:f t="shared" si="71"/>
        <x:v>191.24521768896574</x:v>
      </x:c>
      <x:c r="AL232" s="9" t="n">
        <x:f>1000*(AA233-AA231)/(A233-A231)*Inputs!$C$11</x:f>
        <x:v>1137.5245610443017</x:v>
      </x:c>
      <x:c r="AM232" s="9" t="n">
        <x:f>-2*AL232/Inputs!$C$13</x:f>
        <x:v>-455.00982441772067</x:v>
      </x:c>
      <x:c r="AN232" s="9" t="n">
        <x:f>-2*AL232/Inputs!$C$14</x:f>
        <x:v>-68.31979345611423</x:v>
      </x:c>
      <x:c r="AO232" s="9">
        <x:f t="shared" si="72"/>
        <x:v>455.00982441953965</x:v>
      </x:c>
      <x:c r="AP232" s="9">
        <x:f t="shared" si="73"/>
        <x:v>68.319793456387345</x:v>
      </x:c>
      <x:c r="AQ232" s="9" t="n">
        <x:f>IF(OR(Inputs!$C$27=TRUE,Inputs!$C$27="TRUE",Inputs!$C$27=1),Inputs!$C$46/Inputs!$C$12,0)</x:f>
        <x:v>42.13483146067416</x:v>
      </x:c>
      <x:c r="AR232" s="9">
        <x:f t="shared" si="74"/>
        <x:v>3028.3507716338904</x:v>
      </x:c>
      <x:c r="AS232" s="9">
        <x:f t="shared" si="75"/>
        <x:v>3112.6204345552392</x:v>
      </x:c>
    </x:row>
    <x:row r="233">
      <x:c r="A233" s="9" t="n">
        <x:f>Inputs!$C$7+231*(Inputs!$C$8-Inputs!$C$7)/240</x:f>
        <x:v>55.5</x:v>
      </x:c>
      <x:c r="B233" s="9" t="n">
        <x:f>Inputs!$C$5+Inputs!$C$9*(A233/Inputs!$C$10)^2</x:f>
        <x:v>403.4225</x:v>
      </x:c>
      <x:c r="C233" s="9">
        <x:f t="shared" si="57"/>
        <x:v>403.42250000000001</x:v>
      </x:c>
      <x:c r="D233" s="9" t="n">
        <x:f>SQRT((Inputs!$C$52+B233)^2+Inputs!$C$52^2-2*(Inputs!$C$52+B233)*Inputs!$C$52*COS(SQRT(A233^2+Inputs!$C$6^2)/Inputs!$C$52))</x:f>
        <x:v>409.1602063676729</x:v>
      </x:c>
      <x:c r="E233" s="9">
        <x:f t="shared" si="58"/>
        <x:v>5737.7063676728994</x:v>
      </x:c>
      <x:c r="F233" s="9" t="n">
        <x:f>E233/Inputs!$C$12</x:f>
        <x:v>3223.4305436364602</x:v>
      </x:c>
      <x:c r="G233" s="9" t="n">
        <x:f>2*E233/Inputs!$C$21*1000000</x:f>
        <x:v>38.27785666090973</x:v>
      </x:c>
      <x:c r="H233" s="9" t="n">
        <x:f>SQRT(A233^2+Inputs!$C$6^2)</x:f>
        <x:v>60.87076473973364</x:v>
      </x:c>
      <x:c r="I233" s="9">
        <x:f t="shared" si="59"/>
        <x:v>8.5804002336499341</x:v>
      </x:c>
      <x:c r="J233" s="9" t="n">
        <x:f>DEGREES((2*PI()/Inputs!$C$13)*Inputs!$C$15*SIN(RADIANS(I233)))</x:f>
        <x:v>53.71095616845376</x:v>
      </x:c>
      <x:c r="K233" s="9">
        <x:f t="shared" si="60"/>
        <x:v>0.94507638094936786</x:v>
      </x:c>
      <x:c r="L233" s="9">
        <x:f t="shared" si="61"/>
        <x:v>-0.24533090449122652</x:v>
      </x:c>
      <x:c r="M233" s="9" t="n">
        <x:f>2*(Inputs!$C$9/(Inputs!$C$10^2))*A233</x:f>
        <x:v>0.12333333333333334</x:v>
      </x:c>
      <x:c r="N233" s="9" t="n">
        <x:f>M233*Inputs!$C$11</x:f>
        <x:v>0.49333333333333335</x:v>
      </x:c>
      <x:c r="O233" s="9" t="n">
        <x:f>1000*(D234-D232)/(A234-A232)*Inputs!$C$11</x:f>
        <x:v>1170.4867727003148</x:v>
      </x:c>
      <x:c r="P233" s="9" t="n">
        <x:f>-2*O233/Inputs!$C$13</x:f>
        <x:v>-468.1947090801259</x:v>
      </x:c>
      <x:c r="Q233" s="9" t="n">
        <x:f>-2*O233/Inputs!$C$14</x:f>
        <x:v>-70.29950586788678</x:v>
      </x:c>
      <x:c r="R233" s="9" t="n">
        <x:f>F233-Inputs!$C$16/2</x:f>
        <x:v>3208.4305436364602</x:v>
      </x:c>
      <x:c r="S233" s="9" t="n">
        <x:f>F233+Inputs!$C$16/2</x:f>
        <x:v>3238.4305436364602</x:v>
      </x:c>
      <x:c r="T233" s="9" t="n">
        <x:f>F233-Inputs!$C$17/2</x:f>
        <x:v>3073.4305436364602</x:v>
      </x:c>
      <x:c r="U233" s="9" t="n">
        <x:f>F233+Inputs!$C$17/2</x:f>
        <x:v>3373.4305436364602</x:v>
      </x:c>
      <x:c r="V233" s="9">
        <x:f t="shared" si="62"/>
        <x:v>468.1947090801259</x:v>
      </x:c>
      <x:c r="W233" s="9">
        <x:f t="shared" si="63"/>
        <x:v>70.299505867886779</x:v>
      </x:c>
      <x:c r="X233" s="9"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x:f>
        <x:v>-6.538094280084824</x:v>
      </x:c>
      <x:c r="Y233" s="9"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x:f>
        <x:v>182.5522692746181</x:v>
      </x:c>
      <x:c r="Z233" s="9">
        <x:f t="shared" si="64"/>
        <x:v>403.42903809428009</x:v>
      </x:c>
      <x:c r="AA233" s="9" t="n">
        <x:f>SQRT((Inputs!$C$52+B233)^2+(Inputs!$C$52+Y233/1000)^2-2*(Inputs!$C$52+B233)*(Inputs!$C$52+Y233/1000)*COS(SQRT(A233^2+Inputs!$C$6^2)/Inputs!$C$52))</x:f>
        <x:v>408.980881860623</x:v>
      </x:c>
      <x:c r="AB233" s="9">
        <x:f t="shared" si="65"/>
        <x:v>5551.8437663429268</x:v>
      </x:c>
      <x:c r="AC233" s="9" t="n">
        <x:f>AB233/Inputs!$C$12</x:f>
        <x:v>3119.0133518780485</x:v>
      </x:c>
      <x:c r="AD233" s="9" t="n">
        <x:f>2*AB233/Inputs!$C$21*1000000</x:f>
        <x:v>37.03791485203359</x:v>
      </x:c>
      <x:c r="AE233" s="9">
        <x:f t="shared" si="66"/>
        <x:v>8.5842268424499526</x:v>
      </x:c>
      <x:c r="AF233" s="9" t="n">
        <x:f>DEGREES((2*PI()/Inputs!$C$13)*Inputs!$C$15*SIN(RADIANS(AE233)))</x:f>
        <x:v>53.73473023571867</x:v>
      </x:c>
      <x:c r="AG233" s="9">
        <x:f t="shared" si="67"/>
        <x:v>0.94679638440031177</x:v>
      </x:c>
      <x:c r="AH233" s="9">
        <x:f t="shared" si="68"/>
        <x:v>-0.237434092114715</x:v>
      </x:c>
      <x:c r="AI233" s="9">
        <x:f t="shared" si="69"/>
        <x:v>-104.41719175841172</x:v>
      </x:c>
      <x:c r="AJ233" s="9">
        <x:f t="shared" si="70"/>
        <x:v>-1.2399418088761394</x:v>
      </x:c>
      <x:c r="AK233" s="9">
        <x:f t="shared" si="71"/>
        <x:v>189.09036355465383</x:v>
      </x:c>
      <x:c r="AL233" s="9" t="n">
        <x:f>1000*(AA234-AA232)/(A234-A232)*Inputs!$C$11</x:f>
        <x:v>1177.1656114422058</x:v>
      </x:c>
      <x:c r="AM233" s="9" t="n">
        <x:f>-2*AL233/Inputs!$C$13</x:f>
        <x:v>-470.8662445768823</x:v>
      </x:c>
      <x:c r="AN233" s="9" t="n">
        <x:f>-2*AL233/Inputs!$C$14</x:f>
        <x:v>-70.70063732385621</x:v>
      </x:c>
      <x:c r="AO233" s="9">
        <x:f t="shared" si="72"/>
        <x:v>470.86624457688231</x:v>
      </x:c>
      <x:c r="AP233" s="9">
        <x:f t="shared" si="73"/>
        <x:v>70.700637323856213</x:v>
      </x:c>
      <x:c r="AQ233" s="9" t="n">
        <x:f>IF(OR(Inputs!$C$27=TRUE,Inputs!$C$27="TRUE",Inputs!$C$27=1),Inputs!$C$46/Inputs!$C$12,0)</x:f>
        <x:v>42.13483146067416</x:v>
      </x:c>
      <x:c r="AR233" s="9">
        <x:f t="shared" si="74"/>
        <x:v>3076.8785204173741</x:v>
      </x:c>
      <x:c r="AS233" s="9">
        <x:f t="shared" si="75"/>
        <x:v>3161.1481833387229</x:v>
      </x:c>
    </x:row>
    <x:row r="234">
      <x:c r="A234" s="9" t="n">
        <x:f>Inputs!$C$7+232*(Inputs!$C$8-Inputs!$C$7)/240</x:f>
        <x:v>56</x:v>
      </x:c>
      <x:c r="B234" s="9" t="n">
        <x:f>Inputs!$C$5+Inputs!$C$9*(A234/Inputs!$C$10)^2</x:f>
        <x:v>403.4844444444444</x:v>
      </x:c>
      <x:c r="C234" s="9">
        <x:f t="shared" si="57"/>
        <x:v>403.48444444444442</x:v>
      </x:c>
      <x:c r="D234" s="9" t="n">
        <x:f>SQRT((Inputs!$C$52+B234)^2+Inputs!$C$52^2-2*(Inputs!$C$52+B234)*Inputs!$C$52*COS(SQRT(A234^2+Inputs!$C$6^2)/Inputs!$C$52))</x:f>
        <x:v>409.30715727697145</x:v>
      </x:c>
      <x:c r="E234" s="9">
        <x:f t="shared" si="58"/>
        <x:v>5822.7128325270314</x:v>
      </x:c>
      <x:c r="F234" s="9" t="n">
        <x:f>E234/Inputs!$C$12</x:f>
        <x:v>3271.186984565748</x:v>
      </x:c>
      <x:c r="G234" s="9" t="n">
        <x:f>2*E234/Inputs!$C$21*1000000</x:f>
        <x:v>38.84495875161097</x:v>
      </x:c>
      <x:c r="H234" s="9" t="n">
        <x:f>SQRT(A234^2+Inputs!$C$6^2)</x:f>
        <x:v>61.326992425847855</x:v>
      </x:c>
      <x:c r="I234" s="9">
        <x:f t="shared" si="59"/>
        <x:v>8.6424357245738488</x:v>
      </x:c>
      <x:c r="J234" s="9" t="n">
        <x:f>DEGREES((2*PI()/Inputs!$C$13)*Inputs!$C$15*SIN(RADIANS(I234)))</x:f>
        <x:v>54.09634246852054</x:v>
      </x:c>
      <x:c r="K234" s="9">
        <x:f t="shared" si="60"/>
        <x:v>0.94429964913085007</x:v>
      </x:c>
      <x:c r="L234" s="9">
        <x:f t="shared" si="61"/>
        <x:v>-0.2489017168264544</x:v>
      </x:c>
      <x:c r="M234" s="9" t="n">
        <x:f>2*(Inputs!$C$9/(Inputs!$C$10^2))*A234</x:f>
        <x:v>0.12444444444444444</x:v>
      </x:c>
      <x:c r="N234" s="9" t="n">
        <x:f>M234*Inputs!$C$11</x:f>
        <x:v>0.49777777777777776</x:v>
      </x:c>
      <x:c r="O234" s="9" t="n">
        <x:f>1000*(D235-D233)/(A235-A233)*Inputs!$C$11</x:f>
        <x:v>1180.7238176422743</x:v>
      </x:c>
      <x:c r="P234" s="9" t="n">
        <x:f>-2*O234/Inputs!$C$13</x:f>
        <x:v>-472.2895270569097</x:v>
      </x:c>
      <x:c r="Q234" s="9" t="n">
        <x:f>-2*O234/Inputs!$C$14</x:f>
        <x:v>-70.9143434019384</x:v>
      </x:c>
      <x:c r="R234" s="9" t="n">
        <x:f>F234-Inputs!$C$16/2</x:f>
        <x:v>3256.186984565748</x:v>
      </x:c>
      <x:c r="S234" s="9" t="n">
        <x:f>F234+Inputs!$C$16/2</x:f>
        <x:v>3286.186984565748</x:v>
      </x:c>
      <x:c r="T234" s="9" t="n">
        <x:f>F234-Inputs!$C$17/2</x:f>
        <x:v>3121.186984565748</x:v>
      </x:c>
      <x:c r="U234" s="9" t="n">
        <x:f>F234+Inputs!$C$17/2</x:f>
        <x:v>3421.186984565748</x:v>
      </x:c>
      <x:c r="V234" s="9">
        <x:f t="shared" si="62"/>
        <x:v>472.28952705690972</x:v>
      </x:c>
      <x:c r="W234" s="9">
        <x:f t="shared" si="63"/>
        <x:v>70.914343401938396</x:v>
      </x:c>
      <x:c r="X234" s="9"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x:f>
        <x:v>-4.357290177669684</x:v>
      </x:c>
      <x:c r="Y234" s="9"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x:f>
        <x:v>186.90390563143987</x:v>
      </x:c>
      <x:c r="Z234" s="9">
        <x:f t="shared" si="64"/>
        <x:v>403.48880173462209</x:v>
      </x:c>
      <x:c r="AA234" s="9" t="n">
        <x:f>SQRT((Inputs!$C$52+B234)^2+(Inputs!$C$52+Y234/1000)^2-2*(Inputs!$C$52+B234)*(Inputs!$C$52+Y234/1000)*COS(SQRT(A234^2+Inputs!$C$6^2)/Inputs!$C$52))</x:f>
        <x:v>409.1236060453051</x:v>
      </x:c>
      <x:c r="AB234" s="9">
        <x:f t="shared" si="65"/>
        <x:v>5634.8043106830228</x:v>
      </x:c>
      <x:c r="AC234" s="9" t="n">
        <x:f>AB234/Inputs!$C$12</x:f>
        <x:v>3165.620399260125</x:v>
      </x:c>
      <x:c r="AD234" s="9" t="n">
        <x:f>2*AB234/Inputs!$C$21*1000000</x:f>
        <x:v>37.59136803023259</x:v>
      </x:c>
      <x:c r="AE234" s="9">
        <x:f t="shared" si="66"/>
        <x:v>8.6463804504015052</x:v>
      </x:c>
      <x:c r="AF234" s="9" t="n">
        <x:f>DEGREES((2*PI()/Inputs!$C$13)*Inputs!$C$15*SIN(RADIANS(AE234)))</x:f>
        <x:v>54.12084635380356</x:v>
      </x:c>
      <x:c r="AG234" s="9">
        <x:f t="shared" si="67"/>
        <x:v>0.94603627535525192</x:v>
      </x:c>
      <x:c r="AH234" s="9">
        <x:f t="shared" si="68"/>
        <x:v>-0.24092210443273449</x:v>
      </x:c>
      <x:c r="AI234" s="9">
        <x:f t="shared" si="69"/>
        <x:v>-105.56658530562299</x:v>
      </x:c>
      <x:c r="AJ234" s="9">
        <x:f t="shared" si="70"/>
        <x:v>-1.2535907213783801</x:v>
      </x:c>
      <x:c r="AK234" s="9">
        <x:f t="shared" si="71"/>
        <x:v>191.26119580901133</x:v>
      </x:c>
      <x:c r="AL234" s="9" t="n">
        <x:f>1000*(AA235-AA233)/(A235-A233)*Inputs!$C$11</x:f>
        <x:v>1151.5738905047783</x:v>
      </x:c>
      <x:c r="AM234" s="9" t="n">
        <x:f>-2*AL234/Inputs!$C$13</x:f>
        <x:v>-460.6295562019113</x:v>
      </x:c>
      <x:c r="AN234" s="9" t="n">
        <x:f>-2*AL234/Inputs!$C$14</x:f>
        <x:v>-69.16359702731403</x:v>
      </x:c>
      <x:c r="AO234" s="9">
        <x:f t="shared" si="72"/>
        <x:v>460.62955620191133</x:v>
      </x:c>
      <x:c r="AP234" s="9">
        <x:f t="shared" si="73"/>
        <x:v>69.163597027314026</x:v>
      </x:c>
      <x:c r="AQ234" s="9" t="n">
        <x:f>IF(OR(Inputs!$C$27=TRUE,Inputs!$C$27="TRUE",Inputs!$C$27=1),Inputs!$C$46/Inputs!$C$12,0)</x:f>
        <x:v>42.13483146067416</x:v>
      </x:c>
      <x:c r="AR234" s="9">
        <x:f t="shared" si="74"/>
        <x:v>3123.4855677994506</x:v>
      </x:c>
      <x:c r="AS234" s="9">
        <x:f t="shared" si="75"/>
        <x:v>3207.7552307207993</x:v>
      </x:c>
    </x:row>
    <x:row r="235">
      <x:c r="A235" s="9" t="n">
        <x:f>Inputs!$C$7+233*(Inputs!$C$8-Inputs!$C$7)/240</x:f>
        <x:v>56.5</x:v>
      </x:c>
      <x:c r="B235" s="9" t="n">
        <x:f>Inputs!$C$5+Inputs!$C$9*(A235/Inputs!$C$10)^2</x:f>
        <x:v>403.5469444444444</x:v>
      </x:c>
      <x:c r="C235" s="9">
        <x:f t="shared" si="57"/>
        <x:v>403.54694444444442</x:v>
      </x:c>
      <x:c r="D235" s="9" t="n">
        <x:f>SQRT((Inputs!$C$52+B235)^2+Inputs!$C$52^2-2*(Inputs!$C$52+B235)*Inputs!$C$52*COS(SQRT(A235^2+Inputs!$C$6^2)/Inputs!$C$52))</x:f>
        <x:v>409.4553873220835</x:v>
      </x:c>
      <x:c r="E235" s="9">
        <x:f t="shared" si="58"/>
        <x:v>5908.4428776390614</x:v>
      </x:c>
      <x:c r="F235" s="9" t="n">
        <x:f>E235/Inputs!$C$12</x:f>
        <x:v>3319.3499312578997</x:v>
      </x:c>
      <x:c r="G235" s="9" t="n">
        <x:f>2*E235/Inputs!$C$21*1000000</x:f>
        <x:v>39.41688805019279</x:v>
      </x:c>
      <x:c r="H235" s="9" t="n">
        <x:f>SQRT(A235^2+Inputs!$C$6^2)</x:f>
        <x:v>61.78389757857625</x:v>
      </x:c>
      <x:c r="I235" s="9">
        <x:f t="shared" si="59"/>
        <x:v>8.7045139530783917</x:v>
      </x:c>
      <x:c r="J235" s="9" t="n">
        <x:f>DEGREES((2*PI()/Inputs!$C$13)*Inputs!$C$15*SIN(RADIANS(I235)))</x:f>
        <x:v>54.48193078721229</x:v>
      </x:c>
      <x:c r="K235" s="9">
        <x:f t="shared" si="60"/>
        <x:v>0.94351735869196784</x:v>
      </x:c>
      <x:c r="L235" s="9">
        <x:f t="shared" si="61"/>
        <x:v>-0.2525010534029461</x:v>
      </x:c>
      <x:c r="M235" s="9" t="n">
        <x:f>2*(Inputs!$C$9/(Inputs!$C$10^2))*A235</x:f>
        <x:v>0.12555555555555556</x:v>
      </x:c>
      <x:c r="N235" s="9" t="n">
        <x:f>M235*Inputs!$C$11</x:f>
        <x:v>0.5022222222222222</x:v>
      </x:c>
      <x:c r="O235" s="9" t="n">
        <x:f>1000*(D236-D234)/(A236-A234)*Inputs!$C$11</x:f>
        <x:v>1190.9529173883584</x:v>
      </x:c>
      <x:c r="P235" s="9" t="n">
        <x:f>-2*O235/Inputs!$C$13</x:f>
        <x:v>-476.38116695534336</x:v>
      </x:c>
      <x:c r="Q235" s="9" t="n">
        <x:f>-2*O235/Inputs!$C$14</x:f>
        <x:v>-71.52870374704855</x:v>
      </x:c>
      <x:c r="R235" s="9" t="n">
        <x:f>F235-Inputs!$C$16/2</x:f>
        <x:v>3304.3499312578997</x:v>
      </x:c>
      <x:c r="S235" s="9" t="n">
        <x:f>F235+Inputs!$C$16/2</x:f>
        <x:v>3334.3499312578997</x:v>
      </x:c>
      <x:c r="T235" s="9" t="n">
        <x:f>F235-Inputs!$C$17/2</x:f>
        <x:v>3169.3499312578997</x:v>
      </x:c>
      <x:c r="U235" s="9" t="n">
        <x:f>F235+Inputs!$C$17/2</x:f>
        <x:v>3469.3499312578997</x:v>
      </x:c>
      <x:c r="V235" s="9">
        <x:f t="shared" si="62"/>
        <x:v>476.38116695534336</x:v>
      </x:c>
      <x:c r="W235" s="9">
        <x:f t="shared" si="63"/>
        <x:v>71.528703747048553</x:v>
      </x:c>
      <x:c r="X235" s="9"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x:f>
        <x:v>21.715435034758002</x:v>
      </x:c>
      <x:c r="Y235" s="9"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x:f>
        <x:v>190.07062484954076</x:v>
      </x:c>
      <x:c r="Z235" s="9">
        <x:f t="shared" si="64"/>
        <x:v>403.52522900940966</x:v>
      </x:c>
      <x:c r="AA235" s="9" t="n">
        <x:f>SQRT((Inputs!$C$52+B235)^2+(Inputs!$C$52+Y235/1000)^2-2*(Inputs!$C$52+B235)*(Inputs!$C$52+Y235/1000)*COS(SQRT(A235^2+Inputs!$C$6^2)/Inputs!$C$52))</x:f>
        <x:v>409.2687753332492</x:v>
      </x:c>
      <x:c r="AB235" s="9">
        <x:f t="shared" si="65"/>
        <x:v>5743.5463238395532</x:v>
      </x:c>
      <x:c r="AC235" s="9" t="n">
        <x:f>AB235/Inputs!$C$12</x:f>
        <x:v>3226.7114178873894</x:v>
      </x:c>
      <x:c r="AD235" s="9" t="n">
        <x:f>2*AB235/Inputs!$C$21*1000000</x:f>
        <x:v>38.316816654804256</x:v>
      </x:c>
      <x:c r="AE235" s="9">
        <x:f t="shared" si="66"/>
        <x:v>8.7085528449343048</x:v>
      </x:c>
      <x:c r="AF235" s="9" t="n">
        <x:f>DEGREES((2*PI()/Inputs!$C$13)*Inputs!$C$15*SIN(RADIANS(AE235)))</x:f>
        <x:v>54.50701546344804</x:v>
      </x:c>
      <x:c r="AG235" s="9">
        <x:f t="shared" si="67"/>
        <x:v>0.94503593501422178</x:v>
      </x:c>
      <x:c r="AH235" s="9">
        <x:f t="shared" si="68"/>
        <x:v>-0.24551677118606452</x:v>
      </x:c>
      <x:c r="AI235" s="9">
        <x:f t="shared" si="69"/>
        <x:v>-92.638513370510282</x:v>
      </x:c>
      <x:c r="AJ235" s="9">
        <x:f t="shared" si="70"/>
        <x:v>-1.1000713953885324</x:v>
      </x:c>
      <x:c r="AK235" s="9">
        <x:f t="shared" si="71"/>
        <x:v>168.35518981478276</x:v>
      </x:c>
      <x:c r="AL235" s="9" t="n">
        <x:f>1000*(AA236-AA234)/(A236-A234)*Inputs!$C$11</x:f>
        <x:v>1137.2362549775517</x:v>
      </x:c>
      <x:c r="AM235" s="9" t="n">
        <x:f>-2*AL235/Inputs!$C$13</x:f>
        <x:v>-454.89450199102066</x:v>
      </x:c>
      <x:c r="AN235" s="9" t="n">
        <x:f>-2*AL235/Inputs!$C$14</x:f>
        <x:v>-68.30247777642954</x:v>
      </x:c>
      <x:c r="AO235" s="9">
        <x:f t="shared" si="72"/>
        <x:v>454.89450199102066</x:v>
      </x:c>
      <x:c r="AP235" s="9">
        <x:f t="shared" si="73"/>
        <x:v>68.302477776429541</x:v>
      </x:c>
      <x:c r="AQ235" s="9" t="n">
        <x:f>IF(OR(Inputs!$C$27=TRUE,Inputs!$C$27="TRUE",Inputs!$C$27=1),Inputs!$C$46/Inputs!$C$12,0)</x:f>
        <x:v>42.13483146067416</x:v>
      </x:c>
      <x:c r="AR235" s="9">
        <x:f t="shared" si="74"/>
        <x:v>3184.576586426715</x:v>
      </x:c>
      <x:c r="AS235" s="9">
        <x:f t="shared" si="75"/>
        <x:v>3268.8462493480638</x:v>
      </x:c>
    </x:row>
    <x:row r="236">
      <x:c r="A236" s="9" t="n">
        <x:f>Inputs!$C$7+234*(Inputs!$C$8-Inputs!$C$7)/240</x:f>
        <x:v>57</x:v>
      </x:c>
      <x:c r="B236" s="9" t="n">
        <x:f>Inputs!$C$5+Inputs!$C$9*(A236/Inputs!$C$10)^2</x:f>
        <x:v>403.61</x:v>
      </x:c>
      <x:c r="C236" s="9">
        <x:f t="shared" si="57"/>
        <x:v>403.61</x:v>
      </x:c>
      <x:c r="D236" s="9" t="n">
        <x:f>SQRT((Inputs!$C$52+B236)^2+Inputs!$C$52^2-2*(Inputs!$C$52+B236)*Inputs!$C$52*COS(SQRT(A236^2+Inputs!$C$6^2)/Inputs!$C$52))</x:f>
        <x:v>409.60489550631854</x:v>
      </x:c>
      <x:c r="E236" s="9">
        <x:f t="shared" si="58"/>
        <x:v>5994.8955063185276</x:v>
      </x:c>
      <x:c r="F236" s="9" t="n">
        <x:f>E236/Inputs!$C$12</x:f>
        <x:v>3367.918823774454</x:v>
      </x:c>
      <x:c r="G236" s="9" t="n">
        <x:f>2*E236/Inputs!$C$21*1000000</x:f>
        <x:v>39.99363790745215</x:v>
      </x:c>
      <x:c r="H236" s="9" t="n">
        <x:f>SQRT(A236^2+Inputs!$C$6^2)</x:f>
        <x:v>62.24146527838174</x:v>
      </x:c>
      <x:c r="I236" s="9">
        <x:f t="shared" si="59"/>
        <x:v>8.7666323666582162</x:v>
      </x:c>
      <x:c r="J236" s="9" t="n">
        <x:f>DEGREES((2*PI()/Inputs!$C$13)*Inputs!$C$15*SIN(RADIANS(I236)))</x:f>
        <x:v>54.86770468976069</x:v>
      </x:c>
      <x:c r="K236" s="9">
        <x:f t="shared" si="60"/>
        <x:v>0.94272954374146556</x:v>
      </x:c>
      <x:c r="L236" s="9">
        <x:f t="shared" si="61"/>
        <x:v>-0.2561288256231935</x:v>
      </x:c>
      <x:c r="M236" s="9" t="n">
        <x:f>2*(Inputs!$C$9/(Inputs!$C$10^2))*A236</x:f>
        <x:v>0.12666666666666668</x:v>
      </x:c>
      <x:c r="N236" s="9" t="n">
        <x:f>M236*Inputs!$C$11</x:f>
        <x:v>0.5066666666666667</x:v>
      </x:c>
      <x:c r="O236" s="9" t="n">
        <x:f>1000*(D237-D235)/(A237-A235)*Inputs!$C$11</x:f>
        <x:v>1201.1740155269308</x:v>
      </x:c>
      <x:c r="P236" s="9" t="n">
        <x:f>-2*O236/Inputs!$C$13</x:f>
        <x:v>-480.4696062107723</x:v>
      </x:c>
      <x:c r="Q236" s="9" t="n">
        <x:f>-2*O236/Inputs!$C$14</x:f>
        <x:v>-72.14258351513098</x:v>
      </x:c>
      <x:c r="R236" s="9" t="n">
        <x:f>F236-Inputs!$C$16/2</x:f>
        <x:v>3352.918823774454</x:v>
      </x:c>
      <x:c r="S236" s="9" t="n">
        <x:f>F236+Inputs!$C$16/2</x:f>
        <x:v>3382.918823774454</x:v>
      </x:c>
      <x:c r="T236" s="9" t="n">
        <x:f>F236-Inputs!$C$17/2</x:f>
        <x:v>3217.918823774454</x:v>
      </x:c>
      <x:c r="U236" s="9" t="n">
        <x:f>F236+Inputs!$C$17/2</x:f>
        <x:v>3517.918823774454</x:v>
      </x:c>
      <x:c r="V236" s="9">
        <x:f t="shared" si="62"/>
        <x:v>480.46960621077233</x:v>
      </x:c>
      <x:c r="W236" s="9">
        <x:f t="shared" si="63"/>
        <x:v>72.14258351513098</x:v>
      </x:c>
      <x:c r="X236" s="9"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x:f>
        <x:v>18.4135707545088</x:v>
      </x:c>
      <x:c r="Y236" s="9"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x:f>
        <x:v>200.68454527158707</x:v>
      </x:c>
      <x:c r="Z236" s="9">
        <x:f t="shared" si="64"/>
        <x:v>403.59158642924552</x:v>
      </x:c>
      <x:c r="AA236" s="9" t="n">
        <x:f>SQRT((Inputs!$C$52+B236)^2+(Inputs!$C$52+Y236/1000)^2-2*(Inputs!$C$52+B236)*(Inputs!$C$52+Y236/1000)*COS(SQRT(A236^2+Inputs!$C$6^2)/Inputs!$C$52))</x:f>
        <x:v>409.4079151090495</x:v>
      </x:c>
      <x:c r="AB236" s="9">
        <x:f t="shared" si="65"/>
        <x:v>5816.3286798039735</x:v>
      </x:c>
      <x:c r="AC236" s="9" t="n">
        <x:f>AB236/Inputs!$C$12</x:f>
        <x:v>3267.600381912345</x:v>
      </x:c>
      <x:c r="AD236" s="9" t="n">
        <x:f>2*AB236/Inputs!$C$21*1000000</x:f>
        <x:v>38.80236826907749</x:v>
      </x:c>
      <x:c r="AE236" s="9">
        <x:f t="shared" si="66"/>
        <x:v>8.7709257168374766</x:v>
      </x:c>
      <x:c r="AF236" s="9" t="n">
        <x:f>DEGREES((2*PI()/Inputs!$C$13)*Inputs!$C$15*SIN(RADIANS(AE236)))</x:f>
        <x:v>54.89436529918362</x:v>
      </x:c>
      <x:c r="AG236" s="9">
        <x:f t="shared" si="67"/>
        <x:v>0.94437281647038673</x:v>
      </x:c>
      <x:c r="AH236" s="9">
        <x:f t="shared" si="68"/>
        <x:v>-0.24856522468807724</x:v>
      </x:c>
      <x:c r="AI236" s="9">
        <x:f t="shared" si="69"/>
        <x:v>-100.31844186210901</x:v>
      </x:c>
      <x:c r="AJ236" s="9">
        <x:f t="shared" si="70"/>
        <x:v>-1.1912696383746564</x:v>
      </x:c>
      <x:c r="AK236" s="9">
        <x:f t="shared" si="71"/>
        <x:v>182.27097451707826</x:v>
      </x:c>
      <x:c r="AL236" s="9" t="n">
        <x:f>1000*(AA237-AA235)/(A237-A235)*Inputs!$C$11</x:f>
        <x:v>1247.8598946695456</x:v>
      </x:c>
      <x:c r="AM236" s="9" t="n">
        <x:f>-2*AL236/Inputs!$C$13</x:f>
        <x:v>-499.14395786781824</x:v>
      </x:c>
      <x:c r="AN236" s="9" t="n">
        <x:f>-2*AL236/Inputs!$C$14</x:f>
        <x:v>-74.94654022039313</x:v>
      </x:c>
      <x:c r="AO236" s="9">
        <x:f t="shared" si="72"/>
        <x:v>499.14395786781824</x:v>
      </x:c>
      <x:c r="AP236" s="9">
        <x:f t="shared" si="73"/>
        <x:v>74.946540220393132</x:v>
      </x:c>
      <x:c r="AQ236" s="9" t="n">
        <x:f>IF(OR(Inputs!$C$27=TRUE,Inputs!$C$27="TRUE",Inputs!$C$27=1),Inputs!$C$46/Inputs!$C$12,0)</x:f>
        <x:v>42.13483146067416</x:v>
      </x:c>
      <x:c r="AR236" s="9">
        <x:f t="shared" si="74"/>
        <x:v>3225.4655504516704</x:v>
      </x:c>
      <x:c r="AS236" s="9">
        <x:f t="shared" si="75"/>
        <x:v>3309.7352133730192</x:v>
      </x:c>
    </x:row>
    <x:row r="237">
      <x:c r="A237" s="9" t="n">
        <x:f>Inputs!$C$7+235*(Inputs!$C$8-Inputs!$C$7)/240</x:f>
        <x:v>57.5</x:v>
      </x:c>
      <x:c r="B237" s="9" t="n">
        <x:f>Inputs!$C$5+Inputs!$C$9*(A237/Inputs!$C$10)^2</x:f>
        <x:v>403.6736111111111</x:v>
      </x:c>
      <x:c r="C237" s="9">
        <x:f t="shared" si="57"/>
        <x:v>403.67361111111109</x:v>
      </x:c>
      <x:c r="D237" s="9" t="n">
        <x:f>SQRT((Inputs!$C$52+B237)^2+Inputs!$C$52^2-2*(Inputs!$C$52+B237)*Inputs!$C$52*COS(SQRT(A237^2+Inputs!$C$6^2)/Inputs!$C$52))</x:f>
        <x:v>409.7556808259652</x:v>
      </x:c>
      <x:c r="E237" s="9">
        <x:f t="shared" si="58"/>
        <x:v>6082.0697148541285</x:v>
      </x:c>
      <x:c r="F237" s="9" t="n">
        <x:f>E237/Inputs!$C$12</x:f>
        <x:v>3416.8930982326565</x:v>
      </x:c>
      <x:c r="G237" s="9" t="n">
        <x:f>2*E237/Inputs!$C$21*1000000</x:f>
        <x:v>40.575201627348</x:v>
      </x:c>
      <x:c r="H237" s="9" t="n">
        <x:f>SQRT(A237^2+Inputs!$C$6^2)</x:f>
        <x:v>62.69968101992226</x:v>
      </x:c>
      <x:c r="I237" s="9">
        <x:f t="shared" si="59"/>
        <x:v>8.828788473728661</x:v>
      </x:c>
      <x:c r="J237" s="9" t="n">
        <x:f>DEGREES((2*PI()/Inputs!$C$13)*Inputs!$C$15*SIN(RADIANS(I237)))</x:f>
        <x:v>55.25364812839616</x:v>
      </x:c>
      <x:c r="K237" s="9">
        <x:f t="shared" si="60"/>
        <x:v>0.94193623854333131</x:v>
      </x:c>
      <x:c r="L237" s="9">
        <x:f t="shared" si="61"/>
        <x:v>-0.25978494432180854</x:v>
      </x:c>
      <x:c r="M237" s="9" t="n">
        <x:f>2*(Inputs!$C$9/(Inputs!$C$10^2))*A237</x:f>
        <x:v>0.12777777777777777</x:v>
      </x:c>
      <x:c r="N237" s="9" t="n">
        <x:f>M237*Inputs!$C$11</x:f>
        <x:v>0.5111111111111111</x:v>
      </x:c>
      <x:c r="O237" s="9" t="n">
        <x:f>1000*(D238-D236)/(A238-A236)*Inputs!$C$11</x:f>
        <x:v>1211.38705600697</x:v>
      </x:c>
      <x:c r="P237" s="9" t="n">
        <x:f>-2*O237/Inputs!$C$13</x:f>
        <x:v>-484.554822402788</x:v>
      </x:c>
      <x:c r="Q237" s="9" t="n">
        <x:f>-2*O237/Inputs!$C$14</x:f>
        <x:v>-72.75597933975796</x:v>
      </x:c>
      <x:c r="R237" s="9" t="n">
        <x:f>F237-Inputs!$C$16/2</x:f>
        <x:v>3401.8930982326565</x:v>
      </x:c>
      <x:c r="S237" s="9" t="n">
        <x:f>F237+Inputs!$C$16/2</x:f>
        <x:v>3431.8930982326565</x:v>
      </x:c>
      <x:c r="T237" s="9" t="n">
        <x:f>F237-Inputs!$C$17/2</x:f>
        <x:v>3266.8930982326565</x:v>
      </x:c>
      <x:c r="U237" s="9" t="n">
        <x:f>F237+Inputs!$C$17/2</x:f>
        <x:v>3566.8930982326565</x:v>
      </x:c>
      <x:c r="V237" s="9">
        <x:f t="shared" si="62"/>
        <x:v>484.55482240278798</x:v>
      </x:c>
      <x:c r="W237" s="9">
        <x:f t="shared" si="63"/>
        <x:v>72.755979339757957</x:v>
      </x:c>
      <x:c r="X237" s="9"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x:f>
        <x:v>25.968776223167485</x:v>
      </x:c>
      <x:c r="Y237" s="9"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x:f>
        <x:v>178.2777126906697</x:v>
      </x:c>
      <x:c r="Z237" s="9">
        <x:f t="shared" si="64"/>
        <x:v>403.64764233488791</x:v>
      </x:c>
      <x:c r="AA237" s="9" t="n">
        <x:f>SQRT((Inputs!$C$52+B237)^2+(Inputs!$C$52+Y237/1000)^2-2*(Inputs!$C$52+B237)*(Inputs!$C$52+Y237/1000)*COS(SQRT(A237^2+Inputs!$C$6^2)/Inputs!$C$52))</x:f>
        <x:v>409.5807403069166</x:v>
      </x:c>
      <x:c r="AB237" s="9">
        <x:f t="shared" si="65"/>
        <x:v>5933.0979720286905</x:v>
      </x:c>
      <x:c r="AC237" s="9" t="n">
        <x:f>AB237/Inputs!$C$12</x:f>
        <x:v>3333.2011078812866</x:v>
      </x:c>
      <x:c r="AD237" s="9" t="n">
        <x:f>2*AB237/Inputs!$C$21*1000000</x:f>
        <x:v>39.58136913523482</x:v>
      </x:c>
      <x:c r="AE237" s="9">
        <x:f t="shared" si="66"/>
        <x:v>8.8326278315615649</x:v>
      </x:c>
      <x:c r="AF237" s="9" t="n">
        <x:f>DEGREES((2*PI()/Inputs!$C$13)*Inputs!$C$15*SIN(RADIANS(AE237)))</x:f>
        <x:v>55.277485572293344</x:v>
      </x:c>
      <x:c r="AG237" s="9">
        <x:f t="shared" si="67"/>
        <x:v>0.9433037785124575</x:v>
      </x:c>
      <x:c r="AH237" s="9">
        <x:f t="shared" si="68"/>
        <x:v>-0.25348425940983715</x:v>
      </x:c>
      <x:c r="AI237" s="9">
        <x:f t="shared" si="69"/>
        <x:v>-83.691990351369896</x:v>
      </x:c>
      <x:c r="AJ237" s="9">
        <x:f t="shared" si="70"/>
        <x:v>-0.99383249211317803</x:v>
      </x:c>
      <x:c r="AK237" s="9">
        <x:f t="shared" si="71"/>
        <x:v>152.30893646750221</x:v>
      </x:c>
      <x:c r="AL237" s="9" t="n">
        <x:f>1000*(AA238-AA236)/(A238-A236)*Inputs!$C$11</x:f>
        <x:v>1235.9694377680626</x:v>
      </x:c>
      <x:c r="AM237" s="9" t="n">
        <x:f>-2*AL237/Inputs!$C$13</x:f>
        <x:v>-494.387775107225</x:v>
      </x:c>
      <x:c r="AN237" s="9" t="n">
        <x:f>-2*AL237/Inputs!$C$14</x:f>
        <x:v>-74.2323986647485</x:v>
      </x:c>
      <x:c r="AO237" s="9">
        <x:f t="shared" si="72"/>
        <x:v>494.38777510722502</x:v>
      </x:c>
      <x:c r="AP237" s="9">
        <x:f t="shared" si="73"/>
        <x:v>74.232398664748501</x:v>
      </x:c>
      <x:c r="AQ237" s="9" t="n">
        <x:f>IF(OR(Inputs!$C$27=TRUE,Inputs!$C$27="TRUE",Inputs!$C$27=1),Inputs!$C$46/Inputs!$C$12,0)</x:f>
        <x:v>42.13483146067416</x:v>
      </x:c>
      <x:c r="AR237" s="9">
        <x:f t="shared" si="74"/>
        <x:v>3291.0662764206122</x:v>
      </x:c>
      <x:c r="AS237" s="9">
        <x:f t="shared" si="75"/>
        <x:v>3375.335939341961</x:v>
      </x:c>
    </x:row>
    <x:row r="238">
      <x:c r="A238" s="9" t="n">
        <x:f>Inputs!$C$7+236*(Inputs!$C$8-Inputs!$C$7)/240</x:f>
        <x:v>58</x:v>
      </x:c>
      <x:c r="B238" s="9" t="n">
        <x:f>Inputs!$C$5+Inputs!$C$9*(A238/Inputs!$C$10)^2</x:f>
        <x:v>403.73777777777775</x:v>
      </x:c>
      <x:c r="C238" s="9">
        <x:f t="shared" si="57"/>
        <x:v>403.73777777777775</x:v>
      </x:c>
      <x:c r="D238" s="9" t="n">
        <x:f>SQRT((Inputs!$C$52+B238)^2+Inputs!$C$52^2-2*(Inputs!$C$52+B238)*Inputs!$C$52*COS(SQRT(A238^2+Inputs!$C$6^2)/Inputs!$C$52))</x:f>
        <x:v>409.9077422703203</x:v>
      </x:c>
      <x:c r="E238" s="9">
        <x:f t="shared" si="58"/>
        <x:v>6169.9644925425328</x:v>
      </x:c>
      <x:c r="F238" s="9" t="n">
        <x:f>E238/Inputs!$C$12</x:f>
        <x:v>3466.2721868216477</x:v>
      </x:c>
      <x:c r="G238" s="9" t="n">
        <x:f>2*E238/Inputs!$C$21*1000000</x:f>
        <x:v>41.1615724671935</x:v>
      </x:c>
      <x:c r="H238" s="9" t="n">
        <x:f>SQRT(A238^2+Inputs!$C$6^2)</x:f>
        <x:v>63.15853069855251</x:v>
      </x:c>
      <x:c r="I238" s="9">
        <x:f t="shared" si="59"/>
        <x:v>8.8909798417046026</x:v>
      </x:c>
      <x:c r="J238" s="9" t="n">
        <x:f>DEGREES((2*PI()/Inputs!$C$13)*Inputs!$C$15*SIN(RADIANS(I238)))</x:f>
        <x:v>55.639745430303066</x:v>
      </x:c>
      <x:c r="K238" s="9">
        <x:f t="shared" si="60"/>
        <x:v>0.94113747751370336</x:v>
      </x:c>
      <x:c r="L238" s="9">
        <x:f t="shared" si="61"/>
        <x:v>-0.26346931977003785</x:v>
      </x:c>
      <x:c r="M238" s="9" t="n">
        <x:f>2*(Inputs!$C$9/(Inputs!$C$10^2))*A238</x:f>
        <x:v>0.1288888888888889</x:v>
      </x:c>
      <x:c r="N238" s="9" t="n">
        <x:f>M238*Inputs!$C$11</x:f>
        <x:v>0.5155555555555555</x:v>
      </x:c>
      <x:c r="O238" s="9" t="n">
        <x:f>1000*(D239-D237)/(A239-A237)*Inputs!$C$11</x:f>
        <x:v>1221.5919830948678</x:v>
      </x:c>
      <x:c r="P238" s="9" t="n">
        <x:f>-2*O238/Inputs!$C$13</x:f>
        <x:v>-488.63679323794713</x:v>
      </x:c>
      <x:c r="Q238" s="9" t="n">
        <x:f>-2*O238/Inputs!$C$14</x:f>
        <x:v>-73.36888787356564</x:v>
      </x:c>
      <x:c r="R238" s="9" t="n">
        <x:f>F238-Inputs!$C$16/2</x:f>
        <x:v>3451.2721868216477</x:v>
      </x:c>
      <x:c r="S238" s="9" t="n">
        <x:f>F238+Inputs!$C$16/2</x:f>
        <x:v>3481.2721868216477</x:v>
      </x:c>
      <x:c r="T238" s="9" t="n">
        <x:f>F238-Inputs!$C$17/2</x:f>
        <x:v>3316.2721868216477</x:v>
      </x:c>
      <x:c r="U238" s="9" t="n">
        <x:f>F238+Inputs!$C$17/2</x:f>
        <x:v>3616.2721868216477</x:v>
      </x:c>
      <x:c r="V238" s="9">
        <x:f t="shared" si="62"/>
        <x:v>488.63679323794713</x:v>
      </x:c>
      <x:c r="W238" s="9">
        <x:f t="shared" si="63"/>
        <x:v>73.36888787356564</x:v>
      </x:c>
      <x:c r="X238" s="9"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x:f>
        <x:v>30.070182113253747</x:v>
      </x:c>
      <x:c r="Y238" s="9"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x:f>
        <x:v>194.52778179385766</x:v>
      </x:c>
      <x:c r="Z238" s="9">
        <x:f t="shared" si="64"/>
        <x:v>403.70770759566449</x:v>
      </x:c>
      <x:c r="AA238" s="9" t="n">
        <x:f>SQRT((Inputs!$C$52+B238)^2+(Inputs!$C$52+Y238/1000)^2-2*(Inputs!$C$52+B238)*(Inputs!$C$52+Y238/1000)*COS(SQRT(A238^2+Inputs!$C$6^2)/Inputs!$C$52))</x:f>
        <x:v>409.7169074684915</x:v>
      </x:c>
      <x:c r="AB238" s="9">
        <x:f t="shared" si="65"/>
        <x:v>6009.1998728270255</x:v>
      </x:c>
      <x:c r="AC238" s="9" t="n">
        <x:f>AB238/Inputs!$C$12</x:f>
        <x:v>3375.954984734284</x:v>
      </x:c>
      <x:c r="AD238" s="9" t="n">
        <x:f>2*AB238/Inputs!$C$21*1000000</x:f>
        <x:v>40.08906636888794</x:v>
      </x:c>
      <x:c r="AE238" s="9">
        <x:f t="shared" si="66"/>
        <x:v>8.8951972127809107</x:v>
      </x:c>
      <x:c r="AF238" s="9" t="n">
        <x:f>DEGREES((2*PI()/Inputs!$C$13)*Inputs!$C$15*SIN(RADIANS(AE238)))</x:f>
        <x:v>55.6659254028286</x:v>
      </x:c>
      <x:c r="AG238" s="9">
        <x:f t="shared" si="67"/>
        <x:v>0.94261125304831128</x:v>
      </x:c>
      <x:c r="AH238" s="9">
        <x:f t="shared" si="68"/>
        <x:v>-0.25667379866416623</x:v>
      </x:c>
      <x:c r="AI238" s="9">
        <x:f t="shared" si="69"/>
        <x:v>-90.317202087363512</x:v>
      </x:c>
      <x:c r="AJ238" s="9">
        <x:f t="shared" si="70"/>
        <x:v>-1.0725060983055599</x:v>
      </x:c>
      <x:c r="AK238" s="9">
        <x:f t="shared" si="71"/>
        <x:v>164.45759968060392</x:v>
      </x:c>
      <x:c r="AL238" s="9" t="n">
        <x:f>1000*(AA239-AA237)/(A239-A237)*Inputs!$C$11</x:f>
        <x:v>1182.5271883449204</x:v>
      </x:c>
      <x:c r="AM238" s="9" t="n">
        <x:f>-2*AL238/Inputs!$C$13</x:f>
        <x:v>-473.0108753379682</x:v>
      </x:c>
      <x:c r="AN238" s="9" t="n">
        <x:f>-2*AL238/Inputs!$C$14</x:f>
        <x:v>-71.02265395464988</x:v>
      </x:c>
      <x:c r="AO238" s="9">
        <x:f t="shared" si="72"/>
        <x:v>473.01087533796817</x:v>
      </x:c>
      <x:c r="AP238" s="9">
        <x:f t="shared" si="73"/>
        <x:v>71.022653954649883</x:v>
      </x:c>
      <x:c r="AQ238" s="9" t="n">
        <x:f>IF(OR(Inputs!$C$27=TRUE,Inputs!$C$27="TRUE",Inputs!$C$27=1),Inputs!$C$46/Inputs!$C$12,0)</x:f>
        <x:v>42.13483146067416</x:v>
      </x:c>
      <x:c r="AR238" s="9">
        <x:f t="shared" si="74"/>
        <x:v>3333.8201532736098</x:v>
      </x:c>
      <x:c r="AS238" s="9">
        <x:f t="shared" si="75"/>
        <x:v>3418.0898161949585</x:v>
      </x:c>
    </x:row>
    <x:row r="239">
      <x:c r="A239" s="9" t="n">
        <x:f>Inputs!$C$7+237*(Inputs!$C$8-Inputs!$C$7)/240</x:f>
        <x:v>58.5</x:v>
      </x:c>
      <x:c r="B239" s="9" t="n">
        <x:f>Inputs!$C$5+Inputs!$C$9*(A239/Inputs!$C$10)^2</x:f>
        <x:v>403.8025</x:v>
      </x:c>
      <x:c r="C239" s="9">
        <x:f t="shared" si="57"/>
        <x:v>403.80250000000001</x:v>
      </x:c>
      <x:c r="D239" s="9" t="n">
        <x:f>SQRT((Inputs!$C$52+B239)^2+Inputs!$C$52^2-2*(Inputs!$C$52+B239)*Inputs!$C$52*COS(SQRT(A239^2+Inputs!$C$6^2)/Inputs!$C$52))</x:f>
        <x:v>410.06107882173893</x:v>
      </x:c>
      <x:c r="E239" s="9">
        <x:f t="shared" si="58"/>
        <x:v>6258.5788217389218</x:v>
      </x:c>
      <x:c r="F239" s="9" t="n">
        <x:f>E239/Inputs!$C$12</x:f>
        <x:v>3516.055517830855</x:v>
      </x:c>
      <x:c r="G239" s="9" t="n">
        <x:f>2*E239/Inputs!$C$21*1000000</x:f>
        <x:v>41.7527436379932</x:v>
      </x:c>
      <x:c r="H239" s="9" t="n">
        <x:f>SQRT(A239^2+Inputs!$C$6^2)</x:f>
        <x:v>63.61800059731522</x:v>
      </x:c>
      <x:c r="I239" s="9">
        <x:f t="shared" si="59"/>
        <x:v>8.9532040951491538</x:v>
      </x:c>
      <x:c r="J239" s="9" t="n">
        <x:f>DEGREES((2*PI()/Inputs!$C$13)*Inputs!$C$15*SIN(RADIANS(I239)))</x:f>
        <x:v>56.02598128601325</x:v>
      </x:c>
      <x:c r="K239" s="9">
        <x:f t="shared" si="60"/>
        <x:v>0.94033329521757236</x:v>
      </x:c>
      <x:c r="L239" s="9">
        <x:f t="shared" si="61"/>
        <x:v>-0.26718186168122815</x:v>
      </x:c>
      <x:c r="M239" s="9" t="n">
        <x:f>2*(Inputs!$C$9/(Inputs!$C$10^2))*A239</x:f>
        <x:v>0.13</x:v>
      </x:c>
      <x:c r="N239" s="9" t="n">
        <x:f>M239*Inputs!$C$11</x:f>
        <x:v>0.52</x:v>
      </x:c>
      <x:c r="O239" s="9" t="n">
        <x:f>1000*(D240-D238)/(A240-A238)*Inputs!$C$11</x:f>
        <x:v>1231.7887414533288</x:v>
      </x:c>
      <x:c r="P239" s="9" t="n">
        <x:f>-2*O239/Inputs!$C$13</x:f>
        <x:v>-492.71549658133154</x:v>
      </x:c>
      <x:c r="Q239" s="9" t="n">
        <x:f>-2*O239/Inputs!$C$14</x:f>
        <x:v>-73.98130579299273</x:v>
      </x:c>
      <x:c r="R239" s="9" t="n">
        <x:f>F239-Inputs!$C$16/2</x:f>
        <x:v>3501.055517830855</x:v>
      </x:c>
      <x:c r="S239" s="9" t="n">
        <x:f>F239+Inputs!$C$16/2</x:f>
        <x:v>3531.055517830855</x:v>
      </x:c>
      <x:c r="T239" s="9" t="n">
        <x:f>F239-Inputs!$C$17/2</x:f>
        <x:v>3366.055517830855</x:v>
      </x:c>
      <x:c r="U239" s="9" t="n">
        <x:f>F239+Inputs!$C$17/2</x:f>
        <x:v>3666.055517830855</x:v>
      </x:c>
      <x:c r="V239" s="9">
        <x:f t="shared" si="62"/>
        <x:v>492.71549658133154</x:v>
      </x:c>
      <x:c r="W239" s="9">
        <x:f t="shared" si="63"/>
        <x:v>73.981305792992728</x:v>
      </x:c>
      <x:c r="X239" s="9"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x:f>
        <x:v>28.425297518081656</x:v>
      </x:c>
      <x:c r="Y239" s="9"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x:f>
        <x:v>188.33221875951745</x:v>
      </x:c>
      <x:c r="Z239" s="9">
        <x:f t="shared" si="64"/>
        <x:v>403.77407470248193</x:v>
      </x:c>
      <x:c r="AA239" s="9" t="n">
        <x:f>SQRT((Inputs!$C$52+B239)^2+(Inputs!$C$52+Y239/1000)^2-2*(Inputs!$C$52+B239)*(Inputs!$C$52+Y239/1000)*COS(SQRT(A239^2+Inputs!$C$6^2)/Inputs!$C$52))</x:f>
        <x:v>409.8763721040028</x:v>
      </x:c>
      <x:c r="AB239" s="9">
        <x:f t="shared" si="65"/>
        <x:v>6102.2974015209002</x:v>
      </x:c>
      <x:c r="AC239" s="9" t="n">
        <x:f>AB239/Inputs!$C$12</x:f>
        <x:v>3428.256967146573</x:v>
      </x:c>
      <x:c r="AD239" s="9" t="n">
        <x:f>2*AB239/Inputs!$C$21*1000000</x:f>
        <x:v>40.71014622736707</x:v>
      </x:c>
      <x:c r="AE239" s="9">
        <x:f t="shared" si="66"/>
        <x:v>8.9573140672481397</x:v>
      </x:c>
      <x:c r="AF239" s="9" t="n">
        <x:f>DEGREES((2*PI()/Inputs!$C$13)*Inputs!$C$15*SIN(RADIANS(AE239)))</x:f>
        <x:v>56.05149021625788</x:v>
      </x:c>
      <x:c r="AG239" s="9">
        <x:f t="shared" si="67"/>
        <x:v>0.9417642236696917</x:v>
      </x:c>
      <x:c r="AH239" s="9">
        <x:f t="shared" si="68"/>
        <x:v>-0.26057811831239996</x:v>
      </x:c>
      <x:c r="AI239" s="9">
        <x:f t="shared" si="69"/>
        <x:v>-87.798550684281963</x:v>
      </x:c>
      <x:c r="AJ239" s="9">
        <x:f t="shared" si="70"/>
        <x:v>-1.0425974106261293</x:v>
      </x:c>
      <x:c r="AK239" s="9">
        <x:f t="shared" si="71"/>
        <x:v>159.90692124143578</x:v>
      </x:c>
      <x:c r="AL239" s="9" t="n">
        <x:f>1000*(AA240-AA238)/(A240-A238)*Inputs!$C$11</x:f>
        <x:v>1235.2919823920274</x:v>
      </x:c>
      <x:c r="AM239" s="9" t="n">
        <x:f>-2*AL239/Inputs!$C$13</x:f>
        <x:v>-494.11679295681097</x:v>
      </x:c>
      <x:c r="AN239" s="9" t="n">
        <x:f>-2*AL239/Inputs!$C$14</x:f>
        <x:v>-74.19171065417582</x:v>
      </x:c>
      <x:c r="AO239" s="9">
        <x:f t="shared" si="72"/>
        <x:v>494.11679295681097</x:v>
      </x:c>
      <x:c r="AP239" s="9">
        <x:f t="shared" si="73"/>
        <x:v>74.191710654175822</x:v>
      </x:c>
      <x:c r="AQ239" s="9" t="n">
        <x:f>IF(OR(Inputs!$C$27=TRUE,Inputs!$C$27="TRUE",Inputs!$C$27=1),Inputs!$C$46/Inputs!$C$12,0)</x:f>
        <x:v>42.13483146067416</x:v>
      </x:c>
      <x:c r="AR239" s="9">
        <x:f t="shared" si="74"/>
        <x:v>3386.1221356858987</x:v>
      </x:c>
      <x:c r="AS239" s="9">
        <x:f t="shared" si="75"/>
        <x:v>3470.3917986072474</x:v>
      </x:c>
    </x:row>
    <x:row r="240">
      <x:c r="A240" s="9" t="n">
        <x:f>Inputs!$C$7+238*(Inputs!$C$8-Inputs!$C$7)/240</x:f>
        <x:v>59</x:v>
      </x:c>
      <x:c r="B240" s="9" t="n">
        <x:f>Inputs!$C$5+Inputs!$C$9*(A240/Inputs!$C$10)^2</x:f>
        <x:v>403.8677777777778</x:v>
      </x:c>
      <x:c r="C240" s="9">
        <x:f t="shared" si="57"/>
        <x:v>403.8677777777778</x:v>
      </x:c>
      <x:c r="D240" s="9" t="n">
        <x:f>SQRT((Inputs!$C$52+B240)^2+Inputs!$C$52^2-2*(Inputs!$C$52+B240)*Inputs!$C$52*COS(SQRT(A240^2+Inputs!$C$6^2)/Inputs!$C$52))</x:f>
        <x:v>410.2156894556836</x:v>
      </x:c>
      <x:c r="E240" s="9">
        <x:f t="shared" si="58"/>
        <x:v>6347.9116779058131</x:v>
      </x:c>
      <x:c r="F240" s="9" t="n">
        <x:f>E240/Inputs!$C$12</x:f>
        <x:v>3566.242515677423</x:v>
      </x:c>
      <x:c r="G240" s="9" t="n">
        <x:f>2*E240/Inputs!$C$21*1000000</x:f>
        <x:v>42.348708304768714</x:v>
      </x:c>
      <x:c r="H240" s="9" t="n">
        <x:f>SQRT(A240^2+Inputs!$C$6^2)</x:f>
        <x:v>64.07807737440318</x:v>
      </x:c>
      <x:c r="I240" s="9">
        <x:f t="shared" si="59"/>
        <x:v>9.0154589139895744</x:v>
      </x:c>
      <x:c r="J240" s="9" t="n">
        <x:f>DEGREES((2*PI()/Inputs!$C$13)*Inputs!$C$15*SIN(RADIANS(I240)))</x:f>
        <x:v>56.41234073822082</x:v>
      </x:c>
      <x:c r="K240" s="9">
        <x:f t="shared" si="60"/>
        <x:v>0.93952372636550141</x:v>
      </x:c>
      <x:c r="L240" s="9">
        <x:f t="shared" si="61"/>
        <x:v>-0.27092247921622387</x:v>
      </x:c>
      <x:c r="M240" s="9" t="n">
        <x:f>2*(Inputs!$C$9/(Inputs!$C$10^2))*A240</x:f>
        <x:v>0.13111111111111112</x:v>
      </x:c>
      <x:c r="N240" s="9" t="n">
        <x:f>M240*Inputs!$C$11</x:f>
        <x:v>0.5244444444444445</x:v>
      </x:c>
      <x:c r="O240" s="9" t="n">
        <x:f>1000*(D241-D239)/(A241-A239)*Inputs!$C$11</x:f>
        <x:v>1241.977276069747</x:v>
      </x:c>
      <x:c r="P240" s="9" t="n">
        <x:f>-2*O240/Inputs!$C$13</x:f>
        <x:v>-496.7909104278988</x:v>
      </x:c>
      <x:c r="Q240" s="9" t="n">
        <x:f>-2*O240/Inputs!$C$14</x:f>
        <x:v>-74.59322979397881</x:v>
      </x:c>
      <x:c r="R240" s="9" t="n">
        <x:f>F240-Inputs!$C$16/2</x:f>
        <x:v>3551.242515677423</x:v>
      </x:c>
      <x:c r="S240" s="9" t="n">
        <x:f>F240+Inputs!$C$16/2</x:f>
        <x:v>3581.242515677423</x:v>
      </x:c>
      <x:c r="T240" s="9" t="n">
        <x:f>F240-Inputs!$C$17/2</x:f>
        <x:v>3416.242515677423</x:v>
      </x:c>
      <x:c r="U240" s="9" t="n">
        <x:f>F240+Inputs!$C$17/2</x:f>
        <x:v>3716.242515677423</x:v>
      </x:c>
      <x:c r="V240" s="9">
        <x:f t="shared" si="62"/>
        <x:v>496.79091042789878</x:v>
      </x:c>
      <x:c r="W240" s="9">
        <x:f t="shared" si="63"/>
        <x:v>74.593229793978807</x:v>
      </x:c>
      <x:c r="X240" s="9"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x:f>
        <x:v>25.687015205000044</x:v>
      </x:c>
      <x:c r="Y240" s="9"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x:f>
        <x:v>193.74067782731254</x:v>
      </x:c>
      <x:c r="Z240" s="9">
        <x:f t="shared" si="64"/>
        <x:v>403.84209076257281</x:v>
      </x:c>
      <x:c r="AA240" s="9" t="n">
        <x:f>SQRT((Inputs!$C$52+B240)^2+(Inputs!$C$52+Y240/1000)^2-2*(Inputs!$C$52+B240)*(Inputs!$C$52+Y240/1000)*COS(SQRT(A240^2+Inputs!$C$6^2)/Inputs!$C$52))</x:f>
        <x:v>410.0257304640895</x:v>
      </x:c>
      <x:c r="AB240" s="9">
        <x:f t="shared" si="65"/>
        <x:v>6183.6397015167113</x:v>
      </x:c>
      <x:c r="AC240" s="9" t="n">
        <x:f>AB240/Inputs!$C$12</x:f>
        <x:v>3473.9548884925343</x:v>
      </x:c>
      <x:c r="AD240" s="9" t="n">
        <x:f>2*AB240/Inputs!$C$21*1000000</x:f>
        <x:v>41.25280364135586</x:v>
      </x:c>
      <x:c r="AE240" s="9">
        <x:f t="shared" si="66"/>
        <x:v>9.0197147068520405</x:v>
      </x:c>
      <x:c r="AF240" s="9" t="n">
        <x:f>DEGREES((2*PI()/Inputs!$C$13)*Inputs!$C$15*SIN(RADIANS(AE240)))</x:f>
        <x:v>56.438750175202955</x:v>
      </x:c>
      <x:c r="AG240" s="9">
        <x:f t="shared" si="67"/>
        <x:v>0.94102656290467113</x:v>
      </x:c>
      <x:c r="AH240" s="9">
        <x:f t="shared" si="68"/>
        <x:v>-0.26398117316524145</x:v>
      </x:c>
      <x:c r="AI240" s="9">
        <x:f t="shared" si="69"/>
        <x:v>-92.287627184888606</x:v>
      </x:c>
      <x:c r="AJ240" s="9">
        <x:f t="shared" si="70"/>
        <x:v>-1.0959046634128526</x:v>
      </x:c>
      <x:c r="AK240" s="9">
        <x:f t="shared" si="71"/>
        <x:v>168.0536626223309</x:v>
      </x:c>
      <x:c r="AL240" s="9" t="n">
        <x:f>1000*(AA241-AA239)/(A241-A239)*Inputs!$C$11</x:f>
        <x:v>1318.2635307380224</x:v>
      </x:c>
      <x:c r="AM240" s="9" t="n">
        <x:f>-2*AL240/Inputs!$C$13</x:f>
        <x:v>-527.305412295209</x:v>
      </x:c>
      <x:c r="AN240" s="9" t="n">
        <x:f>-2*AL240/Inputs!$C$14</x:f>
        <x:v>-79.17498683111246</x:v>
      </x:c>
      <x:c r="AO240" s="9">
        <x:f t="shared" si="72"/>
        <x:v>527.30541229520895</x:v>
      </x:c>
      <x:c r="AP240" s="9">
        <x:f t="shared" si="73"/>
        <x:v>79.174986831112463</x:v>
      </x:c>
      <x:c r="AQ240" s="9" t="n">
        <x:f>IF(OR(Inputs!$C$27=TRUE,Inputs!$C$27="TRUE",Inputs!$C$27=1),Inputs!$C$46/Inputs!$C$12,0)</x:f>
        <x:v>42.13483146067416</x:v>
      </x:c>
      <x:c r="AR240" s="9">
        <x:f t="shared" si="74"/>
        <x:v>3431.82005703186</x:v>
      </x:c>
      <x:c r="AS240" s="9">
        <x:f t="shared" si="75"/>
        <x:v>3516.0897199532087</x:v>
      </x:c>
    </x:row>
    <x:row r="241">
      <x:c r="A241" s="9" t="n">
        <x:f>Inputs!$C$7+239*(Inputs!$C$8-Inputs!$C$7)/240</x:f>
        <x:v>59.5</x:v>
      </x:c>
      <x:c r="B241" s="9" t="n">
        <x:f>Inputs!$C$5+Inputs!$C$9*(A241/Inputs!$C$10)^2</x:f>
        <x:v>403.93361111111113</x:v>
      </x:c>
      <x:c r="C241" s="9">
        <x:f t="shared" si="57"/>
        <x:v>403.93361111111113</x:v>
      </x:c>
      <x:c r="D241" s="9" t="n">
        <x:f>SQRT((Inputs!$C$52+B241)^2+Inputs!$C$52^2-2*(Inputs!$C$52+B241)*Inputs!$C$52*COS(SQRT(A241^2+Inputs!$C$6^2)/Inputs!$C$52))</x:f>
        <x:v>410.37157314075637</x:v>
      </x:c>
      <x:c r="E241" s="9">
        <x:f t="shared" si="58"/>
        <x:v>6437.962029645234</x:v>
      </x:c>
      <x:c r="F241" s="9" t="n">
        <x:f>E241/Inputs!$C$12</x:f>
        <x:v>3616.8326009242887</x:v>
      </x:c>
      <x:c r="G241" s="9" t="n">
        <x:f>2*E241/Inputs!$C$21*1000000</x:f>
        <x:v>42.94945958677342</x:v>
      </x:c>
      <x:c r="H241" s="9" t="n">
        <x:f>SQRT(A241^2+Inputs!$C$6^2)</x:f>
        <x:v>64.53874805107394</x:v>
      </x:c>
      <x:c r="I241" s="9">
        <x:f t="shared" si="59"/>
        <x:v>9.0777420317977509</x:v>
      </x:c>
      <x:c r="J241" s="9" t="n">
        <x:f>DEGREES((2*PI()/Inputs!$C$13)*Inputs!$C$15*SIN(RADIANS(I241)))</x:f>
        <x:v>56.79880917100207</x:v>
      </x:c>
      <x:c r="K241" s="9">
        <x:f t="shared" si="60"/>
        <x:v>0.9387088058105012</x:v>
      </x:c>
      <x:c r="L241" s="9">
        <x:f t="shared" si="61"/>
        <x:v>-0.27469108098806244</x:v>
      </x:c>
      <x:c r="M241" s="9" t="n">
        <x:f>2*(Inputs!$C$9/(Inputs!$C$10^2))*A241</x:f>
        <x:v>0.1322222222222222</x:v>
      </x:c>
      <x:c r="N241" s="9" t="n">
        <x:f>M241*Inputs!$C$11</x:f>
        <x:v>0.5288888888888889</x:v>
      </x:c>
      <x:c r="O241" s="9" t="n">
        <x:f>1000*(D242-D240)/(A242-A240)*Inputs!$C$11</x:f>
        <x:v>1252.157532299634</x:v>
      </x:c>
      <x:c r="P241" s="9" t="n">
        <x:f>-2*O241/Inputs!$C$13</x:f>
        <x:v>-500.86301291985365</x:v>
      </x:c>
      <x:c r="Q241" s="9" t="n">
        <x:f>-2*O241/Inputs!$C$14</x:f>
        <x:v>-75.20465659457263</x:v>
      </x:c>
      <x:c r="R241" s="9" t="n">
        <x:f>F241-Inputs!$C$16/2</x:f>
        <x:v>3601.8326009242887</x:v>
      </x:c>
      <x:c r="S241" s="9" t="n">
        <x:f>F241+Inputs!$C$16/2</x:f>
        <x:v>3631.8326009242887</x:v>
      </x:c>
      <x:c r="T241" s="9" t="n">
        <x:f>F241-Inputs!$C$17/2</x:f>
        <x:v>3466.8326009242887</x:v>
      </x:c>
      <x:c r="U241" s="9" t="n">
        <x:f>F241+Inputs!$C$17/2</x:f>
        <x:v>3766.8326009242887</x:v>
      </x:c>
      <x:c r="V241" s="9">
        <x:f t="shared" si="62"/>
        <x:v>500.86301291985365</x:v>
      </x:c>
      <x:c r="W241" s="9">
        <x:f t="shared" si="63"/>
        <x:v>75.204656594572626</x:v>
      </x:c>
      <x:c r="X241" s="9"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x:f>
        <x:v>45.681577079364786</x:v>
      </x:c>
      <x:c r="Y241" s="9"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x:f>
        <x:v>168.97901642333537</x:v>
      </x:c>
      <x:c r="Z241" s="9">
        <x:f t="shared" si="64"/>
        <x:v>403.8879295340318</x:v>
      </x:c>
      <x:c r="AA241" s="9" t="n">
        <x:f>SQRT((Inputs!$C$52+B241)^2+(Inputs!$C$52+Y241/1000)^2-2*(Inputs!$C$52+B241)*(Inputs!$C$52+Y241/1000)*COS(SQRT(A241^2+Inputs!$C$6^2)/Inputs!$C$52))</x:f>
        <x:v>410.20593798668733</x:v>
      </x:c>
      <x:c r="AB241" s="9">
        <x:f t="shared" si="65"/>
        <x:v>6318.0084526555329</x:v>
      </x:c>
      <x:c r="AC241" s="9" t="n">
        <x:f>AB241/Inputs!$C$12</x:f>
        <x:v>3549.4429509300744</x:v>
      </x:c>
      <x:c r="AD241" s="9" t="n">
        <x:f>2*AB241/Inputs!$C$21*1000000</x:f>
        <x:v>42.14921545928639</x:v>
      </x:c>
      <x:c r="AE241" s="9">
        <x:f t="shared" si="66"/>
        <x:v>9.081477848214389</x:v>
      </x:c>
      <x:c r="AF241" s="9" t="n">
        <x:f>DEGREES((2*PI()/Inputs!$C$13)*Inputs!$C$15*SIN(RADIANS(AE241)))</x:f>
        <x:v>56.82198788396664</x:v>
      </x:c>
      <x:c r="AG241" s="9">
        <x:f t="shared" si="67"/>
        <x:v>0.93980061668359638</x:v>
      </x:c>
      <x:c r="AH241" s="9">
        <x:f t="shared" si="68"/>
        <x:v>-0.26964274335204508</x:v>
      </x:c>
      <x:c r="AI241" s="9">
        <x:f t="shared" si="69"/>
        <x:v>-67.389649994214324</x:v>
      </x:c>
      <x:c r="AJ241" s="9">
        <x:f t="shared" si="70"/>
        <x:v>-0.80024412748703355</x:v>
      </x:c>
      <x:c r="AK241" s="9">
        <x:f t="shared" si="71"/>
        <x:v>123.29743934401969</x:v>
      </x:c>
      <x:c r="AL241" s="9" t="n">
        <x:f>1000*(AA242-AA240)/(A242-A240)*Inputs!$C$11</x:f>
        <x:v>1308.9895471791806</x:v>
      </x:c>
      <x:c r="AM241" s="9" t="n">
        <x:f>-2*AL241/Inputs!$C$13</x:f>
        <x:v>-523.5958188716722</x:v>
      </x:c>
      <x:c r="AN241" s="9" t="n">
        <x:f>-2*AL241/Inputs!$C$14</x:f>
        <x:v>-78.61799082157242</x:v>
      </x:c>
      <x:c r="AO241" s="9">
        <x:f t="shared" si="72"/>
        <x:v>523.59581887167224</x:v>
      </x:c>
      <x:c r="AP241" s="9">
        <x:f t="shared" si="73"/>
        <x:v>78.61799082157242</x:v>
      </x:c>
      <x:c r="AQ241" s="9" t="n">
        <x:f>IF(OR(Inputs!$C$27=TRUE,Inputs!$C$27="TRUE",Inputs!$C$27=1),Inputs!$C$46/Inputs!$C$12,0)</x:f>
        <x:v>42.13483146067416</x:v>
      </x:c>
      <x:c r="AR241" s="9">
        <x:f t="shared" si="74"/>
        <x:v>3507.3081194694</x:v>
      </x:c>
      <x:c r="AS241" s="9">
        <x:f t="shared" si="75"/>
        <x:v>3591.5777823907488</x:v>
      </x:c>
    </x:row>
    <x:row r="242">
      <x:c r="A242" s="9" t="n">
        <x:f>Inputs!$C$7+240*(Inputs!$C$8-Inputs!$C$7)/240</x:f>
        <x:v>60</x:v>
      </x:c>
      <x:c r="B242" s="9" t="n">
        <x:f>Inputs!$C$5+Inputs!$C$9*(A242/Inputs!$C$10)^2</x:f>
        <x:v>404</x:v>
      </x:c>
      <x:c r="C242" s="9">
        <x:f t="shared" si="57"/>
        <x:v>404</x:v>
      </x:c>
      <x:c r="D242" s="9" t="n">
        <x:f>SQRT((Inputs!$C$52+B242)^2+Inputs!$C$52^2-2*(Inputs!$C$52+B242)*Inputs!$C$52*COS(SQRT(A242^2+Inputs!$C$6^2)/Inputs!$C$52))</x:f>
        <x:v>410.5287288387585</x:v>
      </x:c>
      <x:c r="E242" s="9">
        <x:f t="shared" si="58"/>
        <x:v>6528.7288387585249</x:v>
      </x:c>
      <x:c r="F242" s="9" t="n">
        <x:f>E242/Inputs!$C$12</x:f>
        <x:v>3667.825190313778</x:v>
      </x:c>
      <x:c r="G242" s="9" t="n">
        <x:f>2*E242/Inputs!$C$21*1000000</x:f>
        <x:v>43.55499055789139</x:v>
      </x:c>
      <x:c r="H242" s="9" t="n">
        <x:f>SQRT(A242^2+Inputs!$C$6^2)</x:f>
        <x:v>65</x:v>
      </x:c>
      <x:c r="I242" s="9">
        <x:f t="shared" si="59"/>
        <x:v>9.1400512341328497</x:v>
      </x:c>
      <x:c r="J242" s="9" t="n">
        <x:f>DEGREES((2*PI()/Inputs!$C$13)*Inputs!$C$15*SIN(RADIANS(I242)))</x:f>
        <x:v>57.185372299425126</x:v>
      </x:c>
      <x:c r="K242" s="9">
        <x:f t="shared" si="60"/>
        <x:v>0.93788856854464964</x:v>
      </x:c>
      <x:c r="L242" s="9">
        <x:f t="shared" si="61"/>
        <x:v>-0.27848757506786664</x:v>
      </x:c>
      <x:c r="M242" s="9" t="n">
        <x:f>2*(Inputs!$C$9/(Inputs!$C$10^2))*A242</x:f>
        <x:v>0.13333333333333333</x:v>
      </x:c>
      <x:c r="N242" s="9" t="n">
        <x:f>M242*Inputs!$C$11</x:f>
        <x:v>0.5333333333333333</x:v>
      </x:c>
      <x:c r="O242" s="9" t="n">
        <x:f>1000*(D242-D241)/(A242-A241)*Inputs!$C$11</x:f>
        <x:v>1257.2455840172552</x:v>
      </x:c>
      <x:c r="P242" s="9" t="n">
        <x:f>-2*O242/Inputs!$C$13</x:f>
        <x:v>-502.89823360690207</x:v>
      </x:c>
      <x:c r="Q242" s="9" t="n">
        <x:f>-2*O242/Inputs!$C$14</x:f>
        <x:v>-75.51024528632163</x:v>
      </x:c>
      <x:c r="R242" s="9" t="n">
        <x:f>F242-Inputs!$C$16/2</x:f>
        <x:v>3652.825190313778</x:v>
      </x:c>
      <x:c r="S242" s="9" t="n">
        <x:f>F242+Inputs!$C$16/2</x:f>
        <x:v>3682.825190313778</x:v>
      </x:c>
      <x:c r="T242" s="9" t="n">
        <x:f>F242-Inputs!$C$17/2</x:f>
        <x:v>3517.825190313778</x:v>
      </x:c>
      <x:c r="U242" s="9" t="n">
        <x:f>F242+Inputs!$C$17/2</x:f>
        <x:v>3817.825190313778</x:v>
      </x:c>
      <x:c r="V242" s="9">
        <x:f t="shared" si="62"/>
        <x:v>502.89823360690207</x:v>
      </x:c>
      <x:c r="W242" s="9">
        <x:f t="shared" si="63"/>
        <x:v>75.510245286321634</x:v>
      </x:c>
      <x:c r="X242" s="9"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x:f>
        <x:v>31.89413090916895</x:v>
      </x:c>
      <x:c r="Y242" s="9"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x:f>
        <x:v>179.34901119414707</x:v>
      </x:c>
      <x:c r="Z242" s="9">
        <x:f t="shared" si="64"/>
        <x:v>403.96810586909083</x:v>
      </x:c>
      <x:c r="AA242" s="9" t="n">
        <x:f>SQRT((Inputs!$C$52+B242)^2+(Inputs!$C$52+Y242/1000)^2-2*(Inputs!$C$52+B242)*(Inputs!$C$52+Y242/1000)*COS(SQRT(A242^2+Inputs!$C$6^2)/Inputs!$C$52))</x:f>
        <x:v>410.3529778508843</x:v>
      </x:c>
      <x:c r="AB242" s="9">
        <x:f t="shared" si="65"/>
        <x:v>6384.8719817934807</x:v>
      </x:c>
      <x:c r="AC242" s="9" t="n">
        <x:f>AB242/Inputs!$C$12</x:f>
        <x:v>3587.006731344652</x:v>
      </x:c>
      <x:c r="AD242" s="9" t="n">
        <x:f>2*AB242/Inputs!$C$21*1000000</x:f>
        <x:v>42.595280911259486</x:v>
      </x:c>
      <x:c r="AE242" s="9">
        <x:f t="shared" si="66"/>
        <x:v>9.1440420449389421</x:v>
      </x:c>
      <x:c r="AF242" s="9" t="n">
        <x:f>DEGREES((2*PI()/Inputs!$C$13)*Inputs!$C$15*SIN(RADIANS(AE242)))</x:f>
        <x:v>57.210128787408365</x:v>
      </x:c>
      <x:c r="AG242" s="9">
        <x:f t="shared" si="67"/>
        <x:v>0.93919972029801746</x:v>
      </x:c>
      <x:c r="AH242" s="9">
        <x:f t="shared" si="68"/>
        <x:v>-0.27242045433178885</x:v>
      </x:c>
      <x:c r="AI242" s="9">
        <x:f t="shared" si="69"/>
        <x:v>-80.818458969125913</x:v>
      </x:c>
      <x:c r="AJ242" s="9">
        <x:f t="shared" si="70"/>
        <x:v>-0.95970964663190017</x:v>
      </x:c>
      <x:c r="AK242" s="9">
        <x:f t="shared" si="71"/>
        <x:v>147.45488028497812</x:v>
      </x:c>
      <x:c r="AL242" s="9" t="n">
        <x:f>1000*(AA242-AA241)/(A242-A241)*Inputs!$C$11</x:f>
        <x:v>1176.3189135758694</x:v>
      </x:c>
      <x:c r="AM242" s="9" t="n">
        <x:f>-2*AL242/Inputs!$C$13</x:f>
        <x:v>-470.52756543034775</x:v>
      </x:c>
      <x:c r="AN242" s="9" t="n">
        <x:f>-2*AL242/Inputs!$C$14</x:f>
        <x:v>-70.64978459915132</x:v>
      </x:c>
      <x:c r="AO242" s="9">
        <x:f t="shared" si="72"/>
        <x:v>470.52756543034775</x:v>
      </x:c>
      <x:c r="AP242" s="9">
        <x:f t="shared" si="73"/>
        <x:v>70.649784599151317</x:v>
      </x:c>
      <x:c r="AQ242" s="9" t="n">
        <x:f>IF(OR(Inputs!$C$27=TRUE,Inputs!$C$27="TRUE",Inputs!$C$27=1),Inputs!$C$46/Inputs!$C$12,0)</x:f>
        <x:v>42.13483146067416</x:v>
      </x:c>
      <x:c r="AR242" s="9">
        <x:f t="shared" si="74"/>
        <x:v>3544.8718998839777</x:v>
      </x:c>
      <x:c r="AS242" s="9">
        <x:f t="shared" si="75"/>
        <x:v>3629.1415628053264</x:v>
      </x:c>
    </x:row>
  </x:sheetData>
  <x:pageMargins left="0.7" right="0.7" top="0.75" bottom="0.75" header="0.3" footer="0.3"/>
  <x:tableParts count="1">
    <x:tablePart xmlns:r="http://schemas.openxmlformats.org/officeDocument/2006/relationships" r:id="R15dd86ffc826470f"/>
  </x:tableParts>
</x:worksheet>
</file>

<file path=xl/worksheets/sheet4.xml><?xml version="1.0" encoding="utf-8"?>
<x:worksheet xmlns:x="http://schemas.openxmlformats.org/spreadsheetml/2006/main">
  <x:sheetViews>
    <x:sheetView showGridLines="0" workbookViewId="0"/>
  </x:sheetViews>
  <x:sheetFormatPr defaultRowHeight="13.5"/>
  <x:cols>
    <x:col min="1" max="1" width="12" customWidth="1"/>
    <x:col min="2" max="2" width="24" customWidth="1"/>
    <x:col min="3" max="3" width="36" customWidth="1"/>
    <x:col min="4" max="4" width="32" customWidth="1"/>
    <x:col min="5" max="5" width="38" customWidth="1"/>
    <x:col min="6" max="6" width="4" customWidth="1"/>
    <x:col min="7" max="7" width="12" customWidth="1"/>
    <x:col min="8" max="8" width="24" customWidth="1"/>
    <x:col min="9" max="10" width="30" customWidth="1"/>
    <x:col min="11" max="11" width="12" customWidth="1"/>
    <x:col min="12" max="13" width="32" customWidth="1"/>
    <x:col min="14" max="14" width="44" customWidth="1"/>
    <x:col min="15" max="15" width="4" customWidth="1"/>
    <x:col min="16" max="16" width="12" customWidth="1"/>
    <x:col min="17" max="17" width="20" customWidth="1"/>
    <x:col min="18" max="18" width="28" customWidth="1"/>
    <x:col min="19" max="19" width="20" customWidth="1"/>
    <x:col min="20" max="20" width="28" customWidth="1"/>
    <x:col min="21" max="21" width="4" customWidth="1"/>
    <x:col min="22" max="22" width="12" customWidth="1"/>
    <x:col min="23" max="23" width="22" customWidth="1"/>
    <x:col min="24" max="24" width="4" customWidth="1"/>
    <x:col min="25" max="25" width="12" customWidth="1"/>
    <x:col min="26" max="26" width="24" customWidth="1"/>
    <x:col min="27" max="27" width="36" customWidth="1"/>
    <x:col min="28" max="28" width="32" customWidth="1"/>
  </x:cols>
  <x:sheetData>
    <x:row r="1" ht="26.25">
      <x:c r="A1" s="2" t="s">
        <x:v>279</x:v>
      </x:c>
      <x:c r="B1" s="2" t="s">
        <x:v>280</x:v>
      </x:c>
      <x:c r="C1" s="2" t="s">
        <x:v>281</x:v>
      </x:c>
      <x:c r="D1" s="2" t="s">
        <x:v>282</x:v>
      </x:c>
      <x:c r="E1" s="2" t="s">
        <x:v>283</x:v>
      </x:c>
      <x:c r="G1" s="2" t="s">
        <x:v>279</x:v>
      </x:c>
      <x:c r="H1" s="2" t="s">
        <x:v>284</x:v>
      </x:c>
      <x:c r="I1" s="2" t="s">
        <x:v>285</x:v>
      </x:c>
      <x:c r="J1" s="2" t="s">
        <x:v>286</x:v>
      </x:c>
      <x:c r="K1" s="2" t="s">
        <x:v>279</x:v>
      </x:c>
      <x:c r="L1" s="2" t="s">
        <x:v>287</x:v>
      </x:c>
      <x:c r="M1" s="2" t="s">
        <x:v>288</x:v>
      </x:c>
      <x:c r="N1" s="2" t="s">
        <x:v>289</x:v>
      </x:c>
      <x:c r="P1" s="2" t="s">
        <x:v>279</x:v>
      </x:c>
      <x:c r="Q1" s="2" t="s">
        <x:v>290</x:v>
      </x:c>
      <x:c r="R1" s="2" t="s">
        <x:v>291</x:v>
      </x:c>
      <x:c r="S1" s="2" t="s">
        <x:v>292</x:v>
      </x:c>
      <x:c r="T1" s="2" t="s">
        <x:v>293</x:v>
      </x:c>
      <x:c r="V1" s="2" t="s">
        <x:v>279</x:v>
      </x:c>
      <x:c r="W1" s="2" t="s">
        <x:v>294</x:v>
      </x:c>
      <x:c r="Y1" s="2" t="s">
        <x:v>279</x:v>
      </x:c>
      <x:c r="Z1" s="2" t="s">
        <x:v>280</x:v>
      </x:c>
      <x:c r="AA1" s="2" t="s">
        <x:v>295</x:v>
      </x:c>
      <x:c r="AB1" s="2" t="s">
        <x:v>296</x:v>
      </x:c>
    </x:row>
    <x:row r="2">
      <x:c r="A2" s="9" t="n">
        <x:f>Model_Data!A2</x:f>
        <x:v>-60</x:v>
      </x:c>
      <x:c r="B2" s="9" t="n">
        <x:f>0</x:f>
        <x:v>0</x:v>
      </x:c>
      <x:c r="C2" s="9" t="n">
        <x:f>((SQRT((Inputs!$C$52+Inputs!$C$5)^2+Inputs!$C$52^2-2*(Inputs!$C$52+Inputs!$C$5)*Inputs!$C$52*COS(SQRT((Model_Data!A2)^2+Inputs!$C$6^2)/Inputs!$C$52))-Inputs!$C$5)*1000/Inputs!$C$12)</x:f>
        <x:v>3696.432026065829</x:v>
      </x:c>
      <x:c r="D2" s="9" t="n">
        <x:f>Model_Data!F2</x:f>
        <x:v>3667.825190313778</x:v>
      </x:c>
      <x:c r="E2" s="9" t="n">
        <x:f>Model_Data!AC2</x:f>
        <x:v>3603.6304870607873</x:v>
      </x:c>
      <x:c r="F2" s="10"/>
      <x:c r="G2" s="9" t="n">
        <x:f>Model_Data!A2</x:f>
        <x:v>-60</x:v>
      </x:c>
      <x:c r="H2" s="9" t="n">
        <x:f>Model_Data!Y2</x:f>
        <x:v>119.42638570504096</x:v>
      </x:c>
      <x:c r="I2" s="9" t="n">
        <x:f>Model_Data!Y2</x:f>
        <x:v>119.42638570504096</x:v>
      </x:c>
      <x:c r="J2" s="9" t="n">
        <x:f>Model_Data!X2</x:f>
        <x:v>2.7642790376402013</x:v>
      </x:c>
      <x:c r="K2" s="9" t="n">
        <x:f>Model_Data!A2</x:f>
        <x:v>-60</x:v>
      </x:c>
      <x:c r="L2" s="9" t="n">
        <x:f>Model_Data!Y2</x:f>
        <x:v>119.42638570504096</x:v>
      </x:c>
      <x:c r="M2" s="9" t="n">
        <x:f>Model_Data!X2</x:f>
        <x:v>2.7642790376402013</x:v>
      </x:c>
      <x:c r="N2" s="9" t="n">
        <x:f>-(Model_Data!AC2-Model_Data!F2)*Inputs!$C$12</x:f>
        <x:v>114.26657179032331</x:v>
      </x:c>
      <x:c r="O2" s="10"/>
      <x:c r="P2" s="9" t="n">
        <x:f>Model_Data!A2</x:f>
        <x:v>-60</x:v>
      </x:c>
      <x:c r="Q2" s="9" t="n">
        <x:f>Model_Data!P2</x:f>
        <x:v>502.89823360690207</x:v>
      </x:c>
      <x:c r="R2" s="9" t="n">
        <x:f>Model_Data!AM2</x:f>
        <x:v>475.6182314496982</x:v>
      </x:c>
      <x:c r="S2" s="9" t="n">
        <x:f>Model_Data!Q2</x:f>
        <x:v>75.51024528632163</x:v>
      </x:c>
      <x:c r="T2" s="9" t="n">
        <x:f>Model_Data!AN2</x:f>
        <x:v>71.41414886632106</x:v>
      </x:c>
      <x:c r="U2" s="10"/>
      <x:c r="V2" s="9" t="n">
        <x:f>Model_Data!A2</x:f>
        <x:v>-60</x:v>
      </x:c>
      <x:c r="W2" s="9" t="n">
        <x:f>Model_Data!B2-Inputs!$C$5</x:f>
        <x:v>4</x:v>
      </x:c>
      <x:c r="X2" s="10"/>
      <x:c r="Y2" s="9" t="n">
        <x:f>Model_Data!A2</x:f>
        <x:v>-60</x:v>
      </x:c>
      <x:c r="Z2" s="9" t="n">
        <x:f>0</x:f>
        <x:v>0</x:v>
      </x:c>
      <x:c r="AA2" s="9" t="n">
        <x:f>((SQRT((Inputs!$C$52+Inputs!$C$5)^2+Inputs!$C$52^2-2*(Inputs!$C$52+Inputs!$C$5)*Inputs!$C$52*COS(SQRT((Model_Data!A2)^2+Inputs!$C$6^2)/Inputs!$C$52))-Inputs!$C$5)*1000/Inputs!$C$12)</x:f>
        <x:v>3696.432026065829</x:v>
      </x:c>
      <x:c r="AB2" s="9" t="n">
        <x:f>Model_Data!F2</x:f>
        <x:v>3667.825190313778</x:v>
      </x:c>
    </x:row>
    <x:row r="3">
      <x:c r="A3" s="9" t="n">
        <x:f>Model_Data!A3</x:f>
        <x:v>-59.5</x:v>
      </x:c>
      <x:c r="B3" s="9" t="n">
        <x:f>0</x:f>
        <x:v>0</x:v>
      </x:c>
      <x:c r="C3" s="9" t="n">
        <x:f>((SQRT((Inputs!$C$52+Inputs!$C$5)^2+Inputs!$C$52^2-2*(Inputs!$C$52+Inputs!$C$5)*Inputs!$C$52*COS(SQRT((Model_Data!A3)^2+Inputs!$C$6^2)/Inputs!$C$52))-Inputs!$C$5)*1000/Inputs!$C$12)</x:f>
        <x:v>3644.581524995093</x:v>
      </x:c>
      <x:c r="D3" s="9" t="n">
        <x:f>Model_Data!F3</x:f>
        <x:v>3616.8326009242887</x:v>
      </x:c>
      <x:c r="E3" s="9" t="n">
        <x:f>Model_Data!AC3</x:f>
        <x:v>3566.910840729097</x:v>
      </x:c>
      <x:c r="F3" s="10"/>
      <x:c r="G3" s="9" t="n">
        <x:f>Model_Data!A3</x:f>
        <x:v>-59.5</x:v>
      </x:c>
      <x:c r="H3" s="9" t="n">
        <x:f>Model_Data!Y3</x:f>
        <x:v>110.69606493723512</x:v>
      </x:c>
      <x:c r="I3" s="9" t="n">
        <x:f>Model_Data!Y3</x:f>
        <x:v>110.69606493723512</x:v>
      </x:c>
      <x:c r="J3" s="9" t="n">
        <x:f>Model_Data!X3</x:f>
        <x:v>19.645117006397193</x:v>
      </x:c>
      <x:c r="K3" s="9" t="n">
        <x:f>Model_Data!A3</x:f>
        <x:v>-59.5</x:v>
      </x:c>
      <x:c r="L3" s="9" t="n">
        <x:f>Model_Data!Y3</x:f>
        <x:v>110.69606493723512</x:v>
      </x:c>
      <x:c r="M3" s="9" t="n">
        <x:f>Model_Data!X3</x:f>
        <x:v>19.645117006397193</x:v>
      </x:c>
      <x:c r="N3" s="9" t="n">
        <x:f>-(Model_Data!AC3-Model_Data!F3)*Inputs!$C$12</x:f>
        <x:v>88.86073314744147</x:v>
      </x:c>
      <x:c r="O3" s="10"/>
      <x:c r="P3" s="9" t="n">
        <x:f>Model_Data!A3</x:f>
        <x:v>-59.5</x:v>
      </x:c>
      <x:c r="Q3" s="9" t="n">
        <x:f>Model_Data!P3</x:f>
        <x:v>500.86301291985365</x:v>
      </x:c>
      <x:c r="R3" s="9" t="n">
        <x:f>Model_Data!AM3</x:f>
        <x:v>490.87300120691</x:v>
      </x:c>
      <x:c r="S3" s="9" t="n">
        <x:f>Model_Data!Q3</x:f>
        <x:v>75.20465659457263</x:v>
      </x:c>
      <x:c r="T3" s="9" t="n">
        <x:f>Model_Data!AN3</x:f>
        <x:v>73.70465483587238</x:v>
      </x:c>
      <x:c r="U3" s="10"/>
      <x:c r="V3" s="9" t="n">
        <x:f>Model_Data!A3</x:f>
        <x:v>-59.5</x:v>
      </x:c>
      <x:c r="W3" s="9" t="n">
        <x:f>Model_Data!B3-Inputs!$C$5</x:f>
        <x:v>3.9336111111111336</x:v>
      </x:c>
      <x:c r="X3" s="10"/>
      <x:c r="Y3" s="9" t="n">
        <x:f>Model_Data!A3</x:f>
        <x:v>-59.5</x:v>
      </x:c>
      <x:c r="Z3" s="9" t="n">
        <x:f>0</x:f>
        <x:v>0</x:v>
      </x:c>
      <x:c r="AA3" s="9" t="n">
        <x:f>((SQRT((Inputs!$C$52+Inputs!$C$5)^2+Inputs!$C$52^2-2*(Inputs!$C$52+Inputs!$C$5)*Inputs!$C$52*COS(SQRT((Model_Data!A3)^2+Inputs!$C$6^2)/Inputs!$C$52))-Inputs!$C$5)*1000/Inputs!$C$12)</x:f>
        <x:v>3644.581524995093</x:v>
      </x:c>
      <x:c r="AB3" s="9" t="n">
        <x:f>Model_Data!F3</x:f>
        <x:v>3616.8326009242887</x:v>
      </x:c>
    </x:row>
    <x:row r="4">
      <x:c r="A4" s="9" t="n">
        <x:f>Model_Data!A4</x:f>
        <x:v>-59</x:v>
      </x:c>
      <x:c r="B4" s="9" t="n">
        <x:f>0</x:f>
        <x:v>0</x:v>
      </x:c>
      <x:c r="C4" s="9" t="n">
        <x:f>((SQRT((Inputs!$C$52+Inputs!$C$5)^2+Inputs!$C$52^2-2*(Inputs!$C$52+Inputs!$C$5)*Inputs!$C$52*COS(SQRT((Model_Data!A4)^2+Inputs!$C$6^2)/Inputs!$C$52))-Inputs!$C$5)*1000/Inputs!$C$12)</x:f>
        <x:v>3593.153081902788</x:v>
      </x:c>
      <x:c r="D4" s="9" t="n">
        <x:f>Model_Data!F4</x:f>
        <x:v>3566.242515677423</x:v>
      </x:c>
      <x:c r="E4" s="9" t="n">
        <x:f>Model_Data!AC4</x:f>
        <x:v>3508.4803554787663</x:v>
      </x:c>
      <x:c r="F4" s="10"/>
      <x:c r="G4" s="9" t="n">
        <x:f>Model_Data!A4</x:f>
        <x:v>-59</x:v>
      </x:c>
      <x:c r="H4" s="9" t="n">
        <x:f>Model_Data!Y4</x:f>
        <x:v>112.99219424849355</x:v>
      </x:c>
      <x:c r="I4" s="9" t="n">
        <x:f>Model_Data!Y4</x:f>
        <x:v>112.99219424849355</x:v>
      </x:c>
      <x:c r="J4" s="9" t="n">
        <x:f>Model_Data!X4</x:f>
        <x:v>7.970448353767724</x:v>
      </x:c>
      <x:c r="K4" s="9" t="n">
        <x:f>Model_Data!A4</x:f>
        <x:v>-59</x:v>
      </x:c>
      <x:c r="L4" s="9" t="n">
        <x:f>Model_Data!Y4</x:f>
        <x:v>112.99219424849355</x:v>
      </x:c>
      <x:c r="M4" s="9" t="n">
        <x:f>Model_Data!X4</x:f>
        <x:v>7.970448353767724</x:v>
      </x:c>
      <x:c r="N4" s="9" t="n">
        <x:f>-(Model_Data!AC4-Model_Data!F4)*Inputs!$C$12</x:f>
        <x:v>102.81664515360875</x:v>
      </x:c>
      <x:c r="O4" s="10"/>
      <x:c r="P4" s="9" t="n">
        <x:f>Model_Data!A4</x:f>
        <x:v>-59</x:v>
      </x:c>
      <x:c r="Q4" s="9" t="n">
        <x:f>Model_Data!P4</x:f>
        <x:v>496.7909104278988</x:v>
      </x:c>
      <x:c r="R4" s="9" t="n">
        <x:f>Model_Data!AM4</x:f>
        <x:v>534.0602149449296</x:v>
      </x:c>
      <x:c r="S4" s="9" t="n">
        <x:f>Model_Data!Q4</x:f>
        <x:v>74.59322979397881</x:v>
      </x:c>
      <x:c r="T4" s="9" t="n">
        <x:f>Model_Data!AN4</x:f>
        <x:v>80.18922146320266</x:v>
      </x:c>
      <x:c r="U4" s="10"/>
      <x:c r="V4" s="9" t="n">
        <x:f>Model_Data!A4</x:f>
        <x:v>-59</x:v>
      </x:c>
      <x:c r="W4" s="9" t="n">
        <x:f>Model_Data!B4-Inputs!$C$5</x:f>
        <x:v>3.8677777777778033</x:v>
      </x:c>
      <x:c r="X4" s="10"/>
      <x:c r="Y4" s="9" t="n">
        <x:f>Model_Data!A4</x:f>
        <x:v>-59</x:v>
      </x:c>
      <x:c r="Z4" s="9" t="n">
        <x:f>0</x:f>
        <x:v>0</x:v>
      </x:c>
      <x:c r="AA4" s="9" t="n">
        <x:f>((SQRT((Inputs!$C$52+Inputs!$C$5)^2+Inputs!$C$52^2-2*(Inputs!$C$52+Inputs!$C$5)*Inputs!$C$52*COS(SQRT((Model_Data!A4)^2+Inputs!$C$6^2)/Inputs!$C$52))-Inputs!$C$5)*1000/Inputs!$C$12)</x:f>
        <x:v>3593.153081902788</x:v>
      </x:c>
      <x:c r="AB4" s="9" t="n">
        <x:f>Model_Data!F4</x:f>
        <x:v>3566.242515677423</x:v>
      </x:c>
    </x:row>
    <x:row r="5">
      <x:c r="A5" s="9" t="n">
        <x:f>Model_Data!A5</x:f>
        <x:v>-58.5</x:v>
      </x:c>
      <x:c r="B5" s="9" t="n">
        <x:f>0</x:f>
        <x:v>0</x:v>
      </x:c>
      <x:c r="C5" s="9" t="n">
        <x:f>((SQRT((Inputs!$C$52+Inputs!$C$5)^2+Inputs!$C$52^2-2*(Inputs!$C$52+Inputs!$C$5)*Inputs!$C$52*COS(SQRT((Model_Data!A5)^2+Inputs!$C$6^2)/Inputs!$C$52))-Inputs!$C$5)*1000/Inputs!$C$12)</x:f>
        <x:v>3542.1469873423243</x:v>
      </x:c>
      <x:c r="D5" s="9" t="n">
        <x:f>Model_Data!F5</x:f>
        <x:v>3516.055517830855</x:v>
      </x:c>
      <x:c r="E5" s="9" t="n">
        <x:f>Model_Data!AC5</x:f>
        <x:v>3454.2286347351655</x:v>
      </x:c>
      <x:c r="F5" s="10"/>
      <x:c r="G5" s="9" t="n">
        <x:f>Model_Data!A5</x:f>
        <x:v>-58.5</x:v>
      </x:c>
      <x:c r="H5" s="9" t="n">
        <x:f>Model_Data!Y5</x:f>
        <x:v>134.3858310571132</x:v>
      </x:c>
      <x:c r="I5" s="9" t="n">
        <x:f>Model_Data!Y5</x:f>
        <x:v>134.3858310571132</x:v>
      </x:c>
      <x:c r="J5" s="9" t="n">
        <x:f>Model_Data!X5</x:f>
        <x:v>21.747313566550197</x:v>
      </x:c>
      <x:c r="K5" s="9" t="n">
        <x:f>Model_Data!A5</x:f>
        <x:v>-58.5</x:v>
      </x:c>
      <x:c r="L5" s="9" t="n">
        <x:f>Model_Data!Y5</x:f>
        <x:v>134.3858310571132</x:v>
      </x:c>
      <x:c r="M5" s="9" t="n">
        <x:f>Model_Data!X5</x:f>
        <x:v>21.747313566550197</x:v>
      </x:c>
      <x:c r="N5" s="9" t="n">
        <x:f>-(Model_Data!AC5-Model_Data!F5)*Inputs!$C$12</x:f>
        <x:v>110.05185191032727</x:v>
      </x:c>
      <x:c r="O5" s="10"/>
      <x:c r="P5" s="9" t="n">
        <x:f>Model_Data!A5</x:f>
        <x:v>-58.5</x:v>
      </x:c>
      <x:c r="Q5" s="9" t="n">
        <x:f>Model_Data!P5</x:f>
        <x:v>492.71549658133154</x:v>
      </x:c>
      <x:c r="R5" s="9" t="n">
        <x:f>Model_Data!AM5</x:f>
        <x:v>503.9209462031067</x:v>
      </x:c>
      <x:c r="S5" s="9" t="n">
        <x:f>Model_Data!Q5</x:f>
        <x:v>73.98130579299273</x:v>
      </x:c>
      <x:c r="T5" s="9" t="n">
        <x:f>Model_Data!AN5</x:f>
        <x:v>75.66380573620222</x:v>
      </x:c>
      <x:c r="U5" s="10"/>
      <x:c r="V5" s="9" t="n">
        <x:f>Model_Data!A5</x:f>
        <x:v>-58.5</x:v>
      </x:c>
      <x:c r="W5" s="9" t="n">
        <x:f>Model_Data!B5-Inputs!$C$5</x:f>
        <x:v>3.802500000000009</x:v>
      </x:c>
      <x:c r="X5" s="10"/>
      <x:c r="Y5" s="9" t="n">
        <x:f>Model_Data!A5</x:f>
        <x:v>-58.5</x:v>
      </x:c>
      <x:c r="Z5" s="9" t="n">
        <x:f>0</x:f>
        <x:v>0</x:v>
      </x:c>
      <x:c r="AA5" s="9" t="n">
        <x:f>((SQRT((Inputs!$C$52+Inputs!$C$5)^2+Inputs!$C$52^2-2*(Inputs!$C$52+Inputs!$C$5)*Inputs!$C$52*COS(SQRT((Model_Data!A5)^2+Inputs!$C$6^2)/Inputs!$C$52))-Inputs!$C$5)*1000/Inputs!$C$12)</x:f>
        <x:v>3542.1469873423243</x:v>
      </x:c>
      <x:c r="AB5" s="9" t="n">
        <x:f>Model_Data!F5</x:f>
        <x:v>3516.055517830855</x:v>
      </x:c>
    </x:row>
    <x:row r="6">
      <x:c r="A6" s="9" t="n">
        <x:f>Model_Data!A6</x:f>
        <x:v>-58</x:v>
      </x:c>
      <x:c r="B6" s="9" t="n">
        <x:f>0</x:f>
        <x:v>0</x:v>
      </x:c>
      <x:c r="C6" s="9" t="n">
        <x:f>((SQRT((Inputs!$C$52+Inputs!$C$5)^2+Inputs!$C$52^2-2*(Inputs!$C$52+Inputs!$C$5)*Inputs!$C$52*COS(SQRT((Model_Data!A6)^2+Inputs!$C$6^2)/Inputs!$C$52))-Inputs!$C$5)*1000/Inputs!$C$12)</x:f>
        <x:v>3491.563529741107</x:v>
      </x:c>
      <x:c r="D6" s="9" t="n">
        <x:f>Model_Data!F6</x:f>
        <x:v>3466.2721868216477</x:v>
      </x:c>
      <x:c r="E6" s="9" t="n">
        <x:f>Model_Data!AC6</x:f>
        <x:v>3418.000509309314</x:v>
      </x:c>
      <x:c r="F6" s="10"/>
      <x:c r="G6" s="9" t="n">
        <x:f>Model_Data!A6</x:f>
        <x:v>-58</x:v>
      </x:c>
      <x:c r="H6" s="9" t="n">
        <x:f>Model_Data!Y6</x:f>
        <x:v>120.06952906780961</x:v>
      </x:c>
      <x:c r="I6" s="9" t="n">
        <x:f>Model_Data!Y6</x:f>
        <x:v>120.06952906780961</x:v>
      </x:c>
      <x:c r="J6" s="9" t="n">
        <x:f>Model_Data!X6</x:f>
        <x:v>31.86691354901535</x:v>
      </x:c>
      <x:c r="K6" s="9" t="n">
        <x:f>Model_Data!A6</x:f>
        <x:v>-58</x:v>
      </x:c>
      <x:c r="L6" s="9" t="n">
        <x:f>Model_Data!Y6</x:f>
        <x:v>120.06952906780961</x:v>
      </x:c>
      <x:c r="M6" s="9" t="n">
        <x:f>Model_Data!X6</x:f>
        <x:v>31.86691354901535</x:v>
      </x:c>
      <x:c r="N6" s="9" t="n">
        <x:f>-(Model_Data!AC6-Model_Data!F6)*Inputs!$C$12</x:f>
        <x:v>85.92358597195373</x:v>
      </x:c>
      <x:c r="O6" s="10"/>
      <x:c r="P6" s="9" t="n">
        <x:f>Model_Data!A6</x:f>
        <x:v>-58</x:v>
      </x:c>
      <x:c r="Q6" s="9" t="n">
        <x:f>Model_Data!P6</x:f>
        <x:v>488.63679323794713</x:v>
      </x:c>
      <x:c r="R6" s="9" t="n">
        <x:f>Model_Data!AM6</x:f>
        <x:v>495.8407751602863</x:v>
      </x:c>
      <x:c r="S6" s="9" t="n">
        <x:f>Model_Data!Q6</x:f>
        <x:v>73.36888787356564</x:v>
      </x:c>
      <x:c r="T6" s="9" t="n">
        <x:f>Model_Data!AN6</x:f>
        <x:v>74.45056684088384</x:v>
      </x:c>
      <x:c r="U6" s="10"/>
      <x:c r="V6" s="9" t="n">
        <x:f>Model_Data!A6</x:f>
        <x:v>-58</x:v>
      </x:c>
      <x:c r="W6" s="9" t="n">
        <x:f>Model_Data!B6-Inputs!$C$5</x:f>
        <x:v>3.737777777777751</x:v>
      </x:c>
      <x:c r="X6" s="10"/>
      <x:c r="Y6" s="9" t="n">
        <x:f>Model_Data!A6</x:f>
        <x:v>-58</x:v>
      </x:c>
      <x:c r="Z6" s="9" t="n">
        <x:f>0</x:f>
        <x:v>0</x:v>
      </x:c>
      <x:c r="AA6" s="9" t="n">
        <x:f>((SQRT((Inputs!$C$52+Inputs!$C$5)^2+Inputs!$C$52^2-2*(Inputs!$C$52+Inputs!$C$5)*Inputs!$C$52*COS(SQRT((Model_Data!A6)^2+Inputs!$C$6^2)/Inputs!$C$52))-Inputs!$C$5)*1000/Inputs!$C$12)</x:f>
        <x:v>3491.563529741107</x:v>
      </x:c>
      <x:c r="AB6" s="9" t="n">
        <x:f>Model_Data!F6</x:f>
        <x:v>3466.2721868216477</x:v>
      </x:c>
    </x:row>
    <x:row r="7">
      <x:c r="A7" s="9" t="n">
        <x:f>Model_Data!A7</x:f>
        <x:v>-57.5</x:v>
      </x:c>
      <x:c r="B7" s="9" t="n">
        <x:f>0</x:f>
        <x:v>0</x:v>
      </x:c>
      <x:c r="C7" s="9" t="n">
        <x:f>((SQRT((Inputs!$C$52+Inputs!$C$5)^2+Inputs!$C$52^2-2*(Inputs!$C$52+Inputs!$C$5)*Inputs!$C$52*COS(SQRT((Model_Data!A7)^2+Inputs!$C$6^2)/Inputs!$C$52))-Inputs!$C$5)*1000/Inputs!$C$12)</x:f>
        <x:v>3441.4029953902796</x:v>
      </x:c>
      <x:c r="D7" s="9" t="n">
        <x:f>Model_Data!F7</x:f>
        <x:v>3416.8930982326565</x:v>
      </x:c>
      <x:c r="E7" s="9" t="n">
        <x:f>Model_Data!AC7</x:f>
        <x:v>3359.74966750766</x:v>
      </x:c>
      <x:c r="F7" s="10"/>
      <x:c r="G7" s="9" t="n">
        <x:f>Model_Data!A7</x:f>
        <x:v>-57.5</x:v>
      </x:c>
      <x:c r="H7" s="9" t="n">
        <x:f>Model_Data!Y7</x:f>
        <x:v>138.90151425445745</x:v>
      </x:c>
      <x:c r="I7" s="9" t="n">
        <x:f>Model_Data!Y7</x:f>
        <x:v>138.90151425445745</x:v>
      </x:c>
      <x:c r="J7" s="9" t="n">
        <x:f>Model_Data!X7</x:f>
        <x:v>34.58634748797326</x:v>
      </x:c>
      <x:c r="K7" s="9" t="n">
        <x:f>Model_Data!A7</x:f>
        <x:v>-57.5</x:v>
      </x:c>
      <x:c r="L7" s="9" t="n">
        <x:f>Model_Data!Y7</x:f>
        <x:v>138.90151425445745</x:v>
      </x:c>
      <x:c r="M7" s="9" t="n">
        <x:f>Model_Data!X7</x:f>
        <x:v>34.58634748797326</x:v>
      </x:c>
      <x:c r="N7" s="9" t="n">
        <x:f>-(Model_Data!AC7-Model_Data!F7)*Inputs!$C$12</x:f>
        <x:v>101.71530669049378</x:v>
      </x:c>
      <x:c r="O7" s="10"/>
      <x:c r="P7" s="9" t="n">
        <x:f>Model_Data!A7</x:f>
        <x:v>-57.5</x:v>
      </x:c>
      <x:c r="Q7" s="9" t="n">
        <x:f>Model_Data!P7</x:f>
        <x:v>484.554822402788</x:v>
      </x:c>
      <x:c r="R7" s="9" t="n">
        <x:f>Model_Data!AM7</x:f>
        <x:v>511.9766582025477</x:v>
      </x:c>
      <x:c r="S7" s="9" t="n">
        <x:f>Model_Data!Q7</x:f>
        <x:v>72.75597933975796</x:v>
      </x:c>
      <x:c r="T7" s="9" t="n">
        <x:f>Model_Data!AN7</x:f>
        <x:v>76.87337210248465</x:v>
      </x:c>
      <x:c r="U7" s="10"/>
      <x:c r="V7" s="9" t="n">
        <x:f>Model_Data!A7</x:f>
        <x:v>-57.5</x:v>
      </x:c>
      <x:c r="W7" s="9" t="n">
        <x:f>Model_Data!B7-Inputs!$C$5</x:f>
        <x:v>3.673611111111086</x:v>
      </x:c>
      <x:c r="X7" s="10"/>
      <x:c r="Y7" s="9" t="n">
        <x:f>Model_Data!A7</x:f>
        <x:v>-57.5</x:v>
      </x:c>
      <x:c r="Z7" s="9" t="n">
        <x:f>0</x:f>
        <x:v>0</x:v>
      </x:c>
      <x:c r="AA7" s="9" t="n">
        <x:f>((SQRT((Inputs!$C$52+Inputs!$C$5)^2+Inputs!$C$52^2-2*(Inputs!$C$52+Inputs!$C$5)*Inputs!$C$52*COS(SQRT((Model_Data!A7)^2+Inputs!$C$6^2)/Inputs!$C$52))-Inputs!$C$5)*1000/Inputs!$C$12)</x:f>
        <x:v>3441.4029953902796</x:v>
      </x:c>
      <x:c r="AB7" s="9" t="n">
        <x:f>Model_Data!F7</x:f>
        <x:v>3416.8930982326565</x:v>
      </x:c>
    </x:row>
    <x:row r="8">
      <x:c r="A8" s="9" t="n">
        <x:f>Model_Data!A8</x:f>
        <x:v>-57</x:v>
      </x:c>
      <x:c r="B8" s="9" t="n">
        <x:f>0</x:f>
        <x:v>0</x:v>
      </x:c>
      <x:c r="C8" s="9" t="n">
        <x:f>((SQRT((Inputs!$C$52+Inputs!$C$5)^2+Inputs!$C$52^2-2*(Inputs!$C$52+Inputs!$C$5)*Inputs!$C$52*COS(SQRT((Model_Data!A8)^2+Inputs!$C$6^2)/Inputs!$C$52))-Inputs!$C$5)*1000/Inputs!$C$12)</x:f>
        <x:v>3391.6656684345407</x:v>
      </x:c>
      <x:c r="D8" s="9" t="n">
        <x:f>Model_Data!F8</x:f>
        <x:v>3367.918823774454</x:v>
      </x:c>
      <x:c r="E8" s="9" t="n">
        <x:f>Model_Data!AC8</x:f>
        <x:v>3323.2624957644234</x:v>
      </x:c>
      <x:c r="F8" s="10"/>
      <x:c r="G8" s="9" t="n">
        <x:f>Model_Data!A8</x:f>
        <x:v>-57</x:v>
      </x:c>
      <x:c r="H8" s="9" t="n">
        <x:f>Model_Data!Y8</x:f>
        <x:v>137.46604725484156</x:v>
      </x:c>
      <x:c r="I8" s="9" t="n">
        <x:f>Model_Data!Y8</x:f>
        <x:v>137.46604725484156</x:v>
      </x:c>
      <x:c r="J8" s="9" t="n">
        <x:f>Model_Data!X8</x:f>
        <x:v>55.44088303799376</x:v>
      </x:c>
      <x:c r="K8" s="9" t="n">
        <x:f>Model_Data!A8</x:f>
        <x:v>-57</x:v>
      </x:c>
      <x:c r="L8" s="9" t="n">
        <x:f>Model_Data!Y8</x:f>
        <x:v>137.46604725484156</x:v>
      </x:c>
      <x:c r="M8" s="9" t="n">
        <x:f>Model_Data!X8</x:f>
        <x:v>55.44088303799376</x:v>
      </x:c>
      <x:c r="N8" s="9" t="n">
        <x:f>-(Model_Data!AC8-Model_Data!F8)*Inputs!$C$12</x:f>
        <x:v>79.4882638578541</x:v>
      </x:c>
      <x:c r="O8" s="10"/>
      <x:c r="P8" s="9" t="n">
        <x:f>Model_Data!A8</x:f>
        <x:v>-57</x:v>
      </x:c>
      <x:c r="Q8" s="9" t="n">
        <x:f>Model_Data!P8</x:f>
        <x:v>480.4696062107723</x:v>
      </x:c>
      <x:c r="R8" s="9" t="n">
        <x:f>Model_Data!AM8</x:f>
        <x:v>484.5983430347587</x:v>
      </x:c>
      <x:c r="S8" s="9" t="n">
        <x:f>Model_Data!Q8</x:f>
        <x:v>72.14258351513098</x:v>
      </x:c>
      <x:c r="T8" s="9" t="n">
        <x:f>Model_Data!AN8</x:f>
        <x:v>72.762513969183</x:v>
      </x:c>
      <x:c r="U8" s="10"/>
      <x:c r="V8" s="9" t="n">
        <x:f>Model_Data!A8</x:f>
        <x:v>-57</x:v>
      </x:c>
      <x:c r="W8" s="9" t="n">
        <x:f>Model_Data!B8-Inputs!$C$5</x:f>
        <x:v>3.6100000000000136</x:v>
      </x:c>
      <x:c r="X8" s="10"/>
      <x:c r="Y8" s="9" t="n">
        <x:f>Model_Data!A8</x:f>
        <x:v>-57</x:v>
      </x:c>
      <x:c r="Z8" s="9" t="n">
        <x:f>0</x:f>
        <x:v>0</x:v>
      </x:c>
      <x:c r="AA8" s="9" t="n">
        <x:f>((SQRT((Inputs!$C$52+Inputs!$C$5)^2+Inputs!$C$52^2-2*(Inputs!$C$52+Inputs!$C$5)*Inputs!$C$52*COS(SQRT((Model_Data!A8)^2+Inputs!$C$6^2)/Inputs!$C$52))-Inputs!$C$5)*1000/Inputs!$C$12)</x:f>
        <x:v>3391.6656684345407</x:v>
      </x:c>
      <x:c r="AB8" s="9" t="n">
        <x:f>Model_Data!F8</x:f>
        <x:v>3367.918823774454</x:v>
      </x:c>
    </x:row>
    <x:row r="9">
      <x:c r="A9" s="9" t="n">
        <x:f>Model_Data!A9</x:f>
        <x:v>-56.5</x:v>
      </x:c>
      <x:c r="B9" s="9" t="n">
        <x:f>0</x:f>
        <x:v>0</x:v>
      </x:c>
      <x:c r="C9" s="9" t="n">
        <x:f>((SQRT((Inputs!$C$52+Inputs!$C$5)^2+Inputs!$C$52^2-2*(Inputs!$C$52+Inputs!$C$5)*Inputs!$C$52*COS(SQRT((Model_Data!A9)^2+Inputs!$C$6^2)/Inputs!$C$52))-Inputs!$C$5)*1000/Inputs!$C$12)</x:f>
        <x:v>3342.3518308690136</x:v>
      </x:c>
      <x:c r="D9" s="9" t="n">
        <x:f>Model_Data!F9</x:f>
        <x:v>3319.3499312578997</x:v>
      </x:c>
      <x:c r="E9" s="9" t="n">
        <x:f>Model_Data!AC9</x:f>
        <x:v>3273.531691137369</x:v>
      </x:c>
      <x:c r="F9" s="10"/>
      <x:c r="G9" s="9" t="n">
        <x:f>Model_Data!A9</x:f>
        <x:v>-56.5</x:v>
      </x:c>
      <x:c r="H9" s="9" t="n">
        <x:f>Model_Data!Y9</x:f>
        <x:v>141.4558244940569</x:v>
      </x:c>
      <x:c r="I9" s="9" t="n">
        <x:f>Model_Data!Y9</x:f>
        <x:v>141.4558244940569</x:v>
      </x:c>
      <x:c r="J9" s="9" t="n">
        <x:f>Model_Data!X9</x:f>
        <x:v>57.32564727891993</x:v>
      </x:c>
      <x:c r="K9" s="9" t="n">
        <x:f>Model_Data!A9</x:f>
        <x:v>-56.5</x:v>
      </x:c>
      <x:c r="L9" s="9" t="n">
        <x:f>Model_Data!Y9</x:f>
        <x:v>141.4558244940569</x:v>
      </x:c>
      <x:c r="M9" s="9" t="n">
        <x:f>Model_Data!X9</x:f>
        <x:v>57.32564727891993</x:v>
      </x:c>
      <x:c r="N9" s="9" t="n">
        <x:f>-(Model_Data!AC9-Model_Data!F9)*Inputs!$C$12</x:f>
        <x:v>81.55646741454491</x:v>
      </x:c>
      <x:c r="O9" s="10"/>
      <x:c r="P9" s="9" t="n">
        <x:f>Model_Data!A9</x:f>
        <x:v>-56.5</x:v>
      </x:c>
      <x:c r="Q9" s="9" t="n">
        <x:f>Model_Data!P9</x:f>
        <x:v>476.38116695534336</x:v>
      </x:c>
      <x:c r="R9" s="9" t="n">
        <x:f>Model_Data!AM9</x:f>
        <x:v>523.0828149337867</x:v>
      </x:c>
      <x:c r="S9" s="9" t="n">
        <x:f>Model_Data!Q9</x:f>
        <x:v>71.52870374704855</x:v>
      </x:c>
      <x:c r="T9" s="9" t="n">
        <x:f>Model_Data!AN9</x:f>
        <x:v>78.54096320327129</x:v>
      </x:c>
      <x:c r="U9" s="10"/>
      <x:c r="V9" s="9" t="n">
        <x:f>Model_Data!A9</x:f>
        <x:v>-56.5</x:v>
      </x:c>
      <x:c r="W9" s="9" t="n">
        <x:f>Model_Data!B9-Inputs!$C$5</x:f>
        <x:v>3.5469444444444207</x:v>
      </x:c>
      <x:c r="X9" s="10"/>
      <x:c r="Y9" s="9" t="n">
        <x:f>Model_Data!A9</x:f>
        <x:v>-56.5</x:v>
      </x:c>
      <x:c r="Z9" s="9" t="n">
        <x:f>0</x:f>
        <x:v>0</x:v>
      </x:c>
      <x:c r="AA9" s="9" t="n">
        <x:f>((SQRT((Inputs!$C$52+Inputs!$C$5)^2+Inputs!$C$52^2-2*(Inputs!$C$52+Inputs!$C$5)*Inputs!$C$52*COS(SQRT((Model_Data!A9)^2+Inputs!$C$6^2)/Inputs!$C$52))-Inputs!$C$5)*1000/Inputs!$C$12)</x:f>
        <x:v>3342.3518308690136</x:v>
      </x:c>
      <x:c r="AB9" s="9" t="n">
        <x:f>Model_Data!F9</x:f>
        <x:v>3319.3499312578997</x:v>
      </x:c>
    </x:row>
    <x:row r="10">
      <x:c r="A10" s="9" t="n">
        <x:f>Model_Data!A10</x:f>
        <x:v>-56</x:v>
      </x:c>
      <x:c r="B10" s="9" t="n">
        <x:f>0</x:f>
        <x:v>0</x:v>
      </x:c>
      <x:c r="C10" s="9" t="n">
        <x:f>((SQRT((Inputs!$C$52+Inputs!$C$5)^2+Inputs!$C$52^2-2*(Inputs!$C$52+Inputs!$C$5)*Inputs!$C$52*COS(SQRT((Model_Data!A10)^2+Inputs!$C$6^2)/Inputs!$C$52))-Inputs!$C$5)*1000/Inputs!$C$12)</x:f>
        <x:v>3293.461762529603</x:v>
      </x:c>
      <x:c r="D10" s="9" t="n">
        <x:f>Model_Data!F10</x:f>
        <x:v>3271.186984565748</x:v>
      </x:c>
      <x:c r="E10" s="9" t="n">
        <x:f>Model_Data!AC10</x:f>
        <x:v>3213.5700696603967</x:v>
      </x:c>
      <x:c r="F10" s="10"/>
      <x:c r="G10" s="9" t="n">
        <x:f>Model_Data!A10</x:f>
        <x:v>-56</x:v>
      </x:c>
      <x:c r="H10" s="9" t="n">
        <x:f>Model_Data!Y10</x:f>
        <x:v>167.1152389347629</x:v>
      </x:c>
      <x:c r="I10" s="9" t="n">
        <x:f>Model_Data!Y10</x:f>
        <x:v>167.1152389347629</x:v>
      </x:c>
      <x:c r="J10" s="9" t="n">
        <x:f>Model_Data!X10</x:f>
        <x:v>61.55956835196879</x:v>
      </x:c>
      <x:c r="K10" s="9" t="n">
        <x:f>Model_Data!A10</x:f>
        <x:v>-56</x:v>
      </x:c>
      <x:c r="L10" s="9" t="n">
        <x:f>Model_Data!Y10</x:f>
        <x:v>167.1152389347629</x:v>
      </x:c>
      <x:c r="M10" s="9" t="n">
        <x:f>Model_Data!X10</x:f>
        <x:v>61.55956835196879</x:v>
      </x:c>
      <x:c r="N10" s="9" t="n">
        <x:f>-(Model_Data!AC10-Model_Data!F10)*Inputs!$C$12</x:f>
        <x:v>102.55810853152518</x:v>
      </x:c>
      <x:c r="O10" s="10"/>
      <x:c r="P10" s="9" t="n">
        <x:f>Model_Data!A10</x:f>
        <x:v>-56</x:v>
      </x:c>
      <x:c r="Q10" s="9" t="n">
        <x:f>Model_Data!P10</x:f>
        <x:v>472.2895270569097</x:v>
      </x:c>
      <x:c r="R10" s="9" t="n">
        <x:f>Model_Data!AM10</x:f>
        <x:v>502.4626690393234</x:v>
      </x:c>
      <x:c r="S10" s="9" t="n">
        <x:f>Model_Data!Q10</x:f>
        <x:v>70.9143434019384</x:v>
      </x:c>
      <x:c r="T10" s="9" t="n">
        <x:f>Model_Data!AN10</x:f>
        <x:v>75.44484520109961</x:v>
      </x:c>
      <x:c r="U10" s="10"/>
      <x:c r="V10" s="9" t="n">
        <x:f>Model_Data!A10</x:f>
        <x:v>-56</x:v>
      </x:c>
      <x:c r="W10" s="9" t="n">
        <x:f>Model_Data!B10-Inputs!$C$5</x:f>
        <x:v>3.4844444444444207</x:v>
      </x:c>
      <x:c r="X10" s="10"/>
      <x:c r="Y10" s="9" t="n">
        <x:f>Model_Data!A10</x:f>
        <x:v>-56</x:v>
      </x:c>
      <x:c r="Z10" s="9" t="n">
        <x:f>0</x:f>
        <x:v>0</x:v>
      </x:c>
      <x:c r="AA10" s="9" t="n">
        <x:f>((SQRT((Inputs!$C$52+Inputs!$C$5)^2+Inputs!$C$52^2-2*(Inputs!$C$52+Inputs!$C$5)*Inputs!$C$52*COS(SQRT((Model_Data!A10)^2+Inputs!$C$6^2)/Inputs!$C$52))-Inputs!$C$5)*1000/Inputs!$C$12)</x:f>
        <x:v>3293.461762529603</x:v>
      </x:c>
      <x:c r="AB10" s="9" t="n">
        <x:f>Model_Data!F10</x:f>
        <x:v>3271.186984565748</x:v>
      </x:c>
    </x:row>
    <x:row r="11">
      <x:c r="A11" s="9" t="n">
        <x:f>Model_Data!A11</x:f>
        <x:v>-55.5</x:v>
      </x:c>
      <x:c r="B11" s="9" t="n">
        <x:f>0</x:f>
        <x:v>0</x:v>
      </x:c>
      <x:c r="C11" s="9" t="n">
        <x:f>((SQRT((Inputs!$C$52+Inputs!$C$5)^2+Inputs!$C$52^2-2*(Inputs!$C$52+Inputs!$C$5)*Inputs!$C$52*COS(SQRT((Model_Data!A11)^2+Inputs!$C$6^2)/Inputs!$C$52))-Inputs!$C$5)*1000/Inputs!$C$12)</x:f>
        <x:v>3244.995741083732</x:v>
      </x:c>
      <x:c r="D11" s="9" t="n">
        <x:f>Model_Data!F11</x:f>
        <x:v>3223.4305436364602</x:v>
      </x:c>
      <x:c r="E11" s="9" t="n">
        <x:f>Model_Data!AC11</x:f>
        <x:v>3156.4396749474286</x:v>
      </x:c>
      <x:c r="F11" s="10"/>
      <x:c r="G11" s="9" t="n">
        <x:f>Model_Data!A11</x:f>
        <x:v>-55.5</x:v>
      </x:c>
      <x:c r="H11" s="9" t="n">
        <x:f>Model_Data!Y11</x:f>
        <x:v>160.57943103446084</x:v>
      </x:c>
      <x:c r="I11" s="9" t="n">
        <x:f>Model_Data!Y11</x:f>
        <x:v>160.57943103446084</x:v>
      </x:c>
      <x:c r="J11" s="9" t="n">
        <x:f>Model_Data!X11</x:f>
        <x:v>38.49658216595124</x:v>
      </x:c>
      <x:c r="K11" s="9" t="n">
        <x:f>Model_Data!A11</x:f>
        <x:v>-55.5</x:v>
      </x:c>
      <x:c r="L11" s="9" t="n">
        <x:f>Model_Data!Y11</x:f>
        <x:v>160.57943103446084</x:v>
      </x:c>
      <x:c r="M11" s="9" t="n">
        <x:f>Model_Data!X11</x:f>
        <x:v>38.49658216595124</x:v>
      </x:c>
      <x:c r="N11" s="9" t="n">
        <x:f>-(Model_Data!AC11-Model_Data!F11)*Inputs!$C$12</x:f>
        <x:v>119.2437462664764</x:v>
      </x:c>
      <x:c r="O11" s="10"/>
      <x:c r="P11" s="9" t="n">
        <x:f>Model_Data!A11</x:f>
        <x:v>-55.5</x:v>
      </x:c>
      <x:c r="Q11" s="9" t="n">
        <x:f>Model_Data!P11</x:f>
        <x:v>468.1947090801259</x:v>
      </x:c>
      <x:c r="R11" s="9" t="n">
        <x:f>Model_Data!AM11</x:f>
        <x:v>482.4716566618008</x:v>
      </x:c>
      <x:c r="S11" s="9" t="n">
        <x:f>Model_Data!Q11</x:f>
        <x:v>70.29950586788678</x:v>
      </x:c>
      <x:c r="T11" s="9" t="n">
        <x:f>Model_Data!AN11</x:f>
        <x:v>72.44319169096109</x:v>
      </x:c>
      <x:c r="U11" s="10"/>
      <x:c r="V11" s="9" t="n">
        <x:f>Model_Data!A11</x:f>
        <x:v>-55.5</x:v>
      </x:c>
      <x:c r="W11" s="9" t="n">
        <x:f>Model_Data!B11-Inputs!$C$5</x:f>
        <x:v>3.4225000000000136</x:v>
      </x:c>
      <x:c r="X11" s="10"/>
      <x:c r="Y11" s="9" t="n">
        <x:f>Model_Data!A11</x:f>
        <x:v>-55.5</x:v>
      </x:c>
      <x:c r="Z11" s="9" t="n">
        <x:f>0</x:f>
        <x:v>0</x:v>
      </x:c>
      <x:c r="AA11" s="9" t="n">
        <x:f>((SQRT((Inputs!$C$52+Inputs!$C$5)^2+Inputs!$C$52^2-2*(Inputs!$C$52+Inputs!$C$5)*Inputs!$C$52*COS(SQRT((Model_Data!A11)^2+Inputs!$C$6^2)/Inputs!$C$52))-Inputs!$C$5)*1000/Inputs!$C$12)</x:f>
        <x:v>3244.995741083732</x:v>
      </x:c>
      <x:c r="AB11" s="9" t="n">
        <x:f>Model_Data!F11</x:f>
        <x:v>3223.4305436364602</x:v>
      </x:c>
    </x:row>
    <x:row r="12">
      <x:c r="A12" s="9" t="n">
        <x:f>Model_Data!A12</x:f>
        <x:v>-55</x:v>
      </x:c>
      <x:c r="B12" s="9" t="n">
        <x:f>0</x:f>
        <x:v>0</x:v>
      </x:c>
      <x:c r="C12" s="9" t="n">
        <x:f>((SQRT((Inputs!$C$52+Inputs!$C$5)^2+Inputs!$C$52^2-2*(Inputs!$C$52+Inputs!$C$5)*Inputs!$C$52*COS(SQRT((Model_Data!A12)^2+Inputs!$C$6^2)/Inputs!$C$52))-Inputs!$C$5)*1000/Inputs!$C$12)</x:f>
        <x:v>3196.954042025839</x:v>
      </x:c>
      <x:c r="D12" s="9" t="n">
        <x:f>Model_Data!F12</x:f>
        <x:v>3176.081164429937</x:v>
      </x:c>
      <x:c r="E12" s="9" t="n">
        <x:f>Model_Data!AC12</x:f>
        <x:v>3104.997561514674</x:v>
      </x:c>
      <x:c r="F12" s="10"/>
      <x:c r="G12" s="9" t="n">
        <x:f>Model_Data!A12</x:f>
        <x:v>-55</x:v>
      </x:c>
      <x:c r="H12" s="9" t="n">
        <x:f>Model_Data!Y12</x:f>
        <x:v>176.10976359434375</x:v>
      </x:c>
      <x:c r="I12" s="9" t="n">
        <x:f>Model_Data!Y12</x:f>
        <x:v>176.10976359434375</x:v>
      </x:c>
      <x:c r="J12" s="9" t="n">
        <x:f>Model_Data!X12</x:f>
        <x:v>46.51195593176057</x:v>
      </x:c>
      <x:c r="K12" s="9" t="n">
        <x:f>Model_Data!A12</x:f>
        <x:v>-55</x:v>
      </x:c>
      <x:c r="L12" s="9" t="n">
        <x:f>Model_Data!Y12</x:f>
        <x:v>176.10976359434375</x:v>
      </x:c>
      <x:c r="M12" s="9" t="n">
        <x:f>Model_Data!X12</x:f>
        <x:v>46.51195593176057</x:v>
      </x:c>
      <x:c r="N12" s="9" t="n">
        <x:f>-(Model_Data!AC12-Model_Data!F12)*Inputs!$C$12</x:f>
        <x:v>126.52881318916792</x:v>
      </x:c>
      <x:c r="O12" s="10"/>
      <x:c r="P12" s="9" t="n">
        <x:f>Model_Data!A12</x:f>
        <x:v>-55</x:v>
      </x:c>
      <x:c r="Q12" s="9" t="n">
        <x:f>Model_Data!P12</x:f>
        <x:v>464.0967357390764</x:v>
      </x:c>
      <x:c r="R12" s="9" t="n">
        <x:f>Model_Data!AM12</x:f>
        <x:v>517.4251021308919</x:v>
      </x:c>
      <x:c r="S12" s="9" t="n">
        <x:f>Model_Data!Q12</x:f>
        <x:v>69.68419455541688</x:v>
      </x:c>
      <x:c r="T12" s="9" t="n">
        <x:f>Model_Data!AN12</x:f>
        <x:v>77.6914567764102</x:v>
      </x:c>
      <x:c r="U12" s="10"/>
      <x:c r="V12" s="9" t="n">
        <x:f>Model_Data!A12</x:f>
        <x:v>-55</x:v>
      </x:c>
      <x:c r="W12" s="9" t="n">
        <x:f>Model_Data!B12-Inputs!$C$5</x:f>
        <x:v>3.361111111111086</x:v>
      </x:c>
      <x:c r="X12" s="10"/>
      <x:c r="Y12" s="9" t="n">
        <x:f>Model_Data!A12</x:f>
        <x:v>-55</x:v>
      </x:c>
      <x:c r="Z12" s="9" t="n">
        <x:f>0</x:f>
        <x:v>0</x:v>
      </x:c>
      <x:c r="AA12" s="9" t="n">
        <x:f>((SQRT((Inputs!$C$52+Inputs!$C$5)^2+Inputs!$C$52^2-2*(Inputs!$C$52+Inputs!$C$5)*Inputs!$C$52*COS(SQRT((Model_Data!A12)^2+Inputs!$C$6^2)/Inputs!$C$52))-Inputs!$C$5)*1000/Inputs!$C$12)</x:f>
        <x:v>3196.954042025839</x:v>
      </x:c>
      <x:c r="AB12" s="9" t="n">
        <x:f>Model_Data!F12</x:f>
        <x:v>3176.081164429937</x:v>
      </x:c>
    </x:row>
    <x:row r="13">
      <x:c r="A13" s="9" t="n">
        <x:f>Model_Data!A13</x:f>
        <x:v>-54.5</x:v>
      </x:c>
      <x:c r="B13" s="9" t="n">
        <x:f>0</x:f>
        <x:v>0</x:v>
      </x:c>
      <x:c r="C13" s="9" t="n">
        <x:f>((SQRT((Inputs!$C$52+Inputs!$C$5)^2+Inputs!$C$52^2-2*(Inputs!$C$52+Inputs!$C$5)*Inputs!$C$52*COS(SQRT((Model_Data!A13)^2+Inputs!$C$6^2)/Inputs!$C$52))-Inputs!$C$5)*1000/Inputs!$C$12)</x:f>
        <x:v>3149.336938669558</x:v>
      </x:c>
      <x:c r="D13" s="9" t="n">
        <x:f>Model_Data!F13</x:f>
        <x:v>3129.139398909123</x:v>
      </x:c>
      <x:c r="E13" s="9" t="n">
        <x:f>Model_Data!AC13</x:f>
        <x:v>3049.759700025837</x:v>
      </x:c>
      <x:c r="F13" s="10"/>
      <x:c r="G13" s="9" t="n">
        <x:f>Model_Data!A13</x:f>
        <x:v>-54.5</x:v>
      </x:c>
      <x:c r="H13" s="9" t="n">
        <x:f>Model_Data!Y13</x:f>
        <x:v>194.40953580817023</x:v>
      </x:c>
      <x:c r="I13" s="9" t="n">
        <x:f>Model_Data!Y13</x:f>
        <x:v>194.40953580817023</x:v>
      </x:c>
      <x:c r="J13" s="9" t="n">
        <x:f>Model_Data!X13</x:f>
        <x:v>49.77469341509185</x:v>
      </x:c>
      <x:c r="K13" s="9" t="n">
        <x:f>Model_Data!A13</x:f>
        <x:v>-54.5</x:v>
      </x:c>
      <x:c r="L13" s="9" t="n">
        <x:f>Model_Data!Y13</x:f>
        <x:v>194.40953580817023</x:v>
      </x:c>
      <x:c r="M13" s="9" t="n">
        <x:f>Model_Data!X13</x:f>
        <x:v>49.77469341509185</x:v>
      </x:c>
      <x:c r="N13" s="9" t="n">
        <x:f>-(Model_Data!AC13-Model_Data!F13)*Inputs!$C$12</x:f>
        <x:v>141.29586401224904</x:v>
      </x:c>
      <x:c r="O13" s="10"/>
      <x:c r="P13" s="9" t="n">
        <x:f>Model_Data!A13</x:f>
        <x:v>-54.5</x:v>
      </x:c>
      <x:c r="Q13" s="9" t="n">
        <x:f>Model_Data!P13</x:f>
        <x:v>459.9956298745383</x:v>
      </x:c>
      <x:c r="R13" s="9" t="n">
        <x:f>Model_Data!AM13</x:f>
        <x:v>492.04615879461926</x:v>
      </x:c>
      <x:c r="S13" s="9" t="n">
        <x:f>Model_Data!Q13</x:f>
        <x:v>69.06841289407483</x:v>
      </x:c>
      <x:c r="T13" s="9" t="n">
        <x:f>Model_Data!AN13</x:f>
        <x:v>73.88080462381672</x:v>
      </x:c>
      <x:c r="U13" s="10"/>
      <x:c r="V13" s="9" t="n">
        <x:f>Model_Data!A13</x:f>
        <x:v>-54.5</x:v>
      </x:c>
      <x:c r="W13" s="9" t="n">
        <x:f>Model_Data!B13-Inputs!$C$5</x:f>
        <x:v>3.300277777777751</x:v>
      </x:c>
      <x:c r="X13" s="10"/>
      <x:c r="Y13" s="9" t="n">
        <x:f>Model_Data!A13</x:f>
        <x:v>-54.5</x:v>
      </x:c>
      <x:c r="Z13" s="9" t="n">
        <x:f>0</x:f>
        <x:v>0</x:v>
      </x:c>
      <x:c r="AA13" s="9" t="n">
        <x:f>((SQRT((Inputs!$C$52+Inputs!$C$5)^2+Inputs!$C$52^2-2*(Inputs!$C$52+Inputs!$C$5)*Inputs!$C$52*COS(SQRT((Model_Data!A13)^2+Inputs!$C$6^2)/Inputs!$C$52))-Inputs!$C$5)*1000/Inputs!$C$12)</x:f>
        <x:v>3149.336938669558</x:v>
      </x:c>
      <x:c r="AB13" s="9" t="n">
        <x:f>Model_Data!F13</x:f>
        <x:v>3129.139398909123</x:v>
      </x:c>
    </x:row>
    <x:row r="14">
      <x:c r="A14" s="9" t="n">
        <x:f>Model_Data!A14</x:f>
        <x:v>-54</x:v>
      </x:c>
      <x:c r="B14" s="9" t="n">
        <x:f>0</x:f>
        <x:v>0</x:v>
      </x:c>
      <x:c r="C14" s="9" t="n">
        <x:f>((SQRT((Inputs!$C$52+Inputs!$C$5)^2+Inputs!$C$52^2-2*(Inputs!$C$52+Inputs!$C$5)*Inputs!$C$52*COS(SQRT((Model_Data!A14)^2+Inputs!$C$6^2)/Inputs!$C$52))-Inputs!$C$5)*1000/Inputs!$C$12)</x:f>
        <x:v>3102.1447021381323</x:v>
      </x:c>
      <x:c r="D14" s="9" t="n">
        <x:f>Model_Data!F14</x:f>
        <x:v>3082.60579501392</x:v>
      </x:c>
      <x:c r="E14" s="9" t="n">
        <x:f>Model_Data!AC14</x:f>
        <x:v>2995.4391289303594</x:v>
      </x:c>
      <x:c r="F14" s="10"/>
      <x:c r="G14" s="9" t="n">
        <x:f>Model_Data!A14</x:f>
        <x:v>-54</x:v>
      </x:c>
      <x:c r="H14" s="9" t="n">
        <x:f>Model_Data!Y14</x:f>
        <x:v>196.39629745562698</x:v>
      </x:c>
      <x:c r="I14" s="9" t="n">
        <x:f>Model_Data!Y14</x:f>
        <x:v>196.39629745562698</x:v>
      </x:c>
      <x:c r="J14" s="9" t="n">
        <x:f>Model_Data!X14</x:f>
        <x:v>37.91568406723211</x:v>
      </x:c>
      <x:c r="K14" s="9" t="n">
        <x:f>Model_Data!A14</x:f>
        <x:v>-54</x:v>
      </x:c>
      <x:c r="L14" s="9" t="n">
        <x:f>Model_Data!Y14</x:f>
        <x:v>196.39629745562698</x:v>
      </x:c>
      <x:c r="M14" s="9" t="n">
        <x:f>Model_Data!X14</x:f>
        <x:v>37.91568406723211</x:v>
      </x:c>
      <x:c r="N14" s="9" t="n">
        <x:f>-(Model_Data!AC14-Model_Data!F14)*Inputs!$C$12</x:f>
        <x:v>155.15666562873824</x:v>
      </x:c>
      <x:c r="O14" s="10"/>
      <x:c r="P14" s="9" t="n">
        <x:f>Model_Data!A14</x:f>
        <x:v>-54</x:v>
      </x:c>
      <x:c r="Q14" s="9" t="n">
        <x:f>Model_Data!P14</x:f>
        <x:v>455.89141447326256</x:v>
      </x:c>
      <x:c r="R14" s="9" t="n">
        <x:f>Model_Data!AM14</x:f>
        <x:v>488.51245490695874</x:v>
      </x:c>
      <x:c r="S14" s="9" t="n">
        <x:f>Model_Data!Q14</x:f>
        <x:v>68.45216433532471</x:v>
      </x:c>
      <x:c r="T14" s="9" t="n">
        <x:f>Model_Data!AN14</x:f>
        <x:v>73.35021845449832</x:v>
      </x:c>
      <x:c r="U14" s="10"/>
      <x:c r="V14" s="9" t="n">
        <x:f>Model_Data!A14</x:f>
        <x:v>-54</x:v>
      </x:c>
      <x:c r="W14" s="9" t="n">
        <x:f>Model_Data!B14-Inputs!$C$5</x:f>
        <x:v>3.240000000000009</x:v>
      </x:c>
      <x:c r="X14" s="10"/>
      <x:c r="Y14" s="9" t="n">
        <x:f>Model_Data!A14</x:f>
        <x:v>-54</x:v>
      </x:c>
      <x:c r="Z14" s="9" t="n">
        <x:f>0</x:f>
        <x:v>0</x:v>
      </x:c>
      <x:c r="AA14" s="9" t="n">
        <x:f>((SQRT((Inputs!$C$52+Inputs!$C$5)^2+Inputs!$C$52^2-2*(Inputs!$C$52+Inputs!$C$5)*Inputs!$C$52*COS(SQRT((Model_Data!A14)^2+Inputs!$C$6^2)/Inputs!$C$52))-Inputs!$C$5)*1000/Inputs!$C$12)</x:f>
        <x:v>3102.1447021381323</x:v>
      </x:c>
      <x:c r="AB14" s="9" t="n">
        <x:f>Model_Data!F14</x:f>
        <x:v>3082.60579501392</x:v>
      </x:c>
    </x:row>
    <x:row r="15">
      <x:c r="A15" s="9" t="n">
        <x:f>Model_Data!A15</x:f>
        <x:v>-53.5</x:v>
      </x:c>
      <x:c r="B15" s="9" t="n">
        <x:f>0</x:f>
        <x:v>0</x:v>
      </x:c>
      <x:c r="C15" s="9" t="n">
        <x:f>((SQRT((Inputs!$C$52+Inputs!$C$5)^2+Inputs!$C$52^2-2*(Inputs!$C$52+Inputs!$C$5)*Inputs!$C$52*COS(SQRT((Model_Data!A15)^2+Inputs!$C$6^2)/Inputs!$C$52))-Inputs!$C$5)*1000/Inputs!$C$12)</x:f>
        <x:v>3055.3776013572988</x:v>
      </x:c>
      <x:c r="D15" s="9" t="n">
        <x:f>Model_Data!F15</x:f>
        <x:v>3036.480896636179</x:v>
      </x:c>
      <x:c r="E15" s="9" t="n">
        <x:f>Model_Data!AC15</x:f>
        <x:v>2945.383696993052</x:v>
      </x:c>
      <x:c r="F15" s="10"/>
      <x:c r="G15" s="9" t="n">
        <x:f>Model_Data!A15</x:f>
        <x:v>-53.5</x:v>
      </x:c>
      <x:c r="H15" s="9" t="n">
        <x:f>Model_Data!Y15</x:f>
        <x:v>215.04504497494062</x:v>
      </x:c>
      <x:c r="I15" s="9" t="n">
        <x:f>Model_Data!Y15</x:f>
        <x:v>215.04504497494062</x:v>
      </x:c>
      <x:c r="J15" s="9" t="n">
        <x:f>Model_Data!X15</x:f>
        <x:v>49.305692333608725</x:v>
      </x:c>
      <x:c r="K15" s="9" t="n">
        <x:f>Model_Data!A15</x:f>
        <x:v>-53.5</x:v>
      </x:c>
      <x:c r="L15" s="9" t="n">
        <x:f>Model_Data!Y15</x:f>
        <x:v>215.04504497494062</x:v>
      </x:c>
      <x:c r="M15" s="9" t="n">
        <x:f>Model_Data!X15</x:f>
        <x:v>49.305692333608725</x:v>
      </x:c>
      <x:c r="N15" s="9" t="n">
        <x:f>-(Model_Data!AC15-Model_Data!F15)*Inputs!$C$12</x:f>
        <x:v>162.15301536476557</x:v>
      </x:c>
      <x:c r="O15" s="10"/>
      <x:c r="P15" s="9" t="n">
        <x:f>Model_Data!A15</x:f>
        <x:v>-53.5</x:v>
      </x:c>
      <x:c r="Q15" s="9" t="n">
        <x:f>Model_Data!P15</x:f>
        <x:v>451.7841126563326</x:v>
      </x:c>
      <x:c r="R15" s="9" t="n">
        <x:f>Model_Data!AM15</x:f>
        <x:v>489.52310187305557</x:v>
      </x:c>
      <x:c r="S15" s="9" t="n">
        <x:f>Model_Data!Q15</x:f>
        <x:v>67.8354523508007</x:v>
      </x:c>
      <x:c r="T15" s="9" t="n">
        <x:f>Model_Data!AN15</x:f>
        <x:v>73.50196724820655</x:v>
      </x:c>
      <x:c r="U15" s="10"/>
      <x:c r="V15" s="9" t="n">
        <x:f>Model_Data!A15</x:f>
        <x:v>-53.5</x:v>
      </x:c>
      <x:c r="W15" s="9" t="n">
        <x:f>Model_Data!B15-Inputs!$C$5</x:f>
        <x:v>3.1802777777778033</x:v>
      </x:c>
      <x:c r="X15" s="10"/>
      <x:c r="Y15" s="9" t="n">
        <x:f>Model_Data!A15</x:f>
        <x:v>-53.5</x:v>
      </x:c>
      <x:c r="Z15" s="9" t="n">
        <x:f>0</x:f>
        <x:v>0</x:v>
      </x:c>
      <x:c r="AA15" s="9" t="n">
        <x:f>((SQRT((Inputs!$C$52+Inputs!$C$5)^2+Inputs!$C$52^2-2*(Inputs!$C$52+Inputs!$C$5)*Inputs!$C$52*COS(SQRT((Model_Data!A15)^2+Inputs!$C$6^2)/Inputs!$C$52))-Inputs!$C$5)*1000/Inputs!$C$12)</x:f>
        <x:v>3055.3776013572988</x:v>
      </x:c>
      <x:c r="AB15" s="9" t="n">
        <x:f>Model_Data!F15</x:f>
        <x:v>3036.480896636179</x:v>
      </x:c>
    </x:row>
    <x:row r="16">
      <x:c r="A16" s="9" t="n">
        <x:f>Model_Data!A16</x:f>
        <x:v>-53</x:v>
      </x:c>
      <x:c r="B16" s="9" t="n">
        <x:f>0</x:f>
        <x:v>0</x:v>
      </x:c>
      <x:c r="C16" s="9" t="n">
        <x:f>((SQRT((Inputs!$C$52+Inputs!$C$5)^2+Inputs!$C$52^2-2*(Inputs!$C$52+Inputs!$C$5)*Inputs!$C$52*COS(SQRT((Model_Data!A16)^2+Inputs!$C$6^2)/Inputs!$C$52))-Inputs!$C$5)*1000/Inputs!$C$12)</x:f>
        <x:v>3009.035903051642</x:v>
      </x:c>
      <x:c r="D16" s="9" t="n">
        <x:f>Model_Data!F16</x:f>
        <x:v>2990.7652435974414</x:v>
      </x:c>
      <x:c r="E16" s="9" t="n">
        <x:f>Model_Data!AC16</x:f>
        <x:v>2899.9240125451092</x:v>
      </x:c>
      <x:c r="F16" s="10"/>
      <x:c r="G16" s="9" t="n">
        <x:f>Model_Data!A16</x:f>
        <x:v>-53</x:v>
      </x:c>
      <x:c r="H16" s="9" t="n">
        <x:f>Model_Data!Y16</x:f>
        <x:v>220.27863667842527</x:v>
      </x:c>
      <x:c r="I16" s="9" t="n">
        <x:f>Model_Data!Y16</x:f>
        <x:v>220.27863667842527</x:v>
      </x:c>
      <x:c r="J16" s="9" t="n">
        <x:f>Model_Data!X16</x:f>
        <x:v>54.9618266833629</x:v>
      </x:c>
      <x:c r="K16" s="9" t="n">
        <x:f>Model_Data!A16</x:f>
        <x:v>-53</x:v>
      </x:c>
      <x:c r="L16" s="9" t="n">
        <x:f>Model_Data!Y16</x:f>
        <x:v>220.27863667842527</x:v>
      </x:c>
      <x:c r="M16" s="9" t="n">
        <x:f>Model_Data!X16</x:f>
        <x:v>54.9618266833629</x:v>
      </x:c>
      <x:c r="N16" s="9" t="n">
        <x:f>-(Model_Data!AC16-Model_Data!F16)*Inputs!$C$12</x:f>
        <x:v>161.69739127315134</x:v>
      </x:c>
      <x:c r="O16" s="10"/>
      <x:c r="P16" s="9" t="n">
        <x:f>Model_Data!A16</x:f>
        <x:v>-53</x:v>
      </x:c>
      <x:c r="Q16" s="9" t="n">
        <x:f>Model_Data!P16</x:f>
        <x:v>447.67374769307935</x:v>
      </x:c>
      <x:c r="R16" s="9" t="n">
        <x:f>Model_Data!AM16</x:f>
        <x:v>468.99927804070103</x:v>
      </x:c>
      <x:c r="S16" s="9" t="n">
        <x:f>Model_Data!Q16</x:f>
        <x:v>67.2182804343963</x:v>
      </x:c>
      <x:c r="T16" s="9" t="n">
        <x:f>Model_Data!AN16</x:f>
        <x:v>70.42031201812328</x:v>
      </x:c>
      <x:c r="U16" s="10"/>
      <x:c r="V16" s="9" t="n">
        <x:f>Model_Data!A16</x:f>
        <x:v>-53</x:v>
      </x:c>
      <x:c r="W16" s="9" t="n">
        <x:f>Model_Data!B16-Inputs!$C$5</x:f>
        <x:v>3.1211111111111336</x:v>
      </x:c>
      <x:c r="X16" s="10"/>
      <x:c r="Y16" s="9" t="n">
        <x:f>Model_Data!A16</x:f>
        <x:v>-53</x:v>
      </x:c>
      <x:c r="Z16" s="9" t="n">
        <x:f>0</x:f>
        <x:v>0</x:v>
      </x:c>
      <x:c r="AA16" s="9" t="n">
        <x:f>((SQRT((Inputs!$C$52+Inputs!$C$5)^2+Inputs!$C$52^2-2*(Inputs!$C$52+Inputs!$C$5)*Inputs!$C$52*COS(SQRT((Model_Data!A16)^2+Inputs!$C$6^2)/Inputs!$C$52))-Inputs!$C$5)*1000/Inputs!$C$12)</x:f>
        <x:v>3009.035903051642</x:v>
      </x:c>
      <x:c r="AB16" s="9" t="n">
        <x:f>Model_Data!F16</x:f>
        <x:v>2990.7652435974414</x:v>
      </x:c>
    </x:row>
    <x:row r="17">
      <x:c r="A17" s="9" t="n">
        <x:f>Model_Data!A17</x:f>
        <x:v>-52.5</x:v>
      </x:c>
      <x:c r="B17" s="9" t="n">
        <x:f>0</x:f>
        <x:v>0</x:v>
      </x:c>
      <x:c r="C17" s="9" t="n">
        <x:f>((SQRT((Inputs!$C$52+Inputs!$C$5)^2+Inputs!$C$52^2-2*(Inputs!$C$52+Inputs!$C$5)*Inputs!$C$52*COS(SQRT((Model_Data!A17)^2+Inputs!$C$6^2)/Inputs!$C$52))-Inputs!$C$5)*1000/Inputs!$C$12)</x:f>
        <x:v>2963.1198717330712</x:v>
      </x:c>
      <x:c r="D17" s="9" t="n">
        <x:f>Model_Data!F17</x:f>
        <x:v>2945.459371619116</x:v>
      </x:c>
      <x:c r="E17" s="9" t="n">
        <x:f>Model_Data!AC17</x:f>
        <x:v>2842.7213801928137</x:v>
      </x:c>
      <x:c r="F17" s="10"/>
      <x:c r="G17" s="9" t="n">
        <x:f>Model_Data!A17</x:f>
        <x:v>-52.5</x:v>
      </x:c>
      <x:c r="H17" s="9" t="n">
        <x:f>Model_Data!Y17</x:f>
        <x:v>228.48571186718385</x:v>
      </x:c>
      <x:c r="I17" s="9" t="n">
        <x:f>Model_Data!Y17</x:f>
        <x:v>228.48571186718385</x:v>
      </x:c>
      <x:c r="J17" s="9" t="n">
        <x:f>Model_Data!X17</x:f>
        <x:v>41.913539426844665</x:v>
      </x:c>
      <x:c r="K17" s="9" t="n">
        <x:f>Model_Data!A17</x:f>
        <x:v>-52.5</x:v>
      </x:c>
      <x:c r="L17" s="9" t="n">
        <x:f>Model_Data!Y17</x:f>
        <x:v>228.48571186718385</x:v>
      </x:c>
      <x:c r="M17" s="9" t="n">
        <x:f>Model_Data!X17</x:f>
        <x:v>41.913539426844665</x:v>
      </x:c>
      <x:c r="N17" s="9" t="n">
        <x:f>-(Model_Data!AC17-Model_Data!F17)*Inputs!$C$12</x:f>
        <x:v>182.8736247388183</x:v>
      </x:c>
      <x:c r="O17" s="10"/>
      <x:c r="P17" s="9" t="n">
        <x:f>Model_Data!A17</x:f>
        <x:v>-52.5</x:v>
      </x:c>
      <x:c r="Q17" s="9" t="n">
        <x:f>Model_Data!P17</x:f>
        <x:v>443.56034297125007</x:v>
      </x:c>
      <x:c r="R17" s="9" t="n">
        <x:f>Model_Data!AM17</x:f>
        <x:v>476.7410332173313</x:v>
      </x:c>
      <x:c r="S17" s="9" t="n">
        <x:f>Model_Data!Q17</x:f>
        <x:v>66.6006520977853</x:v>
      </x:c>
      <x:c r="T17" s="9" t="n">
        <x:f>Model_Data!AN17</x:f>
        <x:v>71.58273772032001</x:v>
      </x:c>
      <x:c r="U17" s="10"/>
      <x:c r="V17" s="9" t="n">
        <x:f>Model_Data!A17</x:f>
        <x:v>-52.5</x:v>
      </x:c>
      <x:c r="W17" s="9" t="n">
        <x:f>Model_Data!B17-Inputs!$C$5</x:f>
        <x:v>3.0625</x:v>
      </x:c>
      <x:c r="X17" s="10"/>
      <x:c r="Y17" s="9" t="n">
        <x:f>Model_Data!A17</x:f>
        <x:v>-52.5</x:v>
      </x:c>
      <x:c r="Z17" s="9" t="n">
        <x:f>0</x:f>
        <x:v>0</x:v>
      </x:c>
      <x:c r="AA17" s="9" t="n">
        <x:f>((SQRT((Inputs!$C$52+Inputs!$C$5)^2+Inputs!$C$52^2-2*(Inputs!$C$52+Inputs!$C$5)*Inputs!$C$52*COS(SQRT((Model_Data!A17)^2+Inputs!$C$6^2)/Inputs!$C$52))-Inputs!$C$5)*1000/Inputs!$C$12)</x:f>
        <x:v>2963.1198717330712</x:v>
      </x:c>
      <x:c r="AB17" s="9" t="n">
        <x:f>Model_Data!F17</x:f>
        <x:v>2945.459371619116</x:v>
      </x:c>
    </x:row>
    <x:row r="18">
      <x:c r="A18" s="9" t="n">
        <x:f>Model_Data!A18</x:f>
        <x:v>-52</x:v>
      </x:c>
      <x:c r="B18" s="9" t="n">
        <x:f>0</x:f>
        <x:v>0</x:v>
      </x:c>
      <x:c r="C18" s="9" t="n">
        <x:f>((SQRT((Inputs!$C$52+Inputs!$C$5)^2+Inputs!$C$52^2-2*(Inputs!$C$52+Inputs!$C$5)*Inputs!$C$52*COS(SQRT((Model_Data!A18)^2+Inputs!$C$6^2)/Inputs!$C$52))-Inputs!$C$5)*1000/Inputs!$C$12)</x:f>
        <x:v>2917.629769696665</x:v>
      </x:c>
      <x:c r="D18" s="9" t="n">
        <x:f>Model_Data!F18</x:f>
        <x:v>2900.5638123107237</x:v>
      </x:c>
      <x:c r="E18" s="9" t="n">
        <x:f>Model_Data!AC18</x:f>
        <x:v>2791.9189216850345</x:v>
      </x:c>
      <x:c r="F18" s="10"/>
      <x:c r="G18" s="9" t="n">
        <x:f>Model_Data!A18</x:f>
        <x:v>-52</x:v>
      </x:c>
      <x:c r="H18" s="9" t="n">
        <x:f>Model_Data!Y18</x:f>
        <x:v>241.24392327938918</x:v>
      </x:c>
      <x:c r="I18" s="9" t="n">
        <x:f>Model_Data!Y18</x:f>
        <x:v>241.24392327938918</x:v>
      </x:c>
      <x:c r="J18" s="9" t="n">
        <x:f>Model_Data!X18</x:f>
        <x:v>44.0092440465048</x:v>
      </x:c>
      <x:c r="K18" s="9" t="n">
        <x:f>Model_Data!A18</x:f>
        <x:v>-52</x:v>
      </x:c>
      <x:c r="L18" s="9" t="n">
        <x:f>Model_Data!Y18</x:f>
        <x:v>241.24392327938918</x:v>
      </x:c>
      <x:c r="M18" s="9" t="n">
        <x:f>Model_Data!X18</x:f>
        <x:v>44.0092440465048</x:v>
      </x:c>
      <x:c r="N18" s="9" t="n">
        <x:f>-(Model_Data!AC18-Model_Data!F18)*Inputs!$C$12</x:f>
        <x:v>193.38790531372675</x:v>
      </x:c>
      <x:c r="O18" s="10"/>
      <x:c r="P18" s="9" t="n">
        <x:f>Model_Data!A18</x:f>
        <x:v>-52</x:v>
      </x:c>
      <x:c r="Q18" s="9" t="n">
        <x:f>Model_Data!P18</x:f>
        <x:v>439.4439220161985</x:v>
      </x:c>
      <x:c r="R18" s="9" t="n">
        <x:f>Model_Data!AM18</x:f>
        <x:v>491.44939474927014</x:v>
      </x:c>
      <x:c r="S18" s="9" t="n">
        <x:f>Model_Data!Q18</x:f>
        <x:v>65.98257087330308</x:v>
      </x:c>
      <x:c r="T18" s="9" t="n">
        <x:f>Model_Data!AN18</x:f>
        <x:v>73.79120041280333</x:v>
      </x:c>
      <x:c r="U18" s="10"/>
      <x:c r="V18" s="9" t="n">
        <x:f>Model_Data!A18</x:f>
        <x:v>-52</x:v>
      </x:c>
      <x:c r="W18" s="9" t="n">
        <x:f>Model_Data!B18-Inputs!$C$5</x:f>
        <x:v>3.0044444444444594</x:v>
      </x:c>
      <x:c r="X18" s="10"/>
      <x:c r="Y18" s="9" t="n">
        <x:f>Model_Data!A18</x:f>
        <x:v>-52</x:v>
      </x:c>
      <x:c r="Z18" s="9" t="n">
        <x:f>0</x:f>
        <x:v>0</x:v>
      </x:c>
      <x:c r="AA18" s="9" t="n">
        <x:f>((SQRT((Inputs!$C$52+Inputs!$C$5)^2+Inputs!$C$52^2-2*(Inputs!$C$52+Inputs!$C$5)*Inputs!$C$52*COS(SQRT((Model_Data!A18)^2+Inputs!$C$6^2)/Inputs!$C$52))-Inputs!$C$5)*1000/Inputs!$C$12)</x:f>
        <x:v>2917.629769696665</x:v>
      </x:c>
      <x:c r="AB18" s="9" t="n">
        <x:f>Model_Data!F18</x:f>
        <x:v>2900.5638123107237</x:v>
      </x:c>
    </x:row>
    <x:row r="19">
      <x:c r="A19" s="9" t="n">
        <x:f>Model_Data!A19</x:f>
        <x:v>-51.5</x:v>
      </x:c>
      <x:c r="B19" s="9" t="n">
        <x:f>0</x:f>
        <x:v>0</x:v>
      </x:c>
      <x:c r="C19" s="9" t="n">
        <x:f>((SQRT((Inputs!$C$52+Inputs!$C$5)^2+Inputs!$C$52^2-2*(Inputs!$C$52+Inputs!$C$5)*Inputs!$C$52*COS(SQRT((Model_Data!A19)^2+Inputs!$C$6^2)/Inputs!$C$52))-Inputs!$C$5)*1000/Inputs!$C$12)</x:f>
        <x:v>2872.5658570103246</x:v>
      </x:c>
      <x:c r="D19" s="9" t="n">
        <x:f>Model_Data!F19</x:f>
        <x:v>2856.0790931333977</x:v>
      </x:c>
      <x:c r="E19" s="9" t="n">
        <x:f>Model_Data!AC19</x:f>
        <x:v>2729.787539571201</x:v>
      </x:c>
      <x:c r="F19" s="10"/>
      <x:c r="G19" s="9" t="n">
        <x:f>Model_Data!A19</x:f>
        <x:v>-51.5</x:v>
      </x:c>
      <x:c r="H19" s="9" t="n">
        <x:f>Model_Data!Y19</x:f>
        <x:v>261.3961473371179</x:v>
      </x:c>
      <x:c r="I19" s="9" t="n">
        <x:f>Model_Data!Y19</x:f>
        <x:v>261.3961473371179</x:v>
      </x:c>
      <x:c r="J19" s="9" t="n">
        <x:f>Model_Data!X19</x:f>
        <x:v>32.491619283106324</x:v>
      </x:c>
      <x:c r="K19" s="9" t="n">
        <x:f>Model_Data!A19</x:f>
        <x:v>-51.5</x:v>
      </x:c>
      <x:c r="L19" s="9" t="n">
        <x:f>Model_Data!Y19</x:f>
        <x:v>261.3961473371179</x:v>
      </x:c>
      <x:c r="M19" s="9" t="n">
        <x:f>Model_Data!X19</x:f>
        <x:v>32.491619283106324</x:v>
      </x:c>
      <x:c r="N19" s="9" t="n">
        <x:f>-(Model_Data!AC19-Model_Data!F19)*Inputs!$C$12</x:f>
        <x:v>224.79896534071048</x:v>
      </x:c>
      <x:c r="O19" s="10"/>
      <x:c r="P19" s="9" t="n">
        <x:f>Model_Data!A19</x:f>
        <x:v>-51.5</x:v>
      </x:c>
      <x:c r="Q19" s="9" t="n">
        <x:f>Model_Data!P19</x:f>
        <x:v>435.32450851025715</x:v>
      </x:c>
      <x:c r="R19" s="9" t="n">
        <x:f>Model_Data!AM19</x:f>
        <x:v>452.40092921339965</x:v>
      </x:c>
      <x:c r="S19" s="9" t="n">
        <x:f>Model_Data!Q19</x:f>
        <x:v>65.36404031685544</x:v>
      </x:c>
      <x:c r="T19" s="9" t="n">
        <x:f>Model_Data!AN19</x:f>
        <x:v>67.92806744945942</x:v>
      </x:c>
      <x:c r="U19" s="10"/>
      <x:c r="V19" s="9" t="n">
        <x:f>Model_Data!A19</x:f>
        <x:v>-51.5</x:v>
      </x:c>
      <x:c r="W19" s="9" t="n">
        <x:f>Model_Data!B19-Inputs!$C$5</x:f>
        <x:v>2.946944444444455</x:v>
      </x:c>
      <x:c r="X19" s="10"/>
      <x:c r="Y19" s="9" t="n">
        <x:f>Model_Data!A19</x:f>
        <x:v>-51.5</x:v>
      </x:c>
      <x:c r="Z19" s="9" t="n">
        <x:f>0</x:f>
        <x:v>0</x:v>
      </x:c>
      <x:c r="AA19" s="9" t="n">
        <x:f>((SQRT((Inputs!$C$52+Inputs!$C$5)^2+Inputs!$C$52^2-2*(Inputs!$C$52+Inputs!$C$5)*Inputs!$C$52*COS(SQRT((Model_Data!A19)^2+Inputs!$C$6^2)/Inputs!$C$52))-Inputs!$C$5)*1000/Inputs!$C$12)</x:f>
        <x:v>2872.5658570103246</x:v>
      </x:c>
      <x:c r="AB19" s="9" t="n">
        <x:f>Model_Data!F19</x:f>
        <x:v>2856.0790931333977</x:v>
      </x:c>
    </x:row>
    <x:row r="20">
      <x:c r="A20" s="9" t="n">
        <x:f>Model_Data!A20</x:f>
        <x:v>-51</x:v>
      </x:c>
      <x:c r="B20" s="9" t="n">
        <x:f>0</x:f>
        <x:v>0</x:v>
      </x:c>
      <x:c r="C20" s="9" t="n">
        <x:f>((SQRT((Inputs!$C$52+Inputs!$C$5)^2+Inputs!$C$52^2-2*(Inputs!$C$52+Inputs!$C$5)*Inputs!$C$52*COS(SQRT((Model_Data!A20)^2+Inputs!$C$6^2)/Inputs!$C$52))-Inputs!$C$5)*1000/Inputs!$C$12)</x:f>
        <x:v>2827.928391510338</x:v>
      </x:c>
      <x:c r="D20" s="9" t="n">
        <x:f>Model_Data!F20</x:f>
        <x:v>2812.005737381264</x:v>
      </x:c>
      <x:c r="E20" s="9" t="n">
        <x:f>Model_Data!AC20</x:f>
        <x:v>2694.611863385233</x:v>
      </x:c>
      <x:c r="F20" s="10"/>
      <x:c r="G20" s="9" t="n">
        <x:f>Model_Data!A20</x:f>
        <x:v>-51</x:v>
      </x:c>
      <x:c r="H20" s="9" t="n">
        <x:f>Model_Data!Y20</x:f>
        <x:v>251.96732827517536</x:v>
      </x:c>
      <x:c r="I20" s="9" t="n">
        <x:f>Model_Data!Y20</x:f>
        <x:v>251.96732827517536</x:v>
      </x:c>
      <x:c r="J20" s="9" t="n">
        <x:f>Model_Data!X20</x:f>
        <x:v>39.10881658677256</x:v>
      </x:c>
      <x:c r="K20" s="9" t="n">
        <x:f>Model_Data!A20</x:f>
        <x:v>-51</x:v>
      </x:c>
      <x:c r="L20" s="9" t="n">
        <x:f>Model_Data!Y20</x:f>
        <x:v>251.96732827517536</x:v>
      </x:c>
      <x:c r="M20" s="9" t="n">
        <x:f>Model_Data!X20</x:f>
        <x:v>39.10881658677256</x:v>
      </x:c>
      <x:c r="N20" s="9" t="n">
        <x:f>-(Model_Data!AC20-Model_Data!F20)*Inputs!$C$12</x:f>
        <x:v>208.9610957129357</x:v>
      </x:c>
      <x:c r="O20" s="10"/>
      <x:c r="P20" s="9" t="n">
        <x:f>Model_Data!A20</x:f>
        <x:v>-51</x:v>
      </x:c>
      <x:c r="Q20" s="9" t="n">
        <x:f>Model_Data!P20</x:f>
        <x:v>431.2021262460803</x:v>
      </x:c>
      <x:c r="R20" s="9" t="n">
        <x:f>Model_Data!AM20</x:f>
        <x:v>413.01562584203566</x:v>
      </x:c>
      <x:c r="S20" s="9" t="n">
        <x:f>Model_Data!Q20</x:f>
        <x:v>64.74506400091296</x:v>
      </x:c>
      <x:c r="T20" s="9" t="n">
        <x:f>Model_Data!AN20</x:f>
        <x:v>62.01435823453989</x:v>
      </x:c>
      <x:c r="U20" s="10"/>
      <x:c r="V20" s="9" t="n">
        <x:f>Model_Data!A20</x:f>
        <x:v>-51</x:v>
      </x:c>
      <x:c r="W20" s="9" t="n">
        <x:f>Model_Data!B20-Inputs!$C$5</x:f>
        <x:v>2.8899999999999864</x:v>
      </x:c>
      <x:c r="X20" s="10"/>
      <x:c r="Y20" s="9" t="n">
        <x:f>Model_Data!A20</x:f>
        <x:v>-51</x:v>
      </x:c>
      <x:c r="Z20" s="9" t="n">
        <x:f>0</x:f>
        <x:v>0</x:v>
      </x:c>
      <x:c r="AA20" s="9" t="n">
        <x:f>((SQRT((Inputs!$C$52+Inputs!$C$5)^2+Inputs!$C$52^2-2*(Inputs!$C$52+Inputs!$C$5)*Inputs!$C$52*COS(SQRT((Model_Data!A20)^2+Inputs!$C$6^2)/Inputs!$C$52))-Inputs!$C$5)*1000/Inputs!$C$12)</x:f>
        <x:v>2827.928391510338</x:v>
      </x:c>
      <x:c r="AB20" s="9" t="n">
        <x:f>Model_Data!F20</x:f>
        <x:v>2812.005737381264</x:v>
      </x:c>
    </x:row>
    <x:row r="21">
      <x:c r="A21" s="9" t="n">
        <x:f>Model_Data!A21</x:f>
        <x:v>-50.5</x:v>
      </x:c>
      <x:c r="B21" s="9" t="n">
        <x:f>0</x:f>
        <x:v>0</x:v>
      </x:c>
      <x:c r="C21" s="9" t="n">
        <x:f>((SQRT((Inputs!$C$52+Inputs!$C$5)^2+Inputs!$C$52^2-2*(Inputs!$C$52+Inputs!$C$5)*Inputs!$C$52*COS(SQRT((Model_Data!A21)^2+Inputs!$C$6^2)/Inputs!$C$52))-Inputs!$C$5)*1000/Inputs!$C$12)</x:f>
        <x:v>2783.717628794319</x:v>
      </x:c>
      <x:c r="D21" s="9" t="n">
        <x:f>Model_Data!F21</x:f>
        <x:v>2768.3442641612314</x:v>
      </x:c>
      <x:c r="E21" s="9" t="n">
        <x:f>Model_Data!AC21</x:f>
        <x:v>2657.1486517060534</x:v>
      </x:c>
      <x:c r="F21" s="10"/>
      <x:c r="G21" s="9" t="n">
        <x:f>Model_Data!A21</x:f>
        <x:v>-50.5</x:v>
      </x:c>
      <x:c r="H21" s="9" t="n">
        <x:f>Model_Data!Y21</x:f>
        <x:v>249.7278681272967</x:v>
      </x:c>
      <x:c r="I21" s="9" t="n">
        <x:f>Model_Data!Y21</x:f>
        <x:v>249.7278681272967</x:v>
      </x:c>
      <x:c r="J21" s="9" t="n">
        <x:f>Model_Data!X21</x:f>
        <x:v>47.99583170220943</x:v>
      </x:c>
      <x:c r="K21" s="9" t="n">
        <x:f>Model_Data!A21</x:f>
        <x:v>-50.5</x:v>
      </x:c>
      <x:c r="L21" s="9" t="n">
        <x:f>Model_Data!Y21</x:f>
        <x:v>249.7278681272967</x:v>
      </x:c>
      <x:c r="M21" s="9" t="n">
        <x:f>Model_Data!X21</x:f>
        <x:v>47.99583170220943</x:v>
      </x:c>
      <x:c r="N21" s="9" t="n">
        <x:f>-(Model_Data!AC21-Model_Data!F21)*Inputs!$C$12</x:f>
        <x:v>197.9281901702168</x:v>
      </x:c>
      <x:c r="O21" s="10"/>
      <x:c r="P21" s="9" t="n">
        <x:f>Model_Data!A21</x:f>
        <x:v>-50.5</x:v>
      </x:c>
      <x:c r="Q21" s="9" t="n">
        <x:f>Model_Data!P21</x:f>
        <x:v>427.0767991610228</x:v>
      </x:c>
      <x:c r="R21" s="9" t="n">
        <x:f>Model_Data!AM21</x:f>
        <x:v>461.5402613873812</x:v>
      </x:c>
      <x:c r="S21" s="9" t="n">
        <x:f>Model_Data!Q21</x:f>
        <x:v>64.1256455196731</x:v>
      </x:c>
      <x:c r="T21" s="9" t="n">
        <x:f>Model_Data!AN21</x:f>
        <x:v>69.30033954765484</x:v>
      </x:c>
      <x:c r="U21" s="10"/>
      <x:c r="V21" s="9" t="n">
        <x:f>Model_Data!A21</x:f>
        <x:v>-50.5</x:v>
      </x:c>
      <x:c r="W21" s="9" t="n">
        <x:f>Model_Data!B21-Inputs!$C$5</x:f>
        <x:v>2.833611111111111</x:v>
      </x:c>
      <x:c r="X21" s="10"/>
      <x:c r="Y21" s="9" t="n">
        <x:f>Model_Data!A21</x:f>
        <x:v>-50.5</x:v>
      </x:c>
      <x:c r="Z21" s="9" t="n">
        <x:f>0</x:f>
        <x:v>0</x:v>
      </x:c>
      <x:c r="AA21" s="9" t="n">
        <x:f>((SQRT((Inputs!$C$52+Inputs!$C$5)^2+Inputs!$C$52^2-2*(Inputs!$C$52+Inputs!$C$5)*Inputs!$C$52*COS(SQRT((Model_Data!A21)^2+Inputs!$C$6^2)/Inputs!$C$52))-Inputs!$C$5)*1000/Inputs!$C$12)</x:f>
        <x:v>2783.717628794319</x:v>
      </x:c>
      <x:c r="AB21" s="9" t="n">
        <x:f>Model_Data!F21</x:f>
        <x:v>2768.3442641612314</x:v>
      </x:c>
    </x:row>
    <x:row r="22">
      <x:c r="A22" s="9" t="n">
        <x:f>Model_Data!A22</x:f>
        <x:v>-50</x:v>
      </x:c>
      <x:c r="B22" s="9" t="n">
        <x:f>0</x:f>
        <x:v>0</x:v>
      </x:c>
      <x:c r="C22" s="9" t="n">
        <x:f>((SQRT((Inputs!$C$52+Inputs!$C$5)^2+Inputs!$C$52^2-2*(Inputs!$C$52+Inputs!$C$5)*Inputs!$C$52*COS(SQRT((Model_Data!A22)^2+Inputs!$C$6^2)/Inputs!$C$52))-Inputs!$C$5)*1000/Inputs!$C$12)</x:f>
        <x:v>2739.9338222122688</x:v>
      </x:c>
      <x:c r="D22" s="9" t="n">
        <x:f>Model_Data!F22</x:f>
        <x:v>2725.0951883624866</x:v>
      </x:c>
      <x:c r="E22" s="9" t="n">
        <x:f>Model_Data!AC22</x:f>
        <x:v>2589.94060604409</x:v>
      </x:c>
      <x:c r="F22" s="10"/>
      <x:c r="G22" s="9" t="n">
        <x:f>Model_Data!A22</x:f>
        <x:v>-50</x:v>
      </x:c>
      <x:c r="H22" s="9" t="n">
        <x:f>Model_Data!Y22</x:f>
        <x:v>273.71504099052385</x:v>
      </x:c>
      <x:c r="I22" s="9" t="n">
        <x:f>Model_Data!Y22</x:f>
        <x:v>273.71504099052385</x:v>
      </x:c>
      <x:c r="J22" s="9" t="n">
        <x:f>Model_Data!X22</x:f>
        <x:v>29.034419664389077</x:v>
      </x:c>
      <x:c r="K22" s="9" t="n">
        <x:f>Model_Data!A22</x:f>
        <x:v>-50</x:v>
      </x:c>
      <x:c r="L22" s="9" t="n">
        <x:f>Model_Data!Y22</x:f>
        <x:v>273.71504099052385</x:v>
      </x:c>
      <x:c r="M22" s="9" t="n">
        <x:f>Model_Data!X22</x:f>
        <x:v>29.034419664389077</x:v>
      </x:c>
      <x:c r="N22" s="9" t="n">
        <x:f>-(Model_Data!AC22-Model_Data!F22)*Inputs!$C$12</x:f>
        <x:v>240.57515652674573</x:v>
      </x:c>
      <x:c r="O22" s="10"/>
      <x:c r="P22" s="9" t="n">
        <x:f>Model_Data!A22</x:f>
        <x:v>-50</x:v>
      </x:c>
      <x:c r="Q22" s="9" t="n">
        <x:f>Model_Data!P22</x:f>
        <x:v>422.9485513214968</x:v>
      </x:c>
      <x:c r="R22" s="9" t="n">
        <x:f>Model_Data!AM22</x:f>
        <x:v>437.62067462375853</x:v>
      </x:c>
      <x:c r="S22" s="9" t="n">
        <x:f>Model_Data!Q22</x:f>
        <x:v>63.50578848671123</x:v>
      </x:c>
      <x:c r="T22" s="9" t="n">
        <x:f>Model_Data!AN22</x:f>
        <x:v>65.70881000356735</x:v>
      </x:c>
      <x:c r="U22" s="10"/>
      <x:c r="V22" s="9" t="n">
        <x:f>Model_Data!A22</x:f>
        <x:v>-50</x:v>
      </x:c>
      <x:c r="W22" s="9" t="n">
        <x:f>Model_Data!B22-Inputs!$C$5</x:f>
        <x:v>2.7777777777777715</x:v>
      </x:c>
      <x:c r="X22" s="10"/>
      <x:c r="Y22" s="9" t="n">
        <x:f>Model_Data!A22</x:f>
        <x:v>-50</x:v>
      </x:c>
      <x:c r="Z22" s="9" t="n">
        <x:f>0</x:f>
        <x:v>0</x:v>
      </x:c>
      <x:c r="AA22" s="9" t="n">
        <x:f>((SQRT((Inputs!$C$52+Inputs!$C$5)^2+Inputs!$C$52^2-2*(Inputs!$C$52+Inputs!$C$5)*Inputs!$C$52*COS(SQRT((Model_Data!A22)^2+Inputs!$C$6^2)/Inputs!$C$52))-Inputs!$C$5)*1000/Inputs!$C$12)</x:f>
        <x:v>2739.9338222122688</x:v>
      </x:c>
      <x:c r="AB22" s="9" t="n">
        <x:f>Model_Data!F22</x:f>
        <x:v>2725.0951883624866</x:v>
      </x:c>
    </x:row>
    <x:row r="23">
      <x:c r="A23" s="9" t="n">
        <x:f>Model_Data!A23</x:f>
        <x:v>-49.5</x:v>
      </x:c>
      <x:c r="B23" s="9" t="n">
        <x:f>0</x:f>
        <x:v>0</x:v>
      </x:c>
      <x:c r="C23" s="9" t="n">
        <x:f>((SQRT((Inputs!$C$52+Inputs!$C$5)^2+Inputs!$C$52^2-2*(Inputs!$C$52+Inputs!$C$5)*Inputs!$C$52*COS(SQRT((Model_Data!A23)^2+Inputs!$C$6^2)/Inputs!$C$52))-Inputs!$C$5)*1000/Inputs!$C$12)</x:f>
        <x:v>2696.577222862134</x:v>
      </x:c>
      <x:c r="D23" s="9" t="n">
        <x:f>Model_Data!F23</x:f>
        <x:v>2682.2590206416526</x:v>
      </x:c>
      <x:c r="E23" s="9" t="n">
        <x:f>Model_Data!AC23</x:f>
        <x:v>2568.107626458024</x:v>
      </x:c>
      <x:c r="F23" s="10"/>
      <x:c r="G23" s="9" t="n">
        <x:f>Model_Data!A23</x:f>
        <x:v>-49.5</x:v>
      </x:c>
      <x:c r="H23" s="9" t="n">
        <x:f>Model_Data!Y23</x:f>
        <x:v>258.91748425644914</x:v>
      </x:c>
      <x:c r="I23" s="9" t="n">
        <x:f>Model_Data!Y23</x:f>
        <x:v>258.91748425644914</x:v>
      </x:c>
      <x:c r="J23" s="9" t="n">
        <x:f>Model_Data!X23</x:f>
        <x:v>51.90461728837901</x:v>
      </x:c>
      <x:c r="K23" s="9" t="n">
        <x:f>Model_Data!A23</x:f>
        <x:v>-49.5</x:v>
      </x:c>
      <x:c r="L23" s="9" t="n">
        <x:f>Model_Data!Y23</x:f>
        <x:v>258.91748425644914</x:v>
      </x:c>
      <x:c r="M23" s="9" t="n">
        <x:f>Model_Data!X23</x:f>
        <x:v>51.90461728837901</x:v>
      </x:c>
      <x:c r="N23" s="9" t="n">
        <x:f>-(Model_Data!AC23-Model_Data!F23)*Inputs!$C$12</x:f>
        <x:v>203.18948164685924</x:v>
      </x:c>
      <x:c r="O23" s="10"/>
      <x:c r="P23" s="9" t="n">
        <x:f>Model_Data!A23</x:f>
        <x:v>-49.5</x:v>
      </x:c>
      <x:c r="Q23" s="9" t="n">
        <x:f>Model_Data!P23</x:f>
        <x:v>418.81740692178937</x:v>
      </x:c>
      <x:c r="R23" s="9" t="n">
        <x:f>Model_Data!AM23</x:f>
        <x:v>411.2584073795915</x:v>
      </x:c>
      <x:c r="S23" s="9" t="n">
        <x:f>Model_Data!Q23</x:f>
        <x:v>62.88549653480322</x:v>
      </x:c>
      <x:c r="T23" s="9" t="n">
        <x:f>Model_Data!AN23</x:f>
        <x:v>61.75051161855729</x:v>
      </x:c>
      <x:c r="U23" s="10"/>
      <x:c r="V23" s="9" t="n">
        <x:f>Model_Data!A23</x:f>
        <x:v>-49.5</x:v>
      </x:c>
      <x:c r="W23" s="9" t="n">
        <x:f>Model_Data!B23-Inputs!$C$5</x:f>
        <x:v>2.722500000000025</x:v>
      </x:c>
      <x:c r="X23" s="10"/>
      <x:c r="Y23" s="9" t="n">
        <x:f>Model_Data!A23</x:f>
        <x:v>-49.5</x:v>
      </x:c>
      <x:c r="Z23" s="9" t="n">
        <x:f>0</x:f>
        <x:v>0</x:v>
      </x:c>
      <x:c r="AA23" s="9" t="n">
        <x:f>((SQRT((Inputs!$C$52+Inputs!$C$5)^2+Inputs!$C$52^2-2*(Inputs!$C$52+Inputs!$C$5)*Inputs!$C$52*COS(SQRT((Model_Data!A23)^2+Inputs!$C$6^2)/Inputs!$C$52))-Inputs!$C$5)*1000/Inputs!$C$12)</x:f>
        <x:v>2696.577222862134</x:v>
      </x:c>
      <x:c r="AB23" s="9" t="n">
        <x:f>Model_Data!F23</x:f>
        <x:v>2682.2590206416526</x:v>
      </x:c>
    </x:row>
    <x:row r="24">
      <x:c r="A24" s="9" t="n">
        <x:f>Model_Data!A24</x:f>
        <x:v>-49</x:v>
      </x:c>
      <x:c r="B24" s="9" t="n">
        <x:f>0</x:f>
        <x:v>0</x:v>
      </x:c>
      <x:c r="C24" s="9" t="n">
        <x:f>((SQRT((Inputs!$C$52+Inputs!$C$5)^2+Inputs!$C$52^2-2*(Inputs!$C$52+Inputs!$C$5)*Inputs!$C$52*COS(SQRT((Model_Data!A24)^2+Inputs!$C$6^2)/Inputs!$C$52))-Inputs!$C$5)*1000/Inputs!$C$12)</x:f>
        <x:v>2653.6480795811526</x:v>
      </x:c>
      <x:c r="D24" s="9" t="n">
        <x:f>Model_Data!F24</x:f>
        <x:v>2639.8362673927654</x:v>
      </x:c>
      <x:c r="E24" s="9" t="n">
        <x:f>Model_Data!AC24</x:f>
        <x:v>2513.295706475305</x:v>
      </x:c>
      <x:c r="F24" s="10"/>
      <x:c r="G24" s="9" t="n">
        <x:f>Model_Data!A24</x:f>
        <x:v>-49</x:v>
      </x:c>
      <x:c r="H24" s="9" t="n">
        <x:f>Model_Data!Y24</x:f>
        <x:v>268.7927966209557</x:v>
      </x:c>
      <x:c r="I24" s="9" t="n">
        <x:f>Model_Data!Y24</x:f>
        <x:v>268.7927966209557</x:v>
      </x:c>
      <x:c r="J24" s="9" t="n">
        <x:f>Model_Data!X24</x:f>
        <x:v>39.64300304421553</x:v>
      </x:c>
      <x:c r="K24" s="9" t="n">
        <x:f>Model_Data!A24</x:f>
        <x:v>-49</x:v>
      </x:c>
      <x:c r="L24" s="9" t="n">
        <x:f>Model_Data!Y24</x:f>
        <x:v>268.7927966209557</x:v>
      </x:c>
      <x:c r="M24" s="9" t="n">
        <x:f>Model_Data!X24</x:f>
        <x:v>39.64300304421553</x:v>
      </x:c>
      <x:c r="N24" s="9" t="n">
        <x:f>-(Model_Data!AC24-Model_Data!F24)*Inputs!$C$12</x:f>
        <x:v>225.24219843307955</x:v>
      </x:c>
      <x:c r="O24" s="10"/>
      <x:c r="P24" s="9" t="n">
        <x:f>Model_Data!A24</x:f>
        <x:v>-49</x:v>
      </x:c>
      <x:c r="Q24" s="9" t="n">
        <x:f>Model_Data!P24</x:f>
        <x:v>414.6833903003426</x:v>
      </x:c>
      <x:c r="R24" s="9" t="n">
        <x:f>Model_Data!AM24</x:f>
        <x:v>425.2262899141897</x:v>
      </x:c>
      <x:c r="S24" s="9" t="n">
        <x:f>Model_Data!Q24</x:f>
        <x:v>62.26477331836976</x:v>
      </x:c>
      <x:c r="T24" s="9" t="n">
        <x:f>Model_Data!AN24</x:f>
        <x:v>63.847791278406866</x:v>
      </x:c>
      <x:c r="U24" s="10"/>
      <x:c r="V24" s="9" t="n">
        <x:f>Model_Data!A24</x:f>
        <x:v>-49</x:v>
      </x:c>
      <x:c r="W24" s="9" t="n">
        <x:f>Model_Data!B24-Inputs!$C$5</x:f>
        <x:v>2.667777777777758</x:v>
      </x:c>
      <x:c r="X24" s="10"/>
      <x:c r="Y24" s="9" t="n">
        <x:f>Model_Data!A24</x:f>
        <x:v>-49</x:v>
      </x:c>
      <x:c r="Z24" s="9" t="n">
        <x:f>0</x:f>
        <x:v>0</x:v>
      </x:c>
      <x:c r="AA24" s="9" t="n">
        <x:f>((SQRT((Inputs!$C$52+Inputs!$C$5)^2+Inputs!$C$52^2-2*(Inputs!$C$52+Inputs!$C$5)*Inputs!$C$52*COS(SQRT((Model_Data!A24)^2+Inputs!$C$6^2)/Inputs!$C$52))-Inputs!$C$5)*1000/Inputs!$C$12)</x:f>
        <x:v>2653.6480795811526</x:v>
      </x:c>
      <x:c r="AB24" s="9" t="n">
        <x:f>Model_Data!F24</x:f>
        <x:v>2639.8362673927654</x:v>
      </x:c>
    </x:row>
    <x:row r="25">
      <x:c r="A25" s="9" t="n">
        <x:f>Model_Data!A25</x:f>
        <x:v>-48.5</x:v>
      </x:c>
      <x:c r="B25" s="9" t="n">
        <x:f>0</x:f>
        <x:v>0</x:v>
      </x:c>
      <x:c r="C25" s="9" t="n">
        <x:f>((SQRT((Inputs!$C$52+Inputs!$C$5)^2+Inputs!$C$52^2-2*(Inputs!$C$52+Inputs!$C$5)*Inputs!$C$52*COS(SQRT((Model_Data!A25)^2+Inputs!$C$6^2)/Inputs!$C$52))-Inputs!$C$5)*1000/Inputs!$C$12)</x:f>
        <x:v>2611.146638936885</x:v>
      </x:c>
      <x:c r="D25" s="9" t="n">
        <x:f>Model_Data!F25</x:f>
        <x:v>2597.8274307266115</x:v>
      </x:c>
      <x:c r="E25" s="9" t="n">
        <x:f>Model_Data!AC25</x:f>
        <x:v>2473.4712222965845</x:v>
      </x:c>
      <x:c r="F25" s="10"/>
      <x:c r="G25" s="9" t="n">
        <x:f>Model_Data!A25</x:f>
        <x:v>-48.5</x:v>
      </x:c>
      <x:c r="H25" s="9" t="n">
        <x:f>Model_Data!Y25</x:f>
        <x:v>265.4824606971943</x:v>
      </x:c>
      <x:c r="I25" s="9" t="n">
        <x:f>Model_Data!Y25</x:f>
        <x:v>265.4824606971943</x:v>
      </x:c>
      <x:c r="J25" s="9" t="n">
        <x:f>Model_Data!X25</x:f>
        <x:v>40.329360187280464</x:v>
      </x:c>
      <x:c r="K25" s="9" t="n">
        <x:f>Model_Data!A25</x:f>
        <x:v>-48.5</x:v>
      </x:c>
      <x:c r="L25" s="9" t="n">
        <x:f>Model_Data!Y25</x:f>
        <x:v>265.4824606971943</x:v>
      </x:c>
      <x:c r="M25" s="9" t="n">
        <x:f>Model_Data!X25</x:f>
        <x:v>40.329360187280464</x:v>
      </x:c>
      <x:c r="N25" s="9" t="n">
        <x:f>-(Model_Data!AC25-Model_Data!F25)*Inputs!$C$12</x:f>
        <x:v>221.35405100544804</x:v>
      </x:c>
      <x:c r="O25" s="10"/>
      <x:c r="P25" s="9" t="n">
        <x:f>Model_Data!A25</x:f>
        <x:v>-48.5</x:v>
      </x:c>
      <x:c r="Q25" s="9" t="n">
        <x:f>Model_Data!P25</x:f>
        <x:v>410.54652591110425</x:v>
      </x:c>
      <x:c r="R25" s="9" t="n">
        <x:f>Model_Data!AM25</x:f>
        <x:v>386.8337905608314</x:v>
      </x:c>
      <x:c r="S25" s="9" t="n">
        <x:f>Model_Data!Q25</x:f>
        <x:v>61.64362250917482</x:v>
      </x:c>
      <x:c r="T25" s="9" t="n">
        <x:f>Model_Data!AN25</x:f>
        <x:v>58.083151735860575</x:v>
      </x:c>
      <x:c r="U25" s="10"/>
      <x:c r="V25" s="9" t="n">
        <x:f>Model_Data!A25</x:f>
        <x:v>-48.5</x:v>
      </x:c>
      <x:c r="W25" s="9" t="n">
        <x:f>Model_Data!B25-Inputs!$C$5</x:f>
        <x:v>2.6136111111110836</x:v>
      </x:c>
      <x:c r="X25" s="10"/>
      <x:c r="Y25" s="9" t="n">
        <x:f>Model_Data!A25</x:f>
        <x:v>-48.5</x:v>
      </x:c>
      <x:c r="Z25" s="9" t="n">
        <x:f>0</x:f>
        <x:v>0</x:v>
      </x:c>
      <x:c r="AA25" s="9" t="n">
        <x:f>((SQRT((Inputs!$C$52+Inputs!$C$5)^2+Inputs!$C$52^2-2*(Inputs!$C$52+Inputs!$C$5)*Inputs!$C$52*COS(SQRT((Model_Data!A25)^2+Inputs!$C$6^2)/Inputs!$C$52))-Inputs!$C$5)*1000/Inputs!$C$12)</x:f>
        <x:v>2611.146638936885</x:v>
      </x:c>
      <x:c r="AB25" s="9" t="n">
        <x:f>Model_Data!F25</x:f>
        <x:v>2597.8274307266115</x:v>
      </x:c>
    </x:row>
    <x:row r="26">
      <x:c r="A26" s="9" t="n">
        <x:f>Model_Data!A26</x:f>
        <x:v>-48</x:v>
      </x:c>
      <x:c r="B26" s="9" t="n">
        <x:f>0</x:f>
        <x:v>0</x:v>
      </x:c>
      <x:c r="C26" s="9" t="n">
        <x:f>((SQRT((Inputs!$C$52+Inputs!$C$5)^2+Inputs!$C$52^2-2*(Inputs!$C$52+Inputs!$C$5)*Inputs!$C$52*COS(SQRT((Model_Data!A26)^2+Inputs!$C$6^2)/Inputs!$C$52))-Inputs!$C$5)*1000/Inputs!$C$12)</x:f>
        <x:v>2569.073145227782</x:v>
      </x:c>
      <x:c r="D26" s="9" t="n">
        <x:f>Model_Data!F26</x:f>
        <x:v>2556.233008450807</x:v>
      </x:c>
      <x:c r="E26" s="9" t="n">
        <x:f>Model_Data!AC26</x:f>
        <x:v>2447.0264422273603</x:v>
      </x:c>
      <x:c r="F26" s="10"/>
      <x:c r="G26" s="9" t="n">
        <x:f>Model_Data!A26</x:f>
        <x:v>-48</x:v>
      </x:c>
      <x:c r="H26" s="9" t="n">
        <x:f>Model_Data!Y26</x:f>
        <x:v>253.6370227527636</x:v>
      </x:c>
      <x:c r="I26" s="9" t="n">
        <x:f>Model_Data!Y26</x:f>
        <x:v>253.6370227527636</x:v>
      </x:c>
      <x:c r="J26" s="9" t="n">
        <x:f>Model_Data!X26</x:f>
        <x:v>55.67705400563339</x:v>
      </x:c>
      <x:c r="K26" s="9" t="n">
        <x:f>Model_Data!A26</x:f>
        <x:v>-48</x:v>
      </x:c>
      <x:c r="L26" s="9" t="n">
        <x:f>Model_Data!Y26</x:f>
        <x:v>253.6370227527636</x:v>
      </x:c>
      <x:c r="M26" s="9" t="n">
        <x:f>Model_Data!X26</x:f>
        <x:v>55.67705400563339</x:v>
      </x:c>
      <x:c r="N26" s="9" t="n">
        <x:f>-(Model_Data!AC26-Model_Data!F26)*Inputs!$C$12</x:f>
        <x:v>194.38768787773526</x:v>
      </x:c>
      <x:c r="O26" s="10"/>
      <x:c r="P26" s="9" t="n">
        <x:f>Model_Data!A26</x:f>
        <x:v>-48</x:v>
      </x:c>
      <x:c r="Q26" s="9" t="n">
        <x:f>Model_Data!P26</x:f>
        <x:v>406.40683834462834</x:v>
      </x:c>
      <x:c r="R26" s="9" t="n">
        <x:f>Model_Data!AM26</x:f>
        <x:v>402.2937246757465</x:v>
      </x:c>
      <x:c r="S26" s="9" t="n">
        <x:f>Model_Data!Q26</x:f>
        <x:v>61.02204779949375</x:v>
      </x:c>
      <x:c r="T26" s="9" t="n">
        <x:f>Model_Data!AN26</x:f>
        <x:v>60.404463164526504</x:v>
      </x:c>
      <x:c r="U26" s="10"/>
      <x:c r="V26" s="9" t="n">
        <x:f>Model_Data!A26</x:f>
        <x:v>-48</x:v>
      </x:c>
      <x:c r="W26" s="9" t="n">
        <x:f>Model_Data!B26-Inputs!$C$5</x:f>
        <x:v>2.5600000000000023</x:v>
      </x:c>
      <x:c r="X26" s="10"/>
      <x:c r="Y26" s="9" t="n">
        <x:f>Model_Data!A26</x:f>
        <x:v>-48</x:v>
      </x:c>
      <x:c r="Z26" s="9" t="n">
        <x:f>0</x:f>
        <x:v>0</x:v>
      </x:c>
      <x:c r="AA26" s="9" t="n">
        <x:f>((SQRT((Inputs!$C$52+Inputs!$C$5)^2+Inputs!$C$52^2-2*(Inputs!$C$52+Inputs!$C$5)*Inputs!$C$52*COS(SQRT((Model_Data!A26)^2+Inputs!$C$6^2)/Inputs!$C$52))-Inputs!$C$5)*1000/Inputs!$C$12)</x:f>
        <x:v>2569.073145227782</x:v>
      </x:c>
      <x:c r="AB26" s="9" t="n">
        <x:f>Model_Data!F26</x:f>
        <x:v>2556.233008450807</x:v>
      </x:c>
    </x:row>
    <x:row r="27">
      <x:c r="A27" s="9" t="n">
        <x:f>Model_Data!A27</x:f>
        <x:v>-47.5</x:v>
      </x:c>
      <x:c r="B27" s="9" t="n">
        <x:f>0</x:f>
        <x:v>0</x:v>
      </x:c>
      <x:c r="C27" s="9" t="n">
        <x:f>((SQRT((Inputs!$C$52+Inputs!$C$5)^2+Inputs!$C$52^2-2*(Inputs!$C$52+Inputs!$C$5)*Inputs!$C$52*COS(SQRT((Model_Data!A27)^2+Inputs!$C$6^2)/Inputs!$C$52))-Inputs!$C$5)*1000/Inputs!$C$12)</x:f>
        <x:v>2527.427840468437</x:v>
      </x:c>
      <x:c r="D27" s="9" t="n">
        <x:f>Model_Data!F27</x:f>
        <x:v>2515.0534940419116</x:v>
      </x:c>
      <x:c r="E27" s="9" t="n">
        <x:f>Model_Data!AC27</x:f>
        <x:v>2399.8075637250163</x:v>
      </x:c>
      <x:c r="F27" s="10"/>
      <x:c r="G27" s="9" t="n">
        <x:f>Model_Data!A27</x:f>
        <x:v>-47.5</x:v>
      </x:c>
      <x:c r="H27" s="9" t="n">
        <x:f>Model_Data!Y27</x:f>
        <x:v>262.7548434853875</x:v>
      </x:c>
      <x:c r="I27" s="9" t="n">
        <x:f>Model_Data!Y27</x:f>
        <x:v>262.7548434853875</x:v>
      </x:c>
      <x:c r="J27" s="9" t="n">
        <x:f>Model_Data!X27</x:f>
        <x:v>53.974959185609514</x:v>
      </x:c>
      <x:c r="K27" s="9" t="n">
        <x:f>Model_Data!A27</x:f>
        <x:v>-47.5</x:v>
      </x:c>
      <x:c r="L27" s="9" t="n">
        <x:f>Model_Data!Y27</x:f>
        <x:v>262.7548434853875</x:v>
      </x:c>
      <x:c r="M27" s="9" t="n">
        <x:f>Model_Data!X27</x:f>
        <x:v>53.974959185609514</x:v>
      </x:c>
      <x:c r="N27" s="9" t="n">
        <x:f>-(Model_Data!AC27-Model_Data!F27)*Inputs!$C$12</x:f>
        <x:v>205.13775596407362</x:v>
      </x:c>
      <x:c r="O27" s="10"/>
      <x:c r="P27" s="9" t="n">
        <x:f>Model_Data!A27</x:f>
        <x:v>-47.5</x:v>
      </x:c>
      <x:c r="Q27" s="9" t="n">
        <x:f>Model_Data!P27</x:f>
        <x:v>402.26435232361837</x:v>
      </x:c>
      <x:c r="R27" s="9" t="n">
        <x:f>Model_Data!AM27</x:f>
        <x:v>402.8830502902565</x:v>
      </x:c>
      <x:c r="S27" s="9" t="n">
        <x:f>Model_Data!Q27</x:f>
        <x:v>60.400052901444205</x:v>
      </x:c>
      <x:c r="T27" s="9" t="n">
        <x:f>Model_Data!AN27</x:f>
        <x:v>60.49295049403251</x:v>
      </x:c>
      <x:c r="U27" s="10"/>
      <x:c r="V27" s="9" t="n">
        <x:f>Model_Data!A27</x:f>
        <x:v>-47.5</x:v>
      </x:c>
      <x:c r="W27" s="9" t="n">
        <x:f>Model_Data!B27-Inputs!$C$5</x:f>
        <x:v>2.506944444444457</x:v>
      </x:c>
      <x:c r="X27" s="10"/>
      <x:c r="Y27" s="9" t="n">
        <x:f>Model_Data!A27</x:f>
        <x:v>-47.5</x:v>
      </x:c>
      <x:c r="Z27" s="9" t="n">
        <x:f>0</x:f>
        <x:v>0</x:v>
      </x:c>
      <x:c r="AA27" s="9" t="n">
        <x:f>((SQRT((Inputs!$C$52+Inputs!$C$5)^2+Inputs!$C$52^2-2*(Inputs!$C$52+Inputs!$C$5)*Inputs!$C$52*COS(SQRT((Model_Data!A27)^2+Inputs!$C$6^2)/Inputs!$C$52))-Inputs!$C$5)*1000/Inputs!$C$12)</x:f>
        <x:v>2527.427840468437</x:v>
      </x:c>
      <x:c r="AB27" s="9" t="n">
        <x:f>Model_Data!F27</x:f>
        <x:v>2515.0534940419116</x:v>
      </x:c>
    </x:row>
    <x:row r="28">
      <x:c r="A28" s="9" t="n">
        <x:f>Model_Data!A28</x:f>
        <x:v>-47</x:v>
      </x:c>
      <x:c r="B28" s="9" t="n">
        <x:f>0</x:f>
        <x:v>0</x:v>
      </x:c>
      <x:c r="C28" s="9" t="n">
        <x:f>((SQRT((Inputs!$C$52+Inputs!$C$5)^2+Inputs!$C$52^2-2*(Inputs!$C$52+Inputs!$C$5)*Inputs!$C$52*COS(SQRT((Model_Data!A28)^2+Inputs!$C$6^2)/Inputs!$C$52))-Inputs!$C$5)*1000/Inputs!$C$12)</x:f>
        <x:v>2486.2109643863873</x:v>
      </x:c>
      <x:c r="D28" s="9" t="n">
        <x:f>Model_Data!F28</x:f>
        <x:v>2474.289376626815</x:v>
      </x:c>
      <x:c r="E28" s="9" t="n">
        <x:f>Model_Data!AC28</x:f>
        <x:v>2367.9759017028027</x:v>
      </x:c>
      <x:c r="F28" s="10"/>
      <x:c r="G28" s="9" t="n">
        <x:f>Model_Data!A28</x:f>
        <x:v>-47</x:v>
      </x:c>
      <x:c r="H28" s="9" t="n">
        <x:f>Model_Data!Y28</x:f>
        <x:v>253.91481019774176</x:v>
      </x:c>
      <x:c r="I28" s="9" t="n">
        <x:f>Model_Data!Y28</x:f>
        <x:v>253.91481019774176</x:v>
      </x:c>
      <x:c r="J28" s="9" t="n">
        <x:f>Model_Data!X28</x:f>
        <x:v>61.213442747759345</x:v>
      </x:c>
      <x:c r="K28" s="9" t="n">
        <x:f>Model_Data!A28</x:f>
        <x:v>-47</x:v>
      </x:c>
      <x:c r="L28" s="9" t="n">
        <x:f>Model_Data!Y28</x:f>
        <x:v>253.91481019774176</x:v>
      </x:c>
      <x:c r="M28" s="9" t="n">
        <x:f>Model_Data!X28</x:f>
        <x:v>61.213442747759345</x:v>
      </x:c>
      <x:c r="N28" s="9" t="n">
        <x:f>-(Model_Data!AC28-Model_Data!F28)*Inputs!$C$12</x:f>
        <x:v>189.23798536474155</x:v>
      </x:c>
      <x:c r="O28" s="10"/>
      <x:c r="P28" s="9" t="n">
        <x:f>Model_Data!A28</x:f>
        <x:v>-47</x:v>
      </x:c>
      <x:c r="Q28" s="9" t="n">
        <x:f>Model_Data!P28</x:f>
        <x:v>398.1190926891031</x:v>
      </x:c>
      <x:c r="R28" s="9" t="n">
        <x:f>Model_Data!AM28</x:f>
        <x:v>384.0870449747854</x:v>
      </x:c>
      <x:c r="S28" s="9" t="n">
        <x:f>Model_Data!Q28</x:f>
        <x:v>59.77764154491039</x:v>
      </x:c>
      <x:c r="T28" s="9" t="n">
        <x:f>Model_Data!AN28</x:f>
        <x:v>57.67072747369151</x:v>
      </x:c>
      <x:c r="U28" s="10"/>
      <x:c r="V28" s="9" t="n">
        <x:f>Model_Data!A28</x:f>
        <x:v>-47</x:v>
      </x:c>
      <x:c r="W28" s="9" t="n">
        <x:f>Model_Data!B28-Inputs!$C$5</x:f>
        <x:v>2.454444444444448</x:v>
      </x:c>
      <x:c r="X28" s="10"/>
      <x:c r="Y28" s="9" t="n">
        <x:f>Model_Data!A28</x:f>
        <x:v>-47</x:v>
      </x:c>
      <x:c r="Z28" s="9" t="n">
        <x:f>0</x:f>
        <x:v>0</x:v>
      </x:c>
      <x:c r="AA28" s="9" t="n">
        <x:f>((SQRT((Inputs!$C$52+Inputs!$C$5)^2+Inputs!$C$52^2-2*(Inputs!$C$52+Inputs!$C$5)*Inputs!$C$52*COS(SQRT((Model_Data!A28)^2+Inputs!$C$6^2)/Inputs!$C$52))-Inputs!$C$5)*1000/Inputs!$C$12)</x:f>
        <x:v>2486.2109643863873</x:v>
      </x:c>
      <x:c r="AB28" s="9" t="n">
        <x:f>Model_Data!F28</x:f>
        <x:v>2474.289376626815</x:v>
      </x:c>
    </x:row>
    <x:row r="29">
      <x:c r="A29" s="9" t="n">
        <x:f>Model_Data!A29</x:f>
        <x:v>-46.5</x:v>
      </x:c>
      <x:c r="B29" s="9" t="n">
        <x:f>0</x:f>
        <x:v>0</x:v>
      </x:c>
      <x:c r="C29" s="9" t="n">
        <x:f>((SQRT((Inputs!$C$52+Inputs!$C$5)^2+Inputs!$C$52^2-2*(Inputs!$C$52+Inputs!$C$5)*Inputs!$C$52*COS(SQRT((Model_Data!A29)^2+Inputs!$C$6^2)/Inputs!$C$52))-Inputs!$C$5)*1000/Inputs!$C$12)</x:f>
        <x:v>2445.4227544159553</x:v>
      </x:c>
      <x:c r="D29" s="9" t="n">
        <x:f>Model_Data!F29</x:f>
        <x:v>2433.941140959773</x:v>
      </x:c>
      <x:c r="E29" s="9" t="n">
        <x:f>Model_Data!AC29</x:f>
        <x:v>2325.619306900203</x:v>
      </x:c>
      <x:c r="F29" s="10"/>
      <x:c r="G29" s="9" t="n">
        <x:f>Model_Data!A29</x:f>
        <x:v>-46.5</x:v>
      </x:c>
      <x:c r="H29" s="9" t="n">
        <x:f>Model_Data!Y29</x:f>
        <x:v>253.748238320312</x:v>
      </x:c>
      <x:c r="I29" s="9" t="n">
        <x:f>Model_Data!Y29</x:f>
        <x:v>253.748238320312</x:v>
      </x:c>
      <x:c r="J29" s="9" t="n">
        <x:f>Model_Data!X29</x:f>
        <x:v>57.529820703344</x:v>
      </x:c>
      <x:c r="K29" s="9" t="n">
        <x:f>Model_Data!A29</x:f>
        <x:v>-46.5</x:v>
      </x:c>
      <x:c r="L29" s="9" t="n">
        <x:f>Model_Data!Y29</x:f>
        <x:v>253.748238320312</x:v>
      </x:c>
      <x:c r="M29" s="9" t="n">
        <x:f>Model_Data!X29</x:f>
        <x:v>57.529820703344</x:v>
      </x:c>
      <x:c r="N29" s="9" t="n">
        <x:f>-(Model_Data!AC29-Model_Data!F29)*Inputs!$C$12</x:f>
        <x:v>192.8128646260345</x:v>
      </x:c>
      <x:c r="O29" s="10"/>
      <x:c r="P29" s="9" t="n">
        <x:f>Model_Data!A29</x:f>
        <x:v>-46.5</x:v>
      </x:c>
      <x:c r="Q29" s="9" t="n">
        <x:f>Model_Data!P29</x:f>
        <x:v>393.9710844109868</x:v>
      </x:c>
      <x:c r="R29" s="9" t="n">
        <x:f>Model_Data!AM29</x:f>
        <x:v>368.08092998808206</x:v>
      </x:c>
      <x:c r="S29" s="9" t="n">
        <x:f>Model_Data!Q29</x:f>
        <x:v>59.15481747912715</x:v>
      </x:c>
      <x:c r="T29" s="9" t="n">
        <x:f>Model_Data!AN29</x:f>
        <x:v>55.26740690511743</x:v>
      </x:c>
      <x:c r="U29" s="10"/>
      <x:c r="V29" s="9" t="n">
        <x:f>Model_Data!A29</x:f>
        <x:v>-46.5</x:v>
      </x:c>
      <x:c r="W29" s="9" t="n">
        <x:f>Model_Data!B29-Inputs!$C$5</x:f>
        <x:v>2.402499999999975</x:v>
      </x:c>
      <x:c r="X29" s="10"/>
      <x:c r="Y29" s="9" t="n">
        <x:f>Model_Data!A29</x:f>
        <x:v>-46.5</x:v>
      </x:c>
      <x:c r="Z29" s="9" t="n">
        <x:f>0</x:f>
        <x:v>0</x:v>
      </x:c>
      <x:c r="AA29" s="9" t="n">
        <x:f>((SQRT((Inputs!$C$52+Inputs!$C$5)^2+Inputs!$C$52^2-2*(Inputs!$C$52+Inputs!$C$5)*Inputs!$C$52*COS(SQRT((Model_Data!A29)^2+Inputs!$C$6^2)/Inputs!$C$52))-Inputs!$C$5)*1000/Inputs!$C$12)</x:f>
        <x:v>2445.4227544159553</x:v>
      </x:c>
      <x:c r="AB29" s="9" t="n">
        <x:f>Model_Data!F29</x:f>
        <x:v>2433.941140959773</x:v>
      </x:c>
    </x:row>
    <x:row r="30">
      <x:c r="A30" s="9" t="n">
        <x:f>Model_Data!A30</x:f>
        <x:v>-46</x:v>
      </x:c>
      <x:c r="B30" s="9" t="n">
        <x:f>0</x:f>
        <x:v>0</x:v>
      </x:c>
      <x:c r="C30" s="9" t="n">
        <x:f>((SQRT((Inputs!$C$52+Inputs!$C$5)^2+Inputs!$C$52^2-2*(Inputs!$C$52+Inputs!$C$5)*Inputs!$C$52*COS(SQRT((Model_Data!A30)^2+Inputs!$C$6^2)/Inputs!$C$52))-Inputs!$C$5)*1000/Inputs!$C$12)</x:f>
        <x:v>2405.063445691157</x:v>
      </x:c>
      <x:c r="D30" s="9" t="n">
        <x:f>Model_Data!F30</x:f>
        <x:v>2394.0092674001216</x:v>
      </x:c>
      <x:c r="E30" s="9" t="n">
        <x:f>Model_Data!AC30</x:f>
        <x:v>2290.2281095656335</x:v>
      </x:c>
      <x:c r="F30" s="10"/>
      <x:c r="G30" s="9" t="n">
        <x:f>Model_Data!A30</x:f>
        <x:v>-46</x:v>
      </x:c>
      <x:c r="H30" s="9" t="n">
        <x:f>Model_Data!Y30</x:f>
        <x:v>237.40469511010875</x:v>
      </x:c>
      <x:c r="I30" s="9" t="n">
        <x:f>Model_Data!Y30</x:f>
        <x:v>237.40469511010875</x:v>
      </x:c>
      <x:c r="J30" s="9" t="n">
        <x:f>Model_Data!X30</x:f>
        <x:v>49.53962065283257</x:v>
      </x:c>
      <x:c r="K30" s="9" t="n">
        <x:f>Model_Data!A30</x:f>
        <x:v>-46</x:v>
      </x:c>
      <x:c r="L30" s="9" t="n">
        <x:f>Model_Data!Y30</x:f>
        <x:v>237.40469511010875</x:v>
      </x:c>
      <x:c r="M30" s="9" t="n">
        <x:f>Model_Data!X30</x:f>
        <x:v>49.53962065283257</x:v>
      </x:c>
      <x:c r="N30" s="9" t="n">
        <x:f>-(Model_Data!AC30-Model_Data!F30)*Inputs!$C$12</x:f>
        <x:v>184.73046094538884</x:v>
      </x:c>
      <x:c r="O30" s="10"/>
      <x:c r="P30" s="9" t="n">
        <x:f>Model_Data!A30</x:f>
        <x:v>-46</x:v>
      </x:c>
      <x:c r="Q30" s="9" t="n">
        <x:f>Model_Data!P30</x:f>
        <x:v>389.8203525829558</x:v>
      </x:c>
      <x:c r="R30" s="9" t="n">
        <x:f>Model_Data!AM30</x:f>
        <x:v>352.54798840351214</x:v>
      </x:c>
      <x:c r="S30" s="9" t="n">
        <x:f>Model_Data!Q30</x:f>
        <x:v>58.531584471915295</x:v>
      </x:c>
      <x:c r="T30" s="9" t="n">
        <x:f>Model_Data!AN30</x:f>
        <x:v>52.935133393920744</x:v>
      </x:c>
      <x:c r="U30" s="10"/>
      <x:c r="V30" s="9" t="n">
        <x:f>Model_Data!A30</x:f>
        <x:v>-46</x:v>
      </x:c>
      <x:c r="W30" s="9" t="n">
        <x:f>Model_Data!B30-Inputs!$C$5</x:f>
        <x:v>2.351111111111095</x:v>
      </x:c>
      <x:c r="X30" s="10"/>
      <x:c r="Y30" s="9" t="n">
        <x:f>Model_Data!A30</x:f>
        <x:v>-46</x:v>
      </x:c>
      <x:c r="Z30" s="9" t="n">
        <x:f>0</x:f>
        <x:v>0</x:v>
      </x:c>
      <x:c r="AA30" s="9" t="n">
        <x:f>((SQRT((Inputs!$C$52+Inputs!$C$5)^2+Inputs!$C$52^2-2*(Inputs!$C$52+Inputs!$C$5)*Inputs!$C$52*COS(SQRT((Model_Data!A30)^2+Inputs!$C$6^2)/Inputs!$C$52))-Inputs!$C$5)*1000/Inputs!$C$12)</x:f>
        <x:v>2405.063445691157</x:v>
      </x:c>
      <x:c r="AB30" s="9" t="n">
        <x:f>Model_Data!F30</x:f>
        <x:v>2394.0092674001216</x:v>
      </x:c>
    </x:row>
    <x:row r="31">
      <x:c r="A31" s="9" t="n">
        <x:f>Model_Data!A31</x:f>
        <x:v>-45.5</x:v>
      </x:c>
      <x:c r="B31" s="9" t="n">
        <x:f>0</x:f>
        <x:v>0</x:v>
      </x:c>
      <x:c r="C31" s="9" t="n">
        <x:f>((SQRT((Inputs!$C$52+Inputs!$C$5)^2+Inputs!$C$52^2-2*(Inputs!$C$52+Inputs!$C$5)*Inputs!$C$52*COS(SQRT((Model_Data!A31)^2+Inputs!$C$6^2)/Inputs!$C$52))-Inputs!$C$5)*1000/Inputs!$C$12)</x:f>
        <x:v>2365.133271037878</x:v>
      </x:c>
      <x:c r="D31" s="9" t="n">
        <x:f>Model_Data!F31</x:f>
        <x:v>2354.494231891164</x:v>
      </x:c>
      <x:c r="E31" s="9" t="n">
        <x:f>Model_Data!AC31</x:f>
        <x:v>2247.660221099603</x:v>
      </x:c>
      <x:c r="F31" s="10"/>
      <x:c r="G31" s="9" t="n">
        <x:f>Model_Data!A31</x:f>
        <x:v>-45.5</x:v>
      </x:c>
      <x:c r="H31" s="9" t="n">
        <x:f>Model_Data!Y31</x:f>
        <x:v>230.03534200748854</x:v>
      </x:c>
      <x:c r="I31" s="9" t="n">
        <x:f>Model_Data!Y31</x:f>
        <x:v>230.03534200748854</x:v>
      </x:c>
      <x:c r="J31" s="9" t="n">
        <x:f>Model_Data!X31</x:f>
        <x:v>36.8829185081177</x:v>
      </x:c>
      <x:c r="K31" s="9" t="n">
        <x:f>Model_Data!A31</x:f>
        <x:v>-45.5</x:v>
      </x:c>
      <x:c r="L31" s="9" t="n">
        <x:f>Model_Data!Y31</x:f>
        <x:v>230.03534200748854</x:v>
      </x:c>
      <x:c r="M31" s="9" t="n">
        <x:f>Model_Data!X31</x:f>
        <x:v>36.8829185081177</x:v>
      </x:c>
      <x:c r="N31" s="9" t="n">
        <x:f>-(Model_Data!AC31-Model_Data!F31)*Inputs!$C$12</x:f>
        <x:v>190.1645392089786</x:v>
      </x:c>
      <x:c r="O31" s="10"/>
      <x:c r="P31" s="9" t="n">
        <x:f>Model_Data!A31</x:f>
        <x:v>-45.5</x:v>
      </x:c>
      <x:c r="Q31" s="9" t="n">
        <x:f>Model_Data!P31</x:f>
        <x:v>385.6669224382131</x:v>
      </x:c>
      <x:c r="R31" s="9" t="n">
        <x:f>Model_Data!AM31</x:f>
        <x:v>340.6814882529943</x:v>
      </x:c>
      <x:c r="S31" s="9" t="n">
        <x:f>Model_Data!Q31</x:f>
        <x:v>57.90794631204401</x:v>
      </x:c>
      <x:c r="T31" s="9" t="n">
        <x:f>Model_Data!AN31</x:f>
        <x:v>51.15337661456371</x:v>
      </x:c>
      <x:c r="U31" s="10"/>
      <x:c r="V31" s="9" t="n">
        <x:f>Model_Data!A31</x:f>
        <x:v>-45.5</x:v>
      </x:c>
      <x:c r="W31" s="9" t="n">
        <x:f>Model_Data!B31-Inputs!$C$5</x:f>
        <x:v>2.300277777777751</x:v>
      </x:c>
      <x:c r="X31" s="10"/>
      <x:c r="Y31" s="9" t="n">
        <x:f>Model_Data!A31</x:f>
        <x:v>-45.5</x:v>
      </x:c>
      <x:c r="Z31" s="9" t="n">
        <x:f>0</x:f>
        <x:v>0</x:v>
      </x:c>
      <x:c r="AA31" s="9" t="n">
        <x:f>((SQRT((Inputs!$C$52+Inputs!$C$5)^2+Inputs!$C$52^2-2*(Inputs!$C$52+Inputs!$C$5)*Inputs!$C$52*COS(SQRT((Model_Data!A31)^2+Inputs!$C$6^2)/Inputs!$C$52))-Inputs!$C$5)*1000/Inputs!$C$12)</x:f>
        <x:v>2365.133271037878</x:v>
      </x:c>
      <x:c r="AB31" s="9" t="n">
        <x:f>Model_Data!F31</x:f>
        <x:v>2354.494231891164</x:v>
      </x:c>
    </x:row>
    <x:row r="32">
      <x:c r="A32" s="9" t="n">
        <x:f>Model_Data!A32</x:f>
        <x:v>-45</x:v>
      </x:c>
      <x:c r="B32" s="9" t="n">
        <x:f>0</x:f>
        <x:v>0</x:v>
      </x:c>
      <x:c r="C32" s="9" t="n">
        <x:f>((SQRT((Inputs!$C$52+Inputs!$C$5)^2+Inputs!$C$52^2-2*(Inputs!$C$52+Inputs!$C$5)*Inputs!$C$52*COS(SQRT((Model_Data!A32)^2+Inputs!$C$6^2)/Inputs!$C$52))-Inputs!$C$5)*1000/Inputs!$C$12)</x:f>
        <x:v>2325.6324609706467</x:v>
      </x:c>
      <x:c r="D32" s="9" t="n">
        <x:f>Model_Data!F32</x:f>
        <x:v>2315.3965059322627</x:v>
      </x:c>
      <x:c r="E32" s="9" t="n">
        <x:f>Model_Data!AC32</x:f>
        <x:v>2225.758861618264</x:v>
      </x:c>
      <x:c r="F32" s="10"/>
      <x:c r="G32" s="9" t="n">
        <x:f>Model_Data!A32</x:f>
        <x:v>-45</x:v>
      </x:c>
      <x:c r="H32" s="9" t="n">
        <x:f>Model_Data!Y32</x:f>
        <x:v>208.8220272535724</x:v>
      </x:c>
      <x:c r="I32" s="9" t="n">
        <x:f>Model_Data!Y32</x:f>
        <x:v>208.8220272535724</x:v>
      </x:c>
      <x:c r="J32" s="9" t="n">
        <x:f>Model_Data!X32</x:f>
        <x:v>46.59917835352822</x:v>
      </x:c>
      <x:c r="K32" s="9" t="n">
        <x:f>Model_Data!A32</x:f>
        <x:v>-45</x:v>
      </x:c>
      <x:c r="L32" s="9" t="n">
        <x:f>Model_Data!Y32</x:f>
        <x:v>208.8220272535724</x:v>
      </x:c>
      <x:c r="M32" s="9" t="n">
        <x:f>Model_Data!X32</x:f>
        <x:v>46.59917835352822</x:v>
      </x:c>
      <x:c r="N32" s="9" t="n">
        <x:f>-(Model_Data!AC32-Model_Data!F32)*Inputs!$C$12</x:f>
        <x:v>159.55500687891796</x:v>
      </x:c>
      <x:c r="O32" s="10"/>
      <x:c r="P32" s="9" t="n">
        <x:f>Model_Data!A32</x:f>
        <x:v>-45</x:v>
      </x:c>
      <x:c r="Q32" s="9" t="n">
        <x:f>Model_Data!P32</x:f>
        <x:v>381.5108193193737</x:v>
      </x:c>
      <x:c r="R32" s="9" t="n">
        <x:f>Model_Data!AM32</x:f>
        <x:v>336.8433451087185</x:v>
      </x:c>
      <x:c r="S32" s="9" t="n">
        <x:f>Model_Data!Q32</x:f>
        <x:v>57.28390680471077</x:v>
      </x:c>
      <x:c r="T32" s="9" t="n">
        <x:f>Model_Data!AN32</x:f>
        <x:v>50.57707884515293</x:v>
      </x:c>
      <x:c r="U32" s="10"/>
      <x:c r="V32" s="9" t="n">
        <x:f>Model_Data!A32</x:f>
        <x:v>-45</x:v>
      </x:c>
      <x:c r="W32" s="9" t="n">
        <x:f>Model_Data!B32-Inputs!$C$5</x:f>
        <x:v>2.25</x:v>
      </x:c>
      <x:c r="X32" s="10"/>
      <x:c r="Y32" s="9" t="n">
        <x:f>Model_Data!A32</x:f>
        <x:v>-45</x:v>
      </x:c>
      <x:c r="Z32" s="9" t="n">
        <x:f>0</x:f>
        <x:v>0</x:v>
      </x:c>
      <x:c r="AA32" s="9" t="n">
        <x:f>((SQRT((Inputs!$C$52+Inputs!$C$5)^2+Inputs!$C$52^2-2*(Inputs!$C$52+Inputs!$C$5)*Inputs!$C$52*COS(SQRT((Model_Data!A32)^2+Inputs!$C$6^2)/Inputs!$C$52))-Inputs!$C$5)*1000/Inputs!$C$12)</x:f>
        <x:v>2325.6324609706467</x:v>
      </x:c>
      <x:c r="AB32" s="9" t="n">
        <x:f>Model_Data!F32</x:f>
        <x:v>2315.3965059322627</x:v>
      </x:c>
    </x:row>
    <x:row r="33">
      <x:c r="A33" s="9" t="n">
        <x:f>Model_Data!A33</x:f>
        <x:v>-44.5</x:v>
      </x:c>
      <x:c r="B33" s="9" t="n">
        <x:f>0</x:f>
        <x:v>0</x:v>
      </x:c>
      <x:c r="C33" s="9" t="n">
        <x:f>((SQRT((Inputs!$C$52+Inputs!$C$5)^2+Inputs!$C$52^2-2*(Inputs!$C$52+Inputs!$C$5)*Inputs!$C$52*COS(SQRT((Model_Data!A33)^2+Inputs!$C$6^2)/Inputs!$C$52))-Inputs!$C$5)*1000/Inputs!$C$12)</x:f>
        <x:v>2286.561243682292</x:v>
      </x:c>
      <x:c r="D33" s="9" t="n">
        <x:f>Model_Data!F33</x:f>
        <x:v>2276.7165565683313</x:v>
      </x:c>
      <x:c r="E33" s="9" t="n">
        <x:f>Model_Data!AC33</x:f>
        <x:v>2180.5283722308945</x:v>
      </x:c>
      <x:c r="F33" s="10"/>
      <x:c r="G33" s="9" t="n">
        <x:f>Model_Data!A33</x:f>
        <x:v>-44.5</x:v>
      </x:c>
      <x:c r="H33" s="9" t="n">
        <x:f>Model_Data!Y33</x:f>
        <x:v>201.66422960156285</x:v>
      </x:c>
      <x:c r="I33" s="9" t="n">
        <x:f>Model_Data!Y33</x:f>
        <x:v>201.66422960156285</x:v>
      </x:c>
      <x:c r="J33" s="9" t="n">
        <x:f>Model_Data!X33</x:f>
        <x:v>27.91531821493412</x:v>
      </x:c>
      <x:c r="K33" s="9" t="n">
        <x:f>Model_Data!A33</x:f>
        <x:v>-44.5</x:v>
      </x:c>
      <x:c r="L33" s="9" t="n">
        <x:f>Model_Data!Y33</x:f>
        <x:v>201.66422960156285</x:v>
      </x:c>
      <x:c r="M33" s="9" t="n">
        <x:f>Model_Data!X33</x:f>
        <x:v>27.91531821493412</x:v>
      </x:c>
      <x:c r="N33" s="9" t="n">
        <x:f>-(Model_Data!AC33-Model_Data!F33)*Inputs!$C$12</x:f>
        <x:v>171.21496812063737</x:v>
      </x:c>
      <x:c r="O33" s="10"/>
      <x:c r="P33" s="9" t="n">
        <x:f>Model_Data!A33</x:f>
        <x:v>-44.5</x:v>
      </x:c>
      <x:c r="Q33" s="9" t="n">
        <x:f>Model_Data!P33</x:f>
        <x:v>377.3520686901975</x:v>
      </x:c>
      <x:c r="R33" s="9" t="n">
        <x:f>Model_Data!AM33</x:f>
        <x:v>363.7355827749161</x:v>
      </x:c>
      <x:c r="S33" s="9" t="n">
        <x:f>Model_Data!Q33</x:f>
        <x:v>56.65946977330293</x:v>
      </x:c>
      <x:c r="T33" s="9" t="n">
        <x:f>Model_Data!AN33</x:f>
        <x:v>54.614952368606026</x:v>
      </x:c>
      <x:c r="U33" s="10"/>
      <x:c r="V33" s="9" t="n">
        <x:f>Model_Data!A33</x:f>
        <x:v>-44.5</x:v>
      </x:c>
      <x:c r="W33" s="9" t="n">
        <x:f>Model_Data!B33-Inputs!$C$5</x:f>
        <x:v>2.200277777777785</x:v>
      </x:c>
      <x:c r="X33" s="10"/>
      <x:c r="Y33" s="9" t="n">
        <x:f>Model_Data!A33</x:f>
        <x:v>-44.5</x:v>
      </x:c>
      <x:c r="Z33" s="9" t="n">
        <x:f>0</x:f>
        <x:v>0</x:v>
      </x:c>
      <x:c r="AA33" s="9" t="n">
        <x:f>((SQRT((Inputs!$C$52+Inputs!$C$5)^2+Inputs!$C$52^2-2*(Inputs!$C$52+Inputs!$C$5)*Inputs!$C$52*COS(SQRT((Model_Data!A33)^2+Inputs!$C$6^2)/Inputs!$C$52))-Inputs!$C$5)*1000/Inputs!$C$12)</x:f>
        <x:v>2286.561243682292</x:v>
      </x:c>
      <x:c r="AB33" s="9" t="n">
        <x:f>Model_Data!F33</x:f>
        <x:v>2276.7165565683313</x:v>
      </x:c>
    </x:row>
    <x:row r="34">
      <x:c r="A34" s="9" t="n">
        <x:f>Model_Data!A34</x:f>
        <x:v>-44</x:v>
      </x:c>
      <x:c r="B34" s="9" t="n">
        <x:f>0</x:f>
        <x:v>0</x:v>
      </x:c>
      <x:c r="C34" s="9" t="n">
        <x:f>((SQRT((Inputs!$C$52+Inputs!$C$5)^2+Inputs!$C$52^2-2*(Inputs!$C$52+Inputs!$C$5)*Inputs!$C$52*COS(SQRT((Model_Data!A34)^2+Inputs!$C$6^2)/Inputs!$C$52))-Inputs!$C$5)*1000/Inputs!$C$12)</x:f>
        <x:v>2247.9198450390527</x:v>
      </x:c>
      <x:c r="D34" s="9" t="n">
        <x:f>Model_Data!F34</x:f>
        <x:v>2238.4548463578362</x:v>
      </x:c>
      <x:c r="E34" s="9" t="n">
        <x:f>Model_Data!AC34</x:f>
        <x:v>2137.995020781874</x:v>
      </x:c>
      <x:c r="F34" s="10"/>
      <x:c r="G34" s="9" t="n">
        <x:f>Model_Data!A34</x:f>
        <x:v>-44</x:v>
      </x:c>
      <x:c r="H34" s="9" t="n">
        <x:f>Model_Data!Y34</x:f>
        <x:v>200.11672258234324</x:v>
      </x:c>
      <x:c r="I34" s="9" t="n">
        <x:f>Model_Data!Y34</x:f>
        <x:v>200.11672258234324</x:v>
      </x:c>
      <x:c r="J34" s="9" t="n">
        <x:f>Model_Data!X34</x:f>
        <x:v>18.82539201019003</x:v>
      </x:c>
      <x:c r="K34" s="9" t="n">
        <x:f>Model_Data!A34</x:f>
        <x:v>-44</x:v>
      </x:c>
      <x:c r="L34" s="9" t="n">
        <x:f>Model_Data!Y34</x:f>
        <x:v>200.11672258234324</x:v>
      </x:c>
      <x:c r="M34" s="9" t="n">
        <x:f>Model_Data!X34</x:f>
        <x:v>18.82539201019003</x:v>
      </x:c>
      <x:c r="N34" s="9" t="n">
        <x:f>-(Model_Data!AC34-Model_Data!F34)*Inputs!$C$12</x:f>
        <x:v>178.81848952521315</x:v>
      </x:c>
      <x:c r="O34" s="10"/>
      <x:c r="P34" s="9" t="n">
        <x:f>Model_Data!A34</x:f>
        <x:v>-44</x:v>
      </x:c>
      <x:c r="Q34" s="9" t="n">
        <x:f>Model_Data!P34</x:f>
        <x:v>373.1906961457753</x:v>
      </x:c>
      <x:c r="R34" s="9" t="n">
        <x:f>Model_Data!AM34</x:f>
        <x:v>387.84031539016723</x:v>
      </x:c>
      <x:c r="S34" s="9" t="n">
        <x:f>Model_Data!Q34</x:f>
        <x:v>56.034639060927226</x:v>
      </x:c>
      <x:c r="T34" s="9" t="n">
        <x:f>Model_Data!AN34</x:f>
        <x:v>58.2342815901152</x:v>
      </x:c>
      <x:c r="U34" s="10"/>
      <x:c r="V34" s="9" t="n">
        <x:f>Model_Data!A34</x:f>
        <x:v>-44</x:v>
      </x:c>
      <x:c r="W34" s="9" t="n">
        <x:f>Model_Data!B34-Inputs!$C$5</x:f>
        <x:v>2.1511111111111063</x:v>
      </x:c>
      <x:c r="X34" s="10"/>
      <x:c r="Y34" s="9" t="n">
        <x:f>Model_Data!A34</x:f>
        <x:v>-44</x:v>
      </x:c>
      <x:c r="Z34" s="9" t="n">
        <x:f>0</x:f>
        <x:v>0</x:v>
      </x:c>
      <x:c r="AA34" s="9" t="n">
        <x:f>((SQRT((Inputs!$C$52+Inputs!$C$5)^2+Inputs!$C$52^2-2*(Inputs!$C$52+Inputs!$C$5)*Inputs!$C$52*COS(SQRT((Model_Data!A34)^2+Inputs!$C$6^2)/Inputs!$C$52))-Inputs!$C$5)*1000/Inputs!$C$12)</x:f>
        <x:v>2247.9198450390527</x:v>
      </x:c>
      <x:c r="AB34" s="9" t="n">
        <x:f>Model_Data!F34</x:f>
        <x:v>2238.4548463578362</x:v>
      </x:c>
    </x:row>
    <x:row r="35">
      <x:c r="A35" s="9" t="n">
        <x:f>Model_Data!A35</x:f>
        <x:v>-43.5</x:v>
      </x:c>
      <x:c r="B35" s="9" t="n">
        <x:f>0</x:f>
        <x:v>0</x:v>
      </x:c>
      <x:c r="C35" s="9" t="n">
        <x:f>((SQRT((Inputs!$C$52+Inputs!$C$5)^2+Inputs!$C$52^2-2*(Inputs!$C$52+Inputs!$C$5)*Inputs!$C$52*COS(SQRT((Model_Data!A35)^2+Inputs!$C$6^2)/Inputs!$C$52))-Inputs!$C$5)*1000/Inputs!$C$12)</x:f>
        <x:v>2209.708488578056</x:v>
      </x:c>
      <x:c r="D35" s="9" t="n">
        <x:f>Model_Data!F35</x:f>
        <x:v>2200.611833358587</x:v>
      </x:c>
      <x:c r="E35" s="9" t="n">
        <x:f>Model_Data!AC35</x:f>
        <x:v>2096.268299107758</x:v>
      </x:c>
      <x:c r="F35" s="10"/>
      <x:c r="G35" s="9" t="n">
        <x:f>Model_Data!A35</x:f>
        <x:v>-43.5</x:v>
      </x:c>
      <x:c r="H35" s="9" t="n">
        <x:f>Model_Data!Y35</x:f>
        <x:v>210.8483953416035</x:v>
      </x:c>
      <x:c r="I35" s="9" t="n">
        <x:f>Model_Data!Y35</x:f>
        <x:v>210.8483953416035</x:v>
      </x:c>
      <x:c r="J35" s="9" t="n">
        <x:f>Model_Data!X35</x:f>
        <x:v>22.55480739682735</x:v>
      </x:c>
      <x:c r="K35" s="9" t="n">
        <x:f>Model_Data!A35</x:f>
        <x:v>-43.5</x:v>
      </x:c>
      <x:c r="L35" s="9" t="n">
        <x:f>Model_Data!Y35</x:f>
        <x:v>210.8483953416035</x:v>
      </x:c>
      <x:c r="M35" s="9" t="n">
        <x:f>Model_Data!X35</x:f>
        <x:v>22.55480739682735</x:v>
      </x:c>
      <x:c r="N35" s="9" t="n">
        <x:f>-(Model_Data!AC35-Model_Data!F35)*Inputs!$C$12</x:f>
        <x:v>185.73149096647512</x:v>
      </x:c>
      <x:c r="O35" s="10"/>
      <x:c r="P35" s="9" t="n">
        <x:f>Model_Data!A35</x:f>
        <x:v>-43.5</x:v>
      </x:c>
      <x:c r="Q35" s="9" t="n">
        <x:f>Model_Data!P35</x:f>
        <x:v>369.0267273985228</x:v>
      </x:c>
      <x:c r="R35" s="9" t="n">
        <x:f>Model_Data!AM35</x:f>
        <x:v>338.2382872227936</x:v>
      </x:c>
      <x:c r="S35" s="9" t="n">
        <x:f>Model_Data!Q35</x:f>
        <x:v>55.40941852830673</x:v>
      </x:c>
      <x:c r="T35" s="9" t="n">
        <x:f>Model_Data!AN35</x:f>
        <x:v>50.78652961303207</x:v>
      </x:c>
      <x:c r="U35" s="10"/>
      <x:c r="V35" s="9" t="n">
        <x:f>Model_Data!A35</x:f>
        <x:v>-43.5</x:v>
      </x:c>
      <x:c r="W35" s="9" t="n">
        <x:f>Model_Data!B35-Inputs!$C$5</x:f>
        <x:v>2.1025000000000205</x:v>
      </x:c>
      <x:c r="X35" s="10"/>
      <x:c r="Y35" s="9" t="n">
        <x:f>Model_Data!A35</x:f>
        <x:v>-43.5</x:v>
      </x:c>
      <x:c r="Z35" s="9" t="n">
        <x:f>0</x:f>
        <x:v>0</x:v>
      </x:c>
      <x:c r="AA35" s="9" t="n">
        <x:f>((SQRT((Inputs!$C$52+Inputs!$C$5)^2+Inputs!$C$52^2-2*(Inputs!$C$52+Inputs!$C$5)*Inputs!$C$52*COS(SQRT((Model_Data!A35)^2+Inputs!$C$6^2)/Inputs!$C$52))-Inputs!$C$5)*1000/Inputs!$C$12)</x:f>
        <x:v>2209.708488578056</x:v>
      </x:c>
      <x:c r="AB35" s="9" t="n">
        <x:f>Model_Data!F35</x:f>
        <x:v>2200.611833358587</x:v>
      </x:c>
    </x:row>
    <x:row r="36">
      <x:c r="A36" s="9" t="n">
        <x:f>Model_Data!A36</x:f>
        <x:v>-43</x:v>
      </x:c>
      <x:c r="B36" s="9" t="n">
        <x:f>0</x:f>
        <x:v>0</x:v>
      </x:c>
      <x:c r="C36" s="9" t="n">
        <x:f>((SQRT((Inputs!$C$52+Inputs!$C$5)^2+Inputs!$C$52^2-2*(Inputs!$C$52+Inputs!$C$5)*Inputs!$C$52*COS(SQRT((Model_Data!A36)^2+Inputs!$C$6^2)/Inputs!$C$52))-Inputs!$C$5)*1000/Inputs!$C$12)</x:f>
        <x:v>2171.9273954940345</x:v>
      </x:c>
      <x:c r="D36" s="9" t="n">
        <x:f>Model_Data!F36</x:f>
        <x:v>2163.1879711008464</x:v>
      </x:c>
      <x:c r="E36" s="9" t="n">
        <x:f>Model_Data!AC36</x:f>
        <x:v>2065.038355490313</x:v>
      </x:c>
      <x:c r="F36" s="10"/>
      <x:c r="G36" s="9" t="n">
        <x:f>Model_Data!A36</x:f>
        <x:v>-43</x:v>
      </x:c>
      <x:c r="H36" s="9" t="n">
        <x:f>Model_Data!Y36</x:f>
        <x:v>180.5581841932563</x:v>
      </x:c>
      <x:c r="I36" s="9" t="n">
        <x:f>Model_Data!Y36</x:f>
        <x:v>180.5581841932563</x:v>
      </x:c>
      <x:c r="J36" s="9" t="n">
        <x:f>Model_Data!X36</x:f>
        <x:v>3.69479063881065</x:v>
      </x:c>
      <x:c r="K36" s="9" t="n">
        <x:f>Model_Data!A36</x:f>
        <x:v>-43</x:v>
      </x:c>
      <x:c r="L36" s="9" t="n">
        <x:f>Model_Data!Y36</x:f>
        <x:v>180.5581841932563</x:v>
      </x:c>
      <x:c r="M36" s="9" t="n">
        <x:f>Model_Data!X36</x:f>
        <x:v>3.69479063881065</x:v>
      </x:c>
      <x:c r="N36" s="9" t="n">
        <x:f>-(Model_Data!AC36-Model_Data!F36)*Inputs!$C$12</x:f>
        <x:v>174.70631578674983</x:v>
      </x:c>
      <x:c r="O36" s="10"/>
      <x:c r="P36" s="9" t="n">
        <x:f>Model_Data!A36</x:f>
        <x:v>-43</x:v>
      </x:c>
      <x:c r="Q36" s="9" t="n">
        <x:f>Model_Data!P36</x:f>
        <x:v>364.8601882793628</x:v>
      </x:c>
      <x:c r="R36" s="9" t="n">
        <x:f>Model_Data!AM36</x:f>
        <x:v>318.9536821423644</x:v>
      </x:c>
      <x:c r="S36" s="9" t="n">
        <x:f>Model_Data!Q36</x:f>
        <x:v>54.78381205395838</x:v>
      </x:c>
      <x:c r="T36" s="9" t="n">
        <x:f>Model_Data!AN36</x:f>
        <x:v>47.89094326461929</x:v>
      </x:c>
      <x:c r="U36" s="10"/>
      <x:c r="V36" s="9" t="n">
        <x:f>Model_Data!A36</x:f>
        <x:v>-43</x:v>
      </x:c>
      <x:c r="W36" s="9" t="n">
        <x:f>Model_Data!B36-Inputs!$C$5</x:f>
        <x:v>2.0544444444444707</x:v>
      </x:c>
      <x:c r="X36" s="10"/>
      <x:c r="Y36" s="9" t="n">
        <x:f>Model_Data!A36</x:f>
        <x:v>-43</x:v>
      </x:c>
      <x:c r="Z36" s="9" t="n">
        <x:f>0</x:f>
        <x:v>0</x:v>
      </x:c>
      <x:c r="AA36" s="9" t="n">
        <x:f>((SQRT((Inputs!$C$52+Inputs!$C$5)^2+Inputs!$C$52^2-2*(Inputs!$C$52+Inputs!$C$5)*Inputs!$C$52*COS(SQRT((Model_Data!A36)^2+Inputs!$C$6^2)/Inputs!$C$52))-Inputs!$C$5)*1000/Inputs!$C$12)</x:f>
        <x:v>2171.9273954940345</x:v>
      </x:c>
      <x:c r="AB36" s="9" t="n">
        <x:f>Model_Data!F36</x:f>
        <x:v>2163.1879711008464</x:v>
      </x:c>
    </x:row>
    <x:row r="37">
      <x:c r="A37" s="9" t="n">
        <x:f>Model_Data!A37</x:f>
        <x:v>-42.5</x:v>
      </x:c>
      <x:c r="B37" s="9" t="n">
        <x:f>0</x:f>
        <x:v>0</x:v>
      </x:c>
      <x:c r="C37" s="9" t="n">
        <x:f>((SQRT((Inputs!$C$52+Inputs!$C$5)^2+Inputs!$C$52^2-2*(Inputs!$C$52+Inputs!$C$5)*Inputs!$C$52*COS(SQRT((Model_Data!A37)^2+Inputs!$C$6^2)/Inputs!$C$52))-Inputs!$C$5)*1000/Inputs!$C$12)</x:f>
        <x:v>2134.576784639611</x:v>
      </x:c>
      <x:c r="D37" s="9" t="n">
        <x:f>Model_Data!F37</x:f>
        <x:v>2126.18370857261</x:v>
      </x:c>
      <x:c r="E37" s="9" t="n">
        <x:f>Model_Data!AC37</x:f>
        <x:v>2030.612257711164</x:v>
      </x:c>
      <x:c r="F37" s="10"/>
      <x:c r="G37" s="9" t="n">
        <x:f>Model_Data!A37</x:f>
        <x:v>-42.5</x:v>
      </x:c>
      <x:c r="H37" s="9" t="n">
        <x:f>Model_Data!Y37</x:f>
        <x:v>181.7291755177202</x:v>
      </x:c>
      <x:c r="I37" s="9" t="n">
        <x:f>Model_Data!Y37</x:f>
        <x:v>181.7291755177202</x:v>
      </x:c>
      <x:c r="J37" s="9" t="n">
        <x:f>Model_Data!X37</x:f>
        <x:v>9.477549494288523</x:v>
      </x:c>
      <x:c r="K37" s="9" t="n">
        <x:f>Model_Data!A37</x:f>
        <x:v>-42.5</x:v>
      </x:c>
      <x:c r="L37" s="9" t="n">
        <x:f>Model_Data!Y37</x:f>
        <x:v>181.7291755177202</x:v>
      </x:c>
      <x:c r="M37" s="9" t="n">
        <x:f>Model_Data!X37</x:f>
        <x:v>9.477549494288523</x:v>
      </x:c>
      <x:c r="N37" s="9" t="n">
        <x:f>-(Model_Data!AC37-Model_Data!F37)*Inputs!$C$12</x:f>
        <x:v>170.11718253337432</x:v>
      </x:c>
      <x:c r="O37" s="10"/>
      <x:c r="P37" s="9" t="n">
        <x:f>Model_Data!A37</x:f>
        <x:v>-42.5</x:v>
      </x:c>
      <x:c r="Q37" s="9" t="n">
        <x:f>Model_Data!P37</x:f>
        <x:v>360.6911047401809</x:v>
      </x:c>
      <x:c r="R37" s="9" t="n">
        <x:f>Model_Data!AM37</x:f>
        <x:v>345.1024300021345</x:v>
      </x:c>
      <x:c r="S37" s="9" t="n">
        <x:f>Model_Data!Q37</x:f>
        <x:v>54.1578235345617</x:v>
      </x:c>
      <x:c r="T37" s="9" t="n">
        <x:f>Model_Data!AN37</x:f>
        <x:v>51.81718168200218</x:v>
      </x:c>
      <x:c r="U37" s="10"/>
      <x:c r="V37" s="9" t="n">
        <x:f>Model_Data!A37</x:f>
        <x:v>-42.5</x:v>
      </x:c>
      <x:c r="W37" s="9" t="n">
        <x:f>Model_Data!B37-Inputs!$C$5</x:f>
        <x:v>2.006944444444457</x:v>
      </x:c>
      <x:c r="X37" s="10"/>
      <x:c r="Y37" s="9" t="n">
        <x:f>Model_Data!A37</x:f>
        <x:v>-42.5</x:v>
      </x:c>
      <x:c r="Z37" s="9" t="n">
        <x:f>0</x:f>
        <x:v>0</x:v>
      </x:c>
      <x:c r="AA37" s="9" t="n">
        <x:f>((SQRT((Inputs!$C$52+Inputs!$C$5)^2+Inputs!$C$52^2-2*(Inputs!$C$52+Inputs!$C$5)*Inputs!$C$52*COS(SQRT((Model_Data!A37)^2+Inputs!$C$6^2)/Inputs!$C$52))-Inputs!$C$5)*1000/Inputs!$C$12)</x:f>
        <x:v>2134.576784639611</x:v>
      </x:c>
      <x:c r="AB37" s="9" t="n">
        <x:f>Model_Data!F37</x:f>
        <x:v>2126.18370857261</x:v>
      </x:c>
    </x:row>
    <x:row r="38">
      <x:c r="A38" s="9" t="n">
        <x:f>Model_Data!A38</x:f>
        <x:v>-42</x:v>
      </x:c>
      <x:c r="B38" s="9" t="n">
        <x:f>0</x:f>
        <x:v>0</x:v>
      </x:c>
      <x:c r="C38" s="9" t="n">
        <x:f>((SQRT((Inputs!$C$52+Inputs!$C$5)^2+Inputs!$C$52^2-2*(Inputs!$C$52+Inputs!$C$5)*Inputs!$C$52*COS(SQRT((Model_Data!A38)^2+Inputs!$C$6^2)/Inputs!$C$52))-Inputs!$C$5)*1000/Inputs!$C$12)</x:f>
        <x:v>2097.656872513326</x:v>
      </x:c>
      <x:c r="D38" s="9" t="n">
        <x:f>Model_Data!F38</x:f>
        <x:v>2089.5994901917893</x:v>
      </x:c>
      <x:c r="E38" s="9" t="n">
        <x:f>Model_Data!AC38</x:f>
        <x:v>1989.964946236575</x:v>
      </x:c>
      <x:c r="F38" s="10"/>
      <x:c r="G38" s="9" t="n">
        <x:f>Model_Data!A38</x:f>
        <x:v>-42</x:v>
      </x:c>
      <x:c r="H38" s="9" t="n">
        <x:f>Model_Data!Y38</x:f>
        <x:v>170.62817299697477</x:v>
      </x:c>
      <x:c r="I38" s="9" t="n">
        <x:f>Model_Data!Y38</x:f>
        <x:v>170.62817299697477</x:v>
      </x:c>
      <x:c r="J38" s="9" t="n">
        <x:f>Model_Data!X38</x:f>
        <x:v>-8.691303525994272</x:v>
      </x:c>
      <x:c r="K38" s="9" t="n">
        <x:f>Model_Data!A38</x:f>
        <x:v>-42</x:v>
      </x:c>
      <x:c r="L38" s="9" t="n">
        <x:f>Model_Data!Y38</x:f>
        <x:v>170.62817299697477</x:v>
      </x:c>
      <x:c r="M38" s="9" t="n">
        <x:f>Model_Data!X38</x:f>
        <x:v>-8.691303525994272</x:v>
      </x:c>
      <x:c r="N38" s="9" t="n">
        <x:f>-(Model_Data!AC38-Model_Data!F38)*Inputs!$C$12</x:f>
        <x:v>177.3494882402813</x:v>
      </x:c>
      <x:c r="O38" s="10"/>
      <x:c r="P38" s="9" t="n">
        <x:f>Model_Data!A38</x:f>
        <x:v>-42</x:v>
      </x:c>
      <x:c r="Q38" s="9" t="n">
        <x:f>Model_Data!P38</x:f>
        <x:v>356.5195028526432</x:v>
      </x:c>
      <x:c r="R38" s="9" t="n">
        <x:f>Model_Data!AM38</x:f>
        <x:v>340.27294612515107</x:v>
      </x:c>
      <x:c r="S38" s="9" t="n">
        <x:f>Model_Data!Q38</x:f>
        <x:v>53.531456884781264</x:v>
      </x:c>
      <x:c r="T38" s="9" t="n">
        <x:f>Model_Data!AN38</x:f>
        <x:v>51.09203395272539</x:v>
      </x:c>
      <x:c r="U38" s="10"/>
      <x:c r="V38" s="9" t="n">
        <x:f>Model_Data!A38</x:f>
        <x:v>-42</x:v>
      </x:c>
      <x:c r="W38" s="9" t="n">
        <x:f>Model_Data!B38-Inputs!$C$5</x:f>
        <x:v>1.9599999999999795</x:v>
      </x:c>
      <x:c r="X38" s="10"/>
      <x:c r="Y38" s="9" t="n">
        <x:f>Model_Data!A38</x:f>
        <x:v>-42</x:v>
      </x:c>
      <x:c r="Z38" s="9" t="n">
        <x:f>0</x:f>
        <x:v>0</x:v>
      </x:c>
      <x:c r="AA38" s="9" t="n">
        <x:f>((SQRT((Inputs!$C$52+Inputs!$C$5)^2+Inputs!$C$52^2-2*(Inputs!$C$52+Inputs!$C$5)*Inputs!$C$52*COS(SQRT((Model_Data!A38)^2+Inputs!$C$6^2)/Inputs!$C$52))-Inputs!$C$5)*1000/Inputs!$C$12)</x:f>
        <x:v>2097.656872513326</x:v>
      </x:c>
      <x:c r="AB38" s="9" t="n">
        <x:f>Model_Data!F38</x:f>
        <x:v>2089.5994901917893</x:v>
      </x:c>
    </x:row>
    <x:row r="39">
      <x:c r="A39" s="9" t="n">
        <x:f>Model_Data!A39</x:f>
        <x:v>-41.5</x:v>
      </x:c>
      <x:c r="B39" s="9" t="n">
        <x:f>0</x:f>
        <x:v>0</x:v>
      </x:c>
      <x:c r="C39" s="9" t="n">
        <x:f>((SQRT((Inputs!$C$52+Inputs!$C$5)^2+Inputs!$C$52^2-2*(Inputs!$C$52+Inputs!$C$5)*Inputs!$C$52*COS(SQRT((Model_Data!A39)^2+Inputs!$C$6^2)/Inputs!$C$52))-Inputs!$C$5)*1000/Inputs!$C$12)</x:f>
        <x:v>2061.1678732608475</x:v>
      </x:c>
      <x:c r="D39" s="9" t="n">
        <x:f>Model_Data!F39</x:f>
        <x:v>2053.4357557919698</x:v>
      </x:c>
      <x:c r="E39" s="9" t="n">
        <x:f>Model_Data!AC39</x:f>
        <x:v>1949.3721661921122</x:v>
      </x:c>
      <x:c r="F39" s="10"/>
      <x:c r="G39" s="9" t="n">
        <x:f>Model_Data!A39</x:f>
        <x:v>-41.5</x:v>
      </x:c>
      <x:c r="H39" s="9" t="n">
        <x:f>Model_Data!Y39</x:f>
        <x:v>171.38557913735212</x:v>
      </x:c>
      <x:c r="I39" s="9" t="n">
        <x:f>Model_Data!Y39</x:f>
        <x:v>171.38557913735212</x:v>
      </x:c>
      <x:c r="J39" s="9" t="n">
        <x:f>Model_Data!X39</x:f>
        <x:v>-15.792555414769886</x:v>
      </x:c>
      <x:c r="K39" s="9" t="n">
        <x:f>Model_Data!A39</x:f>
        <x:v>-41.5</x:v>
      </x:c>
      <x:c r="L39" s="9" t="n">
        <x:f>Model_Data!Y39</x:f>
        <x:v>171.38557913735212</x:v>
      </x:c>
      <x:c r="M39" s="9" t="n">
        <x:f>Model_Data!X39</x:f>
        <x:v>-15.792555414769886</x:v>
      </x:c>
      <x:c r="N39" s="9" t="n">
        <x:f>-(Model_Data!AC39-Model_Data!F39)*Inputs!$C$12</x:f>
        <x:v>185.23318948774644</x:v>
      </x:c>
      <x:c r="O39" s="10"/>
      <x:c r="P39" s="9" t="n">
        <x:f>Model_Data!A39</x:f>
        <x:v>-41.5</x:v>
      </x:c>
      <x:c r="Q39" s="9" t="n">
        <x:f>Model_Data!P39</x:f>
        <x:v>352.3454087967366</x:v>
      </x:c>
      <x:c r="R39" s="9" t="n">
        <x:f>Model_Data!AM39</x:f>
        <x:v>362.0055736474569</x:v>
      </x:c>
      <x:c r="S39" s="9" t="n">
        <x:f>Model_Data!Q39</x:f>
        <x:v>52.90471603554604</x:v>
      </x:c>
      <x:c r="T39" s="9" t="n">
        <x:f>Model_Data!AN39</x:f>
        <x:v>54.3551912383569</x:v>
      </x:c>
      <x:c r="U39" s="10"/>
      <x:c r="V39" s="9" t="n">
        <x:f>Model_Data!A39</x:f>
        <x:v>-41.5</x:v>
      </x:c>
      <x:c r="W39" s="9" t="n">
        <x:f>Model_Data!B39-Inputs!$C$5</x:f>
        <x:v>1.913611111111095</x:v>
      </x:c>
      <x:c r="X39" s="10"/>
      <x:c r="Y39" s="9" t="n">
        <x:f>Model_Data!A39</x:f>
        <x:v>-41.5</x:v>
      </x:c>
      <x:c r="Z39" s="9" t="n">
        <x:f>0</x:f>
        <x:v>0</x:v>
      </x:c>
      <x:c r="AA39" s="9" t="n">
        <x:f>((SQRT((Inputs!$C$52+Inputs!$C$5)^2+Inputs!$C$52^2-2*(Inputs!$C$52+Inputs!$C$5)*Inputs!$C$52*COS(SQRT((Model_Data!A39)^2+Inputs!$C$6^2)/Inputs!$C$52))-Inputs!$C$5)*1000/Inputs!$C$12)</x:f>
        <x:v>2061.1678732608475</x:v>
      </x:c>
      <x:c r="AB39" s="9" t="n">
        <x:f>Model_Data!F39</x:f>
        <x:v>2053.4357557919698</x:v>
      </x:c>
    </x:row>
    <x:row r="40">
      <x:c r="A40" s="9" t="n">
        <x:f>Model_Data!A40</x:f>
        <x:v>-41</x:v>
      </x:c>
      <x:c r="B40" s="9" t="n">
        <x:f>0</x:f>
        <x:v>0</x:v>
      </x:c>
      <x:c r="C40" s="9" t="n">
        <x:f>((SQRT((Inputs!$C$52+Inputs!$C$5)^2+Inputs!$C$52^2-2*(Inputs!$C$52+Inputs!$C$5)*Inputs!$C$52*COS(SQRT((Model_Data!A40)^2+Inputs!$C$6^2)/Inputs!$C$52))-Inputs!$C$5)*1000/Inputs!$C$12)</x:f>
        <x:v>2025.1099986616898</x:v>
      </x:c>
      <x:c r="D40" s="9" t="n">
        <x:f>Model_Data!F40</x:f>
        <x:v>2017.6929405986523</x:v>
      </x:c>
      <x:c r="E40" s="9" t="n">
        <x:f>Model_Data!AC40</x:f>
        <x:v>1909.5007750128811</x:v>
      </x:c>
      <x:c r="F40" s="10"/>
      <x:c r="G40" s="9" t="n">
        <x:f>Model_Data!A40</x:f>
        <x:v>-41</x:v>
      </x:c>
      <x:c r="H40" s="9" t="n">
        <x:f>Model_Data!Y40</x:f>
        <x:v>176.66624192778235</x:v>
      </x:c>
      <x:c r="I40" s="9" t="n">
        <x:f>Model_Data!Y40</x:f>
        <x:v>176.66624192778235</x:v>
      </x:c>
      <x:c r="J40" s="9" t="n">
        <x:f>Model_Data!X40</x:f>
        <x:v>-17.886266996681616</x:v>
      </x:c>
      <x:c r="K40" s="9" t="n">
        <x:f>Model_Data!A40</x:f>
        <x:v>-41</x:v>
      </x:c>
      <x:c r="L40" s="9" t="n">
        <x:f>Model_Data!Y40</x:f>
        <x:v>176.66624192778235</x:v>
      </x:c>
      <x:c r="M40" s="9" t="n">
        <x:f>Model_Data!X40</x:f>
        <x:v>-17.886266996681616</x:v>
      </x:c>
      <x:c r="N40" s="9" t="n">
        <x:f>-(Model_Data!AC40-Model_Data!F40)*Inputs!$C$12</x:f>
        <x:v>192.58205474267263</x:v>
      </x:c>
      <x:c r="O40" s="10"/>
      <x:c r="P40" s="9" t="n">
        <x:f>Model_Data!A40</x:f>
        <x:v>-41</x:v>
      </x:c>
      <x:c r="Q40" s="9" t="n">
        <x:f>Model_Data!P40</x:f>
        <x:v>348.16884888314235</x:v>
      </x:c>
      <x:c r="R40" s="9" t="n">
        <x:f>Model_Data!AM40</x:f>
        <x:v>379.704203482288</x:v>
      </x:c>
      <x:c r="S40" s="9" t="n">
        <x:f>Model_Data!Q40</x:f>
        <x:v>52.27760493740877</x:v>
      </x:c>
      <x:c r="T40" s="9" t="n">
        <x:f>Model_Data!AN40</x:f>
        <x:v>57.01264316550871</x:v>
      </x:c>
      <x:c r="U40" s="10"/>
      <x:c r="V40" s="9" t="n">
        <x:f>Model_Data!A40</x:f>
        <x:v>-41</x:v>
      </x:c>
      <x:c r="W40" s="9" t="n">
        <x:f>Model_Data!B40-Inputs!$C$5</x:f>
        <x:v>1.8677777777778033</x:v>
      </x:c>
      <x:c r="X40" s="10"/>
      <x:c r="Y40" s="9" t="n">
        <x:f>Model_Data!A40</x:f>
        <x:v>-41</x:v>
      </x:c>
      <x:c r="Z40" s="9" t="n">
        <x:f>0</x:f>
        <x:v>0</x:v>
      </x:c>
      <x:c r="AA40" s="9" t="n">
        <x:f>((SQRT((Inputs!$C$52+Inputs!$C$5)^2+Inputs!$C$52^2-2*(Inputs!$C$52+Inputs!$C$5)*Inputs!$C$52*COS(SQRT((Model_Data!A40)^2+Inputs!$C$6^2)/Inputs!$C$52))-Inputs!$C$5)*1000/Inputs!$C$12)</x:f>
        <x:v>2025.1099986616898</x:v>
      </x:c>
      <x:c r="AB40" s="9" t="n">
        <x:f>Model_Data!F40</x:f>
        <x:v>2017.6929405986523</x:v>
      </x:c>
    </x:row>
    <x:row r="41">
      <x:c r="A41" s="9" t="n">
        <x:f>Model_Data!A41</x:f>
        <x:v>-40.5</x:v>
      </x:c>
      <x:c r="B41" s="9" t="n">
        <x:f>0</x:f>
        <x:v>0</x:v>
      </x:c>
      <x:c r="C41" s="9" t="n">
        <x:f>((SQRT((Inputs!$C$52+Inputs!$C$5)^2+Inputs!$C$52^2-2*(Inputs!$C$52+Inputs!$C$5)*Inputs!$C$52*COS(SQRT((Model_Data!A41)^2+Inputs!$C$6^2)/Inputs!$C$52))-Inputs!$C$5)*1000/Inputs!$C$12)</x:f>
        <x:v>1989.483458127327</x:v>
      </x:c>
      <x:c r="D41" s="9" t="n">
        <x:f>Model_Data!F41</x:f>
        <x:v>1982.3714752072171</x:v>
      </x:c>
      <x:c r="E41" s="9" t="n">
        <x:f>Model_Data!AC41</x:f>
        <x:v>1867.6561897168183</x:v>
      </x:c>
      <x:c r="F41" s="10"/>
      <x:c r="G41" s="9" t="n">
        <x:f>Model_Data!A41</x:f>
        <x:v>-40.5</x:v>
      </x:c>
      <x:c r="H41" s="9" t="n">
        <x:f>Model_Data!Y41</x:f>
        <x:v>191.24651788731785</x:v>
      </x:c>
      <x:c r="I41" s="9" t="n">
        <x:f>Model_Data!Y41</x:f>
        <x:v>191.24651788731785</x:v>
      </x:c>
      <x:c r="J41" s="9" t="n">
        <x:f>Model_Data!X41</x:f>
        <x:v>-15.042977474303433</x:v>
      </x:c>
      <x:c r="K41" s="9" t="n">
        <x:f>Model_Data!A41</x:f>
        <x:v>-40.5</x:v>
      </x:c>
      <x:c r="L41" s="9" t="n">
        <x:f>Model_Data!Y41</x:f>
        <x:v>191.24651788731785</x:v>
      </x:c>
      <x:c r="M41" s="9" t="n">
        <x:f>Model_Data!X41</x:f>
        <x:v>-15.042977474303433</x:v>
      </x:c>
      <x:c r="N41" s="9" t="n">
        <x:f>-(Model_Data!AC41-Model_Data!F41)*Inputs!$C$12</x:f>
        <x:v>204.19320817290998</x:v>
      </x:c>
      <x:c r="O41" s="10"/>
      <x:c r="P41" s="9" t="n">
        <x:f>Model_Data!A41</x:f>
        <x:v>-40.5</x:v>
      </x:c>
      <x:c r="Q41" s="9" t="n">
        <x:f>Model_Data!P41</x:f>
        <x:v>343.98984952458704</x:v>
      </x:c>
      <x:c r="R41" s="9" t="n">
        <x:f>Model_Data!AM41</x:f>
        <x:v>377.3350791899247</x:v>
      </x:c>
      <x:c r="S41" s="9" t="n">
        <x:f>Model_Data!Q41</x:f>
        <x:v>51.65012755624431</x:v>
      </x:c>
      <x:c r="T41" s="9" t="n">
        <x:f>Model_Data!AN41</x:f>
        <x:v>56.656918797286</x:v>
      </x:c>
      <x:c r="U41" s="10"/>
      <x:c r="V41" s="9" t="n">
        <x:f>Model_Data!A41</x:f>
        <x:v>-40.5</x:v>
      </x:c>
      <x:c r="W41" s="9" t="n">
        <x:f>Model_Data!B41-Inputs!$C$5</x:f>
        <x:v>1.822499999999991</x:v>
      </x:c>
      <x:c r="X41" s="10"/>
      <x:c r="Y41" s="9" t="n">
        <x:f>Model_Data!A41</x:f>
        <x:v>-40.5</x:v>
      </x:c>
      <x:c r="Z41" s="9" t="n">
        <x:f>0</x:f>
        <x:v>0</x:v>
      </x:c>
      <x:c r="AA41" s="9" t="n">
        <x:f>((SQRT((Inputs!$C$52+Inputs!$C$5)^2+Inputs!$C$52^2-2*(Inputs!$C$52+Inputs!$C$5)*Inputs!$C$52*COS(SQRT((Model_Data!A41)^2+Inputs!$C$6^2)/Inputs!$C$52))-Inputs!$C$5)*1000/Inputs!$C$12)</x:f>
        <x:v>1989.483458127327</x:v>
      </x:c>
      <x:c r="AB41" s="9" t="n">
        <x:f>Model_Data!F41</x:f>
        <x:v>1982.3714752072171</x:v>
      </x:c>
    </x:row>
    <x:row r="42">
      <x:c r="A42" s="9" t="n">
        <x:f>Model_Data!A42</x:f>
        <x:v>-40</x:v>
      </x:c>
      <x:c r="B42" s="9" t="n">
        <x:f>0</x:f>
        <x:v>0</x:v>
      </x:c>
      <x:c r="C42" s="9" t="n">
        <x:f>((SQRT((Inputs!$C$52+Inputs!$C$5)^2+Inputs!$C$52^2-2*(Inputs!$C$52+Inputs!$C$5)*Inputs!$C$52*COS(SQRT((Model_Data!A42)^2+Inputs!$C$6^2)/Inputs!$C$52))-Inputs!$C$5)*1000/Inputs!$C$12)</x:f>
        <x:v>1954.2884586951907</x:v>
      </x:c>
      <x:c r="D42" s="9" t="n">
        <x:f>Model_Data!F42</x:f>
        <x:v>1947.4717855689696</x:v>
      </x:c>
      <x:c r="E42" s="9" t="n">
        <x:f>Model_Data!AC42</x:f>
        <x:v>1820.073882562747</x:v>
      </x:c>
      <x:c r="F42" s="10"/>
      <x:c r="G42" s="9" t="n">
        <x:f>Model_Data!A42</x:f>
        <x:v>-40</x:v>
      </x:c>
      <x:c r="H42" s="9" t="n">
        <x:f>Model_Data!Y42</x:f>
        <x:v>197.66557297497732</x:v>
      </x:c>
      <x:c r="I42" s="9" t="n">
        <x:f>Model_Data!Y42</x:f>
        <x:v>197.66557297497732</x:v>
      </x:c>
      <x:c r="J42" s="9" t="n">
        <x:f>Model_Data!X42</x:f>
        <x:v>-31.231711064274894</x:v>
      </x:c>
      <x:c r="K42" s="9" t="n">
        <x:f>Model_Data!A42</x:f>
        <x:v>-40</x:v>
      </x:c>
      <x:c r="L42" s="9" t="n">
        <x:f>Model_Data!Y42</x:f>
        <x:v>197.66557297497732</x:v>
      </x:c>
      <x:c r="M42" s="9" t="n">
        <x:f>Model_Data!X42</x:f>
        <x:v>-31.231711064274894</x:v>
      </x:c>
      <x:c r="N42" s="9" t="n">
        <x:f>-(Model_Data!AC42-Model_Data!F42)*Inputs!$C$12</x:f>
        <x:v>226.7682673510762</x:v>
      </x:c>
      <x:c r="O42" s="10"/>
      <x:c r="P42" s="9" t="n">
        <x:f>Model_Data!A42</x:f>
        <x:v>-40</x:v>
      </x:c>
      <x:c r="Q42" s="9" t="n">
        <x:f>Model_Data!P42</x:f>
        <x:v>339.80843724993974</x:v>
      </x:c>
      <x:c r="R42" s="9" t="n">
        <x:f>Model_Data!AM42</x:f>
        <x:v>355.33588521439015</x:v>
      </x:c>
      <x:c r="S42" s="9" t="n">
        <x:f>Model_Data!Q42</x:f>
        <x:v>51.02228787536633</x:v>
      </x:c>
      <x:c r="T42" s="9" t="n">
        <x:f>Model_Data!AN42</x:f>
        <x:v>53.3537365186772</x:v>
      </x:c>
      <x:c r="U42" s="10"/>
      <x:c r="V42" s="9" t="n">
        <x:f>Model_Data!A42</x:f>
        <x:v>-40</x:v>
      </x:c>
      <x:c r="W42" s="9" t="n">
        <x:f>Model_Data!B42-Inputs!$C$5</x:f>
        <x:v>1.7777777777777715</x:v>
      </x:c>
      <x:c r="X42" s="10"/>
      <x:c r="Y42" s="9" t="n">
        <x:f>Model_Data!A42</x:f>
        <x:v>-40</x:v>
      </x:c>
      <x:c r="Z42" s="9" t="n">
        <x:f>0</x:f>
        <x:v>0</x:v>
      </x:c>
      <x:c r="AA42" s="9" t="n">
        <x:f>((SQRT((Inputs!$C$52+Inputs!$C$5)^2+Inputs!$C$52^2-2*(Inputs!$C$52+Inputs!$C$5)*Inputs!$C$52*COS(SQRT((Model_Data!A42)^2+Inputs!$C$6^2)/Inputs!$C$52))-Inputs!$C$5)*1000/Inputs!$C$12)</x:f>
        <x:v>1954.2884586951907</x:v>
      </x:c>
      <x:c r="AB42" s="9" t="n">
        <x:f>Model_Data!F42</x:f>
        <x:v>1947.4717855689696</x:v>
      </x:c>
    </x:row>
    <x:row r="43">
      <x:c r="A43" s="9" t="n">
        <x:f>Model_Data!A43</x:f>
        <x:v>-39.5</x:v>
      </x:c>
      <x:c r="B43" s="9" t="n">
        <x:f>0</x:f>
        <x:v>0</x:v>
      </x:c>
      <x:c r="C43" s="9" t="n">
        <x:f>((SQRT((Inputs!$C$52+Inputs!$C$5)^2+Inputs!$C$52^2-2*(Inputs!$C$52+Inputs!$C$5)*Inputs!$C$52*COS(SQRT((Model_Data!A43)^2+Inputs!$C$6^2)/Inputs!$C$52))-Inputs!$C$5)*1000/Inputs!$C$12)</x:f>
        <x:v>1919.5252050223141</x:v>
      </x:c>
      <x:c r="D43" s="9" t="n">
        <x:f>Model_Data!F43</x:f>
        <x:v>1912.9942929643466</x:v>
      </x:c>
      <x:c r="E43" s="9" t="n">
        <x:f>Model_Data!AC43</x:f>
        <x:v>1782.6032609411293</x:v>
      </x:c>
      <x:c r="F43" s="10"/>
      <x:c r="G43" s="9" t="n">
        <x:f>Model_Data!A43</x:f>
        <x:v>-39.5</x:v>
      </x:c>
      <x:c r="H43" s="9" t="n">
        <x:f>Model_Data!Y43</x:f>
        <x:v>200.98178735327417</x:v>
      </x:c>
      <x:c r="I43" s="9" t="n">
        <x:f>Model_Data!Y43</x:f>
        <x:v>200.98178735327417</x:v>
      </x:c>
      <x:c r="J43" s="9" t="n">
        <x:f>Model_Data!X43</x:f>
        <x:v>-33.241151326098546</x:v>
      </x:c>
      <x:c r="K43" s="9" t="n">
        <x:f>Model_Data!A43</x:f>
        <x:v>-39.5</x:v>
      </x:c>
      <x:c r="L43" s="9" t="n">
        <x:f>Model_Data!Y43</x:f>
        <x:v>200.98178735327417</x:v>
      </x:c>
      <x:c r="M43" s="9" t="n">
        <x:f>Model_Data!X43</x:f>
        <x:v>-33.241151326098546</x:v>
      </x:c>
      <x:c r="N43" s="9" t="n">
        <x:f>-(Model_Data!AC43-Model_Data!F43)*Inputs!$C$12</x:f>
        <x:v>232.0960370013269</x:v>
      </x:c>
      <x:c r="O43" s="10"/>
      <x:c r="P43" s="9" t="n">
        <x:f>Model_Data!A43</x:f>
        <x:v>-39.5</x:v>
      </x:c>
      <x:c r="Q43" s="9" t="n">
        <x:f>Model_Data!P43</x:f>
        <x:v>335.62463871039654</x:v>
      </x:c>
      <x:c r="R43" s="9" t="n">
        <x:f>Model_Data!AM43</x:f>
        <x:v>314.96723845502856</x:v>
      </x:c>
      <x:c r="S43" s="9" t="n">
        <x:f>Model_Data!Q43</x:f>
        <x:v>50.39408989645594</x:v>
      </x:c>
      <x:c r="T43" s="9" t="n">
        <x:f>Model_Data!AN43</x:f>
        <x:v>47.29237814640069</x:v>
      </x:c>
      <x:c r="U43" s="10"/>
      <x:c r="V43" s="9" t="n">
        <x:f>Model_Data!A43</x:f>
        <x:v>-39.5</x:v>
      </x:c>
      <x:c r="W43" s="9" t="n">
        <x:f>Model_Data!B43-Inputs!$C$5</x:f>
        <x:v>1.7336111111110881</x:v>
      </x:c>
      <x:c r="X43" s="10"/>
      <x:c r="Y43" s="9" t="n">
        <x:f>Model_Data!A43</x:f>
        <x:v>-39.5</x:v>
      </x:c>
      <x:c r="Z43" s="9" t="n">
        <x:f>0</x:f>
        <x:v>0</x:v>
      </x:c>
      <x:c r="AA43" s="9" t="n">
        <x:f>((SQRT((Inputs!$C$52+Inputs!$C$5)^2+Inputs!$C$52^2-2*(Inputs!$C$52+Inputs!$C$5)*Inputs!$C$52*COS(SQRT((Model_Data!A43)^2+Inputs!$C$6^2)/Inputs!$C$52))-Inputs!$C$5)*1000/Inputs!$C$12)</x:f>
        <x:v>1919.5252050223141</x:v>
      </x:c>
      <x:c r="AB43" s="9" t="n">
        <x:f>Model_Data!F43</x:f>
        <x:v>1912.9942929643466</x:v>
      </x:c>
    </x:row>
    <x:row r="44">
      <x:c r="A44" s="9" t="n">
        <x:f>Model_Data!A44</x:f>
        <x:v>-39</x:v>
      </x:c>
      <x:c r="B44" s="9" t="n">
        <x:f>0</x:f>
        <x:v>0</x:v>
      </x:c>
      <x:c r="C44" s="9" t="n">
        <x:f>((SQRT((Inputs!$C$52+Inputs!$C$5)^2+Inputs!$C$52^2-2*(Inputs!$C$52+Inputs!$C$5)*Inputs!$C$52*COS(SQRT((Model_Data!A44)^2+Inputs!$C$6^2)/Inputs!$C$52))-Inputs!$C$5)*1000/Inputs!$C$12)</x:f>
        <x:v>1885.1938993782433</x:v>
      </x:c>
      <x:c r="D44" s="9" t="n">
        <x:f>Model_Data!F44</x:f>
        <x:v>1878.9394139868214</x:v>
      </x:c>
      <x:c r="E44" s="9" t="n">
        <x:f>Model_Data!AC44</x:f>
        <x:v>1758.3518395529575</x:v>
      </x:c>
      <x:c r="F44" s="10"/>
      <x:c r="G44" s="9" t="n">
        <x:f>Model_Data!A44</x:f>
        <x:v>-39</x:v>
      </x:c>
      <x:c r="H44" s="9" t="n">
        <x:f>Model_Data!Y44</x:f>
        <x:v>184.54420924136062</x:v>
      </x:c>
      <x:c r="I44" s="9" t="n">
        <x:f>Model_Data!Y44</x:f>
        <x:v>184.54420924136062</x:v>
      </x:c>
      <x:c r="J44" s="9" t="n">
        <x:f>Model_Data!X44</x:f>
        <x:v>-32.02020136507765</x:v>
      </x:c>
      <x:c r="K44" s="9" t="n">
        <x:f>Model_Data!A44</x:f>
        <x:v>-39</x:v>
      </x:c>
      <x:c r="L44" s="9" t="n">
        <x:f>Model_Data!Y44</x:f>
        <x:v>184.54420924136062</x:v>
      </x:c>
      <x:c r="M44" s="9" t="n">
        <x:f>Model_Data!X44</x:f>
        <x:v>-32.02020136507765</x:v>
      </x:c>
      <x:c r="N44" s="9" t="n">
        <x:f>-(Model_Data!AC44-Model_Data!F44)*Inputs!$C$12</x:f>
        <x:v>214.64588249227774</x:v>
      </x:c>
      <x:c r="O44" s="10"/>
      <x:c r="P44" s="9" t="n">
        <x:f>Model_Data!A44</x:f>
        <x:v>-39</x:v>
      </x:c>
      <x:c r="Q44" s="9" t="n">
        <x:f>Model_Data!P44</x:f>
        <x:v>331.4384806597445</x:v>
      </x:c>
      <x:c r="R44" s="9" t="n">
        <x:f>Model_Data!AM44</x:f>
        <x:v>348.4273363549619</x:v>
      </x:c>
      <x:c r="S44" s="9" t="n">
        <x:f>Model_Data!Q44</x:f>
        <x:v>49.76553763659828</x:v>
      </x:c>
      <x:c r="T44" s="9" t="n">
        <x:f>Model_Data!AN44</x:f>
        <x:v>52.3164168701144</x:v>
      </x:c>
      <x:c r="U44" s="10"/>
      <x:c r="V44" s="9" t="n">
        <x:f>Model_Data!A44</x:f>
        <x:v>-39</x:v>
      </x:c>
      <x:c r="W44" s="9" t="n">
        <x:f>Model_Data!B44-Inputs!$C$5</x:f>
        <x:v>1.6899999999999977</x:v>
      </x:c>
      <x:c r="X44" s="10"/>
      <x:c r="Y44" s="9" t="n">
        <x:f>Model_Data!A44</x:f>
        <x:v>-39</x:v>
      </x:c>
      <x:c r="Z44" s="9" t="n">
        <x:f>0</x:f>
        <x:v>0</x:v>
      </x:c>
      <x:c r="AA44" s="9" t="n">
        <x:f>((SQRT((Inputs!$C$52+Inputs!$C$5)^2+Inputs!$C$52^2-2*(Inputs!$C$52+Inputs!$C$5)*Inputs!$C$52*COS(SQRT((Model_Data!A44)^2+Inputs!$C$6^2)/Inputs!$C$52))-Inputs!$C$5)*1000/Inputs!$C$12)</x:f>
        <x:v>1885.1938993782433</x:v>
      </x:c>
      <x:c r="AB44" s="9" t="n">
        <x:f>Model_Data!F44</x:f>
        <x:v>1878.9394139868214</x:v>
      </x:c>
    </x:row>
    <x:row r="45">
      <x:c r="A45" s="9" t="n">
        <x:f>Model_Data!A45</x:f>
        <x:v>-38.5</x:v>
      </x:c>
      <x:c r="B45" s="9" t="n">
        <x:f>0</x:f>
        <x:v>0</x:v>
      </x:c>
      <x:c r="C45" s="9" t="n">
        <x:f>((SQRT((Inputs!$C$52+Inputs!$C$5)^2+Inputs!$C$52^2-2*(Inputs!$C$52+Inputs!$C$5)*Inputs!$C$52*COS(SQRT((Model_Data!A45)^2+Inputs!$C$6^2)/Inputs!$C$52))-Inputs!$C$5)*1000/Inputs!$C$12)</x:f>
        <x:v>1851.2947416406298</x:v>
      </x:c>
      <x:c r="D45" s="9" t="n">
        <x:f>Model_Data!F45</x:f>
        <x:v>1845.3075605229446</x:v>
      </x:c>
      <x:c r="E45" s="9" t="n">
        <x:f>Model_Data!AC45</x:f>
        <x:v>1708.3590747742153</x:v>
      </x:c>
      <x:c r="F45" s="10"/>
      <x:c r="G45" s="9" t="n">
        <x:f>Model_Data!A45</x:f>
        <x:v>-38.5</x:v>
      </x:c>
      <x:c r="H45" s="9" t="n">
        <x:f>Model_Data!Y45</x:f>
        <x:v>211.63430992610967</x:v>
      </x:c>
      <x:c r="I45" s="9" t="n">
        <x:f>Model_Data!Y45</x:f>
        <x:v>211.63430992610967</x:v>
      </x:c>
      <x:c r="J45" s="9" t="n">
        <x:f>Model_Data!X45</x:f>
        <x:v>-34.295384147954024</x:v>
      </x:c>
      <x:c r="K45" s="9" t="n">
        <x:f>Model_Data!A45</x:f>
        <x:v>-38.5</x:v>
      </x:c>
      <x:c r="L45" s="9" t="n">
        <x:f>Model_Data!Y45</x:f>
        <x:v>211.63430992610967</x:v>
      </x:c>
      <x:c r="M45" s="9" t="n">
        <x:f>Model_Data!X45</x:f>
        <x:v>-34.295384147954024</x:v>
      </x:c>
      <x:c r="N45" s="9" t="n">
        <x:f>-(Model_Data!AC45-Model_Data!F45)*Inputs!$C$12</x:f>
        <x:v>243.76830463273825</x:v>
      </x:c>
      <x:c r="O45" s="10"/>
      <x:c r="P45" s="9" t="n">
        <x:f>Model_Data!A45</x:f>
        <x:v>-38.5</x:v>
      </x:c>
      <x:c r="Q45" s="9" t="n">
        <x:f>Model_Data!P45</x:f>
        <x:v>327.2499899624563</x:v>
      </x:c>
      <x:c r="R45" s="9" t="n">
        <x:f>Model_Data!AM45</x:f>
        <x:v>356.4903792555924</x:v>
      </x:c>
      <x:c r="S45" s="9" t="n">
        <x:f>Model_Data!Q45</x:f>
        <x:v>49.13663512949795</x:v>
      </x:c>
      <x:c r="T45" s="9" t="n">
        <x:f>Model_Data!AN45</x:f>
        <x:v>53.527083972311175</x:v>
      </x:c>
      <x:c r="U45" s="10"/>
      <x:c r="V45" s="9" t="n">
        <x:f>Model_Data!A45</x:f>
        <x:v>-38.5</x:v>
      </x:c>
      <x:c r="W45" s="9" t="n">
        <x:f>Model_Data!B45-Inputs!$C$5</x:f>
        <x:v>1.6469444444444434</x:v>
      </x:c>
      <x:c r="X45" s="10"/>
      <x:c r="Y45" s="9" t="n">
        <x:f>Model_Data!A45</x:f>
        <x:v>-38.5</x:v>
      </x:c>
      <x:c r="Z45" s="9" t="n">
        <x:f>0</x:f>
        <x:v>0</x:v>
      </x:c>
      <x:c r="AA45" s="9" t="n">
        <x:f>((SQRT((Inputs!$C$52+Inputs!$C$5)^2+Inputs!$C$52^2-2*(Inputs!$C$52+Inputs!$C$5)*Inputs!$C$52*COS(SQRT((Model_Data!A45)^2+Inputs!$C$6^2)/Inputs!$C$52))-Inputs!$C$5)*1000/Inputs!$C$12)</x:f>
        <x:v>1851.2947416406298</x:v>
      </x:c>
      <x:c r="AB45" s="9" t="n">
        <x:f>Model_Data!F45</x:f>
        <x:v>1845.3075605229446</x:v>
      </x:c>
    </x:row>
    <x:row r="46">
      <x:c r="A46" s="9" t="n">
        <x:f>Model_Data!A46</x:f>
        <x:v>-38</x:v>
      </x:c>
      <x:c r="B46" s="9" t="n">
        <x:f>0</x:f>
        <x:v>0</x:v>
      </x:c>
      <x:c r="C46" s="9" t="n">
        <x:f>((SQRT((Inputs!$C$52+Inputs!$C$5)^2+Inputs!$C$52^2-2*(Inputs!$C$52+Inputs!$C$5)*Inputs!$C$52*COS(SQRT((Model_Data!A46)^2+Inputs!$C$6^2)/Inputs!$C$52))-Inputs!$C$5)*1000/Inputs!$C$12)</x:f>
        <x:v>1817.8279292902807</x:v>
      </x:c>
      <x:c r="D46" s="9" t="n">
        <x:f>Model_Data!F46</x:f>
        <x:v>1812.0991397334715</x:v>
      </x:c>
      <x:c r="E46" s="9" t="n">
        <x:f>Model_Data!AC46</x:f>
        <x:v>1687.3472838363</x:v>
      </x:c>
      <x:c r="F46" s="10"/>
      <x:c r="G46" s="9" t="n">
        <x:f>Model_Data!A46</x:f>
        <x:v>-38</x:v>
      </x:c>
      <x:c r="H46" s="9" t="n">
        <x:f>Model_Data!Y46</x:f>
        <x:v>202.93658014849487</x:v>
      </x:c>
      <x:c r="I46" s="9" t="n">
        <x:f>Model_Data!Y46</x:f>
        <x:v>202.93658014849487</x:v>
      </x:c>
      <x:c r="J46" s="9" t="n">
        <x:f>Model_Data!X46</x:f>
        <x:v>-21.15737906152213</x:v>
      </x:c>
      <x:c r="K46" s="9" t="n">
        <x:f>Model_Data!A46</x:f>
        <x:v>-38</x:v>
      </x:c>
      <x:c r="L46" s="9" t="n">
        <x:f>Model_Data!Y46</x:f>
        <x:v>202.93658014849487</x:v>
      </x:c>
      <x:c r="M46" s="9" t="n">
        <x:f>Model_Data!X46</x:f>
        <x:v>-21.15737906152213</x:v>
      </x:c>
      <x:c r="N46" s="9" t="n">
        <x:f>-(Model_Data!AC46-Model_Data!F46)*Inputs!$C$12</x:f>
        <x:v>222.05830349696524</x:v>
      </x:c>
      <x:c r="O46" s="10"/>
      <x:c r="P46" s="9" t="n">
        <x:f>Model_Data!A46</x:f>
        <x:v>-38</x:v>
      </x:c>
      <x:c r="Q46" s="9" t="n">
        <x:f>Model_Data!P46</x:f>
        <x:v>323.0591935966004</x:v>
      </x:c>
      <x:c r="R46" s="9" t="n">
        <x:f>Model_Data!AM46</x:f>
        <x:v>366.83142083111306</x:v>
      </x:c>
      <x:c r="S46" s="9" t="n">
        <x:f>Model_Data!Q46</x:f>
        <x:v>48.507386425915975</x:v>
      </x:c>
      <x:c r="T46" s="9" t="n">
        <x:f>Model_Data!AN46</x:f>
        <x:v>55.07979291758455</x:v>
      </x:c>
      <x:c r="U46" s="10"/>
      <x:c r="V46" s="9" t="n">
        <x:f>Model_Data!A46</x:f>
        <x:v>-38</x:v>
      </x:c>
      <x:c r="W46" s="9" t="n">
        <x:f>Model_Data!B46-Inputs!$C$5</x:f>
        <x:v>1.6044444444444252</x:v>
      </x:c>
      <x:c r="X46" s="10"/>
      <x:c r="Y46" s="9" t="n">
        <x:f>Model_Data!A46</x:f>
        <x:v>-38</x:v>
      </x:c>
      <x:c r="Z46" s="9" t="n">
        <x:f>0</x:f>
        <x:v>0</x:v>
      </x:c>
      <x:c r="AA46" s="9" t="n">
        <x:f>((SQRT((Inputs!$C$52+Inputs!$C$5)^2+Inputs!$C$52^2-2*(Inputs!$C$52+Inputs!$C$5)*Inputs!$C$52*COS(SQRT((Model_Data!A46)^2+Inputs!$C$6^2)/Inputs!$C$52))-Inputs!$C$5)*1000/Inputs!$C$12)</x:f>
        <x:v>1817.8279292902807</x:v>
      </x:c>
      <x:c r="AB46" s="9" t="n">
        <x:f>Model_Data!F46</x:f>
        <x:v>1812.0991397334715</x:v>
      </x:c>
    </x:row>
    <x:row r="47">
      <x:c r="A47" s="9" t="n">
        <x:f>Model_Data!A47</x:f>
        <x:v>-37.5</x:v>
      </x:c>
      <x:c r="B47" s="9" t="n">
        <x:f>0</x:f>
        <x:v>0</x:v>
      </x:c>
      <x:c r="C47" s="9" t="n">
        <x:f>((SQRT((Inputs!$C$52+Inputs!$C$5)^2+Inputs!$C$52^2-2*(Inputs!$C$52+Inputs!$C$5)*Inputs!$C$52*COS(SQRT((Model_Data!A47)^2+Inputs!$C$6^2)/Inputs!$C$52))-Inputs!$C$5)*1000/Inputs!$C$12)</x:f>
        <x:v>1784.7936574050277</x:v>
      </x:c>
      <x:c r="D47" s="9" t="n">
        <x:f>Model_Data!F47</x:f>
        <x:v>1779.3145540322525</x:v>
      </x:c>
      <x:c r="E47" s="9" t="n">
        <x:f>Model_Data!AC47</x:f>
        <x:v>1635.7617595487268</x:v>
      </x:c>
      <x:c r="F47" s="10"/>
      <x:c r="G47" s="9" t="n">
        <x:f>Model_Data!A47</x:f>
        <x:v>-37.5</x:v>
      </x:c>
      <x:c r="H47" s="9" t="n">
        <x:f>Model_Data!Y47</x:f>
        <x:v>239.1871485288169</x:v>
      </x:c>
      <x:c r="I47" s="9" t="n">
        <x:f>Model_Data!Y47</x:f>
        <x:v>239.1871485288169</x:v>
      </x:c>
      <x:c r="J47" s="9" t="n">
        <x:f>Model_Data!X47</x:f>
        <x:v>-18.69341167436205</x:v>
      </x:c>
      <x:c r="K47" s="9" t="n">
        <x:f>Model_Data!A47</x:f>
        <x:v>-37.5</x:v>
      </x:c>
      <x:c r="L47" s="9" t="n">
        <x:f>Model_Data!Y47</x:f>
        <x:v>239.1871485288169</x:v>
      </x:c>
      <x:c r="M47" s="9" t="n">
        <x:f>Model_Data!X47</x:f>
        <x:v>-18.69341167436205</x:v>
      </x:c>
      <x:c r="N47" s="9" t="n">
        <x:f>-(Model_Data!AC47-Model_Data!F47)*Inputs!$C$12</x:f>
        <x:v>255.52397418067585</x:v>
      </x:c>
      <x:c r="O47" s="10"/>
      <x:c r="P47" s="9" t="n">
        <x:f>Model_Data!A47</x:f>
        <x:v>-37.5</x:v>
      </x:c>
      <x:c r="Q47" s="9" t="n">
        <x:f>Model_Data!P47</x:f>
        <x:v>318.8661186490208</x:v>
      </x:c>
      <x:c r="R47" s="9" t="n">
        <x:f>Model_Data!AM47</x:f>
        <x:v>371.67029926577015</x:v>
      </x:c>
      <x:c r="S47" s="9" t="n">
        <x:f>Model_Data!Q47</x:f>
        <x:v>47.87779559294607</x:v>
      </x:c>
      <x:c r="T47" s="9" t="n">
        <x:f>Model_Data!AN47</x:f>
        <x:v>55.80635124110663</x:v>
      </x:c>
      <x:c r="U47" s="10"/>
      <x:c r="V47" s="9" t="n">
        <x:f>Model_Data!A47</x:f>
        <x:v>-37.5</x:v>
      </x:c>
      <x:c r="W47" s="9" t="n">
        <x:f>Model_Data!B47-Inputs!$C$5</x:f>
        <x:v>1.5625</x:v>
      </x:c>
      <x:c r="X47" s="10"/>
      <x:c r="Y47" s="9" t="n">
        <x:f>Model_Data!A47</x:f>
        <x:v>-37.5</x:v>
      </x:c>
      <x:c r="Z47" s="9" t="n">
        <x:f>0</x:f>
        <x:v>0</x:v>
      </x:c>
      <x:c r="AA47" s="9" t="n">
        <x:f>((SQRT((Inputs!$C$52+Inputs!$C$5)^2+Inputs!$C$52^2-2*(Inputs!$C$52+Inputs!$C$5)*Inputs!$C$52*COS(SQRT((Model_Data!A47)^2+Inputs!$C$6^2)/Inputs!$C$52))-Inputs!$C$5)*1000/Inputs!$C$12)</x:f>
        <x:v>1784.7936574050277</x:v>
      </x:c>
      <x:c r="AB47" s="9" t="n">
        <x:f>Model_Data!F47</x:f>
        <x:v>1779.3145540322525</x:v>
      </x:c>
    </x:row>
    <x:row r="48">
      <x:c r="A48" s="9" t="n">
        <x:f>Model_Data!A48</x:f>
        <x:v>-37</x:v>
      </x:c>
      <x:c r="B48" s="9" t="n">
        <x:f>0</x:f>
        <x:v>0</x:v>
      </x:c>
      <x:c r="C48" s="9" t="n">
        <x:f>((SQRT((Inputs!$C$52+Inputs!$C$5)^2+Inputs!$C$52^2-2*(Inputs!$C$52+Inputs!$C$5)*Inputs!$C$52*COS(SQRT((Model_Data!A48)^2+Inputs!$C$6^2)/Inputs!$C$52))-Inputs!$C$5)*1000/Inputs!$C$12)</x:f>
        <x:v>1752.1921186527331</x:v>
      </x:c>
      <x:c r="D48" s="9" t="n">
        <x:f>Model_Data!F48</x:f>
        <x:v>1746.9542010692446</x:v>
      </x:c>
      <x:c r="E48" s="9" t="n">
        <x:f>Model_Data!AC48</x:f>
        <x:v>1601.0321785376766</x:v>
      </x:c>
      <x:c r="F48" s="10"/>
      <x:c r="G48" s="9" t="n">
        <x:f>Model_Data!A48</x:f>
        <x:v>-37</x:v>
      </x:c>
      <x:c r="H48" s="9" t="n">
        <x:f>Model_Data!Y48</x:f>
        <x:v>236.18872035541293</x:v>
      </x:c>
      <x:c r="I48" s="9" t="n">
        <x:f>Model_Data!Y48</x:f>
        <x:v>236.18872035541293</x:v>
      </x:c>
      <x:c r="J48" s="9" t="n">
        <x:f>Model_Data!X48</x:f>
        <x:v>-25.83766278531854</x:v>
      </x:c>
      <x:c r="K48" s="9" t="n">
        <x:f>Model_Data!A48</x:f>
        <x:v>-37</x:v>
      </x:c>
      <x:c r="L48" s="9" t="n">
        <x:f>Model_Data!Y48</x:f>
        <x:v>236.18872035541293</x:v>
      </x:c>
      <x:c r="M48" s="9" t="n">
        <x:f>Model_Data!X48</x:f>
        <x:v>-25.83766278531854</x:v>
      </x:c>
      <x:c r="N48" s="9" t="n">
        <x:f>-(Model_Data!AC48-Model_Data!F48)*Inputs!$C$12</x:f>
        <x:v>259.74120010619106</x:v>
      </x:c>
      <x:c r="O48" s="10"/>
      <x:c r="P48" s="9" t="n">
        <x:f>Model_Data!A48</x:f>
        <x:v>-37</x:v>
      </x:c>
      <x:c r="Q48" s="9" t="n">
        <x:f>Model_Data!P48</x:f>
        <x:v>314.6707923143367</x:v>
      </x:c>
      <x:c r="R48" s="9" t="n">
        <x:f>Model_Data!AM48</x:f>
        <x:v>355.48139120546693</x:v>
      </x:c>
      <x:c r="S48" s="9" t="n">
        <x:f>Model_Data!Q48</x:f>
        <x:v>47.247866713864376</x:v>
      </x:c>
      <x:c r="T48" s="9" t="n">
        <x:f>Model_Data!AN48</x:f>
        <x:v>53.37558426508513</x:v>
      </x:c>
      <x:c r="U48" s="10"/>
      <x:c r="V48" s="9" t="n">
        <x:f>Model_Data!A48</x:f>
        <x:v>-37</x:v>
      </x:c>
      <x:c r="W48" s="9" t="n">
        <x:f>Model_Data!B48-Inputs!$C$5</x:f>
        <x:v>1.5211111111111109</x:v>
      </x:c>
      <x:c r="X48" s="10"/>
      <x:c r="Y48" s="9" t="n">
        <x:f>Model_Data!A48</x:f>
        <x:v>-37</x:v>
      </x:c>
      <x:c r="Z48" s="9" t="n">
        <x:f>0</x:f>
        <x:v>0</x:v>
      </x:c>
      <x:c r="AA48" s="9" t="n">
        <x:f>((SQRT((Inputs!$C$52+Inputs!$C$5)^2+Inputs!$C$52^2-2*(Inputs!$C$52+Inputs!$C$5)*Inputs!$C$52*COS(SQRT((Model_Data!A48)^2+Inputs!$C$6^2)/Inputs!$C$52))-Inputs!$C$5)*1000/Inputs!$C$12)</x:f>
        <x:v>1752.1921186527331</x:v>
      </x:c>
      <x:c r="AB48" s="9" t="n">
        <x:f>Model_Data!F48</x:f>
        <x:v>1746.9542010692446</x:v>
      </x:c>
    </x:row>
    <x:row r="49">
      <x:c r="A49" s="9" t="n">
        <x:f>Model_Data!A49</x:f>
        <x:v>-36.5</x:v>
      </x:c>
      <x:c r="B49" s="9" t="n">
        <x:f>0</x:f>
        <x:v>0</x:v>
      </x:c>
      <x:c r="C49" s="9" t="n">
        <x:f>((SQRT((Inputs!$C$52+Inputs!$C$5)^2+Inputs!$C$52^2-2*(Inputs!$C$52+Inputs!$C$5)*Inputs!$C$52*COS(SQRT((Model_Data!A49)^2+Inputs!$C$6^2)/Inputs!$C$52))-Inputs!$C$5)*1000/Inputs!$C$12)</x:f>
        <x:v>1720.0235032886708</x:v>
      </x:c>
      <x:c r="D49" s="9" t="n">
        <x:f>Model_Data!F49</x:f>
        <x:v>1715.0184737096579</x:v>
      </x:c>
      <x:c r="E49" s="9" t="n">
        <x:f>Model_Data!AC49</x:f>
        <x:v>1555.532393857713</x:v>
      </x:c>
      <x:c r="F49" s="10"/>
      <x:c r="G49" s="9" t="n">
        <x:f>Model_Data!A49</x:f>
        <x:v>-36.5</x:v>
      </x:c>
      <x:c r="H49" s="9" t="n">
        <x:f>Model_Data!Y49</x:f>
        <x:v>264.8535608975177</x:v>
      </x:c>
      <x:c r="I49" s="9" t="n">
        <x:f>Model_Data!Y49</x:f>
        <x:v>264.8535608975177</x:v>
      </x:c>
      <x:c r="J49" s="9" t="n">
        <x:f>Model_Data!X49</x:f>
        <x:v>-21.548035323184823</x:v>
      </x:c>
      <x:c r="K49" s="9" t="n">
        <x:f>Model_Data!A49</x:f>
        <x:v>-36.5</x:v>
      </x:c>
      <x:c r="L49" s="9" t="n">
        <x:f>Model_Data!Y49</x:f>
        <x:v>264.8535608975177</x:v>
      </x:c>
      <x:c r="M49" s="9" t="n">
        <x:f>Model_Data!X49</x:f>
        <x:v>-21.548035323184823</x:v>
      </x:c>
      <x:c r="N49" s="9" t="n">
        <x:f>-(Model_Data!AC49-Model_Data!F49)*Inputs!$C$12</x:f>
        <x:v>283.88522213646183</x:v>
      </x:c>
      <x:c r="O49" s="10"/>
      <x:c r="P49" s="9" t="n">
        <x:f>Model_Data!A49</x:f>
        <x:v>-36.5</x:v>
      </x:c>
      <x:c r="Q49" s="9" t="n">
        <x:f>Model_Data!P49</x:f>
        <x:v>310.4732418857566</x:v>
      </x:c>
      <x:c r="R49" s="9" t="n">
        <x:f>Model_Data!AM49</x:f>
        <x:v>369.34297482257534</x:v>
      </x:c>
      <x:c r="S49" s="9" t="n">
        <x:f>Model_Data!Q49</x:f>
        <x:v>46.61760388675024</x:v>
      </x:c>
      <x:c r="T49" s="9" t="n">
        <x:f>Model_Data!AN49</x:f>
        <x:v>55.45690312651282</x:v>
      </x:c>
      <x:c r="U49" s="10"/>
      <x:c r="V49" s="9" t="n">
        <x:f>Model_Data!A49</x:f>
        <x:v>-36.5</x:v>
      </x:c>
      <x:c r="W49" s="9" t="n">
        <x:f>Model_Data!B49-Inputs!$C$5</x:f>
        <x:v>1.4802777777777578</x:v>
      </x:c>
      <x:c r="X49" s="10"/>
      <x:c r="Y49" s="9" t="n">
        <x:f>Model_Data!A49</x:f>
        <x:v>-36.5</x:v>
      </x:c>
      <x:c r="Z49" s="9" t="n">
        <x:f>0</x:f>
        <x:v>0</x:v>
      </x:c>
      <x:c r="AA49" s="9" t="n">
        <x:f>((SQRT((Inputs!$C$52+Inputs!$C$5)^2+Inputs!$C$52^2-2*(Inputs!$C$52+Inputs!$C$5)*Inputs!$C$52*COS(SQRT((Model_Data!A49)^2+Inputs!$C$6^2)/Inputs!$C$52))-Inputs!$C$5)*1000/Inputs!$C$12)</x:f>
        <x:v>1720.0235032886708</x:v>
      </x:c>
      <x:c r="AB49" s="9" t="n">
        <x:f>Model_Data!F49</x:f>
        <x:v>1715.0184737096579</x:v>
      </x:c>
    </x:row>
    <x:row r="50">
      <x:c r="A50" s="9" t="n">
        <x:f>Model_Data!A50</x:f>
        <x:v>-36</x:v>
      </x:c>
      <x:c r="B50" s="9" t="n">
        <x:f>0</x:f>
        <x:v>0</x:v>
      </x:c>
      <x:c r="C50" s="9" t="n">
        <x:f>((SQRT((Inputs!$C$52+Inputs!$C$5)^2+Inputs!$C$52^2-2*(Inputs!$C$52+Inputs!$C$5)*Inputs!$C$52*COS(SQRT((Model_Data!A50)^2+Inputs!$C$6^2)/Inputs!$C$52))-Inputs!$C$5)*1000/Inputs!$C$12)</x:f>
        <x:v>1688.2879991473199</x:v>
      </x:c>
      <x:c r="D50" s="9" t="n">
        <x:f>Model_Data!F50</x:f>
        <x:v>1683.507760020096</x:v>
      </x:c>
      <x:c r="E50" s="9" t="n">
        <x:f>Model_Data!AC50</x:f>
        <x:v>1530.1460843949208</x:v>
      </x:c>
      <x:c r="F50" s="10"/>
      <x:c r="G50" s="9" t="n">
        <x:f>Model_Data!A50</x:f>
        <x:v>-36</x:v>
      </x:c>
      <x:c r="H50" s="9" t="n">
        <x:f>Model_Data!Y50</x:f>
        <x:v>273.24610443212225</x:v>
      </x:c>
      <x:c r="I50" s="9" t="n">
        <x:f>Model_Data!Y50</x:f>
        <x:v>273.24610443212225</x:v>
      </x:c>
      <x:c r="J50" s="9" t="n">
        <x:f>Model_Data!X50</x:f>
        <x:v>-2.286662206392558</x:v>
      </x:c>
      <x:c r="K50" s="9" t="n">
        <x:f>Model_Data!A50</x:f>
        <x:v>-36</x:v>
      </x:c>
      <x:c r="L50" s="9" t="n">
        <x:f>Model_Data!Y50</x:f>
        <x:v>273.24610443212225</x:v>
      </x:c>
      <x:c r="M50" s="9" t="n">
        <x:f>Model_Data!X50</x:f>
        <x:v>-2.286662206392558</x:v>
      </x:c>
      <x:c r="N50" s="9" t="n">
        <x:f>-(Model_Data!AC50-Model_Data!F50)*Inputs!$C$12</x:f>
        <x:v>272.9837826128118</x:v>
      </x:c>
      <x:c r="O50" s="10"/>
      <x:c r="P50" s="9" t="n">
        <x:f>Model_Data!A50</x:f>
        <x:v>-36</x:v>
      </x:c>
      <x:c r="Q50" s="9" t="n">
        <x:f>Model_Data!P50</x:f>
        <x:v>306.2734947710851</x:v>
      </x:c>
      <x:c r="R50" s="9" t="n">
        <x:f>Model_Data!AM50</x:f>
        <x:v>338.2824754723515</x:v>
      </x:c>
      <x:c r="S50" s="9" t="n">
        <x:f>Model_Data!Q50</x:f>
        <x:v>45.987011226889656</x:v>
      </x:c>
      <x:c r="T50" s="9" t="n">
        <x:f>Model_Data!AN50</x:f>
        <x:v>50.79316448533807</x:v>
      </x:c>
      <x:c r="U50" s="10"/>
      <x:c r="V50" s="9" t="n">
        <x:f>Model_Data!A50</x:f>
        <x:v>-36</x:v>
      </x:c>
      <x:c r="W50" s="9" t="n">
        <x:f>Model_Data!B50-Inputs!$C$5</x:f>
        <x:v>1.4399999999999977</x:v>
      </x:c>
      <x:c r="X50" s="10"/>
      <x:c r="Y50" s="9" t="n">
        <x:f>Model_Data!A50</x:f>
        <x:v>-36</x:v>
      </x:c>
      <x:c r="Z50" s="9" t="n">
        <x:f>0</x:f>
        <x:v>0</x:v>
      </x:c>
      <x:c r="AA50" s="9" t="n">
        <x:f>((SQRT((Inputs!$C$52+Inputs!$C$5)^2+Inputs!$C$52^2-2*(Inputs!$C$52+Inputs!$C$5)*Inputs!$C$52*COS(SQRT((Model_Data!A50)^2+Inputs!$C$6^2)/Inputs!$C$52))-Inputs!$C$5)*1000/Inputs!$C$12)</x:f>
        <x:v>1688.2879991473199</x:v>
      </x:c>
      <x:c r="AB50" s="9" t="n">
        <x:f>Model_Data!F50</x:f>
        <x:v>1683.507760020096</x:v>
      </x:c>
    </x:row>
    <x:row r="51">
      <x:c r="A51" s="9" t="n">
        <x:f>Model_Data!A51</x:f>
        <x:v>-35.5</x:v>
      </x:c>
      <x:c r="B51" s="9" t="n">
        <x:f>0</x:f>
        <x:v>0</x:v>
      </x:c>
      <x:c r="C51" s="9" t="n">
        <x:f>((SQRT((Inputs!$C$52+Inputs!$C$5)^2+Inputs!$C$52^2-2*(Inputs!$C$52+Inputs!$C$5)*Inputs!$C$52*COS(SQRT((Model_Data!A51)^2+Inputs!$C$6^2)/Inputs!$C$52))-Inputs!$C$5)*1000/Inputs!$C$12)</x:f>
        <x:v>1656.9857916385645</x:v>
      </x:c>
      <x:c r="D51" s="9" t="n">
        <x:f>Model_Data!F51</x:f>
        <x:v>1652.4224432422736</x:v>
      </x:c>
      <x:c r="E51" s="9" t="n">
        <x:f>Model_Data!AC51</x:f>
        <x:v>1493.4467288531112</x:v>
      </x:c>
      <x:c r="F51" s="10"/>
      <x:c r="G51" s="9" t="n">
        <x:f>Model_Data!A51</x:f>
        <x:v>-35.5</x:v>
      </x:c>
      <x:c r="H51" s="9" t="n">
        <x:f>Model_Data!Y51</x:f>
        <x:v>284.9525044867838</x:v>
      </x:c>
      <x:c r="I51" s="9" t="n">
        <x:f>Model_Data!Y51</x:f>
        <x:v>284.9525044867838</x:v>
      </x:c>
      <x:c r="J51" s="9" t="n">
        <x:f>Model_Data!X51</x:f>
        <x:v>-0.6339718611461809</x:v>
      </x:c>
      <x:c r="K51" s="9" t="n">
        <x:f>Model_Data!A51</x:f>
        <x:v>-35.5</x:v>
      </x:c>
      <x:c r="L51" s="9" t="n">
        <x:f>Model_Data!Y51</x:f>
        <x:v>284.9525044867838</x:v>
      </x:c>
      <x:c r="M51" s="9" t="n">
        <x:f>Model_Data!X51</x:f>
        <x:v>-0.6339718611461809</x:v>
      </x:c>
      <x:c r="N51" s="9" t="n">
        <x:f>-(Model_Data!AC51-Model_Data!F51)*Inputs!$C$12</x:f>
        <x:v>282.97677161270923</x:v>
      </x:c>
      <x:c r="O51" s="10"/>
      <x:c r="P51" s="9" t="n">
        <x:f>Model_Data!A51</x:f>
        <x:v>-35.5</x:v>
      </x:c>
      <x:c r="Q51" s="9" t="n">
        <x:f>Model_Data!P51</x:f>
        <x:v>302.0715784808999</x:v>
      </x:c>
      <x:c r="R51" s="9" t="n">
        <x:f>Model_Data!AM51</x:f>
        <x:v>314.05984233133495</x:v>
      </x:c>
      <x:c r="S51" s="9" t="n">
        <x:f>Model_Data!Q51</x:f>
        <x:v>45.356092864999994</x:v>
      </x:c>
      <x:c r="T51" s="9" t="n">
        <x:f>Model_Data!AN51</x:f>
        <x:v>47.15613248218243</x:v>
      </x:c>
      <x:c r="U51" s="10"/>
      <x:c r="V51" s="9" t="n">
        <x:f>Model_Data!A51</x:f>
        <x:v>-35.5</x:v>
      </x:c>
      <x:c r="W51" s="9" t="n">
        <x:f>Model_Data!B51-Inputs!$C$5</x:f>
        <x:v>1.4002777777777737</x:v>
      </x:c>
      <x:c r="X51" s="10"/>
      <x:c r="Y51" s="9" t="n">
        <x:f>Model_Data!A51</x:f>
        <x:v>-35.5</x:v>
      </x:c>
      <x:c r="Z51" s="9" t="n">
        <x:f>0</x:f>
        <x:v>0</x:v>
      </x:c>
      <x:c r="AA51" s="9" t="n">
        <x:f>((SQRT((Inputs!$C$52+Inputs!$C$5)^2+Inputs!$C$52^2-2*(Inputs!$C$52+Inputs!$C$5)*Inputs!$C$52*COS(SQRT((Model_Data!A51)^2+Inputs!$C$6^2)/Inputs!$C$52))-Inputs!$C$5)*1000/Inputs!$C$12)</x:f>
        <x:v>1656.9857916385645</x:v>
      </x:c>
      <x:c r="AB51" s="9" t="n">
        <x:f>Model_Data!F51</x:f>
        <x:v>1652.4224432422736</x:v>
      </x:c>
    </x:row>
    <x:row r="52">
      <x:c r="A52" s="9" t="n">
        <x:f>Model_Data!A52</x:f>
        <x:v>-35</x:v>
      </x:c>
      <x:c r="B52" s="9" t="n">
        <x:f>0</x:f>
        <x:v>0</x:v>
      </x:c>
      <x:c r="C52" s="9" t="n">
        <x:f>((SQRT((Inputs!$C$52+Inputs!$C$5)^2+Inputs!$C$52^2-2*(Inputs!$C$52+Inputs!$C$5)*Inputs!$C$52*COS(SQRT((Model_Data!A52)^2+Inputs!$C$6^2)/Inputs!$C$52))-Inputs!$C$5)*1000/Inputs!$C$12)</x:f>
        <x:v>1626.1170637436685</x:v>
      </x:c>
      <x:c r="D52" s="9" t="n">
        <x:f>Model_Data!F52</x:f>
        <x:v>1621.7629017832137</x:v>
      </x:c>
      <x:c r="E52" s="9" t="n">
        <x:f>Model_Data!AC52</x:f>
        <x:v>1460.022275353615</x:v>
      </x:c>
      <x:c r="F52" s="10"/>
      <x:c r="G52" s="9" t="n">
        <x:f>Model_Data!A52</x:f>
        <x:v>-35</x:v>
      </x:c>
      <x:c r="H52" s="9" t="n">
        <x:f>Model_Data!Y52</x:f>
        <x:v>280.71344003946786</x:v>
      </x:c>
      <x:c r="I52" s="9" t="n">
        <x:f>Model_Data!Y52</x:f>
        <x:v>280.71344003946786</x:v>
      </x:c>
      <x:c r="J52" s="9" t="n">
        <x:f>Model_Data!X52</x:f>
        <x:v>-9.708529731781153</x:v>
      </x:c>
      <x:c r="K52" s="9" t="n">
        <x:f>Model_Data!A52</x:f>
        <x:v>-35</x:v>
      </x:c>
      <x:c r="L52" s="9" t="n">
        <x:f>Model_Data!Y52</x:f>
        <x:v>280.71344003946786</x:v>
      </x:c>
      <x:c r="M52" s="9" t="n">
        <x:f>Model_Data!X52</x:f>
        <x:v>-9.708529731781153</x:v>
      </x:c>
      <x:c r="N52" s="9" t="n">
        <x:f>-(Model_Data!AC52-Model_Data!F52)*Inputs!$C$12</x:f>
        <x:v>287.8983150446857</x:v>
      </x:c>
      <x:c r="O52" s="10"/>
      <x:c r="P52" s="9" t="n">
        <x:f>Model_Data!A52</x:f>
        <x:v>-35</x:v>
      </x:c>
      <x:c r="Q52" s="9" t="n">
        <x:f>Model_Data!P52</x:f>
        <x:v>297.8675206210937</x:v>
      </x:c>
      <x:c r="R52" s="9" t="n">
        <x:f>Model_Data!AM52</x:f>
        <x:v>347.75645538547906</x:v>
      </x:c>
      <x:c r="S52" s="9" t="n">
        <x:f>Model_Data!Q52</x:f>
        <x:v>44.72485294611017</x:v>
      </x:c>
      <x:c r="T52" s="9" t="n">
        <x:f>Model_Data!AN52</x:f>
        <x:v>52.21568399181368</x:v>
      </x:c>
      <x:c r="U52" s="10"/>
      <x:c r="V52" s="9" t="n">
        <x:f>Model_Data!A52</x:f>
        <x:v>-35</x:v>
      </x:c>
      <x:c r="W52" s="9" t="n">
        <x:f>Model_Data!B52-Inputs!$C$5</x:f>
        <x:v>1.3611111111110858</x:v>
      </x:c>
      <x:c r="X52" s="10"/>
      <x:c r="Y52" s="9" t="n">
        <x:f>Model_Data!A52</x:f>
        <x:v>-35</x:v>
      </x:c>
      <x:c r="Z52" s="9" t="n">
        <x:f>0</x:f>
        <x:v>0</x:v>
      </x:c>
      <x:c r="AA52" s="9" t="n">
        <x:f>((SQRT((Inputs!$C$52+Inputs!$C$5)^2+Inputs!$C$52^2-2*(Inputs!$C$52+Inputs!$C$5)*Inputs!$C$52*COS(SQRT((Model_Data!A52)^2+Inputs!$C$6^2)/Inputs!$C$52))-Inputs!$C$5)*1000/Inputs!$C$12)</x:f>
        <x:v>1626.1170637436685</x:v>
      </x:c>
      <x:c r="AB52" s="9" t="n">
        <x:f>Model_Data!F52</x:f>
        <x:v>1621.7629017832137</x:v>
      </x:c>
    </x:row>
    <x:row r="53">
      <x:c r="A53" s="9" t="n">
        <x:f>Model_Data!A53</x:f>
        <x:v>-34.5</x:v>
      </x:c>
      <x:c r="B53" s="9" t="n">
        <x:f>0</x:f>
        <x:v>0</x:v>
      </x:c>
      <x:c r="C53" s="9" t="n">
        <x:f>((SQRT((Inputs!$C$52+Inputs!$C$5)^2+Inputs!$C$52^2-2*(Inputs!$C$52+Inputs!$C$5)*Inputs!$C$52*COS(SQRT((Model_Data!A53)^2+Inputs!$C$6^2)/Inputs!$C$52))-Inputs!$C$5)*1000/Inputs!$C$12)</x:f>
        <x:v>1595.6819960061448</x:v>
      </x:c>
      <x:c r="D53" s="9" t="n">
        <x:f>Model_Data!F53</x:f>
        <x:v>1591.5295091914868</x:v>
      </x:c>
      <x:c r="E53" s="9" t="n">
        <x:f>Model_Data!AC53</x:f>
        <x:v>1409.8536469408293</x:v>
      </x:c>
      <x:c r="F53" s="10"/>
      <x:c r="G53" s="9" t="n">
        <x:f>Model_Data!A53</x:f>
        <x:v>-34.5</x:v>
      </x:c>
      <x:c r="H53" s="9" t="n">
        <x:f>Model_Data!Y53</x:f>
        <x:v>316.314878049505</x:v>
      </x:c>
      <x:c r="I53" s="9" t="n">
        <x:f>Model_Data!Y53</x:f>
        <x:v>316.314878049505</x:v>
      </x:c>
      <x:c r="J53" s="9" t="n">
        <x:f>Model_Data!X53</x:f>
        <x:v>-9.85965082687293</x:v>
      </x:c>
      <x:c r="K53" s="9" t="n">
        <x:f>Model_Data!A53</x:f>
        <x:v>-34.5</x:v>
      </x:c>
      <x:c r="L53" s="9" t="n">
        <x:f>Model_Data!Y53</x:f>
        <x:v>316.314878049505</x:v>
      </x:c>
      <x:c r="M53" s="9" t="n">
        <x:f>Model_Data!X53</x:f>
        <x:v>-9.85965082687293</x:v>
      </x:c>
      <x:c r="N53" s="9" t="n">
        <x:f>-(Model_Data!AC53-Model_Data!F53)*Inputs!$C$12</x:f>
        <x:v>323.3830348061703</x:v>
      </x:c>
      <x:c r="O53" s="10"/>
      <x:c r="P53" s="9" t="n">
        <x:f>Model_Data!A53</x:f>
        <x:v>-34.5</x:v>
      </x:c>
      <x:c r="Q53" s="9" t="n">
        <x:f>Model_Data!P53</x:f>
        <x:v>293.66134891224647</x:v>
      </x:c>
      <x:c r="R53" s="9" t="n">
        <x:f>Model_Data!AM53</x:f>
        <x:v>355.1955134131276</x:v>
      </x:c>
      <x:c r="S53" s="9" t="n">
        <x:f>Model_Data!Q53</x:f>
        <x:v>44.09329563246944</x:v>
      </x:c>
      <x:c r="T53" s="9" t="n">
        <x:f>Model_Data!AN53</x:f>
        <x:v>53.33265967164079</x:v>
      </x:c>
      <x:c r="U53" s="10"/>
      <x:c r="V53" s="9" t="n">
        <x:f>Model_Data!A53</x:f>
        <x:v>-34.5</x:v>
      </x:c>
      <x:c r="W53" s="9" t="n">
        <x:f>Model_Data!B53-Inputs!$C$5</x:f>
        <x:v>1.322499999999991</x:v>
      </x:c>
      <x:c r="X53" s="10"/>
      <x:c r="Y53" s="9" t="n">
        <x:f>Model_Data!A53</x:f>
        <x:v>-34.5</x:v>
      </x:c>
      <x:c r="Z53" s="9" t="n">
        <x:f>0</x:f>
        <x:v>0</x:v>
      </x:c>
      <x:c r="AA53" s="9" t="n">
        <x:f>((SQRT((Inputs!$C$52+Inputs!$C$5)^2+Inputs!$C$52^2-2*(Inputs!$C$52+Inputs!$C$5)*Inputs!$C$52*COS(SQRT((Model_Data!A53)^2+Inputs!$C$6^2)/Inputs!$C$52))-Inputs!$C$5)*1000/Inputs!$C$12)</x:f>
        <x:v>1595.6819960061448</x:v>
      </x:c>
      <x:c r="AB53" s="9" t="n">
        <x:f>Model_Data!F53</x:f>
        <x:v>1591.5295091914868</x:v>
      </x:c>
    </x:row>
    <x:row r="54">
      <x:c r="A54" s="9" t="n">
        <x:f>Model_Data!A54</x:f>
        <x:v>-34</x:v>
      </x:c>
      <x:c r="B54" s="9" t="n">
        <x:f>0</x:f>
        <x:v>0</x:v>
      </x:c>
      <x:c r="C54" s="9" t="n">
        <x:f>((SQRT((Inputs!$C$52+Inputs!$C$5)^2+Inputs!$C$52^2-2*(Inputs!$C$52+Inputs!$C$5)*Inputs!$C$52*COS(SQRT((Model_Data!A54)^2+Inputs!$C$6^2)/Inputs!$C$52))-Inputs!$C$5)*1000/Inputs!$C$12)</x:f>
        <x:v>1565.6807665318488</x:v>
      </x:c>
      <x:c r="D54" s="9" t="n">
        <x:f>Model_Data!F54</x:f>
        <x:v>1561.7226341407977</x:v>
      </x:c>
      <x:c r="E54" s="9" t="n">
        <x:f>Model_Data!AC54</x:f>
        <x:v>1383.9611627288964</x:v>
      </x:c>
      <x:c r="F54" s="10"/>
      <x:c r="G54" s="9" t="n">
        <x:f>Model_Data!A54</x:f>
        <x:v>-34</x:v>
      </x:c>
      <x:c r="H54" s="9" t="n">
        <x:f>Model_Data!Y54</x:f>
        <x:v>319.4152549266823</x:v>
      </x:c>
      <x:c r="I54" s="9" t="n">
        <x:f>Model_Data!Y54</x:f>
        <x:v>319.4152549266823</x:v>
      </x:c>
      <x:c r="J54" s="9" t="n">
        <x:f>Model_Data!X54</x:f>
        <x:v>0.233219012771956</x:v>
      </x:c>
      <x:c r="K54" s="9" t="n">
        <x:f>Model_Data!A54</x:f>
        <x:v>-34</x:v>
      </x:c>
      <x:c r="L54" s="9" t="n">
        <x:f>Model_Data!Y54</x:f>
        <x:v>319.4152549266823</x:v>
      </x:c>
      <x:c r="M54" s="9" t="n">
        <x:f>Model_Data!X54</x:f>
        <x:v>0.233219012771956</x:v>
      </x:c>
      <x:c r="N54" s="9" t="n">
        <x:f>-(Model_Data!AC54-Model_Data!F54)*Inputs!$C$12</x:f>
        <x:v>316.4154191131843</x:v>
      </x:c>
      <x:c r="O54" s="10"/>
      <x:c r="P54" s="9" t="n">
        <x:f>Model_Data!A54</x:f>
        <x:v>-34</x:v>
      </x:c>
      <x:c r="Q54" s="9" t="n">
        <x:f>Model_Data!P54</x:f>
        <x:v>289.4530911666152</x:v>
      </x:c>
      <x:c r="R54" s="9" t="n">
        <x:f>Model_Data!AM54</x:f>
        <x:v>308.8603249510925</x:v>
      </x:c>
      <x:c r="S54" s="9" t="n">
        <x:f>Model_Data!Q54</x:f>
        <x:v>43.46142510009238</x:v>
      </x:c>
      <x:c r="T54" s="9" t="n">
        <x:f>Model_Data!AN54</x:f>
        <x:v>46.375424166830705</x:v>
      </x:c>
      <x:c r="U54" s="10"/>
      <x:c r="V54" s="9" t="n">
        <x:f>Model_Data!A54</x:f>
        <x:v>-34</x:v>
      </x:c>
      <x:c r="W54" s="9" t="n">
        <x:f>Model_Data!B54-Inputs!$C$5</x:f>
        <x:v>1.284444444444432</x:v>
      </x:c>
      <x:c r="X54" s="10"/>
      <x:c r="Y54" s="9" t="n">
        <x:f>Model_Data!A54</x:f>
        <x:v>-34</x:v>
      </x:c>
      <x:c r="Z54" s="9" t="n">
        <x:f>0</x:f>
        <x:v>0</x:v>
      </x:c>
      <x:c r="AA54" s="9" t="n">
        <x:f>((SQRT((Inputs!$C$52+Inputs!$C$5)^2+Inputs!$C$52^2-2*(Inputs!$C$52+Inputs!$C$5)*Inputs!$C$52*COS(SQRT((Model_Data!A54)^2+Inputs!$C$6^2)/Inputs!$C$52))-Inputs!$C$5)*1000/Inputs!$C$12)</x:f>
        <x:v>1565.6807665318488</x:v>
      </x:c>
      <x:c r="AB54" s="9" t="n">
        <x:f>Model_Data!F54</x:f>
        <x:v>1561.7226341407977</x:v>
      </x:c>
    </x:row>
    <x:row r="55">
      <x:c r="A55" s="9" t="n">
        <x:f>Model_Data!A55</x:f>
        <x:v>-33.5</x:v>
      </x:c>
      <x:c r="B55" s="9" t="n">
        <x:f>0</x:f>
        <x:v>0</x:v>
      </x:c>
      <x:c r="C55" s="9" t="n">
        <x:f>((SQRT((Inputs!$C$52+Inputs!$C$5)^2+Inputs!$C$52^2-2*(Inputs!$C$52+Inputs!$C$5)*Inputs!$C$52*COS(SQRT((Model_Data!A55)^2+Inputs!$C$6^2)/Inputs!$C$52))-Inputs!$C$5)*1000/Inputs!$C$12)</x:f>
        <x:v>1536.1135509787923</x:v>
      </x:c>
      <x:c r="D55" s="9" t="n">
        <x:f>Model_Data!F55</x:f>
        <x:v>1532.3426404141778</x:v>
      </x:c>
      <x:c r="E55" s="9" t="n">
        <x:f>Model_Data!AC55</x:f>
        <x:v>1354.166960904519</x:v>
      </x:c>
      <x:c r="F55" s="10"/>
      <x:c r="G55" s="9" t="n">
        <x:f>Model_Data!A55</x:f>
        <x:v>-33.5</x:v>
      </x:c>
      <x:c r="H55" s="9" t="n">
        <x:f>Model_Data!Y55</x:f>
        <x:v>328.4448057508986</x:v>
      </x:c>
      <x:c r="I55" s="9" t="n">
        <x:f>Model_Data!Y55</x:f>
        <x:v>328.4448057508986</x:v>
      </x:c>
      <x:c r="J55" s="9" t="n">
        <x:f>Model_Data!X55</x:f>
        <x:v>8.500195567439437</x:v>
      </x:c>
      <x:c r="K55" s="9" t="n">
        <x:f>Model_Data!A55</x:f>
        <x:v>-33.5</x:v>
      </x:c>
      <x:c r="L55" s="9" t="n">
        <x:f>Model_Data!Y55</x:f>
        <x:v>328.4448057508986</x:v>
      </x:c>
      <x:c r="M55" s="9" t="n">
        <x:f>Model_Data!X55</x:f>
        <x:v>8.500195567439437</x:v>
      </x:c>
      <x:c r="N55" s="9" t="n">
        <x:f>-(Model_Data!AC55-Model_Data!F55)*Inputs!$C$12</x:f>
        <x:v>317.15270952719254</x:v>
      </x:c>
      <x:c r="O55" s="10"/>
      <x:c r="P55" s="9" t="n">
        <x:f>Model_Data!A55</x:f>
        <x:v>-33.5</x:v>
      </x:c>
      <x:c r="Q55" s="9" t="n">
        <x:f>Model_Data!P55</x:f>
        <x:v>285.24277529395476</x:v>
      </x:c>
      <x:c r="R55" s="9" t="n">
        <x:f>Model_Data!AM55</x:f>
        <x:v>321.33106228302495</x:v>
      </x:c>
      <x:c r="S55" s="9" t="n">
        <x:f>Model_Data!Q55</x:f>
        <x:v>42.82924553963285</x:v>
      </x:c>
      <x:c r="T55" s="9" t="n">
        <x:f>Model_Data!AN55</x:f>
        <x:v>48.24790724970345</x:v>
      </x:c>
      <x:c r="U55" s="10"/>
      <x:c r="V55" s="9" t="n">
        <x:f>Model_Data!A55</x:f>
        <x:v>-33.5</x:v>
      </x:c>
      <x:c r="W55" s="9" t="n">
        <x:f>Model_Data!B55-Inputs!$C$5</x:f>
        <x:v>1.2469444444444662</x:v>
      </x:c>
      <x:c r="X55" s="10"/>
      <x:c r="Y55" s="9" t="n">
        <x:f>Model_Data!A55</x:f>
        <x:v>-33.5</x:v>
      </x:c>
      <x:c r="Z55" s="9" t="n">
        <x:f>0</x:f>
        <x:v>0</x:v>
      </x:c>
      <x:c r="AA55" s="9" t="n">
        <x:f>((SQRT((Inputs!$C$52+Inputs!$C$5)^2+Inputs!$C$52^2-2*(Inputs!$C$52+Inputs!$C$5)*Inputs!$C$52*COS(SQRT((Model_Data!A55)^2+Inputs!$C$6^2)/Inputs!$C$52))-Inputs!$C$5)*1000/Inputs!$C$12)</x:f>
        <x:v>1536.1135509787923</x:v>
      </x:c>
      <x:c r="AB55" s="9" t="n">
        <x:f>Model_Data!F55</x:f>
        <x:v>1532.3426404141778</x:v>
      </x:c>
    </x:row>
    <x:row r="56">
      <x:c r="A56" s="9" t="n">
        <x:f>Model_Data!A56</x:f>
        <x:v>-33</x:v>
      </x:c>
      <x:c r="B56" s="9" t="n">
        <x:f>0</x:f>
        <x:v>0</x:v>
      </x:c>
      <x:c r="C56" s="9" t="n">
        <x:f>((SQRT((Inputs!$C$52+Inputs!$C$5)^2+Inputs!$C$52^2-2*(Inputs!$C$52+Inputs!$C$5)*Inputs!$C$52*COS(SQRT((Model_Data!A56)^2+Inputs!$C$6^2)/Inputs!$C$52))-Inputs!$C$5)*1000/Inputs!$C$12)</x:f>
        <x:v>1506.9805225566647</x:v>
      </x:c>
      <x:c r="D56" s="9" t="n">
        <x:f>Model_Data!F56</x:f>
        <x:v>1503.3898868855904</x:v>
      </x:c>
      <x:c r="E56" s="9" t="n">
        <x:f>Model_Data!AC56</x:f>
        <x:v>1320.064693134566</x:v>
      </x:c>
      <x:c r="F56" s="10"/>
      <x:c r="G56" s="9" t="n">
        <x:f>Model_Data!A56</x:f>
        <x:v>-33</x:v>
      </x:c>
      <x:c r="H56" s="9" t="n">
        <x:f>Model_Data!Y56</x:f>
        <x:v>342.0571204684842</x:v>
      </x:c>
      <x:c r="I56" s="9" t="n">
        <x:f>Model_Data!Y56</x:f>
        <x:v>342.0571204684842</x:v>
      </x:c>
      <x:c r="J56" s="9" t="n">
        <x:f>Model_Data!X56</x:f>
        <x:v>12.884972617306985</x:v>
      </x:c>
      <x:c r="K56" s="9" t="n">
        <x:f>Model_Data!A56</x:f>
        <x:v>-33</x:v>
      </x:c>
      <x:c r="L56" s="9" t="n">
        <x:f>Model_Data!Y56</x:f>
        <x:v>342.0571204684842</x:v>
      </x:c>
      <x:c r="M56" s="9" t="n">
        <x:f>Model_Data!X56</x:f>
        <x:v>12.884972617306985</x:v>
      </x:c>
      <x:c r="N56" s="9" t="n">
        <x:f>-(Model_Data!AC56-Model_Data!F56)*Inputs!$C$12</x:f>
        <x:v>326.31884487682356</x:v>
      </x:c>
      <x:c r="O56" s="10"/>
      <x:c r="P56" s="9" t="n">
        <x:f>Model_Data!A56</x:f>
        <x:v>-33</x:v>
      </x:c>
      <x:c r="Q56" s="9" t="n">
        <x:f>Model_Data!P56</x:f>
        <x:v>281.0304293043373</x:v>
      </x:c>
      <x:c r="R56" s="9" t="n">
        <x:f>Model_Data!AM56</x:f>
        <x:v>316.859491910418</x:v>
      </x:c>
      <x:c r="S56" s="9" t="n">
        <x:f>Model_Data!Q56</x:f>
        <x:v>42.196761156807405</x:v>
      </x:c>
      <x:c r="T56" s="9" t="n">
        <x:f>Model_Data!AN56</x:f>
        <x:v>47.57650028684955</x:v>
      </x:c>
      <x:c r="U56" s="10"/>
      <x:c r="V56" s="9" t="n">
        <x:f>Model_Data!A56</x:f>
        <x:v>-33</x:v>
      </x:c>
      <x:c r="W56" s="9" t="n">
        <x:f>Model_Data!B56-Inputs!$C$5</x:f>
        <x:v>1.2099999999999795</x:v>
      </x:c>
      <x:c r="X56" s="10"/>
      <x:c r="Y56" s="9" t="n">
        <x:f>Model_Data!A56</x:f>
        <x:v>-33</x:v>
      </x:c>
      <x:c r="Z56" s="9" t="n">
        <x:f>0</x:f>
        <x:v>0</x:v>
      </x:c>
      <x:c r="AA56" s="9" t="n">
        <x:f>((SQRT((Inputs!$C$52+Inputs!$C$5)^2+Inputs!$C$52^2-2*(Inputs!$C$52+Inputs!$C$5)*Inputs!$C$52*COS(SQRT((Model_Data!A56)^2+Inputs!$C$6^2)/Inputs!$C$52))-Inputs!$C$5)*1000/Inputs!$C$12)</x:f>
        <x:v>1506.9805225566647</x:v>
      </x:c>
      <x:c r="AB56" s="9" t="n">
        <x:f>Model_Data!F56</x:f>
        <x:v>1503.3898868855904</x:v>
      </x:c>
    </x:row>
    <x:row r="57">
      <x:c r="A57" s="9" t="n">
        <x:f>Model_Data!A57</x:f>
        <x:v>-32.5</x:v>
      </x:c>
      <x:c r="B57" s="9" t="n">
        <x:f>0</x:f>
        <x:v>0</x:v>
      </x:c>
      <x:c r="C57" s="9" t="n">
        <x:f>((SQRT((Inputs!$C$52+Inputs!$C$5)^2+Inputs!$C$52^2-2*(Inputs!$C$52+Inputs!$C$5)*Inputs!$C$52*COS(SQRT((Model_Data!A57)^2+Inputs!$C$6^2)/Inputs!$C$52))-Inputs!$C$5)*1000/Inputs!$C$12)</x:f>
        <x:v>1478.281852017923</x:v>
      </x:c>
      <x:c r="D57" s="9" t="n">
        <x:f>Model_Data!F57</x:f>
        <x:v>1474.864727503037</x:v>
      </x:c>
      <x:c r="E57" s="9" t="n">
        <x:f>Model_Data!AC57</x:f>
        <x:v>1287.309018256957</x:v>
      </x:c>
      <x:c r="F57" s="10"/>
      <x:c r="G57" s="9" t="n">
        <x:f>Model_Data!A57</x:f>
        <x:v>-32.5</x:v>
      </x:c>
      <x:c r="H57" s="9" t="n">
        <x:f>Model_Data!Y57</x:f>
        <x:v>350.9183412247295</x:v>
      </x:c>
      <x:c r="I57" s="9" t="n">
        <x:f>Model_Data!Y57</x:f>
        <x:v>350.9183412247295</x:v>
      </x:c>
      <x:c r="J57" s="9" t="n">
        <x:f>Model_Data!X57</x:f>
        <x:v>14.196906765365963</x:v>
      </x:c>
      <x:c r="K57" s="9" t="n">
        <x:f>Model_Data!A57</x:f>
        <x:v>-32.5</x:v>
      </x:c>
      <x:c r="L57" s="9" t="n">
        <x:f>Model_Data!Y57</x:f>
        <x:v>350.9183412247295</x:v>
      </x:c>
      <x:c r="M57" s="9" t="n">
        <x:f>Model_Data!X57</x:f>
        <x:v>14.196906765365963</x:v>
      </x:c>
      <x:c r="N57" s="9" t="n">
        <x:f>-(Model_Data!AC57-Model_Data!F57)*Inputs!$C$12</x:f>
        <x:v>333.84916245802265</x:v>
      </x:c>
      <x:c r="O57" s="10"/>
      <x:c r="P57" s="9" t="n">
        <x:f>Model_Data!A57</x:f>
        <x:v>-32.5</x:v>
      </x:c>
      <x:c r="Q57" s="9" t="n">
        <x:f>Model_Data!P57</x:f>
        <x:v>276.81608131206303</x:v>
      </x:c>
      <x:c r="R57" s="9" t="n">
        <x:f>Model_Data!AM57</x:f>
        <x:v>275.1765872350006</x:v>
      </x:c>
      <x:c r="S57" s="9" t="n">
        <x:f>Model_Data!Q57</x:f>
        <x:v>41.56397617298244</x:v>
      </x:c>
      <x:c r="T57" s="9" t="n">
        <x:f>Model_Data!AN57</x:f>
        <x:v>41.31780589114124</x:v>
      </x:c>
      <x:c r="U57" s="10"/>
      <x:c r="V57" s="9" t="n">
        <x:f>Model_Data!A57</x:f>
        <x:v>-32.5</x:v>
      </x:c>
      <x:c r="W57" s="9" t="n">
        <x:f>Model_Data!B57-Inputs!$C$5</x:f>
        <x:v>1.1736111111110858</x:v>
      </x:c>
      <x:c r="X57" s="10"/>
      <x:c r="Y57" s="9" t="n">
        <x:f>Model_Data!A57</x:f>
        <x:v>-32.5</x:v>
      </x:c>
      <x:c r="Z57" s="9" t="n">
        <x:f>0</x:f>
        <x:v>0</x:v>
      </x:c>
      <x:c r="AA57" s="9" t="n">
        <x:f>((SQRT((Inputs!$C$52+Inputs!$C$5)^2+Inputs!$C$52^2-2*(Inputs!$C$52+Inputs!$C$5)*Inputs!$C$52*COS(SQRT((Model_Data!A57)^2+Inputs!$C$6^2)/Inputs!$C$52))-Inputs!$C$5)*1000/Inputs!$C$12)</x:f>
        <x:v>1478.281852017923</x:v>
      </x:c>
      <x:c r="AB57" s="9" t="n">
        <x:f>Model_Data!F57</x:f>
        <x:v>1474.864727503037</x:v>
      </x:c>
    </x:row>
    <x:row r="58">
      <x:c r="A58" s="9" t="n">
        <x:f>Model_Data!A58</x:f>
        <x:v>-32</x:v>
      </x:c>
      <x:c r="B58" s="9" t="n">
        <x:f>0</x:f>
        <x:v>0</x:v>
      </x:c>
      <x:c r="C58" s="9" t="n">
        <x:f>((SQRT((Inputs!$C$52+Inputs!$C$5)^2+Inputs!$C$52^2-2*(Inputs!$C$52+Inputs!$C$5)*Inputs!$C$52*COS(SQRT((Model_Data!A58)^2+Inputs!$C$6^2)/Inputs!$C$52))-Inputs!$C$5)*1000/Inputs!$C$12)</x:f>
        <x:v>1450.017707656291</x:v>
      </x:c>
      <x:c r="D58" s="9" t="n">
        <x:f>Model_Data!F58</x:f>
        <x:v>1446.7675112688235</x:v>
      </x:c>
      <x:c r="E58" s="9" t="n">
        <x:f>Model_Data!AC58</x:f>
        <x:v>1259.9987994430683</x:v>
      </x:c>
      <x:c r="F58" s="10"/>
      <x:c r="G58" s="9" t="n">
        <x:f>Model_Data!A58</x:f>
        <x:v>-32</x:v>
      </x:c>
      <x:c r="H58" s="9" t="n">
        <x:f>Model_Data!Y58</x:f>
        <x:v>340.91681406553505</x:v>
      </x:c>
      <x:c r="I58" s="9" t="n">
        <x:f>Model_Data!Y58</x:f>
        <x:v>340.91681406553505</x:v>
      </x:c>
      <x:c r="J58" s="9" t="n">
        <x:f>Model_Data!X58</x:f>
        <x:v>5.730826646134426</x:v>
      </x:c>
      <x:c r="K58" s="9" t="n">
        <x:f>Model_Data!A58</x:f>
        <x:v>-32</x:v>
      </x:c>
      <x:c r="L58" s="9" t="n">
        <x:f>Model_Data!Y58</x:f>
        <x:v>340.91681406553505</x:v>
      </x:c>
      <x:c r="M58" s="9" t="n">
        <x:f>Model_Data!X58</x:f>
        <x:v>5.730826646134426</x:v>
      </x:c>
      <x:c r="N58" s="9" t="n">
        <x:f>-(Model_Data!AC58-Model_Data!F58)*Inputs!$C$12</x:f>
        <x:v>332.44830704984423</x:v>
      </x:c>
      <x:c r="O58" s="10"/>
      <x:c r="P58" s="9" t="n">
        <x:f>Model_Data!A58</x:f>
        <x:v>-32</x:v>
      </x:c>
      <x:c r="Q58" s="9" t="n">
        <x:f>Model_Data!P58</x:f>
        <x:v>272.599759519926</x:v>
      </x:c>
      <x:c r="R58" s="9" t="n">
        <x:f>Model_Data!AM58</x:f>
        <x:v>279.49268607053455</x:v>
      </x:c>
      <x:c r="S58" s="9" t="n">
        <x:f>Model_Data!Q58</x:f>
        <x:v>40.930894822811716</x:v>
      </x:c>
      <x:c r="T58" s="9" t="n">
        <x:f>Model_Data!AN58</x:f>
        <x:v>41.965868779359546</x:v>
      </x:c>
      <x:c r="U58" s="10"/>
      <x:c r="V58" s="9" t="n">
        <x:f>Model_Data!A58</x:f>
        <x:v>-32</x:v>
      </x:c>
      <x:c r="W58" s="9" t="n">
        <x:f>Model_Data!B58-Inputs!$C$5</x:f>
        <x:v>1.137777777777785</x:v>
      </x:c>
      <x:c r="X58" s="10"/>
      <x:c r="Y58" s="9" t="n">
        <x:f>Model_Data!A58</x:f>
        <x:v>-32</x:v>
      </x:c>
      <x:c r="Z58" s="9" t="n">
        <x:f>0</x:f>
        <x:v>0</x:v>
      </x:c>
      <x:c r="AA58" s="9" t="n">
        <x:f>((SQRT((Inputs!$C$52+Inputs!$C$5)^2+Inputs!$C$52^2-2*(Inputs!$C$52+Inputs!$C$5)*Inputs!$C$52*COS(SQRT((Model_Data!A58)^2+Inputs!$C$6^2)/Inputs!$C$52))-Inputs!$C$5)*1000/Inputs!$C$12)</x:f>
        <x:v>1450.017707656291</x:v>
      </x:c>
      <x:c r="AB58" s="9" t="n">
        <x:f>Model_Data!F58</x:f>
        <x:v>1446.7675112688235</x:v>
      </x:c>
    </x:row>
    <x:row r="59">
      <x:c r="A59" s="9" t="n">
        <x:f>Model_Data!A59</x:f>
        <x:v>-31.5</x:v>
      </x:c>
      <x:c r="B59" s="9" t="n">
        <x:f>0</x:f>
        <x:v>0</x:v>
      </x:c>
      <x:c r="C59" s="9" t="n">
        <x:f>((SQRT((Inputs!$C$52+Inputs!$C$5)^2+Inputs!$C$52^2-2*(Inputs!$C$52+Inputs!$C$5)*Inputs!$C$52*COS(SQRT((Model_Data!A59)^2+Inputs!$C$6^2)/Inputs!$C$52))-Inputs!$C$5)*1000/Inputs!$C$12)</x:f>
        <x:v>1422.1882553000517</x:v>
      </x:c>
      <x:c r="D59" s="9" t="n">
        <x:f>Model_Data!F59</x:f>
        <x:v>1419.0985822283808</x:v>
      </x:c>
      <x:c r="E59" s="9" t="n">
        <x:f>Model_Data!AC59</x:f>
        <x:v>1226.3691826767422</x:v>
      </x:c>
      <x:c r="F59" s="10"/>
      <x:c r="G59" s="9" t="n">
        <x:f>Model_Data!A59</x:f>
        <x:v>-31.5</x:v>
      </x:c>
      <x:c r="H59" s="9" t="n">
        <x:f>Model_Data!Y59</x:f>
        <x:v>355.15219987006986</x:v>
      </x:c>
      <x:c r="I59" s="9" t="n">
        <x:f>Model_Data!Y59</x:f>
        <x:v>355.15219987006986</x:v>
      </x:c>
      <x:c r="J59" s="9" t="n">
        <x:f>Model_Data!X59</x:f>
        <x:v>9.295817115602365</x:v>
      </x:c>
      <x:c r="K59" s="9" t="n">
        <x:f>Model_Data!A59</x:f>
        <x:v>-31.5</x:v>
      </x:c>
      <x:c r="L59" s="9" t="n">
        <x:f>Model_Data!Y59</x:f>
        <x:v>355.15219987006986</x:v>
      </x:c>
      <x:c r="M59" s="9" t="n">
        <x:f>Model_Data!X59</x:f>
        <x:v>9.295817115602365</x:v>
      </x:c>
      <x:c r="N59" s="9" t="n">
        <x:f>-(Model_Data!AC59-Model_Data!F59)*Inputs!$C$12</x:f>
        <x:v>343.0583312019167</x:v>
      </x:c>
      <x:c r="O59" s="10"/>
      <x:c r="P59" s="9" t="n">
        <x:f>Model_Data!A59</x:f>
        <x:v>-31.5</x:v>
      </x:c>
      <x:c r="Q59" s="9" t="n">
        <x:f>Model_Data!P59</x:f>
        <x:v>268.38149222203356</x:v>
      </x:c>
      <x:c r="R59" s="9" t="n">
        <x:f>Model_Data!AM59</x:f>
        <x:v>288.14417854828207</x:v>
      </x:c>
      <x:c r="S59" s="9" t="n">
        <x:f>Model_Data!Q59</x:f>
        <x:v>40.29752135465969</x:v>
      </x:c>
      <x:c r="T59" s="9" t="n">
        <x:f>Model_Data!AN59</x:f>
        <x:v>43.26489167391623</x:v>
      </x:c>
      <x:c r="U59" s="10"/>
      <x:c r="V59" s="9" t="n">
        <x:f>Model_Data!A59</x:f>
        <x:v>-31.5</x:v>
      </x:c>
      <x:c r="W59" s="9" t="n">
        <x:f>Model_Data!B59-Inputs!$C$5</x:f>
        <x:v>1.1025000000000205</x:v>
      </x:c>
      <x:c r="X59" s="10"/>
      <x:c r="Y59" s="9" t="n">
        <x:f>Model_Data!A59</x:f>
        <x:v>-31.5</x:v>
      </x:c>
      <x:c r="Z59" s="9" t="n">
        <x:f>0</x:f>
        <x:v>0</x:v>
      </x:c>
      <x:c r="AA59" s="9" t="n">
        <x:f>((SQRT((Inputs!$C$52+Inputs!$C$5)^2+Inputs!$C$52^2-2*(Inputs!$C$52+Inputs!$C$5)*Inputs!$C$52*COS(SQRT((Model_Data!A59)^2+Inputs!$C$6^2)/Inputs!$C$52))-Inputs!$C$5)*1000/Inputs!$C$12)</x:f>
        <x:v>1422.1882553000517</x:v>
      </x:c>
      <x:c r="AB59" s="9" t="n">
        <x:f>Model_Data!F59</x:f>
        <x:v>1419.0985822283808</x:v>
      </x:c>
    </x:row>
    <x:row r="60">
      <x:c r="A60" s="9" t="n">
        <x:f>Model_Data!A60</x:f>
        <x:v>-31</x:v>
      </x:c>
      <x:c r="B60" s="9" t="n">
        <x:f>0</x:f>
        <x:v>0</x:v>
      </x:c>
      <x:c r="C60" s="9" t="n">
        <x:f>((SQRT((Inputs!$C$52+Inputs!$C$5)^2+Inputs!$C$52^2-2*(Inputs!$C$52+Inputs!$C$5)*Inputs!$C$52*COS(SQRT((Model_Data!A60)^2+Inputs!$C$6^2)/Inputs!$C$52))-Inputs!$C$5)*1000/Inputs!$C$12)</x:f>
        <x:v>1394.7936583071323</x:v>
      </x:c>
      <x:c r="D60" s="9" t="n">
        <x:f>Model_Data!F60</x:f>
        <x:v>1391.8582794492854</x:v>
      </x:c>
      <x:c r="E60" s="9" t="n">
        <x:f>Model_Data!AC60</x:f>
        <x:v>1187.5209787048375</x:v>
      </x:c>
      <x:c r="F60" s="10"/>
      <x:c r="G60" s="9" t="n">
        <x:f>Model_Data!A60</x:f>
        <x:v>-31</x:v>
      </x:c>
      <x:c r="H60" s="9" t="n">
        <x:f>Model_Data!Y60</x:f>
        <x:v>353.2610093246909</x:v>
      </x:c>
      <x:c r="I60" s="9" t="n">
        <x:f>Model_Data!Y60</x:f>
        <x:v>353.2610093246909</x:v>
      </x:c>
      <x:c r="J60" s="9" t="n">
        <x:f>Model_Data!X60</x:f>
        <x:v>-13.189582675327635</x:v>
      </x:c>
      <x:c r="K60" s="9" t="n">
        <x:f>Model_Data!A60</x:f>
        <x:v>-31</x:v>
      </x:c>
      <x:c r="L60" s="9" t="n">
        <x:f>Model_Data!Y60</x:f>
        <x:v>353.2610093246909</x:v>
      </x:c>
      <x:c r="M60" s="9" t="n">
        <x:f>Model_Data!X60</x:f>
        <x:v>-13.189582675327635</x:v>
      </x:c>
      <x:c r="N60" s="9" t="n">
        <x:f>-(Model_Data!AC60-Model_Data!F60)*Inputs!$C$12</x:f>
        <x:v>363.7203953251173</x:v>
      </x:c>
      <x:c r="O60" s="10"/>
      <x:c r="P60" s="9" t="n">
        <x:f>Model_Data!A60</x:f>
        <x:v>-31</x:v>
      </x:c>
      <x:c r="Q60" s="9" t="n">
        <x:f>Model_Data!P60</x:f>
        <x:v>264.16130781663014</x:v>
      </x:c>
      <x:c r="R60" s="9" t="n">
        <x:f>Model_Data!AM60</x:f>
        <x:v>238.13849277175905</x:v>
      </x:c>
      <x:c r="S60" s="9" t="n">
        <x:f>Model_Data!Q60</x:f>
        <x:v>39.663860032527054</x:v>
      </x:c>
      <x:c r="T60" s="9" t="n">
        <x:f>Model_Data!AN60</x:f>
        <x:v>35.75653044621007</x:v>
      </x:c>
      <x:c r="U60" s="10"/>
      <x:c r="V60" s="9" t="n">
        <x:f>Model_Data!A60</x:f>
        <x:v>-31</x:v>
      </x:c>
      <x:c r="W60" s="9" t="n">
        <x:f>Model_Data!B60-Inputs!$C$5</x:f>
        <x:v>1.067777777777792</x:v>
      </x:c>
      <x:c r="X60" s="10"/>
      <x:c r="Y60" s="9" t="n">
        <x:f>Model_Data!A60</x:f>
        <x:v>-31</x:v>
      </x:c>
      <x:c r="Z60" s="9" t="n">
        <x:f>0</x:f>
        <x:v>0</x:v>
      </x:c>
      <x:c r="AA60" s="9" t="n">
        <x:f>((SQRT((Inputs!$C$52+Inputs!$C$5)^2+Inputs!$C$52^2-2*(Inputs!$C$52+Inputs!$C$5)*Inputs!$C$52*COS(SQRT((Model_Data!A60)^2+Inputs!$C$6^2)/Inputs!$C$52))-Inputs!$C$5)*1000/Inputs!$C$12)</x:f>
        <x:v>1394.7936583071323</x:v>
      </x:c>
      <x:c r="AB60" s="9" t="n">
        <x:f>Model_Data!F60</x:f>
        <x:v>1391.8582794492854</x:v>
      </x:c>
    </x:row>
    <x:row r="61">
      <x:c r="A61" s="9" t="n">
        <x:f>Model_Data!A61</x:f>
        <x:v>-30.5</x:v>
      </x:c>
      <x:c r="B61" s="9" t="n">
        <x:f>0</x:f>
        <x:v>0</x:v>
      </x:c>
      <x:c r="C61" s="9" t="n">
        <x:f>((SQRT((Inputs!$C$52+Inputs!$C$5)^2+Inputs!$C$52^2-2*(Inputs!$C$52+Inputs!$C$5)*Inputs!$C$52*COS(SQRT((Model_Data!A61)^2+Inputs!$C$6^2)/Inputs!$C$52))-Inputs!$C$5)*1000/Inputs!$C$12)</x:f>
        <x:v>1367.8340775619401</x:v>
      </x:c>
      <x:c r="D61" s="9" t="n">
        <x:f>Model_Data!F61</x:f>
        <x:v>1365.0469370056433</x:v>
      </x:c>
      <x:c r="E61" s="9" t="n">
        <x:f>Model_Data!AC61</x:f>
        <x:v>1172.0372701785657</x:v>
      </x:c>
      <x:c r="F61" s="10"/>
      <x:c r="G61" s="9" t="n">
        <x:f>Model_Data!A61</x:f>
        <x:v>-30.5</x:v>
      </x:c>
      <x:c r="H61" s="9" t="n">
        <x:f>Model_Data!Y61</x:f>
        <x:v>338.6571544092517</x:v>
      </x:c>
      <x:c r="I61" s="9" t="n">
        <x:f>Model_Data!Y61</x:f>
        <x:v>338.6571544092517</x:v>
      </x:c>
      <x:c r="J61" s="9" t="n">
        <x:f>Model_Data!X61</x:f>
        <x:v>-7.467318037700602</x:v>
      </x:c>
      <x:c r="K61" s="9" t="n">
        <x:f>Model_Data!A61</x:f>
        <x:v>-30.5</x:v>
      </x:c>
      <x:c r="L61" s="9" t="n">
        <x:f>Model_Data!Y61</x:f>
        <x:v>338.6571544092517</x:v>
      </x:c>
      <x:c r="M61" s="9" t="n">
        <x:f>Model_Data!X61</x:f>
        <x:v>-7.467318037700602</x:v>
      </x:c>
      <x:c r="N61" s="9" t="n">
        <x:f>-(Model_Data!AC61-Model_Data!F61)*Inputs!$C$12</x:f>
        <x:v>343.5572069521981</x:v>
      </x:c>
      <x:c r="O61" s="10"/>
      <x:c r="P61" s="9" t="n">
        <x:f>Model_Data!A61</x:f>
        <x:v>-30.5</x:v>
      </x:c>
      <x:c r="Q61" s="9" t="n">
        <x:f>Model_Data!P61</x:f>
        <x:v>259.939234788817</x:v>
      </x:c>
      <x:c r="R61" s="9" t="n">
        <x:f>Model_Data!AM61</x:f>
        <x:v>234.24333788807417</x:v>
      </x:c>
      <x:c r="S61" s="9" t="n">
        <x:f>Model_Data!Q61</x:f>
        <x:v>39.02991513345601</x:v>
      </x:c>
      <x:c r="T61" s="9" t="n">
        <x:f>Model_Data!AN61</x:f>
        <x:v>35.17167235556669</x:v>
      </x:c>
      <x:c r="U61" s="10"/>
      <x:c r="V61" s="9" t="n">
        <x:f>Model_Data!A61</x:f>
        <x:v>-30.5</x:v>
      </x:c>
      <x:c r="W61" s="9" t="n">
        <x:f>Model_Data!B61-Inputs!$C$5</x:f>
        <x:v>1.0336111111110995</x:v>
      </x:c>
      <x:c r="X61" s="10"/>
      <x:c r="Y61" s="9" t="n">
        <x:f>Model_Data!A61</x:f>
        <x:v>-30.5</x:v>
      </x:c>
      <x:c r="Z61" s="9" t="n">
        <x:f>0</x:f>
        <x:v>0</x:v>
      </x:c>
      <x:c r="AA61" s="9" t="n">
        <x:f>((SQRT((Inputs!$C$52+Inputs!$C$5)^2+Inputs!$C$52^2-2*(Inputs!$C$52+Inputs!$C$5)*Inputs!$C$52*COS(SQRT((Model_Data!A61)^2+Inputs!$C$6^2)/Inputs!$C$52))-Inputs!$C$5)*1000/Inputs!$C$12)</x:f>
        <x:v>1367.8340775619401</x:v>
      </x:c>
      <x:c r="AB61" s="9" t="n">
        <x:f>Model_Data!F61</x:f>
        <x:v>1365.0469370056433</x:v>
      </x:c>
    </x:row>
    <x:row r="62">
      <x:c r="A62" s="9" t="n">
        <x:f>Model_Data!A62</x:f>
        <x:v>-30</x:v>
      </x:c>
      <x:c r="B62" s="9" t="n">
        <x:f>0</x:f>
        <x:v>0</x:v>
      </x:c>
      <x:c r="C62" s="9" t="n">
        <x:f>((SQRT((Inputs!$C$52+Inputs!$C$5)^2+Inputs!$C$52^2-2*(Inputs!$C$52+Inputs!$C$5)*Inputs!$C$52*COS(SQRT((Model_Data!A62)^2+Inputs!$C$6^2)/Inputs!$C$52))-Inputs!$C$5)*1000/Inputs!$C$12)</x:f>
        <x:v>1341.3096714700305</x:v>
      </x:c>
      <x:c r="D62" s="9" t="n">
        <x:f>Model_Data!F62</x:f>
        <x:v>1338.6648839632076</x:v>
      </x:c>
      <x:c r="E62" s="9" t="n">
        <x:f>Model_Data!AC62</x:f>
        <x:v>1140.9183160302812</x:v>
      </x:c>
      <x:c r="F62" s="10"/>
      <x:c r="G62" s="9" t="n">
        <x:f>Model_Data!A62</x:f>
        <x:v>-30</x:v>
      </x:c>
      <x:c r="H62" s="9" t="n">
        <x:f>Model_Data!Y62</x:f>
        <x:v>336.97644838088075</x:v>
      </x:c>
      <x:c r="I62" s="9" t="n">
        <x:f>Model_Data!Y62</x:f>
        <x:v>336.97644838088075</x:v>
      </x:c>
      <x:c r="J62" s="9" t="n">
        <x:f>Model_Data!X62</x:f>
        <x:v>-17.51801383367469</x:v>
      </x:c>
      <x:c r="K62" s="9" t="n">
        <x:f>Model_Data!A62</x:f>
        <x:v>-30</x:v>
      </x:c>
      <x:c r="L62" s="9" t="n">
        <x:f>Model_Data!Y62</x:f>
        <x:v>336.97644838088075</x:v>
      </x:c>
      <x:c r="M62" s="9" t="n">
        <x:f>Model_Data!X62</x:f>
        <x:v>-17.51801383367469</x:v>
      </x:c>
      <x:c r="N62" s="9" t="n">
        <x:f>-(Model_Data!AC62-Model_Data!F62)*Inputs!$C$12</x:f>
        <x:v>351.988890920609</x:v>
      </x:c>
      <x:c r="O62" s="10"/>
      <x:c r="P62" s="9" t="n">
        <x:f>Model_Data!A62</x:f>
        <x:v>-30</x:v>
      </x:c>
      <x:c r="Q62" s="9" t="n">
        <x:f>Model_Data!P62</x:f>
        <x:v>255.71530170509504</x:v>
      </x:c>
      <x:c r="R62" s="9" t="n">
        <x:f>Model_Data!AM62</x:f>
        <x:v>236.16063340596156</x:v>
      </x:c>
      <x:c r="S62" s="9" t="n">
        <x:f>Model_Data!Q62</x:f>
        <x:v>38.39569094671097</x:v>
      </x:c>
      <x:c r="T62" s="9" t="n">
        <x:f>Model_Data!AN62</x:f>
        <x:v>35.4595545654597</x:v>
      </x:c>
      <x:c r="U62" s="10"/>
      <x:c r="V62" s="9" t="n">
        <x:f>Model_Data!A62</x:f>
        <x:v>-30</x:v>
      </x:c>
      <x:c r="W62" s="9" t="n">
        <x:f>Model_Data!B62-Inputs!$C$5</x:f>
        <x:v>1</x:v>
      </x:c>
      <x:c r="X62" s="10"/>
      <x:c r="Y62" s="9" t="n">
        <x:f>Model_Data!A62</x:f>
        <x:v>-30</x:v>
      </x:c>
      <x:c r="Z62" s="9" t="n">
        <x:f>0</x:f>
        <x:v>0</x:v>
      </x:c>
      <x:c r="AA62" s="9" t="n">
        <x:f>((SQRT((Inputs!$C$52+Inputs!$C$5)^2+Inputs!$C$52^2-2*(Inputs!$C$52+Inputs!$C$5)*Inputs!$C$52*COS(SQRT((Model_Data!A62)^2+Inputs!$C$6^2)/Inputs!$C$52))-Inputs!$C$5)*1000/Inputs!$C$12)</x:f>
        <x:v>1341.3096714700305</x:v>
      </x:c>
      <x:c r="AB62" s="9" t="n">
        <x:f>Model_Data!F62</x:f>
        <x:v>1338.6648839632076</x:v>
      </x:c>
    </x:row>
    <x:row r="63">
      <x:c r="A63" s="9" t="n">
        <x:f>Model_Data!A63</x:f>
        <x:v>-29.5</x:v>
      </x:c>
      <x:c r="B63" s="9" t="n">
        <x:f>0</x:f>
        <x:v>0</x:v>
      </x:c>
      <x:c r="C63" s="9" t="n">
        <x:f>((SQRT((Inputs!$C$52+Inputs!$C$5)^2+Inputs!$C$52^2-2*(Inputs!$C$52+Inputs!$C$5)*Inputs!$C$52*COS(SQRT((Model_Data!A63)^2+Inputs!$C$6^2)/Inputs!$C$52))-Inputs!$C$5)*1000/Inputs!$C$12)</x:f>
        <x:v>1315.2205959528692</x:v>
      </x:c>
      <x:c r="D63" s="9" t="n">
        <x:f>Model_Data!F63</x:f>
        <x:v>1312.7124443657435</x:v>
      </x:c>
      <x:c r="E63" s="9" t="n">
        <x:f>Model_Data!AC63</x:f>
        <x:v>1110.444972722315</x:v>
      </x:c>
      <x:c r="F63" s="10"/>
      <x:c r="G63" s="9" t="n">
        <x:f>Model_Data!A63</x:f>
        <x:v>-29.5</x:v>
      </x:c>
      <x:c r="H63" s="9" t="n">
        <x:f>Model_Data!Y63</x:f>
        <x:v>326.24732503276135</x:v>
      </x:c>
      <x:c r="I63" s="9" t="n">
        <x:f>Model_Data!Y63</x:f>
        <x:v>326.24732503276135</x:v>
      </x:c>
      <x:c r="J63" s="9" t="n">
        <x:f>Model_Data!X63</x:f>
        <x:v>-36.167878297776255</x:v>
      </x:c>
      <x:c r="K63" s="9" t="n">
        <x:f>Model_Data!A63</x:f>
        <x:v>-29.5</x:v>
      </x:c>
      <x:c r="L63" s="9" t="n">
        <x:f>Model_Data!Y63</x:f>
        <x:v>326.24732503276135</x:v>
      </x:c>
      <x:c r="M63" s="9" t="n">
        <x:f>Model_Data!X63</x:f>
        <x:v>-36.167878297776255</x:v>
      </x:c>
      <x:c r="N63" s="9" t="n">
        <x:f>-(Model_Data!AC63-Model_Data!F63)*Inputs!$C$12</x:f>
        <x:v>360.03609952530275</x:v>
      </x:c>
      <x:c r="O63" s="10"/>
      <x:c r="P63" s="9" t="n">
        <x:f>Model_Data!A63</x:f>
        <x:v>-29.5</x:v>
      </x:c>
      <x:c r="Q63" s="9" t="n">
        <x:f>Model_Data!P63</x:f>
        <x:v>251.4895372385581</x:v>
      </x:c>
      <x:c r="R63" s="9" t="n">
        <x:f>Model_Data!AM63</x:f>
        <x:v>243.54226020022907</x:v>
      </x:c>
      <x:c r="S63" s="9" t="n">
        <x:f>Model_Data!Q63</x:f>
        <x:v>37.76119177756128</x:v>
      </x:c>
      <x:c r="T63" s="9" t="n">
        <x:f>Model_Data!AN63</x:f>
        <x:v>36.56790693697133</x:v>
      </x:c>
      <x:c r="U63" s="10"/>
      <x:c r="V63" s="9" t="n">
        <x:f>Model_Data!A63</x:f>
        <x:v>-29.5</x:v>
      </x:c>
      <x:c r="W63" s="9" t="n">
        <x:f>Model_Data!B63-Inputs!$C$5</x:f>
        <x:v>0.9669444444444366</x:v>
      </x:c>
      <x:c r="X63" s="10"/>
      <x:c r="Y63" s="9" t="n">
        <x:f>Model_Data!A63</x:f>
        <x:v>-29.5</x:v>
      </x:c>
      <x:c r="Z63" s="9" t="n">
        <x:f>0</x:f>
        <x:v>0</x:v>
      </x:c>
      <x:c r="AA63" s="9" t="n">
        <x:f>((SQRT((Inputs!$C$52+Inputs!$C$5)^2+Inputs!$C$52^2-2*(Inputs!$C$52+Inputs!$C$5)*Inputs!$C$52*COS(SQRT((Model_Data!A63)^2+Inputs!$C$6^2)/Inputs!$C$52))-Inputs!$C$5)*1000/Inputs!$C$12)</x:f>
        <x:v>1315.2205959528692</x:v>
      </x:c>
      <x:c r="AB63" s="9" t="n">
        <x:f>Model_Data!F63</x:f>
        <x:v>1312.7124443657435</x:v>
      </x:c>
    </x:row>
    <x:row r="64">
      <x:c r="A64" s="9" t="n">
        <x:f>Model_Data!A64</x:f>
        <x:v>-29</x:v>
      </x:c>
      <x:c r="B64" s="9" t="n">
        <x:f>0</x:f>
        <x:v>0</x:v>
      </x:c>
      <x:c r="C64" s="9" t="n">
        <x:f>((SQRT((Inputs!$C$52+Inputs!$C$5)^2+Inputs!$C$52^2-2*(Inputs!$C$52+Inputs!$C$5)*Inputs!$C$52*COS(SQRT((Model_Data!A64)^2+Inputs!$C$6^2)/Inputs!$C$52))-Inputs!$C$5)*1000/Inputs!$C$12)</x:f>
        <x:v>1289.5670044428514</x:v>
      </x:c>
      <x:c r="D64" s="9" t="n">
        <x:f>Model_Data!F64</x:f>
        <x:v>1287.1899372112048</x:v>
      </x:c>
      <x:c r="E64" s="9" t="n">
        <x:f>Model_Data!AC64</x:f>
        <x:v>1089.2305828887531</x:v>
      </x:c>
      <x:c r="F64" s="10"/>
      <x:c r="G64" s="9" t="n">
        <x:f>Model_Data!A64</x:f>
        <x:v>-29</x:v>
      </x:c>
      <x:c r="H64" s="9" t="n">
        <x:f>Model_Data!Y64</x:f>
        <x:v>331.8773601232655</x:v>
      </x:c>
      <x:c r="I64" s="9" t="n">
        <x:f>Model_Data!Y64</x:f>
        <x:v>331.8773601232655</x:v>
      </x:c>
      <x:c r="J64" s="9" t="n">
        <x:f>Model_Data!X64</x:f>
        <x:v>-22.86382175599607</x:v>
      </x:c>
      <x:c r="K64" s="9" t="n">
        <x:f>Model_Data!A64</x:f>
        <x:v>-29</x:v>
      </x:c>
      <x:c r="L64" s="9" t="n">
        <x:f>Model_Data!Y64</x:f>
        <x:v>331.8773601232655</x:v>
      </x:c>
      <x:c r="M64" s="9" t="n">
        <x:f>Model_Data!X64</x:f>
        <x:v>-22.86382175599607</x:v>
      </x:c>
      <x:c r="N64" s="9" t="n">
        <x:f>-(Model_Data!AC64-Model_Data!F64)*Inputs!$C$12</x:f>
        <x:v>352.3676506939639</x:v>
      </x:c>
      <x:c r="O64" s="10"/>
      <x:c r="P64" s="9" t="n">
        <x:f>Model_Data!A64</x:f>
        <x:v>-29</x:v>
      </x:c>
      <x:c r="Q64" s="9" t="n">
        <x:f>Model_Data!P64</x:f>
        <x:v>247.26197014497302</x:v>
      </x:c>
      <x:c r="R64" s="9" t="n">
        <x:f>Model_Data!AM64</x:f>
        <x:v>221.97951412254042</x:v>
      </x:c>
      <x:c r="S64" s="9" t="n">
        <x:f>Model_Data!Q64</x:f>
        <x:v>37.12642194368964</x:v>
      </x:c>
      <x:c r="T64" s="9" t="n">
        <x:f>Model_Data!AN64</x:f>
        <x:v>33.33025737575682</x:v>
      </x:c>
      <x:c r="U64" s="10"/>
      <x:c r="V64" s="9" t="n">
        <x:f>Model_Data!A64</x:f>
        <x:v>-29</x:v>
      </x:c>
      <x:c r="W64" s="9" t="n">
        <x:f>Model_Data!B64-Inputs!$C$5</x:f>
        <x:v>0.9344444444444662</x:v>
      </x:c>
      <x:c r="X64" s="10"/>
      <x:c r="Y64" s="9" t="n">
        <x:f>Model_Data!A64</x:f>
        <x:v>-29</x:v>
      </x:c>
      <x:c r="Z64" s="9" t="n">
        <x:f>0</x:f>
        <x:v>0</x:v>
      </x:c>
      <x:c r="AA64" s="9" t="n">
        <x:f>((SQRT((Inputs!$C$52+Inputs!$C$5)^2+Inputs!$C$52^2-2*(Inputs!$C$52+Inputs!$C$5)*Inputs!$C$52*COS(SQRT((Model_Data!A64)^2+Inputs!$C$6^2)/Inputs!$C$52))-Inputs!$C$5)*1000/Inputs!$C$12)</x:f>
        <x:v>1289.5670044428514</x:v>
      </x:c>
      <x:c r="AB64" s="9" t="n">
        <x:f>Model_Data!F64</x:f>
        <x:v>1287.1899372112048</x:v>
      </x:c>
    </x:row>
    <x:row r="65">
      <x:c r="A65" s="9" t="n">
        <x:f>Model_Data!A65</x:f>
        <x:v>-28.5</x:v>
      </x:c>
      <x:c r="B65" s="9" t="n">
        <x:f>0</x:f>
        <x:v>0</x:v>
      </x:c>
      <x:c r="C65" s="9" t="n">
        <x:f>((SQRT((Inputs!$C$52+Inputs!$C$5)^2+Inputs!$C$52^2-2*(Inputs!$C$52+Inputs!$C$5)*Inputs!$C$52*COS(SQRT((Model_Data!A65)^2+Inputs!$C$6^2)/Inputs!$C$52))-Inputs!$C$5)*1000/Inputs!$C$12)</x:f>
        <x:v>1264.3490478827257</x:v>
      </x:c>
      <x:c r="D65" s="9" t="n">
        <x:f>Model_Data!F65</x:f>
        <x:v>1262.09767644656</x:v>
      </x:c>
      <x:c r="E65" s="9" t="n">
        <x:f>Model_Data!AC65</x:f>
        <x:v>1072.3234850230751</x:v>
      </x:c>
      <x:c r="F65" s="10"/>
      <x:c r="G65" s="9" t="n">
        <x:f>Model_Data!A65</x:f>
        <x:v>-28.5</x:v>
      </x:c>
      <x:c r="H65" s="9" t="n">
        <x:f>Model_Data!Y65</x:f>
        <x:v>310.24247262167495</x:v>
      </x:c>
      <x:c r="I65" s="9" t="n">
        <x:f>Model_Data!Y65</x:f>
        <x:v>310.24247262167495</x:v>
      </x:c>
      <x:c r="J65" s="9" t="n">
        <x:f>Model_Data!X65</x:f>
        <x:v>-29.731374520275047</x:v>
      </x:c>
      <x:c r="K65" s="9" t="n">
        <x:f>Model_Data!A65</x:f>
        <x:v>-28.5</x:v>
      </x:c>
      <x:c r="L65" s="9" t="n">
        <x:f>Model_Data!Y65</x:f>
        <x:v>310.24247262167495</x:v>
      </x:c>
      <x:c r="M65" s="9" t="n">
        <x:f>Model_Data!X65</x:f>
        <x:v>-29.731374520275047</x:v>
      </x:c>
      <x:c r="N65" s="9" t="n">
        <x:f>-(Model_Data!AC65-Model_Data!F65)*Inputs!$C$12</x:f>
        <x:v>337.79806073380297</x:v>
      </x:c>
      <x:c r="O65" s="10"/>
      <x:c r="P65" s="9" t="n">
        <x:f>Model_Data!A65</x:f>
        <x:v>-28.5</x:v>
      </x:c>
      <x:c r="Q65" s="9" t="n">
        <x:f>Model_Data!P65</x:f>
        <x:v>243.03262925423041</x:v>
      </x:c>
      <x:c r="R65" s="9" t="n">
        <x:f>Model_Data!AM65</x:f>
        <x:v>213.6323248183544</x:v>
      </x:c>
      <x:c r="S65" s="9" t="n">
        <x:f>Model_Data!Q65</x:f>
        <x:v>36.491385773908476</x:v>
      </x:c>
      <x:c r="T65" s="9" t="n">
        <x:f>Model_Data!AN65</x:f>
        <x:v>32.07692564840156</x:v>
      </x:c>
      <x:c r="U65" s="10"/>
      <x:c r="V65" s="9" t="n">
        <x:f>Model_Data!A65</x:f>
        <x:v>-28.5</x:v>
      </x:c>
      <x:c r="W65" s="9" t="n">
        <x:f>Model_Data!B65-Inputs!$C$5</x:f>
        <x:v>0.902499999999975</x:v>
      </x:c>
      <x:c r="X65" s="10"/>
      <x:c r="Y65" s="9" t="n">
        <x:f>Model_Data!A65</x:f>
        <x:v>-28.5</x:v>
      </x:c>
      <x:c r="Z65" s="9" t="n">
        <x:f>0</x:f>
        <x:v>0</x:v>
      </x:c>
      <x:c r="AA65" s="9" t="n">
        <x:f>((SQRT((Inputs!$C$52+Inputs!$C$5)^2+Inputs!$C$52^2-2*(Inputs!$C$52+Inputs!$C$5)*Inputs!$C$52*COS(SQRT((Model_Data!A65)^2+Inputs!$C$6^2)/Inputs!$C$52))-Inputs!$C$5)*1000/Inputs!$C$12)</x:f>
        <x:v>1264.3490478827257</x:v>
      </x:c>
      <x:c r="AB65" s="9" t="n">
        <x:f>Model_Data!F65</x:f>
        <x:v>1262.09767644656</x:v>
      </x:c>
    </x:row>
    <x:row r="66">
      <x:c r="A66" s="9" t="n">
        <x:f>Model_Data!A66</x:f>
        <x:v>-28</x:v>
      </x:c>
      <x:c r="B66" s="9" t="n">
        <x:f>0</x:f>
        <x:v>0</x:v>
      </x:c>
      <x:c r="C66" s="9" t="n">
        <x:f>((SQRT((Inputs!$C$52+Inputs!$C$5)^2+Inputs!$C$52^2-2*(Inputs!$C$52+Inputs!$C$5)*Inputs!$C$52*COS(SQRT((Model_Data!A66)^2+Inputs!$C$6^2)/Inputs!$C$52))-Inputs!$C$5)*1000/Inputs!$C$12)</x:f>
        <x:v>1239.5668747174202</x:v>
      </x:c>
      <x:c r="D66" s="9" t="n">
        <x:f>Model_Data!F66</x:f>
        <x:v>1237.4359709468442</x:v>
      </x:c>
      <x:c r="E66" s="9" t="n">
        <x:f>Model_Data!AC66</x:f>
        <x:v>1032.8594782824728</x:v>
      </x:c>
      <x:c r="F66" s="10"/>
      <x:c r="G66" s="9" t="n">
        <x:f>Model_Data!A66</x:f>
        <x:v>-28</x:v>
      </x:c>
      <x:c r="H66" s="9" t="n">
        <x:f>Model_Data!Y66</x:f>
        <x:v>313.2831784265769</x:v>
      </x:c>
      <x:c r="I66" s="9" t="n">
        <x:f>Model_Data!Y66</x:f>
        <x:v>313.2831784265769</x:v>
      </x:c>
      <x:c r="J66" s="9" t="n">
        <x:f>Model_Data!X66</x:f>
        <x:v>-53.01751827704016</x:v>
      </x:c>
      <x:c r="K66" s="9" t="n">
        <x:f>Model_Data!A66</x:f>
        <x:v>-28</x:v>
      </x:c>
      <x:c r="L66" s="9" t="n">
        <x:f>Model_Data!Y66</x:f>
        <x:v>313.2831784265769</x:v>
      </x:c>
      <x:c r="M66" s="9" t="n">
        <x:f>Model_Data!X66</x:f>
        <x:v>-53.01751827704016</x:v>
      </x:c>
      <x:c r="N66" s="9" t="n">
        <x:f>-(Model_Data!AC66-Model_Data!F66)*Inputs!$C$12</x:f>
        <x:v>364.14615694258123</x:v>
      </x:c>
      <x:c r="O66" s="10"/>
      <x:c r="P66" s="9" t="n">
        <x:f>Model_Data!A66</x:f>
        <x:v>-28</x:v>
      </x:c>
      <x:c r="Q66" s="9" t="n">
        <x:f>Model_Data!P66</x:f>
        <x:v>238.80154350054</x:v>
      </x:c>
      <x:c r="R66" s="9" t="n">
        <x:f>Model_Data!AM66</x:f>
        <x:v>217.6420816668724</x:v>
      </x:c>
      <x:c r="S66" s="9" t="n">
        <x:f>Model_Data!Q66</x:f>
        <x:v>35.8560876126937</x:v>
      </x:c>
      <x:c r="T66" s="9" t="n">
        <x:f>Model_Data!AN66</x:f>
        <x:v>32.678991241272136</x:v>
      </x:c>
      <x:c r="U66" s="10"/>
      <x:c r="V66" s="9" t="n">
        <x:f>Model_Data!A66</x:f>
        <x:v>-28</x:v>
      </x:c>
      <x:c r="W66" s="9" t="n">
        <x:f>Model_Data!B66-Inputs!$C$5</x:f>
        <x:v>0.8711111111111336</x:v>
      </x:c>
      <x:c r="X66" s="10"/>
      <x:c r="Y66" s="9" t="n">
        <x:f>Model_Data!A66</x:f>
        <x:v>-28</x:v>
      </x:c>
      <x:c r="Z66" s="9" t="n">
        <x:f>0</x:f>
        <x:v>0</x:v>
      </x:c>
      <x:c r="AA66" s="9" t="n">
        <x:f>((SQRT((Inputs!$C$52+Inputs!$C$5)^2+Inputs!$C$52^2-2*(Inputs!$C$52+Inputs!$C$5)*Inputs!$C$52*COS(SQRT((Model_Data!A66)^2+Inputs!$C$6^2)/Inputs!$C$52))-Inputs!$C$5)*1000/Inputs!$C$12)</x:f>
        <x:v>1239.5668747174202</x:v>
      </x:c>
      <x:c r="AB66" s="9" t="n">
        <x:f>Model_Data!F66</x:f>
        <x:v>1237.4359709468442</x:v>
      </x:c>
    </x:row>
    <x:row r="67">
      <x:c r="A67" s="9" t="n">
        <x:f>Model_Data!A67</x:f>
        <x:v>-27.5</x:v>
      </x:c>
      <x:c r="B67" s="9" t="n">
        <x:f>0</x:f>
        <x:v>0</x:v>
      </x:c>
      <x:c r="C67" s="9" t="n">
        <x:f>((SQRT((Inputs!$C$52+Inputs!$C$5)^2+Inputs!$C$52^2-2*(Inputs!$C$52+Inputs!$C$5)*Inputs!$C$52*COS(SQRT((Model_Data!A67)^2+Inputs!$C$6^2)/Inputs!$C$52))-Inputs!$C$5)*1000/Inputs!$C$12)</x:f>
        <x:v>1215.2206308890595</x:v>
      </x:c>
      <x:c r="D67" s="9" t="n">
        <x:f>Model_Data!F67</x:f>
        <x:v>1213.2051244995746</x:v>
      </x:c>
      <x:c r="E67" s="9" t="n">
        <x:f>Model_Data!AC67</x:f>
        <x:v>1012.1584343218391</x:v>
      </x:c>
      <x:c r="F67" s="10"/>
      <x:c r="G67" s="9" t="n">
        <x:f>Model_Data!A67</x:f>
        <x:v>-27.5</x:v>
      </x:c>
      <x:c r="H67" s="9" t="n">
        <x:f>Model_Data!Y67</x:f>
        <x:v>296.8437612590685</x:v>
      </x:c>
      <x:c r="I67" s="9" t="n">
        <x:f>Model_Data!Y67</x:f>
        <x:v>296.8437612590685</x:v>
      </x:c>
      <x:c r="J67" s="9" t="n">
        <x:f>Model_Data!X67</x:f>
        <x:v>-63.02108594889231</x:v>
      </x:c>
      <x:c r="K67" s="9" t="n">
        <x:f>Model_Data!A67</x:f>
        <x:v>-27.5</x:v>
      </x:c>
      <x:c r="L67" s="9" t="n">
        <x:f>Model_Data!Y67</x:f>
        <x:v>296.8437612590685</x:v>
      </x:c>
      <x:c r="M67" s="9" t="n">
        <x:f>Model_Data!X67</x:f>
        <x:v>-63.02108594889231</x:v>
      </x:c>
      <x:c r="N67" s="9" t="n">
        <x:f>-(Model_Data!AC67-Model_Data!F67)*Inputs!$C$12</x:f>
        <x:v>357.8631085163692</x:v>
      </x:c>
      <x:c r="O67" s="10"/>
      <x:c r="P67" s="9" t="n">
        <x:f>Model_Data!A67</x:f>
        <x:v>-27.5</x:v>
      </x:c>
      <x:c r="Q67" s="9" t="n">
        <x:f>Model_Data!P67</x:f>
        <x:v>234.56874188968868</x:v>
      </x:c>
      <x:c r="R67" s="9" t="n">
        <x:f>Model_Data!AM67</x:f>
        <x:v>196.6495314187341</x:v>
      </x:c>
      <x:c r="S67" s="9" t="n">
        <x:f>Model_Data!Q67</x:f>
        <x:v>35.22053181526857</x:v>
      </x:c>
      <x:c r="T67" s="9" t="n">
        <x:f>Model_Data!AN67</x:f>
        <x:v>29.5269566694796</x:v>
      </x:c>
      <x:c r="U67" s="10"/>
      <x:c r="V67" s="9" t="n">
        <x:f>Model_Data!A67</x:f>
        <x:v>-27.5</x:v>
      </x:c>
      <x:c r="W67" s="9" t="n">
        <x:f>Model_Data!B67-Inputs!$C$5</x:f>
        <x:v>0.8402777777777715</x:v>
      </x:c>
      <x:c r="X67" s="10"/>
      <x:c r="Y67" s="9" t="n">
        <x:f>Model_Data!A67</x:f>
        <x:v>-27.5</x:v>
      </x:c>
      <x:c r="Z67" s="9" t="n">
        <x:f>0</x:f>
        <x:v>0</x:v>
      </x:c>
      <x:c r="AA67" s="9" t="n">
        <x:f>((SQRT((Inputs!$C$52+Inputs!$C$5)^2+Inputs!$C$52^2-2*(Inputs!$C$52+Inputs!$C$5)*Inputs!$C$52*COS(SQRT((Model_Data!A67)^2+Inputs!$C$6^2)/Inputs!$C$52))-Inputs!$C$5)*1000/Inputs!$C$12)</x:f>
        <x:v>1215.2206308890595</x:v>
      </x:c>
      <x:c r="AB67" s="9" t="n">
        <x:f>Model_Data!F67</x:f>
        <x:v>1213.2051244995746</x:v>
      </x:c>
    </x:row>
    <x:row r="68">
      <x:c r="A68" s="9" t="n">
        <x:f>Model_Data!A68</x:f>
        <x:v>-27</x:v>
      </x:c>
      <x:c r="B68" s="9" t="n">
        <x:f>0</x:f>
        <x:v>0</x:v>
      </x:c>
      <x:c r="C68" s="9" t="n">
        <x:f>((SQRT((Inputs!$C$52+Inputs!$C$5)^2+Inputs!$C$52^2-2*(Inputs!$C$52+Inputs!$C$5)*Inputs!$C$52*COS(SQRT((Model_Data!A68)^2+Inputs!$C$6^2)/Inputs!$C$52))-Inputs!$C$5)*1000/Inputs!$C$12)</x:f>
        <x:v>1191.3104598367102</x:v>
      </x:c>
      <x:c r="D68" s="9" t="n">
        <x:f>Model_Data!F68</x:f>
        <x:v>1189.4054357952016</x:v>
      </x:c>
      <x:c r="E68" s="9" t="n">
        <x:f>Model_Data!AC68</x:f>
        <x:v>988.7870810731198</x:v>
      </x:c>
      <x:c r="F68" s="10"/>
      <x:c r="G68" s="9" t="n">
        <x:f>Model_Data!A68</x:f>
        <x:v>-27</x:v>
      </x:c>
      <x:c r="H68" s="9" t="n">
        <x:f>Model_Data!Y68</x:f>
        <x:v>289.34226854097847</x:v>
      </x:c>
      <x:c r="I68" s="9" t="n">
        <x:f>Model_Data!Y68</x:f>
        <x:v>289.34226854097847</x:v>
      </x:c>
      <x:c r="J68" s="9" t="n">
        <x:f>Model_Data!X68</x:f>
        <x:v>-69.67153928411518</x:v>
      </x:c>
      <x:c r="K68" s="9" t="n">
        <x:f>Model_Data!A68</x:f>
        <x:v>-27</x:v>
      </x:c>
      <x:c r="L68" s="9" t="n">
        <x:f>Model_Data!Y68</x:f>
        <x:v>289.34226854097847</x:v>
      </x:c>
      <x:c r="M68" s="9" t="n">
        <x:f>Model_Data!X68</x:f>
        <x:v>-69.67153928411518</x:v>
      </x:c>
      <x:c r="N68" s="9" t="n">
        <x:f>-(Model_Data!AC68-Model_Data!F68)*Inputs!$C$12</x:f>
        <x:v>357.1006714053056</x:v>
      </x:c>
      <x:c r="O68" s="10"/>
      <x:c r="P68" s="9" t="n">
        <x:f>Model_Data!A68</x:f>
        <x:v>-27</x:v>
      </x:c>
      <x:c r="Q68" s="9" t="n">
        <x:f>Model_Data!P68</x:f>
        <x:v>230.3342535144111</x:v>
      </x:c>
      <x:c r="R68" s="9" t="n">
        <x:f>Model_Data!AM68</x:f>
        <x:v>220.46869172654624</x:v>
      </x:c>
      <x:c r="S68" s="9" t="n">
        <x:f>Model_Data!Q68</x:f>
        <x:v>34.58472274991158</x:v>
      </x:c>
      <x:c r="T68" s="9" t="n">
        <x:f>Model_Data!AN68</x:f>
        <x:v>33.10340716614809</x:v>
      </x:c>
      <x:c r="U68" s="10"/>
      <x:c r="V68" s="9" t="n">
        <x:f>Model_Data!A68</x:f>
        <x:v>-27</x:v>
      </x:c>
      <x:c r="W68" s="9" t="n">
        <x:f>Model_Data!B68-Inputs!$C$5</x:f>
        <x:v>0.8100000000000023</x:v>
      </x:c>
      <x:c r="X68" s="10"/>
      <x:c r="Y68" s="9" t="n">
        <x:f>Model_Data!A68</x:f>
        <x:v>-27</x:v>
      </x:c>
      <x:c r="Z68" s="9" t="n">
        <x:f>0</x:f>
        <x:v>0</x:v>
      </x:c>
      <x:c r="AA68" s="9" t="n">
        <x:f>((SQRT((Inputs!$C$52+Inputs!$C$5)^2+Inputs!$C$52^2-2*(Inputs!$C$52+Inputs!$C$5)*Inputs!$C$52*COS(SQRT((Model_Data!A68)^2+Inputs!$C$6^2)/Inputs!$C$52))-Inputs!$C$5)*1000/Inputs!$C$12)</x:f>
        <x:v>1191.3104598367102</x:v>
      </x:c>
      <x:c r="AB68" s="9" t="n">
        <x:f>Model_Data!F68</x:f>
        <x:v>1189.4054357952016</x:v>
      </x:c>
    </x:row>
    <x:row r="69">
      <x:c r="A69" s="9" t="n">
        <x:f>Model_Data!A69</x:f>
        <x:v>-26.5</x:v>
      </x:c>
      <x:c r="B69" s="9" t="n">
        <x:f>0</x:f>
        <x:v>0</x:v>
      </x:c>
      <x:c r="C69" s="9" t="n">
        <x:f>((SQRT((Inputs!$C$52+Inputs!$C$5)^2+Inputs!$C$52^2-2*(Inputs!$C$52+Inputs!$C$5)*Inputs!$C$52*COS(SQRT((Model_Data!A69)^2+Inputs!$C$6^2)/Inputs!$C$52))-Inputs!$C$5)*1000/Inputs!$C$12)</x:f>
        <x:v>1167.83650249044</x:v>
      </x:c>
      <x:c r="D69" s="9" t="n">
        <x:f>Model_Data!F69</x:f>
        <x:v>1166.0371984060328</x:v>
      </x:c>
      <x:c r="E69" s="9" t="n">
        <x:f>Model_Data!AC69</x:f>
        <x:v>959.9723295977628</x:v>
      </x:c>
      <x:c r="F69" s="10"/>
      <x:c r="G69" s="9" t="n">
        <x:f>Model_Data!A69</x:f>
        <x:v>-26.5</x:v>
      </x:c>
      <x:c r="H69" s="9" t="n">
        <x:f>Model_Data!Y69</x:f>
        <x:v>290.55977847508683</x:v>
      </x:c>
      <x:c r="I69" s="9" t="n">
        <x:f>Model_Data!Y69</x:f>
        <x:v>290.55977847508683</x:v>
      </x:c>
      <x:c r="J69" s="9" t="n">
        <x:f>Model_Data!X69</x:f>
        <x:v>-78.11942002863731</x:v>
      </x:c>
      <x:c r="K69" s="9" t="n">
        <x:f>Model_Data!A69</x:f>
        <x:v>-26.5</x:v>
      </x:c>
      <x:c r="L69" s="9" t="n">
        <x:f>Model_Data!Y69</x:f>
        <x:v>290.55977847508683</x:v>
      </x:c>
      <x:c r="M69" s="9" t="n">
        <x:f>Model_Data!X69</x:f>
        <x:v>-78.11942002863731</x:v>
      </x:c>
      <x:c r="N69" s="9" t="n">
        <x:f>-(Model_Data!AC69-Model_Data!F69)*Inputs!$C$12</x:f>
        <x:v>366.79546647872047</x:v>
      </x:c>
      <x:c r="O69" s="10"/>
      <x:c r="P69" s="9" t="n">
        <x:f>Model_Data!A69</x:f>
        <x:v>-26.5</x:v>
      </x:c>
      <x:c r="Q69" s="9" t="n">
        <x:f>Model_Data!P69</x:f>
        <x:v>226.0981075584823</x:v>
      </x:c>
      <x:c r="R69" s="9" t="n">
        <x:f>Model_Data!AM69</x:f>
        <x:v>198.23751812764385</x:v>
      </x:c>
      <x:c r="S69" s="9" t="n">
        <x:f>Model_Data!Q69</x:f>
        <x:v>33.94866479857092</x:v>
      </x:c>
      <x:c r="T69" s="9" t="n">
        <x:f>Model_Data!AN69</x:f>
        <x:v>29.765393112258838</x:v>
      </x:c>
      <x:c r="U69" s="10"/>
      <x:c r="V69" s="9" t="n">
        <x:f>Model_Data!A69</x:f>
        <x:v>-26.5</x:v>
      </x:c>
      <x:c r="W69" s="9" t="n">
        <x:f>Model_Data!B69-Inputs!$C$5</x:f>
        <x:v>0.7802777777777692</x:v>
      </x:c>
      <x:c r="X69" s="10"/>
      <x:c r="Y69" s="9" t="n">
        <x:f>Model_Data!A69</x:f>
        <x:v>-26.5</x:v>
      </x:c>
      <x:c r="Z69" s="9" t="n">
        <x:f>0</x:f>
        <x:v>0</x:v>
      </x:c>
      <x:c r="AA69" s="9" t="n">
        <x:f>((SQRT((Inputs!$C$52+Inputs!$C$5)^2+Inputs!$C$52^2-2*(Inputs!$C$52+Inputs!$C$5)*Inputs!$C$52*COS(SQRT((Model_Data!A69)^2+Inputs!$C$6^2)/Inputs!$C$52))-Inputs!$C$5)*1000/Inputs!$C$12)</x:f>
        <x:v>1167.83650249044</x:v>
      </x:c>
      <x:c r="AB69" s="9" t="n">
        <x:f>Model_Data!F69</x:f>
        <x:v>1166.0371984060328</x:v>
      </x:c>
    </x:row>
    <x:row r="70">
      <x:c r="A70" s="9" t="n">
        <x:f>Model_Data!A70</x:f>
        <x:v>-26</x:v>
      </x:c>
      <x:c r="B70" s="9" t="n">
        <x:f>0</x:f>
        <x:v>0</x:v>
      </x:c>
      <x:c r="C70" s="9" t="n">
        <x:f>((SQRT((Inputs!$C$52+Inputs!$C$5)^2+Inputs!$C$52^2-2*(Inputs!$C$52+Inputs!$C$5)*Inputs!$C$52*COS(SQRT((Model_Data!A70)^2+Inputs!$C$6^2)/Inputs!$C$52))-Inputs!$C$5)*1000/Inputs!$C$12)</x:f>
        <x:v>1144.7988972650598</x:v>
      </x:c>
      <x:c r="D70" s="9" t="n">
        <x:f>Model_Data!F70</x:f>
        <x:v>1143.1007007754386</x:v>
      </x:c>
      <x:c r="E70" s="9" t="n">
        <x:f>Model_Data!AC70</x:f>
        <x:v>945.2412860862692</x:v>
      </x:c>
      <x:c r="F70" s="10"/>
      <x:c r="G70" s="9" t="n">
        <x:f>Model_Data!A70</x:f>
        <x:v>-26</x:v>
      </x:c>
      <x:c r="H70" s="9" t="n">
        <x:f>Model_Data!Y70</x:f>
        <x:v>271.74352983421755</x:v>
      </x:c>
      <x:c r="I70" s="9" t="n">
        <x:f>Model_Data!Y70</x:f>
        <x:v>271.74352983421755</x:v>
      </x:c>
      <x:c r="J70" s="9" t="n">
        <x:f>Model_Data!X70</x:f>
        <x:v>-82.17349441978894</x:v>
      </x:c>
      <x:c r="K70" s="9" t="n">
        <x:f>Model_Data!A70</x:f>
        <x:v>-26</x:v>
      </x:c>
      <x:c r="L70" s="9" t="n">
        <x:f>Model_Data!Y70</x:f>
        <x:v>271.74352983421755</x:v>
      </x:c>
      <x:c r="M70" s="9" t="n">
        <x:f>Model_Data!X70</x:f>
        <x:v>-82.17349441978894</x:v>
      </x:c>
      <x:c r="N70" s="9" t="n">
        <x:f>-(Model_Data!AC70-Model_Data!F70)*Inputs!$C$12</x:f>
        <x:v>352.18975814672154</x:v>
      </x:c>
      <x:c r="O70" s="10"/>
      <x:c r="P70" s="9" t="n">
        <x:f>Model_Data!A70</x:f>
        <x:v>-26</x:v>
      </x:c>
      <x:c r="Q70" s="9" t="n">
        <x:f>Model_Data!P70</x:f>
        <x:v>221.86033326770485</x:v>
      </x:c>
      <x:c r="R70" s="9" t="n">
        <x:f>Model_Data!AM70</x:f>
        <x:v>192.02568655455252</x:v>
      </x:c>
      <x:c r="S70" s="9" t="n">
        <x:f>Model_Data!Q70</x:f>
        <x:v>33.31236235250824</x:v>
      </x:c>
      <x:c r="T70" s="9" t="n">
        <x:f>Model_Data!AN70</x:f>
        <x:v>28.83268566885173</x:v>
      </x:c>
      <x:c r="U70" s="10"/>
      <x:c r="V70" s="9" t="n">
        <x:f>Model_Data!A70</x:f>
        <x:v>-26</x:v>
      </x:c>
      <x:c r="W70" s="9" t="n">
        <x:f>Model_Data!B70-Inputs!$C$5</x:f>
        <x:v>0.751111111111129</x:v>
      </x:c>
      <x:c r="X70" s="10"/>
      <x:c r="Y70" s="9" t="n">
        <x:f>Model_Data!A70</x:f>
        <x:v>-26</x:v>
      </x:c>
      <x:c r="Z70" s="9" t="n">
        <x:f>0</x:f>
        <x:v>0</x:v>
      </x:c>
      <x:c r="AA70" s="9" t="n">
        <x:f>((SQRT((Inputs!$C$52+Inputs!$C$5)^2+Inputs!$C$52^2-2*(Inputs!$C$52+Inputs!$C$5)*Inputs!$C$52*COS(SQRT((Model_Data!A70)^2+Inputs!$C$6^2)/Inputs!$C$52))-Inputs!$C$5)*1000/Inputs!$C$12)</x:f>
        <x:v>1144.7988972650598</x:v>
      </x:c>
      <x:c r="AB70" s="9" t="n">
        <x:f>Model_Data!F70</x:f>
        <x:v>1143.1007007754386</x:v>
      </x:c>
    </x:row>
    <x:row r="71">
      <x:c r="A71" s="9" t="n">
        <x:f>Model_Data!A71</x:f>
        <x:v>-25.5</x:v>
      </x:c>
      <x:c r="B71" s="9" t="n">
        <x:f>0</x:f>
        <x:v>0</x:v>
      </x:c>
      <x:c r="C71" s="9" t="n">
        <x:f>((SQRT((Inputs!$C$52+Inputs!$C$5)^2+Inputs!$C$52^2-2*(Inputs!$C$52+Inputs!$C$5)*Inputs!$C$52*COS(SQRT((Model_Data!A71)^2+Inputs!$C$6^2)/Inputs!$C$52))-Inputs!$C$5)*1000/Inputs!$C$12)</x:f>
        <x:v>1122.1977800602508</x:v>
      </x:c>
      <x:c r="D71" s="9" t="n">
        <x:f>Model_Data!F71</x:f>
        <x:v>1120.5962262068354</x:v>
      </x:c>
      <x:c r="E71" s="9" t="n">
        <x:f>Model_Data!AC71</x:f>
        <x:v>910.288625491318</x:v>
      </x:c>
      <x:c r="F71" s="10"/>
      <x:c r="G71" s="9" t="n">
        <x:f>Model_Data!A71</x:f>
        <x:v>-25.5</x:v>
      </x:c>
      <x:c r="H71" s="9" t="n">
        <x:f>Model_Data!Y71</x:f>
        <x:v>271.72277085410076</x:v>
      </x:c>
      <x:c r="I71" s="9" t="n">
        <x:f>Model_Data!Y71</x:f>
        <x:v>271.72277085410076</x:v>
      </x:c>
      <x:c r="J71" s="9" t="n">
        <x:f>Model_Data!X71</x:f>
        <x:v>-104.31813701930129</x:v>
      </x:c>
      <x:c r="K71" s="9" t="n">
        <x:f>Model_Data!A71</x:f>
        <x:v>-25.5</x:v>
      </x:c>
      <x:c r="L71" s="9" t="n">
        <x:f>Model_Data!Y71</x:f>
        <x:v>271.72277085410076</x:v>
      </x:c>
      <x:c r="M71" s="9" t="n">
        <x:f>Model_Data!X71</x:f>
        <x:v>-104.31813701930129</x:v>
      </x:c>
      <x:c r="N71" s="9" t="n">
        <x:f>-(Model_Data!AC71-Model_Data!F71)*Inputs!$C$12</x:f>
        <x:v>374.3475292736208</x:v>
      </x:c>
      <x:c r="O71" s="10"/>
      <x:c r="P71" s="9" t="n">
        <x:f>Model_Data!A71</x:f>
        <x:v>-25.5</x:v>
      </x:c>
      <x:c r="Q71" s="9" t="n">
        <x:f>Model_Data!P71</x:f>
        <x:v>217.6209599799222</x:v>
      </x:c>
      <x:c r="R71" s="9" t="n">
        <x:f>Model_Data!AM71</x:f>
        <x:v>199.48475681912896</x:v>
      </x:c>
      <x:c r="S71" s="9" t="n">
        <x:f>Model_Data!Q71</x:f>
        <x:v>32.67581981680514</x:v>
      </x:c>
      <x:c r="T71" s="9" t="n">
        <x:f>Model_Data!AN71</x:f>
        <x:v>29.952666189058405</x:v>
      </x:c>
      <x:c r="U71" s="10"/>
      <x:c r="V71" s="9" t="n">
        <x:f>Model_Data!A71</x:f>
        <x:v>-25.5</x:v>
      </x:c>
      <x:c r="W71" s="9" t="n">
        <x:f>Model_Data!B71-Inputs!$C$5</x:f>
        <x:v>0.722500000000025</x:v>
      </x:c>
      <x:c r="X71" s="10"/>
      <x:c r="Y71" s="9" t="n">
        <x:f>Model_Data!A71</x:f>
        <x:v>-25.5</x:v>
      </x:c>
      <x:c r="Z71" s="9" t="n">
        <x:f>0</x:f>
        <x:v>0</x:v>
      </x:c>
      <x:c r="AA71" s="9" t="n">
        <x:f>((SQRT((Inputs!$C$52+Inputs!$C$5)^2+Inputs!$C$52^2-2*(Inputs!$C$52+Inputs!$C$5)*Inputs!$C$52*COS(SQRT((Model_Data!A71)^2+Inputs!$C$6^2)/Inputs!$C$52))-Inputs!$C$5)*1000/Inputs!$C$12)</x:f>
        <x:v>1122.1977800602508</x:v>
      </x:c>
      <x:c r="AB71" s="9" t="n">
        <x:f>Model_Data!F71</x:f>
        <x:v>1120.5962262068354</x:v>
      </x:c>
    </x:row>
    <x:row r="72">
      <x:c r="A72" s="9" t="n">
        <x:f>Model_Data!A72</x:f>
        <x:v>-25</x:v>
      </x:c>
      <x:c r="B72" s="9" t="n">
        <x:f>0</x:f>
        <x:v>0</x:v>
      </x:c>
      <x:c r="C72" s="9" t="n">
        <x:f>((SQRT((Inputs!$C$52+Inputs!$C$5)^2+Inputs!$C$52^2-2*(Inputs!$C$52+Inputs!$C$5)*Inputs!$C$52*COS(SQRT((Model_Data!A72)^2+Inputs!$C$6^2)/Inputs!$C$52))-Inputs!$C$5)*1000/Inputs!$C$12)</x:f>
        <x:v>1100.033284253411</x:v>
      </x:c>
      <x:c r="D72" s="9" t="n">
        <x:f>Model_Data!F72</x:f>
        <x:v>1098.5240528424165</x:v>
      </x:c>
      <x:c r="E72" s="9" t="n">
        <x:f>Model_Data!AC72</x:f>
        <x:v>898.3925288901809</x:v>
      </x:c>
      <x:c r="F72" s="10"/>
      <x:c r="G72" s="9" t="n">
        <x:f>Model_Data!A72</x:f>
        <x:v>-25</x:v>
      </x:c>
      <x:c r="H72" s="9" t="n">
        <x:f>Model_Data!Y72</x:f>
        <x:v>260.2713841318971</x:v>
      </x:c>
      <x:c r="I72" s="9" t="n">
        <x:f>Model_Data!Y72</x:f>
        <x:v>260.2713841318971</x:v>
      </x:c>
      <x:c r="J72" s="9" t="n">
        <x:f>Model_Data!X72</x:f>
        <x:v>-97.55297588358108</x:v>
      </x:c>
      <x:c r="K72" s="9" t="n">
        <x:f>Model_Data!A72</x:f>
        <x:v>-25</x:v>
      </x:c>
      <x:c r="L72" s="9" t="n">
        <x:f>Model_Data!Y72</x:f>
        <x:v>260.2713841318971</x:v>
      </x:c>
      <x:c r="M72" s="9" t="n">
        <x:f>Model_Data!X72</x:f>
        <x:v>-97.55297588358108</x:v>
      </x:c>
      <x:c r="N72" s="9" t="n">
        <x:f>-(Model_Data!AC72-Model_Data!F72)*Inputs!$C$12</x:f>
        <x:v>356.2341126349794</x:v>
      </x:c>
      <x:c r="O72" s="10"/>
      <x:c r="P72" s="9" t="n">
        <x:f>Model_Data!A72</x:f>
        <x:v>-25</x:v>
      </x:c>
      <x:c r="Q72" s="9" t="n">
        <x:f>Model_Data!P72</x:f>
        <x:v>213.38001711119432</x:v>
      </x:c>
      <x:c r="R72" s="9" t="n">
        <x:f>Model_Data!AM72</x:f>
        <x:v>221.0725897208249</x:v>
      </x:c>
      <x:c r="S72" s="9" t="n">
        <x:f>Model_Data!Q72</x:f>
        <x:v>32.03904160828744</x:v>
      </x:c>
      <x:c r="T72" s="9" t="n">
        <x:f>Model_Data!AN72</x:f>
        <x:v>33.194082540664404</x:v>
      </x:c>
      <x:c r="U72" s="10"/>
      <x:c r="V72" s="9" t="n">
        <x:f>Model_Data!A72</x:f>
        <x:v>-25</x:v>
      </x:c>
      <x:c r="W72" s="9" t="n">
        <x:f>Model_Data!B72-Inputs!$C$5</x:f>
        <x:v>0.6944444444444571</x:v>
      </x:c>
      <x:c r="X72" s="10"/>
      <x:c r="Y72" s="9" t="n">
        <x:f>Model_Data!A72</x:f>
        <x:v>-25</x:v>
      </x:c>
      <x:c r="Z72" s="9" t="n">
        <x:f>0</x:f>
        <x:v>0</x:v>
      </x:c>
      <x:c r="AA72" s="9" t="n">
        <x:f>((SQRT((Inputs!$C$52+Inputs!$C$5)^2+Inputs!$C$52^2-2*(Inputs!$C$52+Inputs!$C$5)*Inputs!$C$52*COS(SQRT((Model_Data!A72)^2+Inputs!$C$6^2)/Inputs!$C$52))-Inputs!$C$5)*1000/Inputs!$C$12)</x:f>
        <x:v>1100.033284253411</x:v>
      </x:c>
      <x:c r="AB72" s="9" t="n">
        <x:f>Model_Data!F72</x:f>
        <x:v>1098.5240528424165</x:v>
      </x:c>
    </x:row>
    <x:row r="73">
      <x:c r="A73" s="9" t="n">
        <x:f>Model_Data!A73</x:f>
        <x:v>-24.5</x:v>
      </x:c>
      <x:c r="B73" s="9" t="n">
        <x:f>0</x:f>
        <x:v>0</x:v>
      </x:c>
      <x:c r="C73" s="9" t="n">
        <x:f>((SQRT((Inputs!$C$52+Inputs!$C$5)^2+Inputs!$C$52^2-2*(Inputs!$C$52+Inputs!$C$5)*Inputs!$C$52*COS(SQRT((Model_Data!A73)^2+Inputs!$C$6^2)/Inputs!$C$52))-Inputs!$C$5)*1000/Inputs!$C$12)</x:f>
        <x:v>1078.3055406969088</x:v>
      </x:c>
      <x:c r="D73" s="9" t="n">
        <x:f>Model_Data!F73</x:f>
        <x:v>1076.8844536568934</x:v>
      </x:c>
      <x:c r="E73" s="9" t="n">
        <x:f>Model_Data!AC73</x:f>
        <x:v>858.6523869969701</x:v>
      </x:c>
      <x:c r="F73" s="10"/>
      <x:c r="G73" s="9" t="n">
        <x:f>Model_Data!A73</x:f>
        <x:v>-24.5</x:v>
      </x:c>
      <x:c r="H73" s="9" t="n">
        <x:f>Model_Data!Y73</x:f>
        <x:v>276.49363528949897</x:v>
      </x:c>
      <x:c r="I73" s="9" t="n">
        <x:f>Model_Data!Y73</x:f>
        <x:v>276.49363528949897</x:v>
      </x:c>
      <x:c r="J73" s="9" t="n">
        <x:f>Model_Data!X73</x:f>
        <x:v>-113.61582851930044</x:v>
      </x:c>
      <x:c r="K73" s="9" t="n">
        <x:f>Model_Data!A73</x:f>
        <x:v>-24.5</x:v>
      </x:c>
      <x:c r="L73" s="9" t="n">
        <x:f>Model_Data!Y73</x:f>
        <x:v>276.49363528949897</x:v>
      </x:c>
      <x:c r="M73" s="9" t="n">
        <x:f>Model_Data!X73</x:f>
        <x:v>-113.61582851930044</x:v>
      </x:c>
      <x:c r="N73" s="9" t="n">
        <x:f>-(Model_Data!AC73-Model_Data!F73)*Inputs!$C$12</x:f>
        <x:v>388.4530786546634</x:v>
      </x:c>
      <x:c r="O73" s="10"/>
      <x:c r="P73" s="9" t="n">
        <x:f>Model_Data!A73</x:f>
        <x:v>-24.5</x:v>
      </x:c>
      <x:c r="Q73" s="9" t="n">
        <x:f>Model_Data!P73</x:f>
        <x:v>209.13753414824896</x:v>
      </x:c>
      <x:c r="R73" s="9" t="n">
        <x:f>Model_Data!AM73</x:f>
        <x:v>222.45043993452782</x:v>
      </x:c>
      <x:c r="S73" s="9" t="n">
        <x:f>Model_Data!Q73</x:f>
        <x:v>31.402032154391737</x:v>
      </x:c>
      <x:c r="T73" s="9" t="n">
        <x:f>Model_Data!AN73</x:f>
        <x:v>33.40096695713631</x:v>
      </x:c>
      <x:c r="U73" s="10"/>
      <x:c r="V73" s="9" t="n">
        <x:f>Model_Data!A73</x:f>
        <x:v>-24.5</x:v>
      </x:c>
      <x:c r="W73" s="9" t="n">
        <x:f>Model_Data!B73-Inputs!$C$5</x:f>
        <x:v>0.6669444444444252</x:v>
      </x:c>
      <x:c r="X73" s="10"/>
      <x:c r="Y73" s="9" t="n">
        <x:f>Model_Data!A73</x:f>
        <x:v>-24.5</x:v>
      </x:c>
      <x:c r="Z73" s="9" t="n">
        <x:f>0</x:f>
        <x:v>0</x:v>
      </x:c>
      <x:c r="AA73" s="9" t="n">
        <x:f>((SQRT((Inputs!$C$52+Inputs!$C$5)^2+Inputs!$C$52^2-2*(Inputs!$C$52+Inputs!$C$5)*Inputs!$C$52*COS(SQRT((Model_Data!A73)^2+Inputs!$C$6^2)/Inputs!$C$52))-Inputs!$C$5)*1000/Inputs!$C$12)</x:f>
        <x:v>1078.3055406969088</x:v>
      </x:c>
      <x:c r="AB73" s="9" t="n">
        <x:f>Model_Data!F73</x:f>
        <x:v>1076.8844536568934</x:v>
      </x:c>
    </x:row>
    <x:row r="74">
      <x:c r="A74" s="9" t="n">
        <x:f>Model_Data!A74</x:f>
        <x:v>-24</x:v>
      </x:c>
      <x:c r="B74" s="9" t="n">
        <x:f>0</x:f>
        <x:v>0</x:v>
      </x:c>
      <x:c r="C74" s="9" t="n">
        <x:f>((SQRT((Inputs!$C$52+Inputs!$C$5)^2+Inputs!$C$52^2-2*(Inputs!$C$52+Inputs!$C$5)*Inputs!$C$52*COS(SQRT((Model_Data!A74)^2+Inputs!$C$6^2)/Inputs!$C$52))-Inputs!$C$5)*1000/Inputs!$C$12)</x:f>
        <x:v>1057.0146777139</x:v>
      </x:c>
      <x:c r="D74" s="9" t="n">
        <x:f>Model_Data!F74</x:f>
        <x:v>1055.6776964389417</x:v>
      </x:c>
      <x:c r="E74" s="9" t="n">
        <x:f>Model_Data!AC74</x:f>
        <x:v>843.0427302732248</x:v>
      </x:c>
      <x:c r="F74" s="10"/>
      <x:c r="G74" s="9" t="n">
        <x:f>Model_Data!A74</x:f>
        <x:v>-24</x:v>
      </x:c>
      <x:c r="H74" s="9" t="n">
        <x:f>Model_Data!Y74</x:f>
        <x:v>268.5791759815676</x:v>
      </x:c>
      <x:c r="I74" s="9" t="n">
        <x:f>Model_Data!Y74</x:f>
        <x:v>268.5791759815676</x:v>
      </x:c>
      <x:c r="J74" s="9" t="n">
        <x:f>Model_Data!X74</x:f>
        <x:v>-111.48853690711687</x:v>
      </x:c>
      <x:c r="K74" s="9" t="n">
        <x:f>Model_Data!A74</x:f>
        <x:v>-24</x:v>
      </x:c>
      <x:c r="L74" s="9" t="n">
        <x:f>Model_Data!Y74</x:f>
        <x:v>268.5791759815676</x:v>
      </x:c>
      <x:c r="M74" s="9" t="n">
        <x:f>Model_Data!X74</x:f>
        <x:v>-111.48853690711687</x:v>
      </x:c>
      <x:c r="N74" s="9" t="n">
        <x:f>-(Model_Data!AC74-Model_Data!F74)*Inputs!$C$12</x:f>
        <x:v>378.490239774976</x:v>
      </x:c>
      <x:c r="O74" s="10"/>
      <x:c r="P74" s="9" t="n">
        <x:f>Model_Data!A74</x:f>
        <x:v>-24</x:v>
      </x:c>
      <x:c r="Q74" s="9" t="n">
        <x:f>Model_Data!P74</x:f>
        <x:v>204.89354065312</x:v>
      </x:c>
      <x:c r="R74" s="9" t="n">
        <x:f>Model_Data!AM74</x:f>
        <x:v>200.92529767707674</x:v>
      </x:c>
      <x:c r="S74" s="9" t="n">
        <x:f>Model_Data!Q74</x:f>
        <x:v>30.764795893861866</x:v>
      </x:c>
      <x:c r="T74" s="9" t="n">
        <x:f>Model_Data!AN74</x:f>
        <x:v>30.16896361517669</x:v>
      </x:c>
      <x:c r="U74" s="10"/>
      <x:c r="V74" s="9" t="n">
        <x:f>Model_Data!A74</x:f>
        <x:v>-24</x:v>
      </x:c>
      <x:c r="W74" s="9" t="n">
        <x:f>Model_Data!B74-Inputs!$C$5</x:f>
        <x:v>0.6399999999999864</x:v>
      </x:c>
      <x:c r="X74" s="10"/>
      <x:c r="Y74" s="9" t="n">
        <x:f>Model_Data!A74</x:f>
        <x:v>-24</x:v>
      </x:c>
      <x:c r="Z74" s="9" t="n">
        <x:f>0</x:f>
        <x:v>0</x:v>
      </x:c>
      <x:c r="AA74" s="9" t="n">
        <x:f>((SQRT((Inputs!$C$52+Inputs!$C$5)^2+Inputs!$C$52^2-2*(Inputs!$C$52+Inputs!$C$5)*Inputs!$C$52*COS(SQRT((Model_Data!A74)^2+Inputs!$C$6^2)/Inputs!$C$52))-Inputs!$C$5)*1000/Inputs!$C$12)</x:f>
        <x:v>1057.0146777139</x:v>
      </x:c>
      <x:c r="AB74" s="9" t="n">
        <x:f>Model_Data!F74</x:f>
        <x:v>1055.6776964389417</x:v>
      </x:c>
    </x:row>
    <x:row r="75">
      <x:c r="A75" s="9" t="n">
        <x:f>Model_Data!A75</x:f>
        <x:v>-23.5</x:v>
      </x:c>
      <x:c r="B75" s="9" t="n">
        <x:f>0</x:f>
        <x:v>0</x:v>
      </x:c>
      <x:c r="C75" s="9" t="n">
        <x:f>((SQRT((Inputs!$C$52+Inputs!$C$5)^2+Inputs!$C$52^2-2*(Inputs!$C$52+Inputs!$C$5)*Inputs!$C$52*COS(SQRT((Model_Data!A75)^2+Inputs!$C$6^2)/Inputs!$C$52))-Inputs!$C$5)*1000/Inputs!$C$12)</x:f>
        <x:v>1036.1608210971144</x:v>
      </x:c>
      <x:c r="D75" s="9" t="n">
        <x:f>Model_Data!F75</x:f>
        <x:v>1034.9040437833773</x:v>
      </x:c>
      <x:c r="E75" s="9" t="n">
        <x:f>Model_Data!AC75</x:f>
        <x:v>811.3036357936002</x:v>
      </x:c>
      <x:c r="F75" s="10"/>
      <x:c r="G75" s="9" t="n">
        <x:f>Model_Data!A75</x:f>
        <x:v>-23.5</x:v>
      </x:c>
      <x:c r="H75" s="9" t="n">
        <x:f>Model_Data!Y75</x:f>
        <x:v>273.93459884711217</x:v>
      </x:c>
      <x:c r="I75" s="9" t="n">
        <x:f>Model_Data!Y75</x:f>
        <x:v>273.93459884711217</x:v>
      </x:c>
      <x:c r="J75" s="9" t="n">
        <x:f>Model_Data!X75</x:f>
        <x:v>-125.65162794647964</x:v>
      </x:c>
      <x:c r="K75" s="9" t="n">
        <x:f>Model_Data!A75</x:f>
        <x:v>-23.5</x:v>
      </x:c>
      <x:c r="L75" s="9" t="n">
        <x:f>Model_Data!Y75</x:f>
        <x:v>273.93459884711217</x:v>
      </x:c>
      <x:c r="M75" s="9" t="n">
        <x:f>Model_Data!X75</x:f>
        <x:v>-125.65162794647964</x:v>
      </x:c>
      <x:c r="N75" s="9" t="n">
        <x:f>-(Model_Data!AC75-Model_Data!F75)*Inputs!$C$12</x:f>
        <x:v>398.0087262218034</x:v>
      </x:c>
      <x:c r="O75" s="10"/>
      <x:c r="P75" s="9" t="n">
        <x:f>Model_Data!A75</x:f>
        <x:v>-23.5</x:v>
      </x:c>
      <x:c r="Q75" s="9" t="n">
        <x:f>Model_Data!P75</x:f>
        <x:v>200.64806626696736</x:v>
      </x:c>
      <x:c r="R75" s="9" t="n">
        <x:f>Model_Data!AM75</x:f>
        <x:v>218.20922536780927</x:v>
      </x:c>
      <x:c r="S75" s="9" t="n">
        <x:f>Model_Data!Q75</x:f>
        <x:v>30.12733727732243</x:v>
      </x:c>
      <x:c r="T75" s="9" t="n">
        <x:f>Model_Data!AN75</x:f>
        <x:v>32.764147953124514</x:v>
      </x:c>
      <x:c r="U75" s="10"/>
      <x:c r="V75" s="9" t="n">
        <x:f>Model_Data!A75</x:f>
        <x:v>-23.5</x:v>
      </x:c>
      <x:c r="W75" s="9" t="n">
        <x:f>Model_Data!B75-Inputs!$C$5</x:f>
        <x:v>0.6136111111110836</x:v>
      </x:c>
      <x:c r="X75" s="10"/>
      <x:c r="Y75" s="9" t="n">
        <x:f>Model_Data!A75</x:f>
        <x:v>-23.5</x:v>
      </x:c>
      <x:c r="Z75" s="9" t="n">
        <x:f>0</x:f>
        <x:v>0</x:v>
      </x:c>
      <x:c r="AA75" s="9" t="n">
        <x:f>((SQRT((Inputs!$C$52+Inputs!$C$5)^2+Inputs!$C$52^2-2*(Inputs!$C$52+Inputs!$C$5)*Inputs!$C$52*COS(SQRT((Model_Data!A75)^2+Inputs!$C$6^2)/Inputs!$C$52))-Inputs!$C$5)*1000/Inputs!$C$12)</x:f>
        <x:v>1036.1608210971144</x:v>
      </x:c>
      <x:c r="AB75" s="9" t="n">
        <x:f>Model_Data!F75</x:f>
        <x:v>1034.9040437833773</x:v>
      </x:c>
    </x:row>
    <x:row r="76">
      <x:c r="A76" s="9" t="n">
        <x:f>Model_Data!A76</x:f>
        <x:v>-23</x:v>
      </x:c>
      <x:c r="B76" s="9" t="n">
        <x:f>0</x:f>
        <x:v>0</x:v>
      </x:c>
      <x:c r="C76" s="9" t="n">
        <x:f>((SQRT((Inputs!$C$52+Inputs!$C$5)^2+Inputs!$C$52^2-2*(Inputs!$C$52+Inputs!$C$5)*Inputs!$C$52*COS(SQRT((Model_Data!A76)^2+Inputs!$C$6^2)/Inputs!$C$52))-Inputs!$C$5)*1000/Inputs!$C$12)</x:f>
        <x:v>1015.7440940999775</x:v>
      </x:c>
      <x:c r="D76" s="9" t="n">
        <x:f>Model_Data!F76</x:f>
        <x:v>1014.5637530711654</x:v>
      </x:c>
      <x:c r="E76" s="9" t="n">
        <x:f>Model_Data!AC76</x:f>
        <x:v>783.9327322012089</x:v>
      </x:c>
      <x:c r="F76" s="10"/>
      <x:c r="G76" s="9" t="n">
        <x:f>Model_Data!A76</x:f>
        <x:v>-23</x:v>
      </x:c>
      <x:c r="H76" s="9" t="n">
        <x:f>Model_Data!Y76</x:f>
        <x:v>279.55588840773</x:v>
      </x:c>
      <x:c r="I76" s="9" t="n">
        <x:f>Model_Data!Y76</x:f>
        <x:v>279.55588840773</x:v>
      </x:c>
      <x:c r="J76" s="9" t="n">
        <x:f>Model_Data!X76</x:f>
        <x:v>-132.5457898426781</x:v>
      </x:c>
      <x:c r="K76" s="9" t="n">
        <x:f>Model_Data!A76</x:f>
        <x:v>-23</x:v>
      </x:c>
      <x:c r="L76" s="9" t="n">
        <x:f>Model_Data!Y76</x:f>
        <x:v>279.55588840773</x:v>
      </x:c>
      <x:c r="M76" s="9" t="n">
        <x:f>Model_Data!X76</x:f>
        <x:v>-132.5457898426781</x:v>
      </x:c>
      <x:c r="N76" s="9" t="n">
        <x:f>-(Model_Data!AC76-Model_Data!F76)*Inputs!$C$12</x:f>
        <x:v>410.5232171485226</x:v>
      </x:c>
      <x:c r="O76" s="10"/>
      <x:c r="P76" s="9" t="n">
        <x:f>Model_Data!A76</x:f>
        <x:v>-23</x:v>
      </x:c>
      <x:c r="Q76" s="9" t="n">
        <x:f>Model_Data!P76</x:f>
        <x:v>196.40114070170966</x:v>
      </x:c>
      <x:c r="R76" s="9" t="n">
        <x:f>Model_Data!AM76</x:f>
        <x:v>216.80914002981808</x:v>
      </x:c>
      <x:c r="S76" s="9" t="n">
        <x:f>Model_Data!Q76</x:f>
        <x:v>29.489660766022475</x:v>
      </x:c>
      <x:c r="T76" s="9" t="n">
        <x:f>Model_Data!AN76</x:f>
        <x:v>32.553924929402115</x:v>
      </x:c>
      <x:c r="U76" s="10"/>
      <x:c r="V76" s="9" t="n">
        <x:f>Model_Data!A76</x:f>
        <x:v>-23</x:v>
      </x:c>
      <x:c r="W76" s="9" t="n">
        <x:f>Model_Data!B76-Inputs!$C$5</x:f>
        <x:v>0.5877777777777737</x:v>
      </x:c>
      <x:c r="X76" s="10"/>
      <x:c r="Y76" s="9" t="n">
        <x:f>Model_Data!A76</x:f>
        <x:v>-23</x:v>
      </x:c>
      <x:c r="Z76" s="9" t="n">
        <x:f>0</x:f>
        <x:v>0</x:v>
      </x:c>
      <x:c r="AA76" s="9" t="n">
        <x:f>((SQRT((Inputs!$C$52+Inputs!$C$5)^2+Inputs!$C$52^2-2*(Inputs!$C$52+Inputs!$C$5)*Inputs!$C$52*COS(SQRT((Model_Data!A76)^2+Inputs!$C$6^2)/Inputs!$C$52))-Inputs!$C$5)*1000/Inputs!$C$12)</x:f>
        <x:v>1015.7440940999775</x:v>
      </x:c>
      <x:c r="AB76" s="9" t="n">
        <x:f>Model_Data!F76</x:f>
        <x:v>1014.5637530711654</x:v>
      </x:c>
    </x:row>
    <x:row r="77">
      <x:c r="A77" s="9" t="n">
        <x:f>Model_Data!A77</x:f>
        <x:v>-22.5</x:v>
      </x:c>
      <x:c r="B77" s="9" t="n">
        <x:f>0</x:f>
        <x:v>0</x:v>
      </x:c>
      <x:c r="C77" s="9" t="n">
        <x:f>((SQRT((Inputs!$C$52+Inputs!$C$5)^2+Inputs!$C$52^2-2*(Inputs!$C$52+Inputs!$C$5)*Inputs!$C$52*COS(SQRT((Model_Data!A77)^2+Inputs!$C$6^2)/Inputs!$C$52))-Inputs!$C$5)*1000/Inputs!$C$12)</x:f>
        <x:v>995.7646174390374</x:v>
      </x:c>
      <x:c r="D77" s="9" t="n">
        <x:f>Model_Data!F77</x:f>
        <x:v>994.6570764645656</x:v>
      </x:c>
      <x:c r="E77" s="9" t="n">
        <x:f>Model_Data!AC77</x:f>
        <x:v>756.7879503186583</x:v>
      </x:c>
      <x:c r="F77" s="10"/>
      <x:c r="G77" s="9" t="n">
        <x:f>Model_Data!A77</x:f>
        <x:v>-22.5</x:v>
      </x:c>
      <x:c r="H77" s="9" t="n">
        <x:f>Model_Data!Y77</x:f>
        <x:v>286.69936407981004</x:v>
      </x:c>
      <x:c r="I77" s="9" t="n">
        <x:f>Model_Data!Y77</x:f>
        <x:v>286.69936407981004</x:v>
      </x:c>
      <x:c r="J77" s="9" t="n">
        <x:f>Model_Data!X77</x:f>
        <x:v>-138.29494668428998</x:v>
      </x:c>
      <x:c r="K77" s="9" t="n">
        <x:f>Model_Data!A77</x:f>
        <x:v>-22.5</x:v>
      </x:c>
      <x:c r="L77" s="9" t="n">
        <x:f>Model_Data!Y77</x:f>
        <x:v>286.69936407981004</x:v>
      </x:c>
      <x:c r="M77" s="9" t="n">
        <x:f>Model_Data!X77</x:f>
        <x:v>-138.29494668428998</x:v>
      </x:c>
      <x:c r="N77" s="9" t="n">
        <x:f>-(Model_Data!AC77-Model_Data!F77)*Inputs!$C$12</x:f>
        <x:v>423.40704453971506</x:v>
      </x:c>
      <x:c r="O77" s="10"/>
      <x:c r="P77" s="9" t="n">
        <x:f>Model_Data!A77</x:f>
        <x:v>-22.5</x:v>
      </x:c>
      <x:c r="Q77" s="9" t="n">
        <x:f>Model_Data!P77</x:f>
        <x:v>192.15279373456724</x:v>
      </x:c>
      <x:c r="R77" s="9" t="n">
        <x:f>Model_Data!AM77</x:f>
        <x:v>251.21183481469416</x:v>
      </x:c>
      <x:c r="S77" s="9" t="n">
        <x:f>Model_Data!Q77</x:f>
        <x:v>28.851770831016104</x:v>
      </x:c>
      <x:c r="T77" s="9" t="n">
        <x:f>Model_Data!AN77</x:f>
        <x:v>37.71949471692105</x:v>
      </x:c>
      <x:c r="U77" s="10"/>
      <x:c r="V77" s="9" t="n">
        <x:f>Model_Data!A77</x:f>
        <x:v>-22.5</x:v>
      </x:c>
      <x:c r="W77" s="9" t="n">
        <x:f>Model_Data!B77-Inputs!$C$5</x:f>
        <x:v>0.5625</x:v>
      </x:c>
      <x:c r="X77" s="10"/>
      <x:c r="Y77" s="9" t="n">
        <x:f>Model_Data!A77</x:f>
        <x:v>-22.5</x:v>
      </x:c>
      <x:c r="Z77" s="9" t="n">
        <x:f>0</x:f>
        <x:v>0</x:v>
      </x:c>
      <x:c r="AA77" s="9" t="n">
        <x:f>((SQRT((Inputs!$C$52+Inputs!$C$5)^2+Inputs!$C$52^2-2*(Inputs!$C$52+Inputs!$C$5)*Inputs!$C$52*COS(SQRT((Model_Data!A77)^2+Inputs!$C$6^2)/Inputs!$C$52))-Inputs!$C$5)*1000/Inputs!$C$12)</x:f>
        <x:v>995.7646174390374</x:v>
      </x:c>
      <x:c r="AB77" s="9" t="n">
        <x:f>Model_Data!F77</x:f>
        <x:v>994.6570764645656</x:v>
      </x:c>
    </x:row>
    <x:row r="78">
      <x:c r="A78" s="9" t="n">
        <x:f>Model_Data!A78</x:f>
        <x:v>-22</x:v>
      </x:c>
      <x:c r="B78" s="9" t="n">
        <x:f>0</x:f>
        <x:v>0</x:v>
      </x:c>
      <x:c r="C78" s="9" t="n">
        <x:f>((SQRT((Inputs!$C$52+Inputs!$C$5)^2+Inputs!$C$52^2-2*(Inputs!$C$52+Inputs!$C$5)*Inputs!$C$52*COS(SQRT((Model_Data!A78)^2+Inputs!$C$6^2)/Inputs!$C$52))-Inputs!$C$5)*1000/Inputs!$C$12)</x:f>
        <x:v>976.222509285854</x:v>
      </x:c>
      <x:c r="D78" s="9" t="n">
        <x:f>Model_Data!F78</x:f>
        <x:v>975.1842608890905</x:v>
      </x:c>
      <x:c r="E78" s="9" t="n">
        <x:f>Model_Data!AC78</x:f>
        <x:v>717.3255213802904</x:v>
      </x:c>
      <x:c r="F78" s="10"/>
      <x:c r="G78" s="9" t="n">
        <x:f>Model_Data!A78</x:f>
        <x:v>-22</x:v>
      </x:c>
      <x:c r="H78" s="9" t="n">
        <x:f>Model_Data!Y78</x:f>
        <x:v>316.60820817766927</x:v>
      </x:c>
      <x:c r="I78" s="9" t="n">
        <x:f>Model_Data!Y78</x:f>
        <x:v>316.60820817766927</x:v>
      </x:c>
      <x:c r="J78" s="9" t="n">
        <x:f>Model_Data!X78</x:f>
        <x:v>-144.0992283446906</x:v>
      </x:c>
      <x:c r="K78" s="9" t="n">
        <x:f>Model_Data!A78</x:f>
        <x:v>-22</x:v>
      </x:c>
      <x:c r="L78" s="9" t="n">
        <x:f>Model_Data!Y78</x:f>
        <x:v>316.60820817766927</x:v>
      </x:c>
      <x:c r="M78" s="9" t="n">
        <x:f>Model_Data!X78</x:f>
        <x:v>-144.0992283446906</x:v>
      </x:c>
      <x:c r="N78" s="9" t="n">
        <x:f>-(Model_Data!AC78-Model_Data!F78)*Inputs!$C$12</x:f>
        <x:v>458.9885563256642</x:v>
      </x:c>
      <x:c r="O78" s="10"/>
      <x:c r="P78" s="9" t="n">
        <x:f>Model_Data!A78</x:f>
        <x:v>-22</x:v>
      </x:c>
      <x:c r="Q78" s="9" t="n">
        <x:f>Model_Data!P78</x:f>
        <x:v>187.90305521988557</x:v>
      </x:c>
      <x:c r="R78" s="9" t="n">
        <x:f>Model_Data!AM78</x:f>
        <x:v>260.81096796797283</x:v>
      </x:c>
      <x:c r="S78" s="9" t="n">
        <x:f>Model_Data!Q78</x:f>
        <x:v>28.213671954937777</x:v>
      </x:c>
      <x:c r="T78" s="9" t="n">
        <x:f>Model_Data!AN78</x:f>
        <x:v>39.16080600119712</x:v>
      </x:c>
      <x:c r="U78" s="10"/>
      <x:c r="V78" s="9" t="n">
        <x:f>Model_Data!A78</x:f>
        <x:v>-22</x:v>
      </x:c>
      <x:c r="W78" s="9" t="n">
        <x:f>Model_Data!B78-Inputs!$C$5</x:f>
        <x:v>0.5377777777777624</x:v>
      </x:c>
      <x:c r="X78" s="10"/>
      <x:c r="Y78" s="9" t="n">
        <x:f>Model_Data!A78</x:f>
        <x:v>-22</x:v>
      </x:c>
      <x:c r="Z78" s="9" t="n">
        <x:f>0</x:f>
        <x:v>0</x:v>
      </x:c>
      <x:c r="AA78" s="9" t="n">
        <x:f>((SQRT((Inputs!$C$52+Inputs!$C$5)^2+Inputs!$C$52^2-2*(Inputs!$C$52+Inputs!$C$5)*Inputs!$C$52*COS(SQRT((Model_Data!A78)^2+Inputs!$C$6^2)/Inputs!$C$52))-Inputs!$C$5)*1000/Inputs!$C$12)</x:f>
        <x:v>976.222509285854</x:v>
      </x:c>
      <x:c r="AB78" s="9" t="n">
        <x:f>Model_Data!F78</x:f>
        <x:v>975.1842608890905</x:v>
      </x:c>
    </x:row>
    <x:row r="79">
      <x:c r="A79" s="9" t="n">
        <x:f>Model_Data!A79</x:f>
        <x:v>-21.5</x:v>
      </x:c>
      <x:c r="B79" s="9" t="n">
        <x:f>0</x:f>
        <x:v>0</x:v>
      </x:c>
      <x:c r="C79" s="9" t="n">
        <x:f>((SQRT((Inputs!$C$52+Inputs!$C$5)^2+Inputs!$C$52^2-2*(Inputs!$C$52+Inputs!$C$5)*Inputs!$C$52*COS(SQRT((Model_Data!A79)^2+Inputs!$C$6^2)/Inputs!$C$52))-Inputs!$C$5)*1000/Inputs!$C$12)</x:f>
        <x:v>957.1178852667437</x:v>
      </x:c>
      <x:c r="D79" s="9" t="n">
        <x:f>Model_Data!F79</x:f>
        <x:v>956.1455480243712</x:v>
      </x:c>
      <x:c r="E79" s="9" t="n">
        <x:f>Model_Data!AC79</x:f>
        <x:v>682.2050471951474</x:v>
      </x:c>
      <x:c r="F79" s="10"/>
      <x:c r="G79" s="9" t="n">
        <x:f>Model_Data!A79</x:f>
        <x:v>-21.5</x:v>
      </x:c>
      <x:c r="H79" s="9" t="n">
        <x:f>Model_Data!Y79</x:f>
        <x:v>332.44947759769417</x:v>
      </x:c>
      <x:c r="I79" s="9" t="n">
        <x:f>Model_Data!Y79</x:f>
        <x:v>332.44947759769417</x:v>
      </x:c>
      <x:c r="J79" s="9" t="n">
        <x:f>Model_Data!X79</x:f>
        <x:v>-156.9345481530768</x:v>
      </x:c>
      <x:c r="K79" s="9" t="n">
        <x:f>Model_Data!A79</x:f>
        <x:v>-21.5</x:v>
      </x:c>
      <x:c r="L79" s="9" t="n">
        <x:f>Model_Data!Y79</x:f>
        <x:v>332.44947759769417</x:v>
      </x:c>
      <x:c r="M79" s="9" t="n">
        <x:f>Model_Data!X79</x:f>
        <x:v>-156.9345481530768</x:v>
      </x:c>
      <x:c r="N79" s="9" t="n">
        <x:f>-(Model_Data!AC79-Model_Data!F79)*Inputs!$C$12</x:f>
        <x:v>487.61409147601853</x:v>
      </x:c>
      <x:c r="O79" s="10"/>
      <x:c r="P79" s="9" t="n">
        <x:f>Model_Data!A79</x:f>
        <x:v>-21.5</x:v>
      </x:c>
      <x:c r="Q79" s="9" t="n">
        <x:f>Model_Data!P79</x:f>
        <x:v>183.65195507121825</x:v>
      </x:c>
      <x:c r="R79" s="9" t="n">
        <x:f>Model_Data!AM79</x:f>
        <x:v>185.84239228039223</x:v>
      </x:c>
      <x:c r="S79" s="9" t="n">
        <x:f>Model_Data!Q79</x:f>
        <x:v>27.575368629312052</x:v>
      </x:c>
      <x:c r="T79" s="9" t="n">
        <x:f>Model_Data!AN79</x:f>
        <x:v>27.904263105164002</x:v>
      </x:c>
      <x:c r="U79" s="10"/>
      <x:c r="V79" s="9" t="n">
        <x:f>Model_Data!A79</x:f>
        <x:v>-21.5</x:v>
      </x:c>
      <x:c r="W79" s="9" t="n">
        <x:f>Model_Data!B79-Inputs!$C$5</x:f>
        <x:v>0.5136111111111177</x:v>
      </x:c>
      <x:c r="X79" s="10"/>
      <x:c r="Y79" s="9" t="n">
        <x:f>Model_Data!A79</x:f>
        <x:v>-21.5</x:v>
      </x:c>
      <x:c r="Z79" s="9" t="n">
        <x:f>0</x:f>
        <x:v>0</x:v>
      </x:c>
      <x:c r="AA79" s="9" t="n">
        <x:f>((SQRT((Inputs!$C$52+Inputs!$C$5)^2+Inputs!$C$52^2-2*(Inputs!$C$52+Inputs!$C$5)*Inputs!$C$52*COS(SQRT((Model_Data!A79)^2+Inputs!$C$6^2)/Inputs!$C$52))-Inputs!$C$5)*1000/Inputs!$C$12)</x:f>
        <x:v>957.1178852667437</x:v>
      </x:c>
      <x:c r="AB79" s="9" t="n">
        <x:f>Model_Data!F79</x:f>
        <x:v>956.1455480243712</x:v>
      </x:c>
    </x:row>
    <x:row r="80">
      <x:c r="A80" s="9" t="n">
        <x:f>Model_Data!A80</x:f>
        <x:v>-21</x:v>
      </x:c>
      <x:c r="B80" s="9" t="n">
        <x:f>0</x:f>
        <x:v>0</x:v>
      </x:c>
      <x:c r="C80" s="9" t="n">
        <x:f>((SQRT((Inputs!$C$52+Inputs!$C$5)^2+Inputs!$C$52^2-2*(Inputs!$C$52+Inputs!$C$5)*Inputs!$C$52*COS(SQRT((Model_Data!A80)^2+Inputs!$C$6^2)/Inputs!$C$52))-Inputs!$C$5)*1000/Inputs!$C$12)</x:f>
        <x:v>938.450858456998</x:v>
      </x:c>
      <x:c r="D80" s="9" t="n">
        <x:f>Model_Data!F80</x:f>
        <x:v>937.5411742925972</x:v>
      </x:c>
      <x:c r="E80" s="9" t="n">
        <x:f>Model_Data!AC80</x:f>
        <x:v>679.880330945034</x:v>
      </x:c>
      <x:c r="F80" s="10"/>
      <x:c r="G80" s="9" t="n">
        <x:f>Model_Data!A80</x:f>
        <x:v>-21</x:v>
      </x:c>
      <x:c r="H80" s="9" t="n">
        <x:f>Model_Data!Y80</x:f>
        <x:v>317.91812880175183</x:v>
      </x:c>
      <x:c r="I80" s="9" t="n">
        <x:f>Model_Data!Y80</x:f>
        <x:v>317.91812880175183</x:v>
      </x:c>
      <x:c r="J80" s="9" t="n">
        <x:f>Model_Data!X80</x:f>
        <x:v>-142.37794992196604</x:v>
      </x:c>
      <x:c r="K80" s="9" t="n">
        <x:f>Model_Data!A80</x:f>
        <x:v>-21</x:v>
      </x:c>
      <x:c r="L80" s="9" t="n">
        <x:f>Model_Data!Y80</x:f>
        <x:v>317.91812880175183</x:v>
      </x:c>
      <x:c r="M80" s="9" t="n">
        <x:f>Model_Data!X80</x:f>
        <x:v>-142.37794992196604</x:v>
      </x:c>
      <x:c r="N80" s="9" t="n">
        <x:f>-(Model_Data!AC80-Model_Data!F80)*Inputs!$C$12</x:f>
        <x:v>458.63630115866266</x:v>
      </x:c>
      <x:c r="O80" s="10"/>
      <x:c r="P80" s="9" t="n">
        <x:f>Model_Data!A80</x:f>
        <x:v>-21</x:v>
      </x:c>
      <x:c r="Q80" s="9" t="n">
        <x:f>Model_Data!P80</x:f>
        <x:v>179.3995232830639</x:v>
      </x:c>
      <x:c r="R80" s="9" t="n">
        <x:f>Model_Data!AM80</x:f>
        <x:v>196.90678698616466</x:v>
      </x:c>
      <x:c r="S80" s="9" t="n">
        <x:f>Model_Data!Q80</x:f>
        <x:v>26.936865357817403</x:v>
      </x:c>
      <x:c r="T80" s="9" t="n">
        <x:f>Model_Data!AN80</x:f>
        <x:v>29.565583631556258</x:v>
      </x:c>
      <x:c r="U80" s="10"/>
      <x:c r="V80" s="9" t="n">
        <x:f>Model_Data!A80</x:f>
        <x:v>-21</x:v>
      </x:c>
      <x:c r="W80" s="9" t="n">
        <x:f>Model_Data!B80-Inputs!$C$5</x:f>
        <x:v>0.4900000000000091</x:v>
      </x:c>
      <x:c r="X80" s="10"/>
      <x:c r="Y80" s="9" t="n">
        <x:f>Model_Data!A80</x:f>
        <x:v>-21</x:v>
      </x:c>
      <x:c r="Z80" s="9" t="n">
        <x:f>0</x:f>
        <x:v>0</x:v>
      </x:c>
      <x:c r="AA80" s="9" t="n">
        <x:f>((SQRT((Inputs!$C$52+Inputs!$C$5)^2+Inputs!$C$52^2-2*(Inputs!$C$52+Inputs!$C$5)*Inputs!$C$52*COS(SQRT((Model_Data!A80)^2+Inputs!$C$6^2)/Inputs!$C$52))-Inputs!$C$5)*1000/Inputs!$C$12)</x:f>
        <x:v>938.450858456998</x:v>
      </x:c>
      <x:c r="AB80" s="9" t="n">
        <x:f>Model_Data!F80</x:f>
        <x:v>937.5411742925972</x:v>
      </x:c>
    </x:row>
    <x:row r="81">
      <x:c r="A81" s="9" t="n">
        <x:f>Model_Data!A81</x:f>
        <x:v>-20.5</x:v>
      </x:c>
      <x:c r="B81" s="9" t="n">
        <x:f>0</x:f>
        <x:v>0</x:v>
      </x:c>
      <x:c r="C81" s="9" t="n">
        <x:f>((SQRT((Inputs!$C$52+Inputs!$C$5)^2+Inputs!$C$52^2-2*(Inputs!$C$52+Inputs!$C$5)*Inputs!$C$52*COS(SQRT((Model_Data!A81)^2+Inputs!$C$6^2)/Inputs!$C$52))-Inputs!$C$5)*1000/Inputs!$C$12)</x:f>
        <x:v>920.2215393788732</x:v>
      </x:c>
      <x:c r="D81" s="9" t="n">
        <x:f>Model_Data!F81</x:f>
        <x:v>919.3713708416556</x:v>
      </x:c>
      <x:c r="E81" s="9" t="n">
        <x:f>Model_Data!AC81</x:f>
        <x:v>648.4879729465623</x:v>
      </x:c>
      <x:c r="F81" s="10"/>
      <x:c r="G81" s="9" t="n">
        <x:f>Model_Data!A81</x:f>
        <x:v>-20.5</x:v>
      </x:c>
      <x:c r="H81" s="9" t="n">
        <x:f>Model_Data!Y81</x:f>
        <x:v>343.37986587370784</x:v>
      </x:c>
      <x:c r="I81" s="9" t="n">
        <x:f>Model_Data!Y81</x:f>
        <x:v>343.37986587370784</x:v>
      </x:c>
      <x:c r="J81" s="9" t="n">
        <x:f>Model_Data!X81</x:f>
        <x:v>-140.5508651158499</x:v>
      </x:c>
      <x:c r="K81" s="9" t="n">
        <x:f>Model_Data!A81</x:f>
        <x:v>-20.5</x:v>
      </x:c>
      <x:c r="L81" s="9" t="n">
        <x:f>Model_Data!Y81</x:f>
        <x:v>343.37986587370784</x:v>
      </x:c>
      <x:c r="M81" s="9" t="n">
        <x:f>Model_Data!X81</x:f>
        <x:v>-140.5508651158499</x:v>
      </x:c>
      <x:c r="N81" s="9" t="n">
        <x:f>-(Model_Data!AC81-Model_Data!F81)*Inputs!$C$12</x:f>
        <x:v>482.172448253266</x:v>
      </x:c>
      <x:c r="O81" s="10"/>
      <x:c r="P81" s="9" t="n">
        <x:f>Model_Data!A81</x:f>
        <x:v>-20.5</x:v>
      </x:c>
      <x:c r="Q81" s="9" t="n">
        <x:f>Model_Data!P81</x:f>
        <x:v>175.14578990121663</x:v>
      </x:c>
      <x:c r="R81" s="9" t="n">
        <x:f>Model_Data!AM81</x:f>
        <x:v>207.46841210884668</x:v>
      </x:c>
      <x:c r="S81" s="9" t="n">
        <x:f>Model_Data!Q81</x:f>
        <x:v>26.298166651834332</x:v>
      </x:c>
      <x:c r="T81" s="9" t="n">
        <x:f>Model_Data!AN81</x:f>
        <x:v>31.15141322955656</x:v>
      </x:c>
      <x:c r="U81" s="10"/>
      <x:c r="V81" s="9" t="n">
        <x:f>Model_Data!A81</x:f>
        <x:v>-20.5</x:v>
      </x:c>
      <x:c r="W81" s="9" t="n">
        <x:f>Model_Data!B81-Inputs!$C$5</x:f>
        <x:v>0.4669444444444366</x:v>
      </x:c>
      <x:c r="X81" s="10"/>
      <x:c r="Y81" s="9" t="n">
        <x:f>Model_Data!A81</x:f>
        <x:v>-20.5</x:v>
      </x:c>
      <x:c r="Z81" s="9" t="n">
        <x:f>0</x:f>
        <x:v>0</x:v>
      </x:c>
      <x:c r="AA81" s="9" t="n">
        <x:f>((SQRT((Inputs!$C$52+Inputs!$C$5)^2+Inputs!$C$52^2-2*(Inputs!$C$52+Inputs!$C$5)*Inputs!$C$52*COS(SQRT((Model_Data!A81)^2+Inputs!$C$6^2)/Inputs!$C$52))-Inputs!$C$5)*1000/Inputs!$C$12)</x:f>
        <x:v>920.2215393788732</x:v>
      </x:c>
      <x:c r="AB81" s="9" t="n">
        <x:f>Model_Data!F81</x:f>
        <x:v>919.3713708416556</x:v>
      </x:c>
    </x:row>
    <x:row r="82">
      <x:c r="A82" s="9" t="n">
        <x:f>Model_Data!A82</x:f>
        <x:v>-20</x:v>
      </x:c>
      <x:c r="B82" s="9" t="n">
        <x:f>0</x:f>
        <x:v>0</x:v>
      </x:c>
      <x:c r="C82" s="9" t="n">
        <x:f>((SQRT((Inputs!$C$52+Inputs!$C$5)^2+Inputs!$C$52^2-2*(Inputs!$C$52+Inputs!$C$5)*Inputs!$C$52*COS(SQRT((Model_Data!A82)^2+Inputs!$C$6^2)/Inputs!$C$52))-Inputs!$C$5)*1000/Inputs!$C$12)</x:f>
        <x:v>902.4300359989069</x:v>
      </x:c>
      <x:c r="D82" s="9" t="n">
        <x:f>Model_Data!F82</x:f>
        <x:v>901.6363635438846</x:v>
      </x:c>
      <x:c r="E82" s="9" t="n">
        <x:f>Model_Data!AC82</x:f>
        <x:v>630.4070309665113</x:v>
      </x:c>
      <x:c r="F82" s="10"/>
      <x:c r="G82" s="9" t="n">
        <x:f>Model_Data!A82</x:f>
        <x:v>-20</x:v>
      </x:c>
      <x:c r="H82" s="9" t="n">
        <x:f>Model_Data!Y82</x:f>
        <x:v>338.15830709992554</x:v>
      </x:c>
      <x:c r="I82" s="9" t="n">
        <x:f>Model_Data!Y82</x:f>
        <x:v>338.15830709992554</x:v>
      </x:c>
      <x:c r="J82" s="9" t="n">
        <x:f>Model_Data!X82</x:f>
        <x:v>-146.32822187126578</x:v>
      </x:c>
      <x:c r="K82" s="9" t="n">
        <x:f>Model_Data!A82</x:f>
        <x:v>-20</x:v>
      </x:c>
      <x:c r="L82" s="9" t="n">
        <x:f>Model_Data!Y82</x:f>
        <x:v>338.15830709992554</x:v>
      </x:c>
      <x:c r="M82" s="9" t="n">
        <x:f>Model_Data!X82</x:f>
        <x:v>-146.32822187126578</x:v>
      </x:c>
      <x:c r="N82" s="9" t="n">
        <x:f>-(Model_Data!AC82-Model_Data!F82)*Inputs!$C$12</x:f>
        <x:v>482.7882119877244</x:v>
      </x:c>
      <x:c r="O82" s="10"/>
      <x:c r="P82" s="9" t="n">
        <x:f>Model_Data!A82</x:f>
        <x:v>-20</x:v>
      </x:c>
      <x:c r="Q82" s="9" t="n">
        <x:f>Model_Data!P82</x:f>
        <x:v>170.89078503895507</x:v>
      </x:c>
      <x:c r="R82" s="9" t="n">
        <x:f>Model_Data!AM82</x:f>
        <x:v>203.53163798381502</x:v>
      </x:c>
      <x:c r="S82" s="9" t="n">
        <x:f>Model_Data!Q82</x:f>
        <x:v>25.65927703287614</x:v>
      </x:c>
      <x:c r="T82" s="9" t="n">
        <x:f>Model_Data!AN82</x:f>
        <x:v>30.560306003575832</x:v>
      </x:c>
      <x:c r="U82" s="10"/>
      <x:c r="V82" s="9" t="n">
        <x:f>Model_Data!A82</x:f>
        <x:v>-20</x:v>
      </x:c>
      <x:c r="W82" s="9" t="n">
        <x:f>Model_Data!B82-Inputs!$C$5</x:f>
        <x:v>0.4444444444444571</x:v>
      </x:c>
      <x:c r="X82" s="10"/>
      <x:c r="Y82" s="9" t="n">
        <x:f>Model_Data!A82</x:f>
        <x:v>-20</x:v>
      </x:c>
      <x:c r="Z82" s="9" t="n">
        <x:f>0</x:f>
        <x:v>0</x:v>
      </x:c>
      <x:c r="AA82" s="9" t="n">
        <x:f>((SQRT((Inputs!$C$52+Inputs!$C$5)^2+Inputs!$C$52^2-2*(Inputs!$C$52+Inputs!$C$5)*Inputs!$C$52*COS(SQRT((Model_Data!A82)^2+Inputs!$C$6^2)/Inputs!$C$52))-Inputs!$C$5)*1000/Inputs!$C$12)</x:f>
        <x:v>902.4300359989069</x:v>
      </x:c>
      <x:c r="AB82" s="9" t="n">
        <x:f>Model_Data!F82</x:f>
        <x:v>901.6363635438846</x:v>
      </x:c>
    </x:row>
    <x:row r="83">
      <x:c r="A83" s="9" t="n">
        <x:f>Model_Data!A83</x:f>
        <x:v>-19.5</x:v>
      </x:c>
      <x:c r="B83" s="9" t="n">
        <x:f>0</x:f>
        <x:v>0</x:v>
      </x:c>
      <x:c r="C83" s="9" t="n">
        <x:f>((SQRT((Inputs!$C$52+Inputs!$C$5)^2+Inputs!$C$52^2-2*(Inputs!$C$52+Inputs!$C$5)*Inputs!$C$52*COS(SQRT((Model_Data!A83)^2+Inputs!$C$6^2)/Inputs!$C$52))-Inputs!$C$5)*1000/Inputs!$C$12)</x:f>
        <x:v>885.0764537237027</x:v>
      </x:c>
      <x:c r="D83" s="9" t="n">
        <x:f>Model_Data!F83</x:f>
        <x:v>884.3363729737207</x:v>
      </x:c>
      <x:c r="E83" s="9" t="n">
        <x:f>Model_Data!AC83</x:f>
        <x:v>602.2743199644198</x:v>
      </x:c>
      <x:c r="F83" s="10"/>
      <x:c r="G83" s="9" t="n">
        <x:f>Model_Data!A83</x:f>
        <x:v>-19.5</x:v>
      </x:c>
      <x:c r="H83" s="9" t="n">
        <x:f>Model_Data!Y83</x:f>
        <x:v>363.81454233496186</x:v>
      </x:c>
      <x:c r="I83" s="9" t="n">
        <x:f>Model_Data!Y83</x:f>
        <x:v>363.81454233496186</x:v>
      </x:c>
      <x:c r="J83" s="9" t="n">
        <x:f>Model_Data!X83</x:f>
        <x:v>-140.0483381286437</x:v>
      </x:c>
      <x:c r="K83" s="9" t="n">
        <x:f>Model_Data!A83</x:f>
        <x:v>-19.5</x:v>
      </x:c>
      <x:c r="L83" s="9" t="n">
        <x:f>Model_Data!Y83</x:f>
        <x:v>363.81454233496186</x:v>
      </x:c>
      <x:c r="M83" s="9" t="n">
        <x:f>Model_Data!X83</x:f>
        <x:v>-140.0483381286437</x:v>
      </x:c>
      <x:c r="N83" s="9" t="n">
        <x:f>-(Model_Data!AC83-Model_Data!F83)*Inputs!$C$12</x:f>
        <x:v>502.0704543565557</x:v>
      </x:c>
      <x:c r="O83" s="10"/>
      <x:c r="P83" s="9" t="n">
        <x:f>Model_Data!A83</x:f>
        <x:v>-19.5</x:v>
      </x:c>
      <x:c r="Q83" s="9" t="n">
        <x:f>Model_Data!P83</x:f>
        <x:v>166.6345388791342</x:v>
      </x:c>
      <x:c r="R83" s="9" t="n">
        <x:f>Model_Data!AM83</x:f>
        <x:v>219.32626696361694</x:v>
      </x:c>
      <x:c r="S83" s="9" t="n">
        <x:f>Model_Data!Q83</x:f>
        <x:v>25.020201032903035</x:v>
      </x:c>
      <x:c r="T83" s="9" t="n">
        <x:f>Model_Data!AN83</x:f>
        <x:v>32.931871916459</x:v>
      </x:c>
      <x:c r="U83" s="10"/>
      <x:c r="V83" s="9" t="n">
        <x:f>Model_Data!A83</x:f>
        <x:v>-19.5</x:v>
      </x:c>
      <x:c r="W83" s="9" t="n">
        <x:f>Model_Data!B83-Inputs!$C$5</x:f>
        <x:v>0.42250000000001364</x:v>
      </x:c>
      <x:c r="X83" s="10"/>
      <x:c r="Y83" s="9" t="n">
        <x:f>Model_Data!A83</x:f>
        <x:v>-19.5</x:v>
      </x:c>
      <x:c r="Z83" s="9" t="n">
        <x:f>0</x:f>
        <x:v>0</x:v>
      </x:c>
      <x:c r="AA83" s="9" t="n">
        <x:f>((SQRT((Inputs!$C$52+Inputs!$C$5)^2+Inputs!$C$52^2-2*(Inputs!$C$52+Inputs!$C$5)*Inputs!$C$52*COS(SQRT((Model_Data!A83)^2+Inputs!$C$6^2)/Inputs!$C$52))-Inputs!$C$5)*1000/Inputs!$C$12)</x:f>
        <x:v>885.0764537237027</x:v>
      </x:c>
      <x:c r="AB83" s="9" t="n">
        <x:f>Model_Data!F83</x:f>
        <x:v>884.3363729737207</x:v>
      </x:c>
    </x:row>
    <x:row r="84">
      <x:c r="A84" s="9" t="n">
        <x:f>Model_Data!A84</x:f>
        <x:v>-19</x:v>
      </x:c>
      <x:c r="B84" s="9" t="n">
        <x:f>0</x:f>
        <x:v>0</x:v>
      </x:c>
      <x:c r="C84" s="9" t="n">
        <x:f>((SQRT((Inputs!$C$52+Inputs!$C$5)^2+Inputs!$C$52^2-2*(Inputs!$C$52+Inputs!$C$5)*Inputs!$C$52*COS(SQRT((Model_Data!A84)^2+Inputs!$C$6^2)/Inputs!$C$52))-Inputs!$C$5)*1000/Inputs!$C$12)</x:f>
        <x:v>868.1608953972801</x:v>
      </x:c>
      <x:c r="D84" s="9" t="n">
        <x:f>Model_Data!F84</x:f>
        <x:v>867.4716144056217</x:v>
      </x:c>
      <x:c r="E84" s="9" t="n">
        <x:f>Model_Data!AC84</x:f>
        <x:v>578.5526013324527</x:v>
      </x:c>
      <x:c r="F84" s="10"/>
      <x:c r="G84" s="9" t="n">
        <x:f>Model_Data!A84</x:f>
        <x:v>-19</x:v>
      </x:c>
      <x:c r="H84" s="9" t="n">
        <x:f>Model_Data!Y84</x:f>
        <x:v>371.18641988344854</x:v>
      </x:c>
      <x:c r="I84" s="9" t="n">
        <x:f>Model_Data!Y84</x:f>
        <x:v>371.18641988344854</x:v>
      </x:c>
      <x:c r="J84" s="9" t="n">
        <x:f>Model_Data!X84</x:f>
        <x:v>-144.88352309984418</x:v>
      </x:c>
      <x:c r="K84" s="9" t="n">
        <x:f>Model_Data!A84</x:f>
        <x:v>-19</x:v>
      </x:c>
      <x:c r="L84" s="9" t="n">
        <x:f>Model_Data!Y84</x:f>
        <x:v>371.18641988344854</x:v>
      </x:c>
      <x:c r="M84" s="9" t="n">
        <x:f>Model_Data!X84</x:f>
        <x:v>-144.88352309984418</x:v>
      </x:c>
      <x:c r="N84" s="9" t="n">
        <x:f>-(Model_Data!AC84-Model_Data!F84)*Inputs!$C$12</x:f>
        <x:v>514.2758432702409</x:v>
      </x:c>
      <x:c r="O84" s="10"/>
      <x:c r="P84" s="9" t="n">
        <x:f>Model_Data!A84</x:f>
        <x:v>-19</x:v>
      </x:c>
      <x:c r="Q84" s="9" t="n">
        <x:f>Model_Data!P84</x:f>
        <x:v>162.37708165526783</x:v>
      </x:c>
      <x:c r="R84" s="9" t="n">
        <x:f>Model_Data!AM84</x:f>
        <x:v>165.46845659795508</x:v>
      </x:c>
      <x:c r="S84" s="9" t="n">
        <x:f>Model_Data!Q84</x:f>
        <x:v>24.38094319148166</x:v>
      </x:c>
      <x:c r="T84" s="9" t="n">
        <x:f>Model_Data!AN84</x:f>
        <x:v>24.84511360329656</x:v>
      </x:c>
      <x:c r="U84" s="10"/>
      <x:c r="V84" s="9" t="n">
        <x:f>Model_Data!A84</x:f>
        <x:v>-19</x:v>
      </x:c>
      <x:c r="W84" s="9" t="n">
        <x:f>Model_Data!B84-Inputs!$C$5</x:f>
        <x:v>0.4011111111111063</x:v>
      </x:c>
      <x:c r="X84" s="10"/>
      <x:c r="Y84" s="9" t="n">
        <x:f>Model_Data!A84</x:f>
        <x:v>-19</x:v>
      </x:c>
      <x:c r="Z84" s="9" t="n">
        <x:f>0</x:f>
        <x:v>0</x:v>
      </x:c>
      <x:c r="AA84" s="9" t="n">
        <x:f>((SQRT((Inputs!$C$52+Inputs!$C$5)^2+Inputs!$C$52^2-2*(Inputs!$C$52+Inputs!$C$5)*Inputs!$C$52*COS(SQRT((Model_Data!A84)^2+Inputs!$C$6^2)/Inputs!$C$52))-Inputs!$C$5)*1000/Inputs!$C$12)</x:f>
        <x:v>868.1608953972801</x:v>
      </x:c>
      <x:c r="AB84" s="9" t="n">
        <x:f>Model_Data!F84</x:f>
        <x:v>867.4716144056217</x:v>
      </x:c>
    </x:row>
    <x:row r="85">
      <x:c r="A85" s="9" t="n">
        <x:f>Model_Data!A85</x:f>
        <x:v>-18.5</x:v>
      </x:c>
      <x:c r="B85" s="9" t="n">
        <x:f>0</x:f>
        <x:v>0</x:v>
      </x:c>
      <x:c r="C85" s="9" t="n">
        <x:f>((SQRT((Inputs!$C$52+Inputs!$C$5)^2+Inputs!$C$52^2-2*(Inputs!$C$52+Inputs!$C$5)*Inputs!$C$52*COS(SQRT((Model_Data!A85)^2+Inputs!$C$6^2)/Inputs!$C$52))-Inputs!$C$5)*1000/Inputs!$C$12)</x:f>
        <x:v>851.6834612977212</x:v>
      </x:c>
      <x:c r="D85" s="9" t="n">
        <x:f>Model_Data!F85</x:f>
        <x:v>851.0422977982597</x:v>
      </x:c>
      <x:c r="E85" s="9" t="n">
        <x:f>Model_Data!AC85</x:f>
        <x:v>569.7962915220157</x:v>
      </x:c>
      <x:c r="F85" s="10"/>
      <x:c r="G85" s="9" t="n">
        <x:f>Model_Data!A85</x:f>
        <x:v>-18.5</x:v>
      </x:c>
      <x:c r="H85" s="9" t="n">
        <x:f>Model_Data!Y85</x:f>
        <x:v>365.6884368087795</x:v>
      </x:c>
      <x:c r="I85" s="9" t="n">
        <x:f>Model_Data!Y85</x:f>
        <x:v>365.6884368087795</x:v>
      </x:c>
      <x:c r="J85" s="9" t="n">
        <x:f>Model_Data!X85</x:f>
        <x:v>-136.66366560462208</x:v>
      </x:c>
      <x:c r="K85" s="9" t="n">
        <x:f>Model_Data!A85</x:f>
        <x:v>-18.5</x:v>
      </x:c>
      <x:c r="L85" s="9" t="n">
        <x:f>Model_Data!Y85</x:f>
        <x:v>365.6884368087795</x:v>
      </x:c>
      <x:c r="M85" s="9" t="n">
        <x:f>Model_Data!X85</x:f>
        <x:v>-136.66366560462208</x:v>
      </x:c>
      <x:c r="N85" s="9" t="n">
        <x:f>-(Model_Data!AC85-Model_Data!F85)*Inputs!$C$12</x:f>
        <x:v>500.6178911717143</x:v>
      </x:c>
      <x:c r="O85" s="10"/>
      <x:c r="P85" s="9" t="n">
        <x:f>Model_Data!A85</x:f>
        <x:v>-18.5</x:v>
      </x:c>
      <x:c r="Q85" s="9" t="n">
        <x:f>Model_Data!P85</x:f>
        <x:v>158.1184436692638</x:v>
      </x:c>
      <x:c r="R85" s="9" t="n">
        <x:f>Model_Data!AM85</x:f>
        <x:v>191.40687485714807</x:v>
      </x:c>
      <x:c r="S85" s="9" t="n">
        <x:f>Model_Data!Q85</x:f>
        <x:v>23.74150805844802</x:v>
      </x:c>
      <x:c r="T85" s="9" t="n">
        <x:f>Model_Data!AN85</x:f>
        <x:v>28.739770999571785</x:v>
      </x:c>
      <x:c r="U85" s="10"/>
      <x:c r="V85" s="9" t="n">
        <x:f>Model_Data!A85</x:f>
        <x:v>-18.5</x:v>
      </x:c>
      <x:c r="W85" s="9" t="n">
        <x:f>Model_Data!B85-Inputs!$C$5</x:f>
        <x:v>0.3802777777777919</x:v>
      </x:c>
      <x:c r="X85" s="10"/>
      <x:c r="Y85" s="9" t="n">
        <x:f>Model_Data!A85</x:f>
        <x:v>-18.5</x:v>
      </x:c>
      <x:c r="Z85" s="9" t="n">
        <x:f>0</x:f>
        <x:v>0</x:v>
      </x:c>
      <x:c r="AA85" s="9" t="n">
        <x:f>((SQRT((Inputs!$C$52+Inputs!$C$5)^2+Inputs!$C$52^2-2*(Inputs!$C$52+Inputs!$C$5)*Inputs!$C$52*COS(SQRT((Model_Data!A85)^2+Inputs!$C$6^2)/Inputs!$C$52))-Inputs!$C$5)*1000/Inputs!$C$12)</x:f>
        <x:v>851.6834612977212</x:v>
      </x:c>
      <x:c r="AB85" s="9" t="n">
        <x:f>Model_Data!F85</x:f>
        <x:v>851.0422977982597</x:v>
      </x:c>
    </x:row>
    <x:row r="86">
      <x:c r="A86" s="9" t="n">
        <x:f>Model_Data!A86</x:f>
        <x:v>-18</x:v>
      </x:c>
      <x:c r="B86" s="9" t="n">
        <x:f>0</x:f>
        <x:v>0</x:v>
      </x:c>
      <x:c r="C86" s="9" t="n">
        <x:f>((SQRT((Inputs!$C$52+Inputs!$C$5)^2+Inputs!$C$52^2-2*(Inputs!$C$52+Inputs!$C$5)*Inputs!$C$52*COS(SQRT((Model_Data!A86)^2+Inputs!$C$6^2)/Inputs!$C$52))-Inputs!$C$5)*1000/Inputs!$C$12)</x:f>
        <x:v>835.6442491352863</x:v>
      </x:c>
      <x:c r="D86" s="9" t="n">
        <x:f>Model_Data!F86</x:f>
        <x:v>835.0486277864097</x:v>
      </x:c>
      <x:c r="E86" s="9" t="n">
        <x:f>Model_Data!AC86</x:f>
        <x:v>532.0597578781808</x:v>
      </x:c>
      <x:c r="F86" s="10"/>
      <x:c r="G86" s="9" t="n">
        <x:f>Model_Data!A86</x:f>
        <x:v>-18</x:v>
      </x:c>
      <x:c r="H86" s="9" t="n">
        <x:f>Model_Data!Y86</x:f>
        <x:v>392.0220541536099</x:v>
      </x:c>
      <x:c r="I86" s="9" t="n">
        <x:f>Model_Data!Y86</x:f>
        <x:v>392.0220541536099</x:v>
      </x:c>
      <x:c r="J86" s="9" t="n">
        <x:f>Model_Data!X86</x:f>
        <x:v>-149.12259877495586</x:v>
      </x:c>
      <x:c r="K86" s="9" t="n">
        <x:f>Model_Data!A86</x:f>
        <x:v>-18</x:v>
      </x:c>
      <x:c r="L86" s="9" t="n">
        <x:f>Model_Data!Y86</x:f>
        <x:v>392.0220541536099</x:v>
      </x:c>
      <x:c r="M86" s="9" t="n">
        <x:f>Model_Data!X86</x:f>
        <x:v>-149.12259877495586</x:v>
      </x:c>
      <x:c r="N86" s="9" t="n">
        <x:f>-(Model_Data!AC86-Model_Data!F86)*Inputs!$C$12</x:f>
        <x:v>539.3201884366475</x:v>
      </x:c>
      <x:c r="O86" s="10"/>
      <x:c r="P86" s="9" t="n">
        <x:f>Model_Data!A86</x:f>
        <x:v>-18</x:v>
      </x:c>
      <x:c r="Q86" s="9" t="n">
        <x:f>Model_Data!P86</x:f>
        <x:v>153.85865527787246</x:v>
      </x:c>
      <x:c r="R86" s="9" t="n">
        <x:f>Model_Data!AM86</x:f>
        <x:v>203.94346546299857</x:v>
      </x:c>
      <x:c r="S86" s="9" t="n">
        <x:f>Model_Data!Q86</x:f>
        <x:v>23.101900191872744</x:v>
      </x:c>
      <x:c r="T86" s="9" t="n">
        <x:f>Model_Data!AN86</x:f>
        <x:v>30.6221419614112</x:v>
      </x:c>
      <x:c r="U86" s="10"/>
      <x:c r="V86" s="9" t="n">
        <x:f>Model_Data!A86</x:f>
        <x:v>-18</x:v>
      </x:c>
      <x:c r="W86" s="9" t="n">
        <x:f>Model_Data!B86-Inputs!$C$5</x:f>
        <x:v>0.36000000000001364</x:v>
      </x:c>
      <x:c r="X86" s="10"/>
      <x:c r="Y86" s="9" t="n">
        <x:f>Model_Data!A86</x:f>
        <x:v>-18</x:v>
      </x:c>
      <x:c r="Z86" s="9" t="n">
        <x:f>0</x:f>
        <x:v>0</x:v>
      </x:c>
      <x:c r="AA86" s="9" t="n">
        <x:f>((SQRT((Inputs!$C$52+Inputs!$C$5)^2+Inputs!$C$52^2-2*(Inputs!$C$52+Inputs!$C$5)*Inputs!$C$52*COS(SQRT((Model_Data!A86)^2+Inputs!$C$6^2)/Inputs!$C$52))-Inputs!$C$5)*1000/Inputs!$C$12)</x:f>
        <x:v>835.6442491352863</x:v>
      </x:c>
      <x:c r="AB86" s="9" t="n">
        <x:f>Model_Data!F86</x:f>
        <x:v>835.0486277864097</x:v>
      </x:c>
    </x:row>
    <x:row r="87">
      <x:c r="A87" s="9" t="n">
        <x:f>Model_Data!A87</x:f>
        <x:v>-17.5</x:v>
      </x:c>
      <x:c r="B87" s="9" t="n">
        <x:f>0</x:f>
        <x:v>0</x:v>
      </x:c>
      <x:c r="C87" s="9" t="n">
        <x:f>((SQRT((Inputs!$C$52+Inputs!$C$5)^2+Inputs!$C$52^2-2*(Inputs!$C$52+Inputs!$C$5)*Inputs!$C$52*COS(SQRT((Model_Data!A87)^2+Inputs!$C$6^2)/Inputs!$C$52))-Inputs!$C$5)*1000/Inputs!$C$12)</x:f>
        <x:v>820.0433540484541</x:v>
      </x:c>
      <x:c r="D87" s="9" t="n">
        <x:f>Model_Data!F87</x:f>
        <x:v>819.4908036698047</x:v>
      </x:c>
      <x:c r="E87" s="9" t="n">
        <x:f>Model_Data!AC87</x:f>
        <x:v>519.3052068102525</x:v>
      </x:c>
      <x:c r="F87" s="10"/>
      <x:c r="G87" s="9" t="n">
        <x:f>Model_Data!A87</x:f>
        <x:v>-17.5</x:v>
      </x:c>
      <x:c r="H87" s="9" t="n">
        <x:f>Model_Data!Y87</x:f>
        <x:v>397.07097057156574</x:v>
      </x:c>
      <x:c r="I87" s="9" t="n">
        <x:f>Model_Data!Y87</x:f>
        <x:v>397.07097057156574</x:v>
      </x:c>
      <x:c r="J87" s="9" t="n">
        <x:f>Model_Data!X87</x:f>
        <x:v>-139.0731304771746</x:v>
      </x:c>
      <x:c r="K87" s="9" t="n">
        <x:f>Model_Data!A87</x:f>
        <x:v>-17.5</x:v>
      </x:c>
      <x:c r="L87" s="9" t="n">
        <x:f>Model_Data!Y87</x:f>
        <x:v>397.07097057156574</x:v>
      </x:c>
      <x:c r="M87" s="9" t="n">
        <x:f>Model_Data!X87</x:f>
        <x:v>-139.0731304771746</x:v>
      </x:c>
      <x:c r="N87" s="9" t="n">
        <x:f>-(Model_Data!AC87-Model_Data!F87)*Inputs!$C$12</x:f>
        <x:v>534.330362410003</x:v>
      </x:c>
      <x:c r="O87" s="10"/>
      <x:c r="P87" s="9" t="n">
        <x:f>Model_Data!A87</x:f>
        <x:v>-17.5</x:v>
      </x:c>
      <x:c r="Q87" s="9" t="n">
        <x:f>Model_Data!P87</x:f>
        <x:v>149.59774689641563</x:v>
      </x:c>
      <x:c r="R87" s="9" t="n">
        <x:f>Model_Data!AM87</x:f>
        <x:v>132.74258327064672</x:v>
      </x:c>
      <x:c r="S87" s="9" t="n">
        <x:f>Model_Data!Q87</x:f>
        <x:v>22.462124158620966</x:v>
      </x:c>
      <x:c r="T87" s="9" t="n">
        <x:f>Model_Data!AN87</x:f>
        <x:v>19.931318809406417</x:v>
      </x:c>
      <x:c r="U87" s="10"/>
      <x:c r="V87" s="9" t="n">
        <x:f>Model_Data!A87</x:f>
        <x:v>-17.5</x:v>
      </x:c>
      <x:c r="W87" s="9" t="n">
        <x:f>Model_Data!B87-Inputs!$C$5</x:f>
        <x:v>0.34027777777777146</x:v>
      </x:c>
      <x:c r="X87" s="10"/>
      <x:c r="Y87" s="9" t="n">
        <x:f>Model_Data!A87</x:f>
        <x:v>-17.5</x:v>
      </x:c>
      <x:c r="Z87" s="9" t="n">
        <x:f>0</x:f>
        <x:v>0</x:v>
      </x:c>
      <x:c r="AA87" s="9" t="n">
        <x:f>((SQRT((Inputs!$C$52+Inputs!$C$5)^2+Inputs!$C$52^2-2*(Inputs!$C$52+Inputs!$C$5)*Inputs!$C$52*COS(SQRT((Model_Data!A87)^2+Inputs!$C$6^2)/Inputs!$C$52))-Inputs!$C$5)*1000/Inputs!$C$12)</x:f>
        <x:v>820.0433540484541</x:v>
      </x:c>
      <x:c r="AB87" s="9" t="n">
        <x:f>Model_Data!F87</x:f>
        <x:v>819.4908036698047</x:v>
      </x:c>
    </x:row>
    <x:row r="88">
      <x:c r="A88" s="9" t="n">
        <x:f>Model_Data!A88</x:f>
        <x:v>-17</x:v>
      </x:c>
      <x:c r="B88" s="9" t="n">
        <x:f>0</x:f>
        <x:v>0</x:v>
      </x:c>
      <x:c r="C88" s="9" t="n">
        <x:f>((SQRT((Inputs!$C$52+Inputs!$C$5)^2+Inputs!$C$52^2-2*(Inputs!$C$52+Inputs!$C$5)*Inputs!$C$52*COS(SQRT((Model_Data!A88)^2+Inputs!$C$6^2)/Inputs!$C$52))-Inputs!$C$5)*1000/Inputs!$C$12)</x:f>
        <x:v>804.8808686017826</x:v>
      </x:c>
      <x:c r="D88" s="9" t="n">
        <x:f>Model_Data!F88</x:f>
        <x:v>804.3690194036186</x:v>
      </x:c>
      <x:c r="E88" s="9" t="n">
        <x:f>Model_Data!AC88</x:f>
        <x:v>520.4522433395757</x:v>
      </x:c>
      <x:c r="F88" s="10"/>
      <x:c r="G88" s="9" t="n">
        <x:f>Model_Data!A88</x:f>
        <x:v>-17</x:v>
      </x:c>
      <x:c r="H88" s="9" t="n">
        <x:f>Model_Data!Y88</x:f>
        <x:v>381.37310246850825</x:v>
      </x:c>
      <x:c r="I88" s="9" t="n">
        <x:f>Model_Data!Y88</x:f>
        <x:v>381.37310246850825</x:v>
      </x:c>
      <x:c r="J88" s="9" t="n">
        <x:f>Model_Data!X88</x:f>
        <x:v>-125.70874899839603</x:v>
      </x:c>
      <x:c r="K88" s="9" t="n">
        <x:f>Model_Data!A88</x:f>
        <x:v>-17</x:v>
      </x:c>
      <x:c r="L88" s="9" t="n">
        <x:f>Model_Data!Y88</x:f>
        <x:v>381.37310246850825</x:v>
      </x:c>
      <x:c r="M88" s="9" t="n">
        <x:f>Model_Data!X88</x:f>
        <x:v>-125.70874899839603</x:v>
      </x:c>
      <x:c r="N88" s="9" t="n">
        <x:f>-(Model_Data!AC88-Model_Data!F88)*Inputs!$C$12</x:f>
        <x:v>505.37186139399637</x:v>
      </x:c>
      <x:c r="O88" s="10"/>
      <x:c r="P88" s="9" t="n">
        <x:f>Model_Data!A88</x:f>
        <x:v>-17</x:v>
      </x:c>
      <x:c r="Q88" s="9" t="n">
        <x:f>Model_Data!P88</x:f>
        <x:v>145.33574898605366</x:v>
      </x:c>
      <x:c r="R88" s="9" t="n">
        <x:f>Model_Data!AM88</x:f>
        <x:v>129.62617697667156</x:v>
      </x:c>
      <x:c r="S88" s="9" t="n">
        <x:f>Model_Data!Q88</x:f>
        <x:v>21.82218453244049</x:v>
      </x:c>
      <x:c r="T88" s="9" t="n">
        <x:f>Model_Data!AN88</x:f>
        <x:v>19.463389936437174</x:v>
      </x:c>
      <x:c r="U88" s="10"/>
      <x:c r="V88" s="9" t="n">
        <x:f>Model_Data!A88</x:f>
        <x:v>-17</x:v>
      </x:c>
      <x:c r="W88" s="9" t="n">
        <x:f>Model_Data!B88-Inputs!$C$5</x:f>
        <x:v>0.3211111111111222</x:v>
      </x:c>
      <x:c r="X88" s="10"/>
      <x:c r="Y88" s="9" t="n">
        <x:f>Model_Data!A88</x:f>
        <x:v>-17</x:v>
      </x:c>
      <x:c r="Z88" s="9" t="n">
        <x:f>0</x:f>
        <x:v>0</x:v>
      </x:c>
      <x:c r="AA88" s="9" t="n">
        <x:f>((SQRT((Inputs!$C$52+Inputs!$C$5)^2+Inputs!$C$52^2-2*(Inputs!$C$52+Inputs!$C$5)*Inputs!$C$52*COS(SQRT((Model_Data!A88)^2+Inputs!$C$6^2)/Inputs!$C$52))-Inputs!$C$5)*1000/Inputs!$C$12)</x:f>
        <x:v>804.8808686017826</x:v>
      </x:c>
      <x:c r="AB88" s="9" t="n">
        <x:f>Model_Data!F88</x:f>
        <x:v>804.3690194036186</x:v>
      </x:c>
    </x:row>
    <x:row r="89">
      <x:c r="A89" s="9" t="n">
        <x:f>Model_Data!A89</x:f>
        <x:v>-16.5</x:v>
      </x:c>
      <x:c r="B89" s="9" t="n">
        <x:f>0</x:f>
        <x:v>0</x:v>
      </x:c>
      <x:c r="C89" s="9" t="n">
        <x:f>((SQRT((Inputs!$C$52+Inputs!$C$5)^2+Inputs!$C$52^2-2*(Inputs!$C$52+Inputs!$C$5)*Inputs!$C$52*COS(SQRT((Model_Data!A89)^2+Inputs!$C$6^2)/Inputs!$C$52))-Inputs!$C$5)*1000/Inputs!$C$12)</x:f>
        <x:v>790.1568827831939</x:v>
      </x:c>
      <x:c r="D89" s="9" t="n">
        <x:f>Model_Data!F89</x:f>
        <x:v>789.6834635919838</x:v>
      </x:c>
      <x:c r="E89" s="9" t="n">
        <x:f>Model_Data!AC89</x:f>
        <x:v>503.5557315698924</x:v>
      </x:c>
      <x:c r="F89" s="10"/>
      <x:c r="G89" s="9" t="n">
        <x:f>Model_Data!A89</x:f>
        <x:v>-16.5</x:v>
      </x:c>
      <x:c r="H89" s="9" t="n">
        <x:f>Model_Data!Y89</x:f>
        <x:v>387.1431058674635</x:v>
      </x:c>
      <x:c r="I89" s="9" t="n">
        <x:f>Model_Data!Y89</x:f>
        <x:v>387.1431058674635</x:v>
      </x:c>
      <x:c r="J89" s="9" t="n">
        <x:f>Model_Data!X89</x:f>
        <x:v>-123.86861357235706</x:v>
      </x:c>
      <x:c r="K89" s="9" t="n">
        <x:f>Model_Data!A89</x:f>
        <x:v>-16.5</x:v>
      </x:c>
      <x:c r="L89" s="9" t="n">
        <x:f>Model_Data!Y89</x:f>
        <x:v>387.1431058674635</x:v>
      </x:c>
      <x:c r="M89" s="9" t="n">
        <x:f>Model_Data!X89</x:f>
        <x:v>-123.86861357235706</x:v>
      </x:c>
      <x:c r="N89" s="9" t="n">
        <x:f>-(Model_Data!AC89-Model_Data!F89)*Inputs!$C$12</x:f>
        <x:v>509.3073629993228</x:v>
      </x:c>
      <x:c r="O89" s="10"/>
      <x:c r="P89" s="9" t="n">
        <x:f>Model_Data!A89</x:f>
        <x:v>-16.5</x:v>
      </x:c>
      <x:c r="Q89" s="9" t="n">
        <x:f>Model_Data!P89</x:f>
        <x:v>141.07269207324862</x:v>
      </x:c>
      <x:c r="R89" s="9" t="n">
        <x:f>Model_Data!AM89</x:f>
        <x:v>192.02559108462083</x:v>
      </x:c>
      <x:c r="S89" s="9" t="n">
        <x:f>Model_Data!Q89</x:f>
        <x:v>21.18208589688418</x:v>
      </x:c>
      <x:c r="T89" s="9" t="n">
        <x:f>Model_Data!AN89</x:f>
        <x:v>28.832671334027154</x:v>
      </x:c>
      <x:c r="U89" s="10"/>
      <x:c r="V89" s="9" t="n">
        <x:f>Model_Data!A89</x:f>
        <x:v>-16.5</x:v>
      </x:c>
      <x:c r="W89" s="9" t="n">
        <x:f>Model_Data!B89-Inputs!$C$5</x:f>
        <x:v>0.3025000000000091</x:v>
      </x:c>
      <x:c r="X89" s="10"/>
      <x:c r="Y89" s="9" t="n">
        <x:f>Model_Data!A89</x:f>
        <x:v>-16.5</x:v>
      </x:c>
      <x:c r="Z89" s="9" t="n">
        <x:f>0</x:f>
        <x:v>0</x:v>
      </x:c>
      <x:c r="AA89" s="9" t="n">
        <x:f>((SQRT((Inputs!$C$52+Inputs!$C$5)^2+Inputs!$C$52^2-2*(Inputs!$C$52+Inputs!$C$5)*Inputs!$C$52*COS(SQRT((Model_Data!A89)^2+Inputs!$C$6^2)/Inputs!$C$52))-Inputs!$C$5)*1000/Inputs!$C$12)</x:f>
        <x:v>790.1568827831939</x:v>
      </x:c>
      <x:c r="AB89" s="9" t="n">
        <x:f>Model_Data!F89</x:f>
        <x:v>789.6834635919838</x:v>
      </x:c>
    </x:row>
    <x:row r="90">
      <x:c r="A90" s="9" t="n">
        <x:f>Model_Data!A90</x:f>
        <x:v>-16</x:v>
      </x:c>
      <x:c r="B90" s="9" t="n">
        <x:f>0</x:f>
        <x:v>0</x:v>
      </x:c>
      <x:c r="C90" s="9" t="n">
        <x:f>((SQRT((Inputs!$C$52+Inputs!$C$5)^2+Inputs!$C$52^2-2*(Inputs!$C$52+Inputs!$C$5)*Inputs!$C$52*COS(SQRT((Model_Data!A90)^2+Inputs!$C$6^2)/Inputs!$C$52))-Inputs!$C$5)*1000/Inputs!$C$12)</x:f>
        <x:v>775.8714840006216</x:v>
      </x:c>
      <x:c r="D90" s="9" t="n">
        <x:f>Model_Data!F90</x:f>
        <x:v>775.4343194715455</x:v>
      </x:c>
      <x:c r="E90" s="9" t="n">
        <x:f>Model_Data!AC90</x:f>
        <x:v>489.48541596475576</x:v>
      </x:c>
      <x:c r="F90" s="10"/>
      <x:c r="G90" s="9" t="n">
        <x:f>Model_Data!A90</x:f>
        <x:v>-16</x:v>
      </x:c>
      <x:c r="H90" s="9" t="n">
        <x:f>Model_Data!Y90</x:f>
        <x:v>413.2956148642764</x:v>
      </x:c>
      <x:c r="I90" s="9" t="n">
        <x:f>Model_Data!Y90</x:f>
        <x:v>413.2956148642764</x:v>
      </x:c>
      <x:c r="J90" s="9" t="n">
        <x:f>Model_Data!X90</x:f>
        <x:v>-97.48037396441562</x:v>
      </x:c>
      <x:c r="K90" s="9" t="n">
        <x:f>Model_Data!A90</x:f>
        <x:v>-16</x:v>
      </x:c>
      <x:c r="L90" s="9" t="n">
        <x:f>Model_Data!Y90</x:f>
        <x:v>413.2956148642764</x:v>
      </x:c>
      <x:c r="M90" s="9" t="n">
        <x:f>Model_Data!X90</x:f>
        <x:v>-97.48037396441562</x:v>
      </x:c>
      <x:c r="N90" s="9" t="n">
        <x:f>-(Model_Data!AC90-Model_Data!F90)*Inputs!$C$12</x:f>
        <x:v>508.98904824208563</x:v>
      </x:c>
      <x:c r="O90" s="10"/>
      <x:c r="P90" s="9" t="n">
        <x:f>Model_Data!A90</x:f>
        <x:v>-16</x:v>
      </x:c>
      <x:c r="Q90" s="9" t="n">
        <x:f>Model_Data!P90</x:f>
        <x:v>136.80860673657662</x:v>
      </x:c>
      <x:c r="R90" s="9" t="n">
        <x:f>Model_Data!AM90</x:f>
        <x:v>165.6403437944391</x:v>
      </x:c>
      <x:c r="S90" s="9" t="n">
        <x:f>Model_Data!Q90</x:f>
        <x:v>20.541832843329825</x:v>
      </x:c>
      <x:c r="T90" s="9" t="n">
        <x:f>Model_Data!AN90</x:f>
        <x:v>24.870922491657524</x:v>
      </x:c>
      <x:c r="U90" s="10"/>
      <x:c r="V90" s="9" t="n">
        <x:f>Model_Data!A90</x:f>
        <x:v>-16</x:v>
      </x:c>
      <x:c r="W90" s="9" t="n">
        <x:f>Model_Data!B90-Inputs!$C$5</x:f>
        <x:v>0.28444444444443207</x:v>
      </x:c>
      <x:c r="X90" s="10"/>
      <x:c r="Y90" s="9" t="n">
        <x:f>Model_Data!A90</x:f>
        <x:v>-16</x:v>
      </x:c>
      <x:c r="Z90" s="9" t="n">
        <x:f>0</x:f>
        <x:v>0</x:v>
      </x:c>
      <x:c r="AA90" s="9" t="n">
        <x:f>((SQRT((Inputs!$C$52+Inputs!$C$5)^2+Inputs!$C$52^2-2*(Inputs!$C$52+Inputs!$C$5)*Inputs!$C$52*COS(SQRT((Model_Data!A90)^2+Inputs!$C$6^2)/Inputs!$C$52))-Inputs!$C$5)*1000/Inputs!$C$12)</x:f>
        <x:v>775.8714840006216</x:v>
      </x:c>
      <x:c r="AB90" s="9" t="n">
        <x:f>Model_Data!F90</x:f>
        <x:v>775.4343194715455</x:v>
      </x:c>
    </x:row>
    <x:row r="91">
      <x:c r="A91" s="9" t="n">
        <x:f>Model_Data!A91</x:f>
        <x:v>-15.5</x:v>
      </x:c>
      <x:c r="B91" s="9" t="n">
        <x:f>0</x:f>
        <x:v>0</x:v>
      </x:c>
      <x:c r="C91" s="9" t="n">
        <x:f>((SQRT((Inputs!$C$52+Inputs!$C$5)^2+Inputs!$C$52^2-2*(Inputs!$C$52+Inputs!$C$5)*Inputs!$C$52*COS(SQRT((Model_Data!A91)^2+Inputs!$C$6^2)/Inputs!$C$52))-Inputs!$C$5)*1000/Inputs!$C$12)</x:f>
        <x:v>762.0247570816274</x:v>
      </x:c>
      <x:c r="D91" s="9" t="n">
        <x:f>Model_Data!F91</x:f>
        <x:v>761.6217649095123</x:v>
      </x:c>
      <x:c r="E91" s="9" t="n">
        <x:f>Model_Data!AC91</x:f>
        <x:v>473.54552063489956</x:v>
      </x:c>
      <x:c r="F91" s="10"/>
      <x:c r="G91" s="9" t="n">
        <x:f>Model_Data!A91</x:f>
        <x:v>-15.5</x:v>
      </x:c>
      <x:c r="H91" s="9" t="n">
        <x:f>Model_Data!Y91</x:f>
        <x:v>405.1793484681727</x:v>
      </x:c>
      <x:c r="I91" s="9" t="n">
        <x:f>Model_Data!Y91</x:f>
        <x:v>405.1793484681727</x:v>
      </x:c>
      <x:c r="J91" s="9" t="n">
        <x:f>Model_Data!X91</x:f>
        <x:v>-109.31712972071381</x:v>
      </x:c>
      <x:c r="K91" s="9" t="n">
        <x:f>Model_Data!A91</x:f>
        <x:v>-15.5</x:v>
      </x:c>
      <x:c r="L91" s="9" t="n">
        <x:f>Model_Data!Y91</x:f>
        <x:v>405.1793484681727</x:v>
      </x:c>
      <x:c r="M91" s="9" t="n">
        <x:f>Model_Data!X91</x:f>
        <x:v>-109.31712972071381</x:v>
      </x:c>
      <x:c r="N91" s="9" t="n">
        <x:f>-(Model_Data!AC91-Model_Data!F91)*Inputs!$C$12</x:f>
        <x:v>512.7757148088107</x:v>
      </x:c>
      <x:c r="O91" s="10"/>
      <x:c r="P91" s="9" t="n">
        <x:f>Model_Data!A91</x:f>
        <x:v>-15.5</x:v>
      </x:c>
      <x:c r="Q91" s="9" t="n">
        <x:f>Model_Data!P91</x:f>
        <x:v>132.5435235945406</x:v>
      </x:c>
      <x:c r="R91" s="9" t="n">
        <x:f>Model_Data!AM91</x:f>
        <x:v>137.95639615773325</x:v>
      </x:c>
      <x:c r="S91" s="9" t="n">
        <x:f>Model_Data!Q91</x:f>
        <x:v>19.901429969150243</x:v>
      </x:c>
      <x:c r="T91" s="9" t="n">
        <x:f>Model_Data!AN91</x:f>
        <x:v>20.714173597257247</x:v>
      </x:c>
      <x:c r="U91" s="10"/>
      <x:c r="V91" s="9" t="n">
        <x:f>Model_Data!A91</x:f>
        <x:v>-15.5</x:v>
      </x:c>
      <x:c r="W91" s="9" t="n">
        <x:f>Model_Data!B91-Inputs!$C$5</x:f>
        <x:v>0.266944444444448</x:v>
      </x:c>
      <x:c r="X91" s="10"/>
      <x:c r="Y91" s="9" t="n">
        <x:f>Model_Data!A91</x:f>
        <x:v>-15.5</x:v>
      </x:c>
      <x:c r="Z91" s="9" t="n">
        <x:f>0</x:f>
        <x:v>0</x:v>
      </x:c>
      <x:c r="AA91" s="9" t="n">
        <x:f>((SQRT((Inputs!$C$52+Inputs!$C$5)^2+Inputs!$C$52^2-2*(Inputs!$C$52+Inputs!$C$5)*Inputs!$C$52*COS(SQRT((Model_Data!A91)^2+Inputs!$C$6^2)/Inputs!$C$52))-Inputs!$C$5)*1000/Inputs!$C$12)</x:f>
        <x:v>762.0247570816274</x:v>
      </x:c>
      <x:c r="AB91" s="9" t="n">
        <x:f>Model_Data!F91</x:f>
        <x:v>761.6217649095123</x:v>
      </x:c>
    </x:row>
    <x:row r="92">
      <x:c r="A92" s="9" t="n">
        <x:f>Model_Data!A92</x:f>
        <x:v>-15</x:v>
      </x:c>
      <x:c r="B92" s="9" t="n">
        <x:f>0</x:f>
        <x:v>0</x:v>
      </x:c>
      <x:c r="C92" s="9" t="n">
        <x:f>((SQRT((Inputs!$C$52+Inputs!$C$5)^2+Inputs!$C$52^2-2*(Inputs!$C$52+Inputs!$C$5)*Inputs!$C$52*COS(SQRT((Model_Data!A92)^2+Inputs!$C$6^2)/Inputs!$C$52))-Inputs!$C$5)*1000/Inputs!$C$12)</x:f>
        <x:v>748.6167842668547</x:v>
      </x:c>
      <x:c r="D92" s="9" t="n">
        <x:f>Model_Data!F92</x:f>
        <x:v>748.2459723916826</x:v>
      </x:c>
      <x:c r="E92" s="9" t="n">
        <x:f>Model_Data!AC92</x:f>
        <x:v>464.32067539217184</x:v>
      </x:c>
      <x:c r="F92" s="10"/>
      <x:c r="G92" s="9" t="n">
        <x:f>Model_Data!A92</x:f>
        <x:v>-15</x:v>
      </x:c>
      <x:c r="H92" s="9" t="n">
        <x:f>Model_Data!Y92</x:f>
        <x:v>416.63024006091615</x:v>
      </x:c>
      <x:c r="I92" s="9" t="n">
        <x:f>Model_Data!Y92</x:f>
        <x:v>416.63024006091615</x:v>
      </x:c>
      <x:c r="J92" s="9" t="n">
        <x:f>Model_Data!X92</x:f>
        <x:v>-90.49530902944495</x:v>
      </x:c>
      <x:c r="K92" s="9" t="n">
        <x:f>Model_Data!A92</x:f>
        <x:v>-15</x:v>
      </x:c>
      <x:c r="L92" s="9" t="n">
        <x:f>Model_Data!Y92</x:f>
        <x:v>416.63024006091615</x:v>
      </x:c>
      <x:c r="M92" s="9" t="n">
        <x:f>Model_Data!X92</x:f>
        <x:v>-90.49530902944495</x:v>
      </x:c>
      <x:c r="N92" s="9" t="n">
        <x:f>-(Model_Data!AC92-Model_Data!F92)*Inputs!$C$12</x:f>
        <x:v>505.38702865912916</x:v>
      </x:c>
      <x:c r="O92" s="10"/>
      <x:c r="P92" s="9" t="n">
        <x:f>Model_Data!A92</x:f>
        <x:v>-15</x:v>
      </x:c>
      <x:c r="Q92" s="9" t="n">
        <x:f>Model_Data!P92</x:f>
        <x:v>128.2774733243059</x:v>
      </x:c>
      <x:c r="R92" s="9" t="n">
        <x:f>Model_Data!AM92</x:f>
        <x:v>160.4549174724525</x:v>
      </x:c>
      <x:c r="S92" s="9" t="n">
        <x:f>Model_Data!Q92</x:f>
        <x:v>19.260881880526412</x:v>
      </x:c>
      <x:c r="T92" s="9" t="n">
        <x:f>Model_Data!AN92</x:f>
        <x:v>24.092329950818698</x:v>
      </x:c>
      <x:c r="U92" s="10"/>
      <x:c r="V92" s="9" t="n">
        <x:f>Model_Data!A92</x:f>
        <x:v>-15</x:v>
      </x:c>
      <x:c r="W92" s="9" t="n">
        <x:f>Model_Data!B92-Inputs!$C$5</x:f>
        <x:v>0.25</x:v>
      </x:c>
      <x:c r="X92" s="10"/>
      <x:c r="Y92" s="9" t="n">
        <x:f>Model_Data!A92</x:f>
        <x:v>-15</x:v>
      </x:c>
      <x:c r="Z92" s="9" t="n">
        <x:f>0</x:f>
        <x:v>0</x:v>
      </x:c>
      <x:c r="AA92" s="9" t="n">
        <x:f>((SQRT((Inputs!$C$52+Inputs!$C$5)^2+Inputs!$C$52^2-2*(Inputs!$C$52+Inputs!$C$5)*Inputs!$C$52*COS(SQRT((Model_Data!A92)^2+Inputs!$C$6^2)/Inputs!$C$52))-Inputs!$C$5)*1000/Inputs!$C$12)</x:f>
        <x:v>748.6167842668547</x:v>
      </x:c>
      <x:c r="AB92" s="9" t="n">
        <x:f>Model_Data!F92</x:f>
        <x:v>748.2459723916826</x:v>
      </x:c>
    </x:row>
    <x:row r="93">
      <x:c r="A93" s="9" t="n">
        <x:f>Model_Data!A93</x:f>
        <x:v>-14.5</x:v>
      </x:c>
      <x:c r="B93" s="9" t="n">
        <x:f>0</x:f>
        <x:v>0</x:v>
      </x:c>
      <x:c r="C93" s="9" t="n">
        <x:f>((SQRT((Inputs!$C$52+Inputs!$C$5)^2+Inputs!$C$52^2-2*(Inputs!$C$52+Inputs!$C$5)*Inputs!$C$52*COS(SQRT((Model_Data!A93)^2+Inputs!$C$6^2)/Inputs!$C$52))-Inputs!$C$5)*1000/Inputs!$C$12)</x:f>
        <x:v>735.6476452129021</x:v>
      </x:c>
      <x:c r="D93" s="9" t="n">
        <x:f>Model_Data!F93</x:f>
        <x:v>735.3071090138205</x:v>
      </x:c>
      <x:c r="E93" s="9" t="n">
        <x:f>Model_Data!AC93</x:f>
        <x:v>448.6655514253325</x:v>
      </x:c>
      <x:c r="F93" s="10"/>
      <x:c r="G93" s="9" t="n">
        <x:f>Model_Data!A93</x:f>
        <x:v>-14.5</x:v>
      </x:c>
      <x:c r="H93" s="9" t="n">
        <x:f>Model_Data!Y93</x:f>
        <x:v>425.31373753688456</x:v>
      </x:c>
      <x:c r="I93" s="9" t="n">
        <x:f>Model_Data!Y93</x:f>
        <x:v>425.31373753688456</x:v>
      </x:c>
      <x:c r="J93" s="9" t="n">
        <x:f>Model_Data!X93</x:f>
        <x:v>-86.65248482679937</x:v>
      </x:c>
      <x:c r="K93" s="9" t="n">
        <x:f>Model_Data!A93</x:f>
        <x:v>-14.5</x:v>
      </x:c>
      <x:c r="L93" s="9" t="n">
        <x:f>Model_Data!Y93</x:f>
        <x:v>425.31373753688456</x:v>
      </x:c>
      <x:c r="M93" s="9" t="n">
        <x:f>Model_Data!X93</x:f>
        <x:v>-86.65248482679937</x:v>
      </x:c>
      <x:c r="N93" s="9" t="n">
        <x:f>-(Model_Data!AC93-Model_Data!F93)*Inputs!$C$12</x:f>
        <x:v>510.22197250750867</x:v>
      </x:c>
      <x:c r="O93" s="10"/>
      <x:c r="P93" s="9" t="n">
        <x:f>Model_Data!A93</x:f>
        <x:v>-14.5</x:v>
      </x:c>
      <x:c r="Q93" s="9" t="n">
        <x:f>Model_Data!P93</x:f>
        <x:v>124.0104866564252</x:v>
      </x:c>
      <x:c r="R93" s="9" t="n">
        <x:f>Model_Data!AM93</x:f>
        <x:v>131.00044031953075</x:v>
      </x:c>
      <x:c r="S93" s="9" t="n">
        <x:f>Model_Data!Q93</x:f>
        <x:v>18.62019319165544</x:v>
      </x:c>
      <x:c r="T93" s="9" t="n">
        <x:f>Model_Data!AN93</x:f>
        <x:v>19.669735783713328</x:v>
      </x:c>
      <x:c r="U93" s="10"/>
      <x:c r="V93" s="9" t="n">
        <x:f>Model_Data!A93</x:f>
        <x:v>-14.5</x:v>
      </x:c>
      <x:c r="W93" s="9" t="n">
        <x:f>Model_Data!B93-Inputs!$C$5</x:f>
        <x:v>0.23361111111108812</x:v>
      </x:c>
      <x:c r="X93" s="10"/>
      <x:c r="Y93" s="9" t="n">
        <x:f>Model_Data!A93</x:f>
        <x:v>-14.5</x:v>
      </x:c>
      <x:c r="Z93" s="9" t="n">
        <x:f>0</x:f>
        <x:v>0</x:v>
      </x:c>
      <x:c r="AA93" s="9" t="n">
        <x:f>((SQRT((Inputs!$C$52+Inputs!$C$5)^2+Inputs!$C$52^2-2*(Inputs!$C$52+Inputs!$C$5)*Inputs!$C$52*COS(SQRT((Model_Data!A93)^2+Inputs!$C$6^2)/Inputs!$C$52))-Inputs!$C$5)*1000/Inputs!$C$12)</x:f>
        <x:v>735.6476452129021</x:v>
      </x:c>
      <x:c r="AB93" s="9" t="n">
        <x:f>Model_Data!F93</x:f>
        <x:v>735.3071090138205</x:v>
      </x:c>
    </x:row>
    <x:row r="94">
      <x:c r="A94" s="9" t="n">
        <x:f>Model_Data!A94</x:f>
        <x:v>-14</x:v>
      </x:c>
      <x:c r="B94" s="9" t="n">
        <x:f>0</x:f>
        <x:v>0</x:v>
      </x:c>
      <x:c r="C94" s="9" t="n">
        <x:f>((SQRT((Inputs!$C$52+Inputs!$C$5)^2+Inputs!$C$52^2-2*(Inputs!$C$52+Inputs!$C$5)*Inputs!$C$52*COS(SQRT((Model_Data!A94)^2+Inputs!$C$6^2)/Inputs!$C$52))-Inputs!$C$5)*1000/Inputs!$C$12)</x:f>
        <x:v>723.1174169847241</x:v>
      </x:c>
      <x:c r="D94" s="9" t="n">
        <x:f>Model_Data!F94</x:f>
        <x:v>722.8053364714383</x:v>
      </x:c>
      <x:c r="E94" s="9" t="n">
        <x:f>Model_Data!AC94</x:f>
        <x:v>439.86914925204763</x:v>
      </x:c>
      <x:c r="F94" s="10"/>
      <x:c r="G94" s="9" t="n">
        <x:f>Model_Data!A94</x:f>
        <x:v>-14</x:v>
      </x:c>
      <x:c r="H94" s="9" t="n">
        <x:f>Model_Data!Y94</x:f>
        <x:v>420.9575928892744</x:v>
      </x:c>
      <x:c r="I94" s="9" t="n">
        <x:f>Model_Data!Y94</x:f>
        <x:v>420.9575928892744</x:v>
      </x:c>
      <x:c r="J94" s="9" t="n">
        <x:f>Model_Data!X94</x:f>
        <x:v>-84.36597258140502</x:v>
      </x:c>
      <x:c r="K94" s="9" t="n">
        <x:f>Model_Data!A94</x:f>
        <x:v>-14</x:v>
      </x:c>
      <x:c r="L94" s="9" t="n">
        <x:f>Model_Data!Y94</x:f>
        <x:v>420.9575928892744</x:v>
      </x:c>
      <x:c r="M94" s="9" t="n">
        <x:f>Model_Data!X94</x:f>
        <x:v>-84.36597258140502</x:v>
      </x:c>
      <x:c r="N94" s="9" t="n">
        <x:f>-(Model_Data!AC94-Model_Data!F94)*Inputs!$C$12</x:f>
        <x:v>503.6264132505154</x:v>
      </x:c>
      <x:c r="O94" s="10"/>
      <x:c r="P94" s="9" t="n">
        <x:f>Model_Data!A94</x:f>
        <x:v>-14</x:v>
      </x:c>
      <x:c r="Q94" s="9" t="n">
        <x:f>Model_Data!P94</x:f>
        <x:v>119.7425943531016</x:v>
      </x:c>
      <x:c r="R94" s="9" t="n">
        <x:f>Model_Data!AM94</x:f>
        <x:v>109.40700518340236</x:v>
      </x:c>
      <x:c r="S94" s="9" t="n">
        <x:f>Model_Data!Q94</x:f>
        <x:v>17.979368521486727</x:v>
      </x:c>
      <x:c r="T94" s="9" t="n">
        <x:f>Model_Data!AN94</x:f>
        <x:v>16.427478255766122</x:v>
      </x:c>
      <x:c r="U94" s="10"/>
      <x:c r="V94" s="9" t="n">
        <x:f>Model_Data!A94</x:f>
        <x:v>-14</x:v>
      </x:c>
      <x:c r="W94" s="9" t="n">
        <x:f>Model_Data!B94-Inputs!$C$5</x:f>
        <x:v>0.2177777777777692</x:v>
      </x:c>
      <x:c r="X94" s="10"/>
      <x:c r="Y94" s="9" t="n">
        <x:f>Model_Data!A94</x:f>
        <x:v>-14</x:v>
      </x:c>
      <x:c r="Z94" s="9" t="n">
        <x:f>0</x:f>
        <x:v>0</x:v>
      </x:c>
      <x:c r="AA94" s="9" t="n">
        <x:f>((SQRT((Inputs!$C$52+Inputs!$C$5)^2+Inputs!$C$52^2-2*(Inputs!$C$52+Inputs!$C$5)*Inputs!$C$52*COS(SQRT((Model_Data!A94)^2+Inputs!$C$6^2)/Inputs!$C$52))-Inputs!$C$5)*1000/Inputs!$C$12)</x:f>
        <x:v>723.1174169847241</x:v>
      </x:c>
      <x:c r="AB94" s="9" t="n">
        <x:f>Model_Data!F94</x:f>
        <x:v>722.8053364714383</x:v>
      </x:c>
    </x:row>
    <x:row r="95">
      <x:c r="A95" s="9" t="n">
        <x:f>Model_Data!A95</x:f>
        <x:v>-13.5</x:v>
      </x:c>
      <x:c r="B95" s="9" t="n">
        <x:f>0</x:f>
        <x:v>0</x:v>
      </x:c>
      <x:c r="C95" s="9" t="n">
        <x:f>((SQRT((Inputs!$C$52+Inputs!$C$5)^2+Inputs!$C$52^2-2*(Inputs!$C$52+Inputs!$C$5)*Inputs!$C$52*COS(SQRT((Model_Data!A95)^2+Inputs!$C$6^2)/Inputs!$C$52))-Inputs!$C$5)*1000/Inputs!$C$12)</x:f>
        <x:v>711.0261740581527</x:v>
      </x:c>
      <x:c r="D95" s="9" t="n">
        <x:f>Model_Data!F95</x:f>
        <x:v>710.7408110589965</x:v>
      </x:c>
      <x:c r="E95" s="9" t="n">
        <x:f>Model_Data!AC95</x:f>
        <x:v>442.1218226414712</x:v>
      </x:c>
      <x:c r="F95" s="10"/>
      <x:c r="G95" s="9" t="n">
        <x:f>Model_Data!A95</x:f>
        <x:v>-13.5</x:v>
      </x:c>
      <x:c r="H95" s="9" t="n">
        <x:f>Model_Data!Y95</x:f>
        <x:v>418.7700178970381</x:v>
      </x:c>
      <x:c r="I95" s="9" t="n">
        <x:f>Model_Data!Y95</x:f>
        <x:v>418.7700178970381</x:v>
      </x:c>
      <x:c r="J95" s="9" t="n">
        <x:f>Model_Data!X95</x:f>
        <x:v>-61.03205493353448</x:v>
      </x:c>
      <x:c r="K95" s="9" t="n">
        <x:f>Model_Data!A95</x:f>
        <x:v>-13.5</x:v>
      </x:c>
      <x:c r="L95" s="9" t="n">
        <x:f>Model_Data!Y95</x:f>
        <x:v>418.7700178970381</x:v>
      </x:c>
      <x:c r="M95" s="9" t="n">
        <x:f>Model_Data!X95</x:f>
        <x:v>-61.03205493353448</x:v>
      </x:c>
      <x:c r="N95" s="9" t="n">
        <x:f>-(Model_Data!AC95-Model_Data!F95)*Inputs!$C$12</x:f>
        <x:v>478.14179938319506</x:v>
      </x:c>
      <x:c r="O95" s="10"/>
      <x:c r="P95" s="9" t="n">
        <x:f>Model_Data!A95</x:f>
        <x:v>-13.5</x:v>
      </x:c>
      <x:c r="Q95" s="9" t="n">
        <x:f>Model_Data!P95</x:f>
        <x:v>115.4738272234681</x:v>
      </x:c>
      <x:c r="R95" s="9" t="n">
        <x:f>Model_Data!AM95</x:f>
        <x:v>134.57088687846408</x:v>
      </x:c>
      <x:c r="S95" s="9" t="n">
        <x:f>Model_Data!Q95</x:f>
        <x:v>17.338412496016232</x:v>
      </x:c>
      <x:c r="T95" s="9" t="n">
        <x:f>Model_Data!AN95</x:f>
        <x:v>20.205838870640253</x:v>
      </x:c>
      <x:c r="U95" s="10"/>
      <x:c r="V95" s="9" t="n">
        <x:f>Model_Data!A95</x:f>
        <x:v>-13.5</x:v>
      </x:c>
      <x:c r="W95" s="9" t="n">
        <x:f>Model_Data!B95-Inputs!$C$5</x:f>
        <x:v>0.20249999999998636</x:v>
      </x:c>
      <x:c r="X95" s="10"/>
      <x:c r="Y95" s="9" t="n">
        <x:f>Model_Data!A95</x:f>
        <x:v>-13.5</x:v>
      </x:c>
      <x:c r="Z95" s="9" t="n">
        <x:f>0</x:f>
        <x:v>0</x:v>
      </x:c>
      <x:c r="AA95" s="9" t="n">
        <x:f>((SQRT((Inputs!$C$52+Inputs!$C$5)^2+Inputs!$C$52^2-2*(Inputs!$C$52+Inputs!$C$5)*Inputs!$C$52*COS(SQRT((Model_Data!A95)^2+Inputs!$C$6^2)/Inputs!$C$52))-Inputs!$C$5)*1000/Inputs!$C$12)</x:f>
        <x:v>711.0261740581527</x:v>
      </x:c>
      <x:c r="AB95" s="9" t="n">
        <x:f>Model_Data!F95</x:f>
        <x:v>710.7408110589965</x:v>
      </x:c>
    </x:row>
    <x:row r="96">
      <x:c r="A96" s="9" t="n">
        <x:f>Model_Data!A96</x:f>
        <x:v>-13</x:v>
      </x:c>
      <x:c r="B96" s="9" t="n">
        <x:f>0</x:f>
        <x:v>0</x:v>
      </x:c>
      <x:c r="C96" s="9" t="n">
        <x:f>((SQRT((Inputs!$C$52+Inputs!$C$5)^2+Inputs!$C$52^2-2*(Inputs!$C$52+Inputs!$C$5)*Inputs!$C$52*COS(SQRT((Model_Data!A96)^2+Inputs!$C$6^2)/Inputs!$C$52))-Inputs!$C$5)*1000/Inputs!$C$12)</x:f>
        <x:v>699.3739883142141</x:v>
      </x:c>
      <x:c r="D96" s="9" t="n">
        <x:f>Model_Data!F96</x:f>
        <x:v>699.1136836541939</x:v>
      </x:c>
      <x:c r="E96" s="9" t="n">
        <x:f>Model_Data!AC96</x:f>
        <x:v>420.8616961385702</x:v>
      </x:c>
      <x:c r="F96" s="10"/>
      <x:c r="G96" s="9" t="n">
        <x:f>Model_Data!A96</x:f>
        <x:v>-13</x:v>
      </x:c>
      <x:c r="H96" s="9" t="n">
        <x:f>Model_Data!Y96</x:f>
        <x:v>432.8844458249992</x:v>
      </x:c>
      <x:c r="I96" s="9" t="n">
        <x:f>Model_Data!Y96</x:f>
        <x:v>432.8844458249992</x:v>
      </x:c>
      <x:c r="J96" s="9" t="n">
        <x:f>Model_Data!X96</x:f>
        <x:v>-64.09243482429542</x:v>
      </x:c>
      <x:c r="K96" s="9" t="n">
        <x:f>Model_Data!A96</x:f>
        <x:v>-13</x:v>
      </x:c>
      <x:c r="L96" s="9" t="n">
        <x:f>Model_Data!Y96</x:f>
        <x:v>432.8844458249992</x:v>
      </x:c>
      <x:c r="M96" s="9" t="n">
        <x:f>Model_Data!X96</x:f>
        <x:v>-64.09243482429542</x:v>
      </x:c>
      <x:c r="N96" s="9" t="n">
        <x:f>-(Model_Data!AC96-Model_Data!F96)*Inputs!$C$12</x:f>
        <x:v>495.2885377778102</x:v>
      </x:c>
      <x:c r="O96" s="10"/>
      <x:c r="P96" s="9" t="n">
        <x:f>Model_Data!A96</x:f>
        <x:v>-13</x:v>
      </x:c>
      <x:c r="Q96" s="9" t="n">
        <x:f>Model_Data!P96</x:f>
        <x:v>111.20421613486542</x:v>
      </x:c>
      <x:c r="R96" s="9" t="n">
        <x:f>Model_Data!AM96</x:f>
        <x:v>159.26135976260412</x:v>
      </x:c>
      <x:c r="S96" s="9" t="n">
        <x:f>Model_Data!Q96</x:f>
        <x:v>16.697329749979794</x:v>
      </x:c>
      <x:c r="T96" s="9" t="n">
        <x:f>Model_Data!AN96</x:f>
        <x:v>23.91311708147209</x:v>
      </x:c>
      <x:c r="U96" s="10"/>
      <x:c r="V96" s="9" t="n">
        <x:f>Model_Data!A96</x:f>
        <x:v>-13</x:v>
      </x:c>
      <x:c r="W96" s="9" t="n">
        <x:f>Model_Data!B96-Inputs!$C$5</x:f>
        <x:v>0.18777777777779647</x:v>
      </x:c>
      <x:c r="X96" s="10"/>
      <x:c r="Y96" s="9" t="n">
        <x:f>Model_Data!A96</x:f>
        <x:v>-13</x:v>
      </x:c>
      <x:c r="Z96" s="9" t="n">
        <x:f>0</x:f>
        <x:v>0</x:v>
      </x:c>
      <x:c r="AA96" s="9" t="n">
        <x:f>((SQRT((Inputs!$C$52+Inputs!$C$5)^2+Inputs!$C$52^2-2*(Inputs!$C$52+Inputs!$C$5)*Inputs!$C$52*COS(SQRT((Model_Data!A96)^2+Inputs!$C$6^2)/Inputs!$C$52))-Inputs!$C$5)*1000/Inputs!$C$12)</x:f>
        <x:v>699.3739883142141</x:v>
      </x:c>
      <x:c r="AB96" s="9" t="n">
        <x:f>Model_Data!F96</x:f>
        <x:v>699.1136836541939</x:v>
      </x:c>
    </x:row>
    <x:row r="97">
      <x:c r="A97" s="9" t="n">
        <x:f>Model_Data!A97</x:f>
        <x:v>-12.5</x:v>
      </x:c>
      <x:c r="B97" s="9" t="n">
        <x:f>0</x:f>
        <x:v>0</x:v>
      </x:c>
      <x:c r="C97" s="9" t="n">
        <x:f>((SQRT((Inputs!$C$52+Inputs!$C$5)^2+Inputs!$C$52^2-2*(Inputs!$C$52+Inputs!$C$5)*Inputs!$C$52*COS(SQRT((Model_Data!A97)^2+Inputs!$C$6^2)/Inputs!$C$52))-Inputs!$C$5)*1000/Inputs!$C$12)</x:f>
        <x:v>688.1609290384572</x:v>
      </x:c>
      <x:c r="D97" s="9" t="n">
        <x:f>Model_Data!F97</x:f>
        <x:v>687.9240997132716</x:v>
      </x:c>
      <x:c r="E97" s="9" t="n">
        <x:f>Model_Data!AC97</x:f>
        <x:v>397.2896157254548</x:v>
      </x:c>
      <x:c r="F97" s="10"/>
      <x:c r="G97" s="9" t="n">
        <x:f>Model_Data!A97</x:f>
        <x:v>-12.5</x:v>
      </x:c>
      <x:c r="H97" s="9" t="n">
        <x:f>Model_Data!Y97</x:f>
        <x:v>448.8683161255995</x:v>
      </x:c>
      <x:c r="I97" s="9" t="n">
        <x:f>Model_Data!Y97</x:f>
        <x:v>448.8683161255995</x:v>
      </x:c>
      <x:c r="J97" s="9" t="n">
        <x:f>Model_Data!X97</x:f>
        <x:v>-70.18392228131138</x:v>
      </x:c>
      <x:c r="K97" s="9" t="n">
        <x:f>Model_Data!A97</x:f>
        <x:v>-12.5</x:v>
      </x:c>
      <x:c r="L97" s="9" t="n">
        <x:f>Model_Data!Y97</x:f>
        <x:v>448.8683161255995</x:v>
      </x:c>
      <x:c r="M97" s="9" t="n">
        <x:f>Model_Data!X97</x:f>
        <x:v>-70.18392228131138</x:v>
      </x:c>
      <x:c r="N97" s="9" t="n">
        <x:f>-(Model_Data!AC97-Model_Data!F97)*Inputs!$C$12</x:f>
        <x:v>517.329381498314</x:v>
      </x:c>
      <x:c r="O97" s="10"/>
      <x:c r="P97" s="9" t="n">
        <x:f>Model_Data!A97</x:f>
        <x:v>-12.5</x:v>
      </x:c>
      <x:c r="Q97" s="9" t="n">
        <x:f>Model_Data!P97</x:f>
        <x:v>106.9337919834652</x:v>
      </x:c>
      <x:c r="R97" s="9" t="n">
        <x:f>Model_Data!AM97</x:f>
        <x:v>115.15921534473819</x:v>
      </x:c>
      <x:c r="S97" s="9" t="n">
        <x:f>Model_Data!Q97</x:f>
        <x:v>16.056124922442223</x:v>
      </x:c>
      <x:c r="T97" s="9" t="n">
        <x:f>Model_Data!AN97</x:f>
        <x:v>17.291173475185914</x:v>
      </x:c>
      <x:c r="U97" s="10"/>
      <x:c r="V97" s="9" t="n">
        <x:f>Model_Data!A97</x:f>
        <x:v>-12.5</x:v>
      </x:c>
      <x:c r="W97" s="9" t="n">
        <x:f>Model_Data!B97-Inputs!$C$5</x:f>
        <x:v>0.17361111111108585</x:v>
      </x:c>
      <x:c r="X97" s="10"/>
      <x:c r="Y97" s="9" t="n">
        <x:f>Model_Data!A97</x:f>
        <x:v>-12.5</x:v>
      </x:c>
      <x:c r="Z97" s="9" t="n">
        <x:f>0</x:f>
        <x:v>0</x:v>
      </x:c>
      <x:c r="AA97" s="9" t="n">
        <x:f>((SQRT((Inputs!$C$52+Inputs!$C$5)^2+Inputs!$C$52^2-2*(Inputs!$C$52+Inputs!$C$5)*Inputs!$C$52*COS(SQRT((Model_Data!A97)^2+Inputs!$C$6^2)/Inputs!$C$52))-Inputs!$C$5)*1000/Inputs!$C$12)</x:f>
        <x:v>688.1609290384572</x:v>
      </x:c>
      <x:c r="AB97" s="9" t="n">
        <x:f>Model_Data!F97</x:f>
        <x:v>687.9240997132716</x:v>
      </x:c>
    </x:row>
    <x:row r="98">
      <x:c r="A98" s="9" t="n">
        <x:f>Model_Data!A98</x:f>
        <x:v>-12</x:v>
      </x:c>
      <x:c r="B98" s="9" t="n">
        <x:f>0</x:f>
        <x:v>0</x:v>
      </x:c>
      <x:c r="C98" s="9" t="n">
        <x:f>((SQRT((Inputs!$C$52+Inputs!$C$5)^2+Inputs!$C$52^2-2*(Inputs!$C$52+Inputs!$C$5)*Inputs!$C$52*COS(SQRT((Model_Data!A98)^2+Inputs!$C$6^2)/Inputs!$C$52))-Inputs!$C$5)*1000/Inputs!$C$12)</x:f>
        <x:v>677.387062917697</x:v>
      </x:c>
      <x:c r="D98" s="9" t="n">
        <x:f>Model_Data!F98</x:f>
        <x:v>677.1721992654893</x:v>
      </x:c>
      <x:c r="E98" s="9" t="n">
        <x:f>Model_Data!AC98</x:f>
        <x:v>405.32111045431367</x:v>
      </x:c>
      <x:c r="F98" s="10"/>
      <x:c r="G98" s="9" t="n">
        <x:f>Model_Data!A98</x:f>
        <x:v>-12</x:v>
      </x:c>
      <x:c r="H98" s="9" t="n">
        <x:f>Model_Data!Y98</x:f>
        <x:v>437.9918993099811</x:v>
      </x:c>
      <x:c r="I98" s="9" t="n">
        <x:f>Model_Data!Y98</x:f>
        <x:v>437.9918993099811</x:v>
      </x:c>
      <x:c r="J98" s="9" t="n">
        <x:f>Model_Data!X98</x:f>
        <x:v>-47.55794552962975</x:v>
      </x:c>
      <x:c r="K98" s="9" t="n">
        <x:f>Model_Data!A98</x:f>
        <x:v>-12</x:v>
      </x:c>
      <x:c r="L98" s="9" t="n">
        <x:f>Model_Data!Y98</x:f>
        <x:v>437.9918993099811</x:v>
      </x:c>
      <x:c r="M98" s="9" t="n">
        <x:f>Model_Data!X98</x:f>
        <x:v>-47.55794552962975</x:v>
      </x:c>
      <x:c r="N98" s="9" t="n">
        <x:f>-(Model_Data!AC98-Model_Data!F98)*Inputs!$C$12</x:f>
        <x:v>483.89493808389267</x:v>
      </x:c>
      <x:c r="O98" s="10"/>
      <x:c r="P98" s="9" t="n">
        <x:f>Model_Data!A98</x:f>
        <x:v>-12</x:v>
      </x:c>
      <x:c r="Q98" s="9" t="n">
        <x:f>Model_Data!P98</x:f>
        <x:v>102.66258570945865</x:v>
      </x:c>
      <x:c r="R98" s="9" t="n">
        <x:f>Model_Data!AM98</x:f>
        <x:v>118.75489251451654</x:v>
      </x:c>
      <x:c r="S98" s="9" t="n">
        <x:f>Model_Data!Q98</x:f>
        <x:v>15.414802659077877</x:v>
      </x:c>
      <x:c r="T98" s="9" t="n">
        <x:f>Model_Data!AN98</x:f>
        <x:v>17.831064942119603</x:v>
      </x:c>
      <x:c r="U98" s="10"/>
      <x:c r="V98" s="9" t="n">
        <x:f>Model_Data!A98</x:f>
        <x:v>-12</x:v>
      </x:c>
      <x:c r="W98" s="9" t="n">
        <x:f>Model_Data!B98-Inputs!$C$5</x:f>
        <x:v>0.160000000000025</x:v>
      </x:c>
      <x:c r="X98" s="10"/>
      <x:c r="Y98" s="9" t="n">
        <x:f>Model_Data!A98</x:f>
        <x:v>-12</x:v>
      </x:c>
      <x:c r="Z98" s="9" t="n">
        <x:f>0</x:f>
        <x:v>0</x:v>
      </x:c>
      <x:c r="AA98" s="9" t="n">
        <x:f>((SQRT((Inputs!$C$52+Inputs!$C$5)^2+Inputs!$C$52^2-2*(Inputs!$C$52+Inputs!$C$5)*Inputs!$C$52*COS(SQRT((Model_Data!A98)^2+Inputs!$C$6^2)/Inputs!$C$52))-Inputs!$C$5)*1000/Inputs!$C$12)</x:f>
        <x:v>677.387062917697</x:v>
      </x:c>
      <x:c r="AB98" s="9" t="n">
        <x:f>Model_Data!F98</x:f>
        <x:v>677.1721992654893</x:v>
      </x:c>
    </x:row>
    <x:row r="99">
      <x:c r="A99" s="9" t="n">
        <x:f>Model_Data!A99</x:f>
        <x:v>-11.5</x:v>
      </x:c>
      <x:c r="B99" s="9" t="n">
        <x:f>0</x:f>
        <x:v>0</x:v>
      </x:c>
      <x:c r="C99" s="9" t="n">
        <x:f>((SQRT((Inputs!$C$52+Inputs!$C$5)^2+Inputs!$C$52^2-2*(Inputs!$C$52+Inputs!$C$5)*Inputs!$C$52*COS(SQRT((Model_Data!A99)^2+Inputs!$C$6^2)/Inputs!$C$52))-Inputs!$C$5)*1000/Inputs!$C$12)</x:f>
        <x:v>667.052454042441</x:v>
      </x:c>
      <x:c r="D99" s="9" t="n">
        <x:f>Model_Data!F99</x:f>
        <x:v>666.8581169032889</x:v>
      </x:c>
      <x:c r="E99" s="9" t="n">
        <x:f>Model_Data!AC99</x:f>
        <x:v>382.99802752936847</x:v>
      </x:c>
      <x:c r="F99" s="10"/>
      <x:c r="G99" s="9" t="n">
        <x:f>Model_Data!A99</x:f>
        <x:v>-11.5</x:v>
      </x:c>
      <x:c r="H99" s="9" t="n">
        <x:f>Model_Data!Y99</x:f>
        <x:v>458.910891472728</x:v>
      </x:c>
      <x:c r="I99" s="9" t="n">
        <x:f>Model_Data!Y99</x:f>
        <x:v>458.910891472728</x:v>
      </x:c>
      <x:c r="J99" s="9" t="n">
        <x:f>Model_Data!X99</x:f>
        <x:v>-48.06780811544866</x:v>
      </x:c>
      <x:c r="K99" s="9" t="n">
        <x:f>Model_Data!A99</x:f>
        <x:v>-11.5</x:v>
      </x:c>
      <x:c r="L99" s="9" t="n">
        <x:f>Model_Data!Y99</x:f>
        <x:v>458.910891472728</x:v>
      </x:c>
      <x:c r="M99" s="9" t="n">
        <x:f>Model_Data!X99</x:f>
        <x:v>-48.06780811544866</x:v>
      </x:c>
      <x:c r="N99" s="9" t="n">
        <x:f>-(Model_Data!AC99-Model_Data!F99)*Inputs!$C$12</x:f>
        <x:v>505.27095908557834</x:v>
      </x:c>
      <x:c r="O99" s="10"/>
      <x:c r="P99" s="9" t="n">
        <x:f>Model_Data!A99</x:f>
        <x:v>-11.5</x:v>
      </x:c>
      <x:c r="Q99" s="9" t="n">
        <x:f>Model_Data!P99</x:f>
        <x:v>98.39062828850729</x:v>
      </x:c>
      <x:c r="R99" s="9" t="n">
        <x:f>Model_Data!AM99</x:f>
        <x:v>137.6040267078679</x:v>
      </x:c>
      <x:c r="S99" s="9" t="n">
        <x:f>Model_Data!Q99</x:f>
        <x:v>14.77336761088698</x:v>
      </x:c>
      <x:c r="T99" s="9" t="n">
        <x:f>Model_Data!AN99</x:f>
        <x:v>20.661265271451636</x:v>
      </x:c>
      <x:c r="U99" s="10"/>
      <x:c r="V99" s="9" t="n">
        <x:f>Model_Data!A99</x:f>
        <x:v>-11.5</x:v>
      </x:c>
      <x:c r="W99" s="9" t="n">
        <x:f>Model_Data!B99-Inputs!$C$5</x:f>
        <x:v>0.14694444444444343</x:v>
      </x:c>
      <x:c r="X99" s="10"/>
      <x:c r="Y99" s="9" t="n">
        <x:f>Model_Data!A99</x:f>
        <x:v>-11.5</x:v>
      </x:c>
      <x:c r="Z99" s="9" t="n">
        <x:f>0</x:f>
        <x:v>0</x:v>
      </x:c>
      <x:c r="AA99" s="9" t="n">
        <x:f>((SQRT((Inputs!$C$52+Inputs!$C$5)^2+Inputs!$C$52^2-2*(Inputs!$C$52+Inputs!$C$5)*Inputs!$C$52*COS(SQRT((Model_Data!A99)^2+Inputs!$C$6^2)/Inputs!$C$52))-Inputs!$C$5)*1000/Inputs!$C$12)</x:f>
        <x:v>667.052454042441</x:v>
      </x:c>
      <x:c r="AB99" s="9" t="n">
        <x:f>Model_Data!F99</x:f>
        <x:v>666.8581169032889</x:v>
      </x:c>
    </x:row>
    <x:row r="100">
      <x:c r="A100" s="9" t="n">
        <x:f>Model_Data!A100</x:f>
        <x:v>-11</x:v>
      </x:c>
      <x:c r="B100" s="9" t="n">
        <x:f>0</x:f>
        <x:v>0</x:v>
      </x:c>
      <x:c r="C100" s="9" t="n">
        <x:f>((SQRT((Inputs!$C$52+Inputs!$C$5)^2+Inputs!$C$52^2-2*(Inputs!$C$52+Inputs!$C$5)*Inputs!$C$52*COS(SQRT((Model_Data!A100)^2+Inputs!$C$6^2)/Inputs!$C$52))-Inputs!$C$5)*1000/Inputs!$C$12)</x:f>
        <x:v>657.1571638987466</x:v>
      </x:c>
      <x:c r="D100" s="9" t="n">
        <x:f>Model_Data!F100</x:f>
        <x:v>656.9819817796764</x:v>
      </x:c>
      <x:c r="E100" s="9" t="n">
        <x:f>Model_Data!AC100</x:f>
        <x:v>373.75995810568355</x:v>
      </x:c>
      <x:c r="F100" s="10"/>
      <x:c r="G100" s="9" t="n">
        <x:f>Model_Data!A100</x:f>
        <x:v>-11</x:v>
      </x:c>
      <x:c r="H100" s="9" t="n">
        <x:f>Model_Data!Y100</x:f>
        <x:v>462.5412492822977</x:v>
      </x:c>
      <x:c r="I100" s="9" t="n">
        <x:f>Model_Data!Y100</x:f>
        <x:v>462.5412492822977</x:v>
      </x:c>
      <x:c r="J100" s="9" t="n">
        <x:f>Model_Data!X100</x:f>
        <x:v>-43.28983557333215</x:v>
      </x:c>
      <x:c r="K100" s="9" t="n">
        <x:f>Model_Data!A100</x:f>
        <x:v>-11</x:v>
      </x:c>
      <x:c r="L100" s="9" t="n">
        <x:f>Model_Data!Y100</x:f>
        <x:v>462.5412492822977</x:v>
      </x:c>
      <x:c r="M100" s="9" t="n">
        <x:f>Model_Data!X100</x:f>
        <x:v>-43.28983557333215</x:v>
      </x:c>
      <x:c r="N100" s="9" t="n">
        <x:f>-(Model_Data!AC100-Model_Data!F100)*Inputs!$C$12</x:f>
        <x:v>504.1352021397073</x:v>
      </x:c>
      <x:c r="O100" s="10"/>
      <x:c r="P100" s="9" t="n">
        <x:f>Model_Data!A100</x:f>
        <x:v>-11</x:v>
      </x:c>
      <x:c r="Q100" s="9" t="n">
        <x:f>Model_Data!P100</x:f>
        <x:v>94.1179507391098</x:v>
      </x:c>
      <x:c r="R100" s="9" t="n">
        <x:f>Model_Data!AM100</x:f>
        <x:v>112.0371558296938</x:v>
      </x:c>
      <x:c r="S100" s="9" t="n">
        <x:f>Model_Data!Q100</x:f>
        <x:v>14.131824435301773</x:v>
      </x:c>
      <x:c r="T100" s="9" t="n">
        <x:f>Model_Data!AN100</x:f>
        <x:v>16.822395770224297</x:v>
      </x:c>
      <x:c r="U100" s="10"/>
      <x:c r="V100" s="9" t="n">
        <x:f>Model_Data!A100</x:f>
        <x:v>-11</x:v>
      </x:c>
      <x:c r="W100" s="9" t="n">
        <x:f>Model_Data!B100-Inputs!$C$5</x:f>
        <x:v>0.1344444444444548</x:v>
      </x:c>
      <x:c r="X100" s="10"/>
      <x:c r="Y100" s="9" t="n">
        <x:f>Model_Data!A100</x:f>
        <x:v>-11</x:v>
      </x:c>
      <x:c r="Z100" s="9" t="n">
        <x:f>0</x:f>
        <x:v>0</x:v>
      </x:c>
      <x:c r="AA100" s="9" t="n">
        <x:f>((SQRT((Inputs!$C$52+Inputs!$C$5)^2+Inputs!$C$52^2-2*(Inputs!$C$52+Inputs!$C$5)*Inputs!$C$52*COS(SQRT((Model_Data!A100)^2+Inputs!$C$6^2)/Inputs!$C$52))-Inputs!$C$5)*1000/Inputs!$C$12)</x:f>
        <x:v>657.1571638987466</x:v>
      </x:c>
      <x:c r="AB100" s="9" t="n">
        <x:f>Model_Data!F100</x:f>
        <x:v>656.9819817796764</x:v>
      </x:c>
    </x:row>
    <x:row r="101">
      <x:c r="A101" s="9" t="n">
        <x:f>Model_Data!A101</x:f>
        <x:v>-10.5</x:v>
      </x:c>
      <x:c r="B101" s="9" t="n">
        <x:f>0</x:f>
        <x:v>0</x:v>
      </x:c>
      <x:c r="C101" s="9" t="n">
        <x:f>((SQRT((Inputs!$C$52+Inputs!$C$5)^2+Inputs!$C$52^2-2*(Inputs!$C$52+Inputs!$C$5)*Inputs!$C$52*COS(SQRT((Model_Data!A101)^2+Inputs!$C$6^2)/Inputs!$C$52))-Inputs!$C$5)*1000/Inputs!$C$12)</x:f>
        <x:v>647.7012513701045</x:v>
      </x:c>
      <x:c r="D101" s="9" t="n">
        <x:f>Model_Data!F101</x:f>
        <x:v>647.5439175957033</x:v>
      </x:c>
      <x:c r="E101" s="9" t="n">
        <x:f>Model_Data!AC101</x:f>
        <x:v>355.1287665910228</x:v>
      </x:c>
      <x:c r="F101" s="10"/>
      <x:c r="G101" s="9" t="n">
        <x:f>Model_Data!A101</x:f>
        <x:v>-10.5</x:v>
      </x:c>
      <x:c r="H101" s="9" t="n">
        <x:f>Model_Data!Y101</x:f>
        <x:v>470.10163194835394</x:v>
      </x:c>
      <x:c r="I101" s="9" t="n">
        <x:f>Model_Data!Y101</x:f>
        <x:v>470.10163194835394</x:v>
      </x:c>
      <x:c r="J101" s="9" t="n">
        <x:f>Model_Data!X101</x:f>
        <x:v>-52.09631463655199</x:v>
      </x:c>
      <x:c r="K101" s="9" t="n">
        <x:f>Model_Data!A101</x:f>
        <x:v>-10.5</x:v>
      </x:c>
      <x:c r="L101" s="9" t="n">
        <x:f>Model_Data!Y101</x:f>
        <x:v>470.10163194835394</x:v>
      </x:c>
      <x:c r="M101" s="9" t="n">
        <x:f>Model_Data!X101</x:f>
        <x:v>-52.09631463655199</x:v>
      </x:c>
      <x:c r="N101" s="9" t="n">
        <x:f>-(Model_Data!AC101-Model_Data!F101)*Inputs!$C$12</x:f>
        <x:v>520.4989687883314</x:v>
      </x:c>
      <x:c r="O101" s="10"/>
      <x:c r="P101" s="9" t="n">
        <x:f>Model_Data!A101</x:f>
        <x:v>-10.5</x:v>
      </x:c>
      <x:c r="Q101" s="9" t="n">
        <x:f>Model_Data!P101</x:f>
        <x:v>89.8445841135981</x:v>
      </x:c>
      <x:c r="R101" s="9" t="n">
        <x:f>Model_Data!AM101</x:f>
        <x:v>104.22636697785492</x:v>
      </x:c>
      <x:c r="S101" s="9" t="n">
        <x:f>Model_Data!Q101</x:f>
        <x:v>13.490177794834551</x:v>
      </x:c>
      <x:c r="T101" s="9" t="n">
        <x:f>Model_Data!AN101</x:f>
        <x:v>15.64960465132957</x:v>
      </x:c>
      <x:c r="U101" s="10"/>
      <x:c r="V101" s="9" t="n">
        <x:f>Model_Data!A101</x:f>
        <x:v>-10.5</x:v>
      </x:c>
      <x:c r="W101" s="9" t="n">
        <x:f>Model_Data!B101-Inputs!$C$5</x:f>
        <x:v>0.12250000000000227</x:v>
      </x:c>
      <x:c r="X101" s="10"/>
      <x:c r="Y101" s="9" t="n">
        <x:f>Model_Data!A101</x:f>
        <x:v>-10.5</x:v>
      </x:c>
      <x:c r="Z101" s="9" t="n">
        <x:f>0</x:f>
        <x:v>0</x:v>
      </x:c>
      <x:c r="AA101" s="9" t="n">
        <x:f>((SQRT((Inputs!$C$52+Inputs!$C$5)^2+Inputs!$C$52^2-2*(Inputs!$C$52+Inputs!$C$5)*Inputs!$C$52*COS(SQRT((Model_Data!A101)^2+Inputs!$C$6^2)/Inputs!$C$52))-Inputs!$C$5)*1000/Inputs!$C$12)</x:f>
        <x:v>647.7012513701045</x:v>
      </x:c>
      <x:c r="AB101" s="9" t="n">
        <x:f>Model_Data!F101</x:f>
        <x:v>647.5439175957033</x:v>
      </x:c>
    </x:row>
    <x:row r="102">
      <x:c r="A102" s="9" t="n">
        <x:f>Model_Data!A102</x:f>
        <x:v>-10</x:v>
      </x:c>
      <x:c r="B102" s="9" t="n">
        <x:f>0</x:f>
        <x:v>0</x:v>
      </x:c>
      <x:c r="C102" s="9" t="n">
        <x:f>((SQRT((Inputs!$C$52+Inputs!$C$5)^2+Inputs!$C$52^2-2*(Inputs!$C$52+Inputs!$C$5)*Inputs!$C$52*COS(SQRT((Model_Data!A102)^2+Inputs!$C$6^2)/Inputs!$C$52))-Inputs!$C$5)*1000/Inputs!$C$12)</x:f>
        <x:v>638.6847727352039</x:v>
      </x:c>
      <x:c r="D102" s="9" t="n">
        <x:f>Model_Data!F102</x:f>
        <x:v>638.5440426012327</x:v>
      </x:c>
      <x:c r="E102" s="9" t="n">
        <x:f>Model_Data!AC102</x:f>
        <x:v>346.8265637380501</x:v>
      </x:c>
      <x:c r="F102" s="10"/>
      <x:c r="G102" s="9" t="n">
        <x:f>Model_Data!A102</x:f>
        <x:v>-10</x:v>
      </x:c>
      <x:c r="H102" s="9" t="n">
        <x:f>Model_Data!Y102</x:f>
        <x:v>471.5144848829251</x:v>
      </x:c>
      <x:c r="I102" s="9" t="n">
        <x:f>Model_Data!Y102</x:f>
        <x:v>471.5144848829251</x:v>
      </x:c>
      <x:c r="J102" s="9" t="n">
        <x:f>Model_Data!X102</x:f>
        <x:v>-49.423131521111884</x:v>
      </x:c>
      <x:c r="K102" s="9" t="n">
        <x:f>Model_Data!A102</x:f>
        <x:v>-10</x:v>
      </x:c>
      <x:c r="L102" s="9" t="n">
        <x:f>Model_Data!Y102</x:f>
        <x:v>471.5144848829251</x:v>
      </x:c>
      <x:c r="M102" s="9" t="n">
        <x:f>Model_Data!X102</x:f>
        <x:v>-49.423131521111884</x:v>
      </x:c>
      <x:c r="N102" s="9" t="n">
        <x:f>-(Model_Data!AC102-Model_Data!F102)*Inputs!$C$12</x:f>
        <x:v>519.2571123764651</x:v>
      </x:c>
      <x:c r="O102" s="10"/>
      <x:c r="P102" s="9" t="n">
        <x:f>Model_Data!A102</x:f>
        <x:v>-10</x:v>
      </x:c>
      <x:c r="Q102" s="9" t="n">
        <x:f>Model_Data!P102</x:f>
        <x:v>85.5705594970459</x:v>
      </x:c>
      <x:c r="R102" s="9" t="n">
        <x:f>Model_Data!AM102</x:f>
        <x:v>86.40918325254461</x:v>
      </x:c>
      <x:c r="S102" s="9" t="n">
        <x:f>Model_Data!Q102</x:f>
        <x:v>12.8484323569138</x:v>
      </x:c>
      <x:c r="T102" s="9" t="n">
        <x:f>Model_Data!AN102</x:f>
        <x:v>12.974351839721415</x:v>
      </x:c>
      <x:c r="U102" s="10"/>
      <x:c r="V102" s="9" t="n">
        <x:f>Model_Data!A102</x:f>
        <x:v>-10</x:v>
      </x:c>
      <x:c r="W102" s="9" t="n">
        <x:f>Model_Data!B102-Inputs!$C$5</x:f>
        <x:v>0.11111111111108585</x:v>
      </x:c>
      <x:c r="X102" s="10"/>
      <x:c r="Y102" s="9" t="n">
        <x:f>Model_Data!A102</x:f>
        <x:v>-10</x:v>
      </x:c>
      <x:c r="Z102" s="9" t="n">
        <x:f>0</x:f>
        <x:v>0</x:v>
      </x:c>
      <x:c r="AA102" s="9" t="n">
        <x:f>((SQRT((Inputs!$C$52+Inputs!$C$5)^2+Inputs!$C$52^2-2*(Inputs!$C$52+Inputs!$C$5)*Inputs!$C$52*COS(SQRT((Model_Data!A102)^2+Inputs!$C$6^2)/Inputs!$C$52))-Inputs!$C$5)*1000/Inputs!$C$12)</x:f>
        <x:v>638.6847727352039</x:v>
      </x:c>
      <x:c r="AB102" s="9" t="n">
        <x:f>Model_Data!F102</x:f>
        <x:v>638.5440426012327</x:v>
      </x:c>
    </x:row>
    <x:row r="103">
      <x:c r="A103" s="9" t="n">
        <x:f>Model_Data!A103</x:f>
        <x:v>-9.5</x:v>
      </x:c>
      <x:c r="B103" s="9" t="n">
        <x:f>0</x:f>
        <x:v>0</x:v>
      </x:c>
      <x:c r="C103" s="9" t="n">
        <x:f>((SQRT((Inputs!$C$52+Inputs!$C$5)^2+Inputs!$C$52^2-2*(Inputs!$C$52+Inputs!$C$5)*Inputs!$C$52*COS(SQRT((Model_Data!A103)^2+Inputs!$C$6^2)/Inputs!$C$52))-Inputs!$C$5)*1000/Inputs!$C$12)</x:f>
        <x:v>630.1077816669101</x:v>
      </x:c>
      <x:c r="D103" s="9" t="n">
        <x:f>Model_Data!F103</x:f>
        <x:v>629.9824695825495</x:v>
      </x:c>
      <x:c r="E103" s="9" t="n">
        <x:f>Model_Data!AC103</x:f>
        <x:v>348.406990945457</x:v>
      </x:c>
      <x:c r="F103" s="10"/>
      <x:c r="G103" s="9" t="n">
        <x:f>Model_Data!A103</x:f>
        <x:v>-9.5</x:v>
      </x:c>
      <x:c r="H103" s="9" t="n">
        <x:f>Model_Data!Y103</x:f>
        <x:v>470.5815738170562</x:v>
      </x:c>
      <x:c r="I103" s="9" t="n">
        <x:f>Model_Data!Y103</x:f>
        <x:v>470.5815738170562</x:v>
      </x:c>
      <x:c r="J103" s="9" t="n">
        <x:f>Model_Data!X103</x:f>
        <x:v>-32.277557975083496</x:v>
      </x:c>
      <x:c r="K103" s="9" t="n">
        <x:f>Model_Data!A103</x:f>
        <x:v>-9.5</x:v>
      </x:c>
      <x:c r="L103" s="9" t="n">
        <x:f>Model_Data!Y103</x:f>
        <x:v>470.5815738170562</x:v>
      </x:c>
      <x:c r="M103" s="9" t="n">
        <x:f>Model_Data!X103</x:f>
        <x:v>-32.277557975083496</x:v>
      </x:c>
      <x:c r="N103" s="9" t="n">
        <x:f>-(Model_Data!AC103-Model_Data!F103)*Inputs!$C$12</x:f>
        <x:v>501.20435197402463</x:v>
      </x:c>
      <x:c r="O103" s="10"/>
      <x:c r="P103" s="9" t="n">
        <x:f>Model_Data!A103</x:f>
        <x:v>-9.5</x:v>
      </x:c>
      <x:c r="Q103" s="9" t="n">
        <x:f>Model_Data!P103</x:f>
        <x:v>81.2959080145447</x:v>
      </x:c>
      <x:c r="R103" s="9" t="n">
        <x:f>Model_Data!AM103</x:f>
        <x:v>95.88133801144068</x:v>
      </x:c>
      <x:c r="S103" s="9" t="n">
        <x:f>Model_Data!Q103</x:f>
        <x:v>12.206592794976682</x:v>
      </x:c>
      <x:c r="T103" s="9" t="n">
        <x:f>Model_Data!AN103</x:f>
        <x:v>14.396597299015118</x:v>
      </x:c>
      <x:c r="U103" s="10"/>
      <x:c r="V103" s="9" t="n">
        <x:f>Model_Data!A103</x:f>
        <x:v>-9.5</x:v>
      </x:c>
      <x:c r="W103" s="9" t="n">
        <x:f>Model_Data!B103-Inputs!$C$5</x:f>
        <x:v>0.10027777777776237</x:v>
      </x:c>
      <x:c r="X103" s="10"/>
      <x:c r="Y103" s="9" t="n">
        <x:f>Model_Data!A103</x:f>
        <x:v>-9.5</x:v>
      </x:c>
      <x:c r="Z103" s="9" t="n">
        <x:f>0</x:f>
        <x:v>0</x:v>
      </x:c>
      <x:c r="AA103" s="9" t="n">
        <x:f>((SQRT((Inputs!$C$52+Inputs!$C$5)^2+Inputs!$C$52^2-2*(Inputs!$C$52+Inputs!$C$5)*Inputs!$C$52*COS(SQRT((Model_Data!A103)^2+Inputs!$C$6^2)/Inputs!$C$52))-Inputs!$C$5)*1000/Inputs!$C$12)</x:f>
        <x:v>630.1077816669101</x:v>
      </x:c>
      <x:c r="AB103" s="9" t="n">
        <x:f>Model_Data!F103</x:f>
        <x:v>629.9824695825495</x:v>
      </x:c>
    </x:row>
    <x:row r="104">
      <x:c r="A104" s="9" t="n">
        <x:f>Model_Data!A104</x:f>
        <x:v>-9</x:v>
      </x:c>
      <x:c r="B104" s="9" t="n">
        <x:f>0</x:f>
        <x:v>0</x:v>
      </x:c>
      <x:c r="C104" s="9" t="n">
        <x:f>((SQRT((Inputs!$C$52+Inputs!$C$5)^2+Inputs!$C$52^2-2*(Inputs!$C$52+Inputs!$C$5)*Inputs!$C$52*COS(SQRT((Model_Data!A104)^2+Inputs!$C$6^2)/Inputs!$C$52))-Inputs!$C$5)*1000/Inputs!$C$12)</x:f>
        <x:v>621.9703292280814</x:v>
      </x:c>
      <x:c r="D104" s="9" t="n">
        <x:f>Model_Data!F104</x:f>
        <x:v>621.8593058607947</x:v>
      </x:c>
      <x:c r="E104" s="9" t="n">
        <x:f>Model_Data!AC104</x:f>
        <x:v>326.14506460066843</x:v>
      </x:c>
      <x:c r="F104" s="10"/>
      <x:c r="G104" s="9" t="n">
        <x:f>Model_Data!A104</x:f>
        <x:v>-9</x:v>
      </x:c>
      <x:c r="H104" s="9" t="n">
        <x:f>Model_Data!Y104</x:f>
        <x:v>480.618285675218</x:v>
      </x:c>
      <x:c r="I104" s="9" t="n">
        <x:f>Model_Data!Y104</x:f>
        <x:v>480.618285675218</x:v>
      </x:c>
      <x:c r="J104" s="9" t="n">
        <x:f>Model_Data!X104</x:f>
        <x:v>-47.4214748383975</x:v>
      </x:c>
      <x:c r="K104" s="9" t="n">
        <x:f>Model_Data!A104</x:f>
        <x:v>-9</x:v>
      </x:c>
      <x:c r="L104" s="9" t="n">
        <x:f>Model_Data!Y104</x:f>
        <x:v>480.618285675218</x:v>
      </x:c>
      <x:c r="M104" s="9" t="n">
        <x:f>Model_Data!X104</x:f>
        <x:v>-47.4214748383975</x:v>
      </x:c>
      <x:c r="N104" s="9" t="n">
        <x:f>-(Model_Data!AC104-Model_Data!F104)*Inputs!$C$12</x:f>
        <x:v>526.3713494430248</x:v>
      </x:c>
      <x:c r="O104" s="10"/>
      <x:c r="P104" s="9" t="n">
        <x:f>Model_Data!A104</x:f>
        <x:v>-9</x:v>
      </x:c>
      <x:c r="Q104" s="9" t="n">
        <x:f>Model_Data!P104</x:f>
        <x:v>77.0206608074659</x:v>
      </x:c>
      <x:c r="R104" s="9" t="n">
        <x:f>Model_Data!AM104</x:f>
        <x:v>61.203996322819876</x:v>
      </x:c>
      <x:c r="S104" s="9" t="n">
        <x:f>Model_Data!Q104</x:f>
        <x:v>11.564663784904791</x:v>
      </x:c>
      <x:c r="T104" s="9" t="n">
        <x:f>Model_Data!AN104</x:f>
        <x:v>9.189789237660642</x:v>
      </x:c>
      <x:c r="U104" s="10"/>
      <x:c r="V104" s="9" t="n">
        <x:f>Model_Data!A104</x:f>
        <x:v>-9</x:v>
      </x:c>
      <x:c r="W104" s="9" t="n">
        <x:f>Model_Data!B104-Inputs!$C$5</x:f>
        <x:v>0.08999999999997499</x:v>
      </x:c>
      <x:c r="X104" s="10"/>
      <x:c r="Y104" s="9" t="n">
        <x:f>Model_Data!A104</x:f>
        <x:v>-9</x:v>
      </x:c>
      <x:c r="Z104" s="9" t="n">
        <x:f>0</x:f>
        <x:v>0</x:v>
      </x:c>
      <x:c r="AA104" s="9" t="n">
        <x:f>((SQRT((Inputs!$C$52+Inputs!$C$5)^2+Inputs!$C$52^2-2*(Inputs!$C$52+Inputs!$C$5)*Inputs!$C$52*COS(SQRT((Model_Data!A104)^2+Inputs!$C$6^2)/Inputs!$C$52))-Inputs!$C$5)*1000/Inputs!$C$12)</x:f>
        <x:v>621.9703292280814</x:v>
      </x:c>
      <x:c r="AB104" s="9" t="n">
        <x:f>Model_Data!F104</x:f>
        <x:v>621.8593058607947</x:v>
      </x:c>
    </x:row>
    <x:row r="105">
      <x:c r="A105" s="9" t="n">
        <x:f>Model_Data!A105</x:f>
        <x:v>-8.5</x:v>
      </x:c>
      <x:c r="B105" s="9" t="n">
        <x:f>0</x:f>
        <x:v>0</x:v>
      </x:c>
      <x:c r="C105" s="9" t="n">
        <x:f>((SQRT((Inputs!$C$52+Inputs!$C$5)^2+Inputs!$C$52^2-2*(Inputs!$C$52+Inputs!$C$5)*Inputs!$C$52*COS(SQRT((Model_Data!A105)^2+Inputs!$C$6^2)/Inputs!$C$52))-Inputs!$C$5)*1000/Inputs!$C$12)</x:f>
        <x:v>614.2724638740281</x:v>
      </x:c>
      <x:c r="D105" s="9" t="n">
        <x:f>Model_Data!F105</x:f>
        <x:v>614.1746532877829</x:v>
      </x:c>
      <x:c r="E105" s="9" t="n">
        <x:f>Model_Data!AC105</x:f>
        <x:v>321.53998947447315</x:v>
      </x:c>
      <x:c r="F105" s="10"/>
      <x:c r="G105" s="9" t="n">
        <x:f>Model_Data!A105</x:f>
        <x:v>-8.5</x:v>
      </x:c>
      <x:c r="H105" s="9" t="n">
        <x:f>Model_Data!Y105</x:f>
        <x:v>460.6206107904381</x:v>
      </x:c>
      <x:c r="I105" s="9" t="n">
        <x:f>Model_Data!Y105</x:f>
        <x:v>460.6206107904381</x:v>
      </x:c>
      <x:c r="J105" s="9" t="n">
        <x:f>Model_Data!X105</x:f>
        <x:v>-61.84832289166857</x:v>
      </x:c>
      <x:c r="K105" s="9" t="n">
        <x:f>Model_Data!A105</x:f>
        <x:v>-8.5</x:v>
      </x:c>
      <x:c r="L105" s="9" t="n">
        <x:f>Model_Data!Y105</x:f>
        <x:v>460.6206107904381</x:v>
      </x:c>
      <x:c r="M105" s="9" t="n">
        <x:f>Model_Data!X105</x:f>
        <x:v>-61.84832289166857</x:v>
      </x:c>
      <x:c r="N105" s="9" t="n">
        <x:f>-(Model_Data!AC105-Model_Data!F105)*Inputs!$C$12</x:f>
        <x:v>520.8897015876914</x:v>
      </x:c>
      <x:c r="O105" s="10"/>
      <x:c r="P105" s="9" t="n">
        <x:f>Model_Data!A105</x:f>
        <x:v>-8.5</x:v>
      </x:c>
      <x:c r="Q105" s="9" t="n">
        <x:f>Model_Data!P105</x:f>
        <x:v>72.74484905628924</x:v>
      </x:c>
      <x:c r="R105" s="9" t="n">
        <x:f>Model_Data!AM105</x:f>
        <x:v>64.91178834112361</x:v>
      </x:c>
      <x:c r="S105" s="9" t="n">
        <x:f>Model_Data!Q105</x:f>
        <x:v>10.92265000845184</x:v>
      </x:c>
      <x:c r="T105" s="9" t="n">
        <x:f>Model_Data!AN105</x:f>
        <x:v>9.746514765934476</x:v>
      </x:c>
      <x:c r="U105" s="10"/>
      <x:c r="V105" s="9" t="n">
        <x:f>Model_Data!A105</x:f>
        <x:v>-8.5</x:v>
      </x:c>
      <x:c r="W105" s="9" t="n">
        <x:f>Model_Data!B105-Inputs!$C$5</x:f>
        <x:v>0.08027777777778056</x:v>
      </x:c>
      <x:c r="X105" s="10"/>
      <x:c r="Y105" s="9" t="n">
        <x:f>Model_Data!A105</x:f>
        <x:v>-8.5</x:v>
      </x:c>
      <x:c r="Z105" s="9" t="n">
        <x:f>0</x:f>
        <x:v>0</x:v>
      </x:c>
      <x:c r="AA105" s="9" t="n">
        <x:f>((SQRT((Inputs!$C$52+Inputs!$C$5)^2+Inputs!$C$52^2-2*(Inputs!$C$52+Inputs!$C$5)*Inputs!$C$52*COS(SQRT((Model_Data!A105)^2+Inputs!$C$6^2)/Inputs!$C$52))-Inputs!$C$5)*1000/Inputs!$C$12)</x:f>
        <x:v>614.2724638740281</x:v>
      </x:c>
      <x:c r="AB105" s="9" t="n">
        <x:f>Model_Data!F105</x:f>
        <x:v>614.1746532877829</x:v>
      </x:c>
    </x:row>
    <x:row r="106">
      <x:c r="A106" s="9" t="n">
        <x:f>Model_Data!A106</x:f>
        <x:v>-8</x:v>
      </x:c>
      <x:c r="B106" s="9" t="n">
        <x:f>0</x:f>
        <x:v>0</x:v>
      </x:c>
      <x:c r="C106" s="9" t="n">
        <x:f>((SQRT((Inputs!$C$52+Inputs!$C$5)^2+Inputs!$C$52^2-2*(Inputs!$C$52+Inputs!$C$5)*Inputs!$C$52*COS(SQRT((Model_Data!A106)^2+Inputs!$C$6^2)/Inputs!$C$52))-Inputs!$C$5)*1000/Inputs!$C$12)</x:f>
        <x:v>607.0142314470512</x:v>
      </x:c>
      <x:c r="D106" s="9" t="n">
        <x:f>Model_Data!F106</x:f>
        <x:v>606.9286082364532</x:v>
      </x:c>
      <x:c r="E106" s="9" t="n">
        <x:f>Model_Data!AC106</x:f>
        <x:v>318.5043344004955</x:v>
      </x:c>
      <x:c r="F106" s="10"/>
      <x:c r="G106" s="9" t="n">
        <x:f>Model_Data!A106</x:f>
        <x:v>-8</x:v>
      </x:c>
      <x:c r="H106" s="9" t="n">
        <x:f>Model_Data!Y106</x:f>
        <x:v>475.6659223963138</x:v>
      </x:c>
      <x:c r="I106" s="9" t="n">
        <x:f>Model_Data!Y106</x:f>
        <x:v>475.6659223963138</x:v>
      </x:c>
      <x:c r="J106" s="9" t="n">
        <x:f>Model_Data!X106</x:f>
        <x:v>-39.34099577037003</x:v>
      </x:c>
      <x:c r="K106" s="9" t="n">
        <x:f>Model_Data!A106</x:f>
        <x:v>-8</x:v>
      </x:c>
      <x:c r="L106" s="9" t="n">
        <x:f>Model_Data!Y106</x:f>
        <x:v>475.6659223963138</x:v>
      </x:c>
      <x:c r="M106" s="9" t="n">
        <x:f>Model_Data!X106</x:f>
        <x:v>-39.34099577037003</x:v>
      </x:c>
      <x:c r="N106" s="9" t="n">
        <x:f>-(Model_Data!AC106-Model_Data!F106)*Inputs!$C$12</x:f>
        <x:v>513.3952074280047</x:v>
      </x:c>
      <x:c r="O106" s="10"/>
      <x:c r="P106" s="9" t="n">
        <x:f>Model_Data!A106</x:f>
        <x:v>-8</x:v>
      </x:c>
      <x:c r="Q106" s="9" t="n">
        <x:f>Model_Data!P106</x:f>
        <x:v>68.46850397168964</x:v>
      </x:c>
      <x:c r="R106" s="9" t="n">
        <x:f>Model_Data!AM106</x:f>
        <x:v>83.90391525563246</x:v>
      </x:c>
      <x:c r="S106" s="9" t="n">
        <x:f>Model_Data!Q106</x:f>
        <x:v>10.280556151905353</x:v>
      </x:c>
      <x:c r="T106" s="9" t="n">
        <x:f>Model_Data!AN106</x:f>
        <x:v>12.598185473818688</x:v>
      </x:c>
      <x:c r="U106" s="10"/>
      <x:c r="V106" s="9" t="n">
        <x:f>Model_Data!A106</x:f>
        <x:v>-8</x:v>
      </x:c>
      <x:c r="W106" s="9" t="n">
        <x:f>Model_Data!B106-Inputs!$C$5</x:f>
        <x:v>0.07111111111112223</x:v>
      </x:c>
      <x:c r="X106" s="10"/>
      <x:c r="Y106" s="9" t="n">
        <x:f>Model_Data!A106</x:f>
        <x:v>-8</x:v>
      </x:c>
      <x:c r="Z106" s="9" t="n">
        <x:f>0</x:f>
        <x:v>0</x:v>
      </x:c>
      <x:c r="AA106" s="9" t="n">
        <x:f>((SQRT((Inputs!$C$52+Inputs!$C$5)^2+Inputs!$C$52^2-2*(Inputs!$C$52+Inputs!$C$5)*Inputs!$C$52*COS(SQRT((Model_Data!A106)^2+Inputs!$C$6^2)/Inputs!$C$52))-Inputs!$C$5)*1000/Inputs!$C$12)</x:f>
        <x:v>607.0142314470512</x:v>
      </x:c>
      <x:c r="AB106" s="9" t="n">
        <x:f>Model_Data!F106</x:f>
        <x:v>606.9286082364532</x:v>
      </x:c>
    </x:row>
    <x:row r="107">
      <x:c r="A107" s="9" t="n">
        <x:f>Model_Data!A107</x:f>
        <x:v>-7.5</x:v>
      </x:c>
      <x:c r="B107" s="9" t="n">
        <x:f>0</x:f>
        <x:v>0</x:v>
      </x:c>
      <x:c r="C107" s="9" t="n">
        <x:f>((SQRT((Inputs!$C$52+Inputs!$C$5)^2+Inputs!$C$52^2-2*(Inputs!$C$52+Inputs!$C$5)*Inputs!$C$52*COS(SQRT((Model_Data!A107)^2+Inputs!$C$6^2)/Inputs!$C$52))-Inputs!$C$5)*1000/Inputs!$C$12)</x:f>
        <x:v>600.1956751785191</x:v>
      </x:c>
      <x:c r="D107" s="9" t="n">
        <x:f>Model_Data!F107</x:f>
        <x:v>600.1212615998473</x:v>
      </x:c>
      <x:c r="E107" s="9" t="n">
        <x:f>Model_Data!AC107</x:f>
        <x:v>312.5300693525741</x:v>
      </x:c>
      <x:c r="F107" s="10"/>
      <x:c r="G107" s="9" t="n">
        <x:f>Model_Data!A107</x:f>
        <x:v>-7.5</x:v>
      </x:c>
      <x:c r="H107" s="9" t="n">
        <x:f>Model_Data!Y107</x:f>
        <x:v>470.2640951439132</x:v>
      </x:c>
      <x:c r="I107" s="9" t="n">
        <x:f>Model_Data!Y107</x:f>
        <x:v>470.2640951439132</x:v>
      </x:c>
      <x:c r="J107" s="9" t="n">
        <x:f>Model_Data!X107</x:f>
        <x:v>-43.22381145165265</x:v>
      </x:c>
      <x:c r="K107" s="9" t="n">
        <x:f>Model_Data!A107</x:f>
        <x:v>-7.5</x:v>
      </x:c>
      <x:c r="L107" s="9" t="n">
        <x:f>Model_Data!Y107</x:f>
        <x:v>470.2640951439132</x:v>
      </x:c>
      <x:c r="M107" s="9" t="n">
        <x:f>Model_Data!X107</x:f>
        <x:v>-43.22381145165265</x:v>
      </x:c>
      <x:c r="N107" s="9" t="n">
        <x:f>-(Model_Data!AC107-Model_Data!F107)*Inputs!$C$12</x:f>
        <x:v>511.9123222001464</x:v>
      </x:c>
      <x:c r="O107" s="10"/>
      <x:c r="P107" s="9" t="n">
        <x:f>Model_Data!A107</x:f>
        <x:v>-7.5</x:v>
      </x:c>
      <x:c r="Q107" s="9" t="n">
        <x:f>Model_Data!P107</x:f>
        <x:v>64.19165678507852</x:v>
      </x:c>
      <x:c r="R107" s="9" t="n">
        <x:f>Model_Data!AM107</x:f>
        <x:v>12.086959146927256</x:v>
      </x:c>
      <x:c r="S107" s="9" t="n">
        <x:f>Model_Data!Q107</x:f>
        <x:v>9.638386904666445</x:v>
      </x:c>
      <x:c r="T107" s="9" t="n">
        <x:f>Model_Data!AN107</x:f>
        <x:v>1.8148587307698585</x:v>
      </x:c>
      <x:c r="U107" s="10"/>
      <x:c r="V107" s="9" t="n">
        <x:f>Model_Data!A107</x:f>
        <x:v>-7.5</x:v>
      </x:c>
      <x:c r="W107" s="9" t="n">
        <x:f>Model_Data!B107-Inputs!$C$5</x:f>
        <x:v>0.0625</x:v>
      </x:c>
      <x:c r="X107" s="10"/>
      <x:c r="Y107" s="9" t="n">
        <x:f>Model_Data!A107</x:f>
        <x:v>-7.5</x:v>
      </x:c>
      <x:c r="Z107" s="9" t="n">
        <x:f>0</x:f>
        <x:v>0</x:v>
      </x:c>
      <x:c r="AA107" s="9" t="n">
        <x:f>((SQRT((Inputs!$C$52+Inputs!$C$5)^2+Inputs!$C$52^2-2*(Inputs!$C$52+Inputs!$C$5)*Inputs!$C$52*COS(SQRT((Model_Data!A107)^2+Inputs!$C$6^2)/Inputs!$C$52))-Inputs!$C$5)*1000/Inputs!$C$12)</x:f>
        <x:v>600.1956751785191</x:v>
      </x:c>
      <x:c r="AB107" s="9" t="n">
        <x:f>Model_Data!F107</x:f>
        <x:v>600.1212615998473</x:v>
      </x:c>
    </x:row>
    <x:row r="108">
      <x:c r="A108" s="9" t="n">
        <x:f>Model_Data!A108</x:f>
        <x:v>-7</x:v>
      </x:c>
      <x:c r="B108" s="9" t="n">
        <x:f>0</x:f>
        <x:v>0</x:v>
      </x:c>
      <x:c r="C108" s="9" t="n">
        <x:f>((SQRT((Inputs!$C$52+Inputs!$C$5)^2+Inputs!$C$52^2-2*(Inputs!$C$52+Inputs!$C$5)*Inputs!$C$52*COS(SQRT((Model_Data!A108)^2+Inputs!$C$6^2)/Inputs!$C$52))-Inputs!$C$5)*1000/Inputs!$C$12)</x:f>
        <x:v>593.816835685641</x:v>
      </x:c>
      <x:c r="D108" s="9" t="n">
        <x:f>Model_Data!F108</x:f>
        <x:v>593.7526987847551</x:v>
      </x:c>
      <x:c r="E108" s="9" t="n">
        <x:f>Model_Data!AC108</x:f>
        <x:v>318.73297083728795</x:v>
      </x:c>
      <x:c r="F108" s="10"/>
      <x:c r="G108" s="9" t="n">
        <x:f>Model_Data!A108</x:f>
        <x:v>-7</x:v>
      </x:c>
      <x:c r="H108" s="9" t="n">
        <x:f>Model_Data!Y108</x:f>
        <x:v>442.95708145426426</x:v>
      </x:c>
      <x:c r="I108" s="9" t="n">
        <x:f>Model_Data!Y108</x:f>
        <x:v>442.95708145426426</x:v>
      </x:c>
      <x:c r="J108" s="9" t="n">
        <x:f>Model_Data!X108</x:f>
        <x:v>-48.04634011268098</x:v>
      </x:c>
      <x:c r="K108" s="9" t="n">
        <x:f>Model_Data!A108</x:f>
        <x:v>-7</x:v>
      </x:c>
      <x:c r="L108" s="9" t="n">
        <x:f>Model_Data!Y108</x:f>
        <x:v>442.95708145426426</x:v>
      </x:c>
      <x:c r="M108" s="9" t="n">
        <x:f>Model_Data!X108</x:f>
        <x:v>-48.04634011268098</x:v>
      </x:c>
      <x:c r="N108" s="9" t="n">
        <x:f>-(Model_Data!AC108-Model_Data!F108)*Inputs!$C$12</x:f>
        <x:v>489.53511574649156</x:v>
      </x:c>
      <x:c r="O108" s="10"/>
      <x:c r="P108" s="9" t="n">
        <x:f>Model_Data!A108</x:f>
        <x:v>-7</x:v>
      </x:c>
      <x:c r="Q108" s="9" t="n">
        <x:f>Model_Data!P108</x:f>
        <x:v>59.914338766157016</x:v>
      </x:c>
      <x:c r="R108" s="9" t="n">
        <x:f>Model_Data!AM108</x:f>
        <x:v>36.91531491022033</x:v>
      </x:c>
      <x:c r="S108" s="9" t="n">
        <x:f>Model_Data!Q108</x:f>
        <x:v>8.996146961885438</x:v>
      </x:c>
      <x:c r="T108" s="9" t="n">
        <x:f>Model_Data!AN108</x:f>
        <x:v>5.54284007660966</x:v>
      </x:c>
      <x:c r="U108" s="10"/>
      <x:c r="V108" s="9" t="n">
        <x:f>Model_Data!A108</x:f>
        <x:v>-7</x:v>
      </x:c>
      <x:c r="W108" s="9" t="n">
        <x:f>Model_Data!B108-Inputs!$C$5</x:f>
        <x:v>0.05444444444447072</x:v>
      </x:c>
      <x:c r="X108" s="10"/>
      <x:c r="Y108" s="9" t="n">
        <x:f>Model_Data!A108</x:f>
        <x:v>-7</x:v>
      </x:c>
      <x:c r="Z108" s="9" t="n">
        <x:f>0</x:f>
        <x:v>0</x:v>
      </x:c>
      <x:c r="AA108" s="9" t="n">
        <x:f>((SQRT((Inputs!$C$52+Inputs!$C$5)^2+Inputs!$C$52^2-2*(Inputs!$C$52+Inputs!$C$5)*Inputs!$C$52*COS(SQRT((Model_Data!A108)^2+Inputs!$C$6^2)/Inputs!$C$52))-Inputs!$C$5)*1000/Inputs!$C$12)</x:f>
        <x:v>593.816835685641</x:v>
      </x:c>
      <x:c r="AB108" s="9" t="n">
        <x:f>Model_Data!F108</x:f>
        <x:v>593.7526987847551</x:v>
      </x:c>
    </x:row>
    <x:row r="109">
      <x:c r="A109" s="9" t="n">
        <x:f>Model_Data!A109</x:f>
        <x:v>-6.5</x:v>
      </x:c>
      <x:c r="B109" s="9" t="n">
        <x:f>0</x:f>
        <x:v>0</x:v>
      </x:c>
      <x:c r="C109" s="9" t="n">
        <x:f>((SQRT((Inputs!$C$52+Inputs!$C$5)^2+Inputs!$C$52^2-2*(Inputs!$C$52+Inputs!$C$5)*Inputs!$C$52*COS(SQRT((Model_Data!A109)^2+Inputs!$C$6^2)/Inputs!$C$52))-Inputs!$C$5)*1000/Inputs!$C$12)</x:f>
        <x:v>587.8777509688173</x:v>
      </x:c>
      <x:c r="D109" s="9" t="n">
        <x:f>Model_Data!F109</x:f>
        <x:v>587.8229997047524</x:v>
      </x:c>
      <x:c r="E109" s="9" t="n">
        <x:f>Model_Data!AC109</x:f>
        <x:v>299.1823117866943</x:v>
      </x:c>
      <x:c r="F109" s="10"/>
      <x:c r="G109" s="9" t="n">
        <x:f>Model_Data!A109</x:f>
        <x:v>-6.5</x:v>
      </x:c>
      <x:c r="H109" s="9" t="n">
        <x:f>Model_Data!Y109</x:f>
        <x:v>455.8100478474453</x:v>
      </x:c>
      <x:c r="I109" s="9" t="n">
        <x:f>Model_Data!Y109</x:f>
        <x:v>455.8100478474453</x:v>
      </x:c>
      <x:c r="J109" s="9" t="n">
        <x:f>Model_Data!X109</x:f>
        <x:v>-59.466303655605586</x:v>
      </x:c>
      <x:c r="K109" s="9" t="n">
        <x:f>Model_Data!A109</x:f>
        <x:v>-6.5</x:v>
      </x:c>
      <x:c r="L109" s="9" t="n">
        <x:f>Model_Data!Y109</x:f>
        <x:v>455.8100478474453</x:v>
      </x:c>
      <x:c r="M109" s="9" t="n">
        <x:f>Model_Data!X109</x:f>
        <x:v>-59.466303655605586</x:v>
      </x:c>
      <x:c r="N109" s="9" t="n">
        <x:f>-(Model_Data!AC109-Model_Data!F109)*Inputs!$C$12</x:f>
        <x:v>513.7804244941435</x:v>
      </x:c>
      <x:c r="O109" s="10"/>
      <x:c r="P109" s="9" t="n">
        <x:f>Model_Data!A109</x:f>
        <x:v>-6.5</x:v>
      </x:c>
      <x:c r="Q109" s="9" t="n">
        <x:f>Model_Data!P109</x:f>
        <x:v>55.63658118935564</x:v>
      </x:c>
      <x:c r="R109" s="9" t="n">
        <x:f>Model_Data!AM109</x:f>
        <x:v>63.33079653877576</x:v>
      </x:c>
      <x:c r="S109" s="9" t="n">
        <x:f>Model_Data!Q109</x:f>
        <x:v>8.353841019422768</x:v>
      </x:c>
      <x:c r="T109" s="9" t="n">
        <x:f>Model_Data!AN109</x:f>
        <x:v>9.50912860942579</x:v>
      </x:c>
      <x:c r="U109" s="10"/>
      <x:c r="V109" s="9" t="n">
        <x:f>Model_Data!A109</x:f>
        <x:v>-6.5</x:v>
      </x:c>
      <x:c r="W109" s="9" t="n">
        <x:f>Model_Data!B109-Inputs!$C$5</x:f>
        <x:v>0.046944444444420697</x:v>
      </x:c>
      <x:c r="X109" s="10"/>
      <x:c r="Y109" s="9" t="n">
        <x:f>Model_Data!A109</x:f>
        <x:v>-6.5</x:v>
      </x:c>
      <x:c r="Z109" s="9" t="n">
        <x:f>0</x:f>
        <x:v>0</x:v>
      </x:c>
      <x:c r="AA109" s="9" t="n">
        <x:f>((SQRT((Inputs!$C$52+Inputs!$C$5)^2+Inputs!$C$52^2-2*(Inputs!$C$52+Inputs!$C$5)*Inputs!$C$52*COS(SQRT((Model_Data!A109)^2+Inputs!$C$6^2)/Inputs!$C$52))-Inputs!$C$5)*1000/Inputs!$C$12)</x:f>
        <x:v>587.8777509688173</x:v>
      </x:c>
      <x:c r="AB109" s="9" t="n">
        <x:f>Model_Data!F109</x:f>
        <x:v>587.8229997047524</x:v>
      </x:c>
    </x:row>
    <x:row r="110">
      <x:c r="A110" s="9" t="n">
        <x:f>Model_Data!A110</x:f>
        <x:v>-6</x:v>
      </x:c>
      <x:c r="B110" s="9" t="n">
        <x:f>0</x:f>
        <x:v>0</x:v>
      </x:c>
      <x:c r="C110" s="9" t="n">
        <x:f>((SQRT((Inputs!$C$52+Inputs!$C$5)^2+Inputs!$C$52^2-2*(Inputs!$C$52+Inputs!$C$5)*Inputs!$C$52*COS(SQRT((Model_Data!A110)^2+Inputs!$C$6^2)/Inputs!$C$52))-Inputs!$C$5)*1000/Inputs!$C$12)</x:f>
        <x:v>582.3784564165571</x:v>
      </x:c>
      <x:c r="D110" s="9" t="n">
        <x:f>Model_Data!F110</x:f>
        <x:v>582.3322387853748</x:v>
      </x:c>
      <x:c r="E110" s="9" t="n">
        <x:f>Model_Data!AC110</x:f>
        <x:v>297.27813452249967</x:v>
      </x:c>
      <x:c r="F110" s="10"/>
      <x:c r="G110" s="9" t="n">
        <x:f>Model_Data!A110</x:f>
        <x:v>-6</x:v>
      </x:c>
      <x:c r="H110" s="9" t="n">
        <x:f>Model_Data!Y110</x:f>
        <x:v>447.7534427220802</x:v>
      </x:c>
      <x:c r="I110" s="9" t="n">
        <x:f>Model_Data!Y110</x:f>
        <x:v>447.7534427220802</x:v>
      </x:c>
      <x:c r="J110" s="9" t="n">
        <x:f>Model_Data!X110</x:f>
        <x:v>-61.0986453608147</x:v>
      </x:c>
      <x:c r="K110" s="9" t="n">
        <x:f>Model_Data!A110</x:f>
        <x:v>-6</x:v>
      </x:c>
      <x:c r="L110" s="9" t="n">
        <x:f>Model_Data!Y110</x:f>
        <x:v>447.7534427220802</x:v>
      </x:c>
      <x:c r="M110" s="9" t="n">
        <x:f>Model_Data!X110</x:f>
        <x:v>-61.0986453608147</x:v>
      </x:c>
      <x:c r="N110" s="9" t="n">
        <x:f>-(Model_Data!AC110-Model_Data!F110)*Inputs!$C$12</x:f>
        <x:v>507.3963055879177</x:v>
      </x:c>
      <x:c r="O110" s="10"/>
      <x:c r="P110" s="9" t="n">
        <x:f>Model_Data!A110</x:f>
        <x:v>-6</x:v>
      </x:c>
      <x:c r="Q110" s="9" t="n">
        <x:f>Model_Data!P110</x:f>
        <x:v>51.35841535866348</x:v>
      </x:c>
      <x:c r="R110" s="9" t="n">
        <x:f>Model_Data!AM110</x:f>
        <x:v>21.772271344889305</x:v>
      </x:c>
      <x:c r="S110" s="9" t="n">
        <x:f>Model_Data!Q110</x:f>
        <x:v>7.711473777577099</x:v>
      </x:c>
      <x:c r="T110" s="9" t="n">
        <x:f>Model_Data!AN110</x:f>
        <x:v>3.269109811544941</x:v>
      </x:c>
      <x:c r="U110" s="10"/>
      <x:c r="V110" s="9" t="n">
        <x:f>Model_Data!A110</x:f>
        <x:v>-6</x:v>
      </x:c>
      <x:c r="W110" s="9" t="n">
        <x:f>Model_Data!B110-Inputs!$C$5</x:f>
        <x:v>0.040000000000020464</x:v>
      </x:c>
      <x:c r="X110" s="10"/>
      <x:c r="Y110" s="9" t="n">
        <x:f>Model_Data!A110</x:f>
        <x:v>-6</x:v>
      </x:c>
      <x:c r="Z110" s="9" t="n">
        <x:f>0</x:f>
        <x:v>0</x:v>
      </x:c>
      <x:c r="AA110" s="9" t="n">
        <x:f>((SQRT((Inputs!$C$52+Inputs!$C$5)^2+Inputs!$C$52^2-2*(Inputs!$C$52+Inputs!$C$5)*Inputs!$C$52*COS(SQRT((Model_Data!A110)^2+Inputs!$C$6^2)/Inputs!$C$52))-Inputs!$C$5)*1000/Inputs!$C$12)</x:f>
        <x:v>582.3784564165571</x:v>
      </x:c>
      <x:c r="AB110" s="9" t="n">
        <x:f>Model_Data!F110</x:f>
        <x:v>582.3322387853748</x:v>
      </x:c>
    </x:row>
    <x:row r="111">
      <x:c r="A111" s="9" t="n">
        <x:f>Model_Data!A111</x:f>
        <x:v>-5.5</x:v>
      </x:c>
      <x:c r="B111" s="9" t="n">
        <x:f>0</x:f>
        <x:v>0</x:v>
      </x:c>
      <x:c r="C111" s="9" t="n">
        <x:f>((SQRT((Inputs!$C$52+Inputs!$C$5)^2+Inputs!$C$52^2-2*(Inputs!$C$52+Inputs!$C$5)*Inputs!$C$52*COS(SQRT((Model_Data!A111)^2+Inputs!$C$6^2)/Inputs!$C$52))-Inputs!$C$5)*1000/Inputs!$C$12)</x:f>
        <x:v>577.3189847965366</x:v>
      </x:c>
      <x:c r="D111" s="9" t="n">
        <x:f>Model_Data!F111</x:f>
        <x:v>577.2804849486606</x:v>
      </x:c>
      <x:c r="E111" s="9" t="n">
        <x:f>Model_Data!AC111</x:f>
        <x:v>296.7112011418749</x:v>
      </x:c>
      <x:c r="F111" s="10"/>
      <x:c r="G111" s="9" t="n">
        <x:f>Model_Data!A111</x:f>
        <x:v>-5.5</x:v>
      </x:c>
      <x:c r="H111" s="9" t="n">
        <x:f>Model_Data!Y111</x:f>
        <x:v>437.23203216912464</x:v>
      </x:c>
      <x:c r="I111" s="9" t="n">
        <x:f>Model_Data!Y111</x:f>
        <x:v>437.23203216912464</x:v>
      </x:c>
      <x:c r="J111" s="9" t="n">
        <x:f>Model_Data!X111</x:f>
        <x:v>-63.59054434613801</x:v>
      </x:c>
      <x:c r="K111" s="9" t="n">
        <x:f>Model_Data!A111</x:f>
        <x:v>-5.5</x:v>
      </x:c>
      <x:c r="L111" s="9" t="n">
        <x:f>Model_Data!Y111</x:f>
        <x:v>437.23203216912464</x:v>
      </x:c>
      <x:c r="M111" s="9" t="n">
        <x:f>Model_Data!X111</x:f>
        <x:v>-63.59054434613801</x:v>
      </x:c>
      <x:c r="N111" s="9" t="n">
        <x:f>-(Model_Data!AC111-Model_Data!F111)*Inputs!$C$12</x:f>
        <x:v>499.4133251760786</x:v>
      </x:c>
      <x:c r="O111" s="10"/>
      <x:c r="P111" s="9" t="n">
        <x:f>Model_Data!A111</x:f>
        <x:v>-5.5</x:v>
      </x:c>
      <x:c r="Q111" s="9" t="n">
        <x:f>Model_Data!P111</x:f>
        <x:v>47.07987260953814</x:v>
      </x:c>
      <x:c r="R111" s="9" t="n">
        <x:f>Model_Data!AM111</x:f>
        <x:v>13.213910555714392</x:v>
      </x:c>
      <x:c r="S111" s="9" t="n">
        <x:f>Model_Data!Q111</x:f>
        <x:v>7.069049941372094</x:v>
      </x:c>
      <x:c r="T111" s="9" t="n">
        <x:f>Model_Data!AN111</x:f>
        <x:v>1.98407065401117</x:v>
      </x:c>
      <x:c r="U111" s="10"/>
      <x:c r="V111" s="9" t="n">
        <x:f>Model_Data!A111</x:f>
        <x:v>-5.5</x:v>
      </x:c>
      <x:c r="W111" s="9" t="n">
        <x:f>Model_Data!B111-Inputs!$C$5</x:f>
        <x:v>0.03361111111109949</x:v>
      </x:c>
      <x:c r="X111" s="10"/>
      <x:c r="Y111" s="9" t="n">
        <x:f>Model_Data!A111</x:f>
        <x:v>-5.5</x:v>
      </x:c>
      <x:c r="Z111" s="9" t="n">
        <x:f>0</x:f>
        <x:v>0</x:v>
      </x:c>
      <x:c r="AA111" s="9" t="n">
        <x:f>((SQRT((Inputs!$C$52+Inputs!$C$5)^2+Inputs!$C$52^2-2*(Inputs!$C$52+Inputs!$C$5)*Inputs!$C$52*COS(SQRT((Model_Data!A111)^2+Inputs!$C$6^2)/Inputs!$C$52))-Inputs!$C$5)*1000/Inputs!$C$12)</x:f>
        <x:v>577.3189847965366</x:v>
      </x:c>
      <x:c r="AB111" s="9" t="n">
        <x:f>Model_Data!F111</x:f>
        <x:v>577.2804849486606</x:v>
      </x:c>
    </x:row>
    <x:row r="112">
      <x:c r="A112" s="9" t="n">
        <x:f>Model_Data!A112</x:f>
        <x:v>-5</x:v>
      </x:c>
      <x:c r="B112" s="9" t="n">
        <x:f>0</x:f>
        <x:v>0</x:v>
      </x:c>
      <x:c r="C112" s="9" t="n">
        <x:f>((SQRT((Inputs!$C$52+Inputs!$C$5)^2+Inputs!$C$52^2-2*(Inputs!$C$52+Inputs!$C$5)*Inputs!$C$52*COS(SQRT((Model_Data!A112)^2+Inputs!$C$6^2)/Inputs!$C$52))-Inputs!$C$5)*1000/Inputs!$C$12)</x:f>
        <x:v>572.6993662599103</x:v>
      </x:c>
      <x:c r="D112" s="9" t="n">
        <x:f>Model_Data!F112</x:f>
        <x:v>572.6678016175588</x:v>
      </x:c>
      <x:c r="E112" s="9" t="n">
        <x:f>Model_Data!AC112</x:f>
        <x:v>292.4559822907461</x:v>
      </x:c>
      <x:c r="F112" s="10"/>
      <x:c r="G112" s="9" t="n">
        <x:f>Model_Data!A112</x:f>
        <x:v>-5</x:v>
      </x:c>
      <x:c r="H112" s="9" t="n">
        <x:f>Model_Data!Y112</x:f>
        <x:v>426.4950993655156</x:v>
      </x:c>
      <x:c r="I112" s="9" t="n">
        <x:f>Model_Data!Y112</x:f>
        <x:v>426.4950993655156</x:v>
      </x:c>
      <x:c r="J112" s="9" t="n">
        <x:f>Model_Data!X112</x:f>
        <x:v>-73.64560445817172</x:v>
      </x:c>
      <x:c r="K112" s="9" t="n">
        <x:f>Model_Data!A112</x:f>
        <x:v>-5</x:v>
      </x:c>
      <x:c r="L112" s="9" t="n">
        <x:f>Model_Data!Y112</x:f>
        <x:v>426.4950993655156</x:v>
      </x:c>
      <x:c r="M112" s="9" t="n">
        <x:f>Model_Data!X112</x:f>
        <x:v>-73.64560445817172</x:v>
      </x:c>
      <x:c r="N112" s="9" t="n">
        <x:f>-(Model_Data!AC112-Model_Data!F112)*Inputs!$C$12</x:f>
        <x:v>498.7770384017266</x:v>
      </x:c>
      <x:c r="O112" s="10"/>
      <x:c r="P112" s="9" t="n">
        <x:f>Model_Data!A112</x:f>
        <x:v>-5</x:v>
      </x:c>
      <x:c r="Q112" s="9" t="n">
        <x:f>Model_Data!P112</x:f>
        <x:v>42.80098427389021</x:v>
      </x:c>
      <x:c r="R112" s="9" t="n">
        <x:f>Model_Data!AM112</x:f>
        <x:v>20.623816407260165</x:v>
      </x:c>
      <x:c r="S112" s="9" t="n">
        <x:f>Model_Data!Q112</x:f>
        <x:v>6.426574215298831</x:v>
      </x:c>
      <x:c r="T112" s="9" t="n">
        <x:f>Model_Data!AN112</x:f>
        <x:v>3.096669130219244</x:v>
      </x:c>
      <x:c r="U112" s="10"/>
      <x:c r="V112" s="9" t="n">
        <x:f>Model_Data!A112</x:f>
        <x:v>-5</x:v>
      </x:c>
      <x:c r="W112" s="9" t="n">
        <x:f>Model_Data!B112-Inputs!$C$5</x:f>
        <x:v>0.027777777777771462</x:v>
      </x:c>
      <x:c r="X112" s="10"/>
      <x:c r="Y112" s="9" t="n">
        <x:f>Model_Data!A112</x:f>
        <x:v>-5</x:v>
      </x:c>
      <x:c r="Z112" s="9" t="n">
        <x:f>0</x:f>
        <x:v>0</x:v>
      </x:c>
      <x:c r="AA112" s="9" t="n">
        <x:f>((SQRT((Inputs!$C$52+Inputs!$C$5)^2+Inputs!$C$52^2-2*(Inputs!$C$52+Inputs!$C$5)*Inputs!$C$52*COS(SQRT((Model_Data!A112)^2+Inputs!$C$6^2)/Inputs!$C$52))-Inputs!$C$5)*1000/Inputs!$C$12)</x:f>
        <x:v>572.6993662599103</x:v>
      </x:c>
      <x:c r="AB112" s="9" t="n">
        <x:f>Model_Data!F112</x:f>
        <x:v>572.6678016175588</x:v>
      </x:c>
    </x:row>
    <x:row r="113">
      <x:c r="A113" s="9" t="n">
        <x:f>Model_Data!A113</x:f>
        <x:v>-4.5</x:v>
      </x:c>
      <x:c r="B113" s="9" t="n">
        <x:f>0</x:f>
        <x:v>0</x:v>
      </x:c>
      <x:c r="C113" s="9" t="n">
        <x:f>((SQRT((Inputs!$C$52+Inputs!$C$5)^2+Inputs!$C$52^2-2*(Inputs!$C$52+Inputs!$C$5)*Inputs!$C$52*COS(SQRT((Model_Data!A113)^2+Inputs!$C$6^2)/Inputs!$C$52))-Inputs!$C$5)*1000/Inputs!$C$12)</x:f>
        <x:v>568.519628340385</x:v>
      </x:c>
      <x:c r="D113" s="9" t="n">
        <x:f>Model_Data!F113</x:f>
        <x:v>568.494246712671</x:v>
      </x:c>
      <x:c r="E113" s="9" t="n">
        <x:f>Model_Data!AC113</x:f>
        <x:v>290.37548165919094</x:v>
      </x:c>
      <x:c r="F113" s="10"/>
      <x:c r="G113" s="9" t="n">
        <x:f>Model_Data!A113</x:f>
        <x:v>-4.5</x:v>
      </x:c>
      <x:c r="H113" s="9" t="n">
        <x:f>Model_Data!Y113</x:f>
        <x:v>423.30568039510905</x:v>
      </x:c>
      <x:c r="I113" s="9" t="n">
        <x:f>Model_Data!Y113</x:f>
        <x:v>423.30568039510905</x:v>
      </x:c>
      <x:c r="J113" s="9" t="n">
        <x:f>Model_Data!X113</x:f>
        <x:v>-73.08935088189128</x:v>
      </x:c>
      <x:c r="K113" s="9" t="n">
        <x:f>Model_Data!A113</x:f>
        <x:v>-4.5</x:v>
      </x:c>
      <x:c r="L113" s="9" t="n">
        <x:f>Model_Data!Y113</x:f>
        <x:v>423.30568039510905</x:v>
      </x:c>
      <x:c r="M113" s="9" t="n">
        <x:f>Model_Data!X113</x:f>
        <x:v>-73.08935088189128</x:v>
      </x:c>
      <x:c r="N113" s="9" t="n">
        <x:f>-(Model_Data!AC113-Model_Data!F113)*Inputs!$C$12</x:f>
        <x:v>495.0514017951946</x:v>
      </x:c>
      <x:c r="O113" s="10"/>
      <x:c r="P113" s="9" t="n">
        <x:f>Model_Data!A113</x:f>
        <x:v>-4.5</x:v>
      </x:c>
      <x:c r="Q113" s="9" t="n">
        <x:f>Model_Data!P113</x:f>
        <x:v>38.521781712279335</x:v>
      </x:c>
      <x:c r="R113" s="9" t="n">
        <x:f>Model_Data!AM113</x:f>
        <x:v>37.7856622314539</x:v>
      </x:c>
      <x:c r="S113" s="9" t="n">
        <x:f>Model_Data!Q113</x:f>
        <x:v>5.784051308150051</x:v>
      </x:c>
      <x:c r="T113" s="9" t="n">
        <x:f>Model_Data!AN113</x:f>
        <x:v>5.67352285757566</x:v>
      </x:c>
      <x:c r="U113" s="10"/>
      <x:c r="V113" s="9" t="n">
        <x:f>Model_Data!A113</x:f>
        <x:v>-4.5</x:v>
      </x:c>
      <x:c r="W113" s="9" t="n">
        <x:f>Model_Data!B113-Inputs!$C$5</x:f>
        <x:v>0.022499999999979536</x:v>
      </x:c>
      <x:c r="X113" s="10"/>
      <x:c r="Y113" s="9" t="n">
        <x:f>Model_Data!A113</x:f>
        <x:v>-4.5</x:v>
      </x:c>
      <x:c r="Z113" s="9" t="n">
        <x:f>0</x:f>
        <x:v>0</x:v>
      </x:c>
      <x:c r="AA113" s="9" t="n">
        <x:f>((SQRT((Inputs!$C$52+Inputs!$C$5)^2+Inputs!$C$52^2-2*(Inputs!$C$52+Inputs!$C$5)*Inputs!$C$52*COS(SQRT((Model_Data!A113)^2+Inputs!$C$6^2)/Inputs!$C$52))-Inputs!$C$5)*1000/Inputs!$C$12)</x:f>
        <x:v>568.519628340385</x:v>
      </x:c>
      <x:c r="AB113" s="9" t="n">
        <x:f>Model_Data!F113</x:f>
        <x:v>568.494246712671</x:v>
      </x:c>
    </x:row>
    <x:row r="114">
      <x:c r="A114" s="9" t="n">
        <x:f>Model_Data!A114</x:f>
        <x:v>-4</x:v>
      </x:c>
      <x:c r="B114" s="9" t="n">
        <x:f>0</x:f>
        <x:v>0</x:v>
      </x:c>
      <x:c r="C114" s="9" t="n">
        <x:f>((SQRT((Inputs!$C$52+Inputs!$C$5)^2+Inputs!$C$52^2-2*(Inputs!$C$52+Inputs!$C$5)*Inputs!$C$52*COS(SQRT((Model_Data!A114)^2+Inputs!$C$6^2)/Inputs!$C$52))-Inputs!$C$5)*1000/Inputs!$C$12)</x:f>
        <x:v>564.7797959481517</x:v>
      </x:c>
      <x:c r="D114" s="9" t="n">
        <x:f>Model_Data!F114</x:f>
        <x:v>564.7598726455456</x:v>
      </x:c>
      <x:c r="E114" s="9" t="n">
        <x:f>Model_Data!AC114</x:f>
        <x:v>284.4744286884892</x:v>
      </x:c>
      <x:c r="F114" s="10"/>
      <x:c r="G114" s="9" t="n">
        <x:f>Model_Data!A114</x:f>
        <x:v>-4</x:v>
      </x:c>
      <x:c r="H114" s="9" t="n">
        <x:f>Model_Data!Y114</x:f>
        <x:v>426.0147467563934</x:v>
      </x:c>
      <x:c r="I114" s="9" t="n">
        <x:f>Model_Data!Y114</x:f>
        <x:v>426.0147467563934</x:v>
      </x:c>
      <x:c r="J114" s="9" t="n">
        <x:f>Model_Data!X114</x:f>
        <x:v>-74.23673097551541</x:v>
      </x:c>
      <x:c r="K114" s="9" t="n">
        <x:f>Model_Data!A114</x:f>
        <x:v>-4</x:v>
      </x:c>
      <x:c r="L114" s="9" t="n">
        <x:f>Model_Data!Y114</x:f>
        <x:v>426.0147467563934</x:v>
      </x:c>
      <x:c r="M114" s="9" t="n">
        <x:f>Model_Data!X114</x:f>
        <x:v>-74.23673097551541</x:v>
      </x:c>
      <x:c r="N114" s="9" t="n">
        <x:f>-(Model_Data!AC114-Model_Data!F114)*Inputs!$C$12</x:f>
        <x:v>498.90809024356037</x:v>
      </x:c>
      <x:c r="O114" s="10"/>
      <x:c r="P114" s="9" t="n">
        <x:f>Model_Data!A114</x:f>
        <x:v>-4</x:v>
      </x:c>
      <x:c r="Q114" s="9" t="n">
        <x:f>Model_Data!P114</x:f>
        <x:v>34.24229631555136</x:v>
      </x:c>
      <x:c r="R114" s="9" t="n">
        <x:f>Model_Data!AM114</x:f>
        <x:v>5.015861759875406</x:v>
      </x:c>
      <x:c r="S114" s="9" t="n">
        <x:f>Model_Data!Q114</x:f>
        <x:v>5.14148593326597</x:v>
      </x:c>
      <x:c r="T114" s="9" t="n">
        <x:f>Model_Data!AN114</x:f>
        <x:v>0.7531323963776887</x:v>
      </x:c>
      <x:c r="U114" s="10"/>
      <x:c r="V114" s="9" t="n">
        <x:f>Model_Data!A114</x:f>
        <x:v>-4</x:v>
      </x:c>
      <x:c r="W114" s="9" t="n">
        <x:f>Model_Data!B114-Inputs!$C$5</x:f>
        <x:v>0.017777777777780557</x:v>
      </x:c>
      <x:c r="X114" s="10"/>
      <x:c r="Y114" s="9" t="n">
        <x:f>Model_Data!A114</x:f>
        <x:v>-4</x:v>
      </x:c>
      <x:c r="Z114" s="9" t="n">
        <x:f>0</x:f>
        <x:v>0</x:v>
      </x:c>
      <x:c r="AA114" s="9" t="n">
        <x:f>((SQRT((Inputs!$C$52+Inputs!$C$5)^2+Inputs!$C$52^2-2*(Inputs!$C$52+Inputs!$C$5)*Inputs!$C$52*COS(SQRT((Model_Data!A114)^2+Inputs!$C$6^2)/Inputs!$C$52))-Inputs!$C$5)*1000/Inputs!$C$12)</x:f>
        <x:v>564.7797959481517</x:v>
      </x:c>
      <x:c r="AB114" s="9" t="n">
        <x:f>Model_Data!F114</x:f>
        <x:v>564.7598726455456</x:v>
      </x:c>
    </x:row>
    <x:row r="115">
      <x:c r="A115" s="9" t="n">
        <x:f>Model_Data!A115</x:f>
        <x:v>-3.5</x:v>
      </x:c>
      <x:c r="B115" s="9" t="n">
        <x:f>0</x:f>
        <x:v>0</x:v>
      </x:c>
      <x:c r="C115" s="9" t="n">
        <x:f>((SQRT((Inputs!$C$52+Inputs!$C$5)^2+Inputs!$C$52^2-2*(Inputs!$C$52+Inputs!$C$5)*Inputs!$C$52*COS(SQRT((Model_Data!A115)^2+Inputs!$C$6^2)/Inputs!$C$52))-Inputs!$C$5)*1000/Inputs!$C$12)</x:f>
        <x:v>561.4798913764969</x:v>
      </x:c>
      <x:c r="D115" s="9" t="n">
        <x:f>Model_Data!F115</x:f>
        <x:v>561.4647263147173</x:v>
      </x:c>
      <x:c r="E115" s="9" t="n">
        <x:f>Model_Data!AC115</x:f>
        <x:v>290.48461541110606</x:v>
      </x:c>
      <x:c r="F115" s="10"/>
      <x:c r="G115" s="9" t="n">
        <x:f>Model_Data!A115</x:f>
        <x:v>-3.5</x:v>
      </x:c>
      <x:c r="H115" s="9" t="n">
        <x:f>Model_Data!Y115</x:f>
        <x:v>404.9650488225026</x:v>
      </x:c>
      <x:c r="I115" s="9" t="n">
        <x:f>Model_Data!Y115</x:f>
        <x:v>404.9650488225026</x:v>
      </x:c>
      <x:c r="J115" s="9" t="n">
        <x:f>Model_Data!X115</x:f>
        <x:v>-78.64906809360804</x:v>
      </x:c>
      <x:c r="K115" s="9" t="n">
        <x:f>Model_Data!A115</x:f>
        <x:v>-3.5</x:v>
      </x:c>
      <x:c r="L115" s="9" t="n">
        <x:f>Model_Data!Y115</x:f>
        <x:v>404.9650488225026</x:v>
      </x:c>
      <x:c r="M115" s="9" t="n">
        <x:f>Model_Data!X115</x:f>
        <x:v>-78.64906809360804</x:v>
      </x:c>
      <x:c r="N115" s="9" t="n">
        <x:f>-(Model_Data!AC115-Model_Data!F115)*Inputs!$C$12</x:f>
        <x:v>482.34459740842794</x:v>
      </x:c>
      <x:c r="O115" s="10"/>
      <x:c r="P115" s="9" t="n">
        <x:f>Model_Data!A115</x:f>
        <x:v>-3.5</x:v>
      </x:c>
      <x:c r="Q115" s="9" t="n">
        <x:f>Model_Data!P115</x:f>
        <x:v>29.962559468549443</x:v>
      </x:c>
      <x:c r="R115" s="9" t="n">
        <x:f>Model_Data!AM115</x:f>
        <x:v>20.627472611704434</x:v>
      </x:c>
      <x:c r="S115" s="9" t="n">
        <x:f>Model_Data!Q115</x:f>
        <x:v>4.498882803085502</x:v>
      </x:c>
      <x:c r="T115" s="9" t="n">
        <x:f>Model_Data!AN115</x:f>
        <x:v>3.0972181098655307</x:v>
      </x:c>
      <x:c r="U115" s="10"/>
      <x:c r="V115" s="9" t="n">
        <x:f>Model_Data!A115</x:f>
        <x:v>-3.5</x:v>
      </x:c>
      <x:c r="W115" s="9" t="n">
        <x:f>Model_Data!B115-Inputs!$C$5</x:f>
        <x:v>0.01361111111111768</x:v>
      </x:c>
      <x:c r="X115" s="10"/>
      <x:c r="Y115" s="9" t="n">
        <x:f>Model_Data!A115</x:f>
        <x:v>-3.5</x:v>
      </x:c>
      <x:c r="Z115" s="9" t="n">
        <x:f>0</x:f>
        <x:v>0</x:v>
      </x:c>
      <x:c r="AA115" s="9" t="n">
        <x:f>((SQRT((Inputs!$C$52+Inputs!$C$5)^2+Inputs!$C$52^2-2*(Inputs!$C$52+Inputs!$C$5)*Inputs!$C$52*COS(SQRT((Model_Data!A115)^2+Inputs!$C$6^2)/Inputs!$C$52))-Inputs!$C$5)*1000/Inputs!$C$12)</x:f>
        <x:v>561.4798913764969</x:v>
      </x:c>
      <x:c r="AB115" s="9" t="n">
        <x:f>Model_Data!F115</x:f>
        <x:v>561.4647263147173</x:v>
      </x:c>
    </x:row>
    <x:row r="116">
      <x:c r="A116" s="9" t="n">
        <x:f>Model_Data!A116</x:f>
        <x:v>-3</x:v>
      </x:c>
      <x:c r="B116" s="9" t="n">
        <x:f>0</x:f>
        <x:v>0</x:v>
      </x:c>
      <x:c r="C116" s="9" t="n">
        <x:f>((SQRT((Inputs!$C$52+Inputs!$C$5)^2+Inputs!$C$52^2-2*(Inputs!$C$52+Inputs!$C$5)*Inputs!$C$52*COS(SQRT((Model_Data!A116)^2+Inputs!$C$6^2)/Inputs!$C$52))-Inputs!$C$5)*1000/Inputs!$C$12)</x:f>
        <x:v>558.6199342970436</x:v>
      </x:c>
      <x:c r="D116" s="9" t="n">
        <x:f>Model_Data!F116</x:f>
        <x:v>558.6088491118074</x:v>
      </x:c>
      <x:c r="E116" s="9" t="n">
        <x:f>Model_Data!AC116</x:f>
        <x:v>285.2836202476275</x:v>
      </x:c>
      <x:c r="F116" s="10"/>
      <x:c r="G116" s="9" t="n">
        <x:f>Model_Data!A116</x:f>
        <x:v>-3</x:v>
      </x:c>
      <x:c r="H116" s="9" t="n">
        <x:f>Model_Data!Y116</x:f>
        <x:v>420.14741895617453</x:v>
      </x:c>
      <x:c r="I116" s="9" t="n">
        <x:f>Model_Data!Y116</x:f>
        <x:v>420.14741895617453</x:v>
      </x:c>
      <x:c r="J116" s="9" t="n">
        <x:f>Model_Data!X116</x:f>
        <x:v>-67.68197739460362</x:v>
      </x:c>
      <x:c r="K116" s="9" t="n">
        <x:f>Model_Data!A116</x:f>
        <x:v>-3</x:v>
      </x:c>
      <x:c r="L116" s="9" t="n">
        <x:f>Model_Data!Y116</x:f>
        <x:v>420.14741895617453</x:v>
      </x:c>
      <x:c r="M116" s="9" t="n">
        <x:f>Model_Data!X116</x:f>
        <x:v>-67.68197739460362</x:v>
      </x:c>
      <x:c r="N116" s="9" t="n">
        <x:f>-(Model_Data!AC116-Model_Data!F116)*Inputs!$C$12</x:f>
        <x:v>486.5189073782403</x:v>
      </x:c>
      <x:c r="O116" s="10"/>
      <x:c r="P116" s="9" t="n">
        <x:f>Model_Data!A116</x:f>
        <x:v>-3</x:v>
      </x:c>
      <x:c r="Q116" s="9" t="n">
        <x:f>Model_Data!P116</x:f>
        <x:v>25.68260257039583</x:v>
      </x:c>
      <x:c r="R116" s="9" t="n">
        <x:f>Model_Data!AM116</x:f>
        <x:v>51.23987583838243</x:v>
      </x:c>
      <x:c r="S116" s="9" t="n">
        <x:f>Model_Data!Q116</x:f>
        <x:v>3.8562466321915663</x:v>
      </x:c>
      <x:c r="T116" s="9" t="n">
        <x:f>Model_Data!AN116</x:f>
        <x:v>7.6936750508081735</x:v>
      </x:c>
      <x:c r="U116" s="10"/>
      <x:c r="V116" s="9" t="n">
        <x:f>Model_Data!A116</x:f>
        <x:v>-3</x:v>
      </x:c>
      <x:c r="W116" s="9" t="n">
        <x:f>Model_Data!B116-Inputs!$C$5</x:f>
        <x:v>0.009999999999990905</x:v>
      </x:c>
      <x:c r="X116" s="10"/>
      <x:c r="Y116" s="9" t="n">
        <x:f>Model_Data!A116</x:f>
        <x:v>-3</x:v>
      </x:c>
      <x:c r="Z116" s="9" t="n">
        <x:f>0</x:f>
        <x:v>0</x:v>
      </x:c>
      <x:c r="AA116" s="9" t="n">
        <x:f>((SQRT((Inputs!$C$52+Inputs!$C$5)^2+Inputs!$C$52^2-2*(Inputs!$C$52+Inputs!$C$5)*Inputs!$C$52*COS(SQRT((Model_Data!A116)^2+Inputs!$C$6^2)/Inputs!$C$52))-Inputs!$C$5)*1000/Inputs!$C$12)</x:f>
        <x:v>558.6199342970436</x:v>
      </x:c>
      <x:c r="AB116" s="9" t="n">
        <x:f>Model_Data!F116</x:f>
        <x:v>558.6088491118074</x:v>
      </x:c>
    </x:row>
    <x:row r="117">
      <x:c r="A117" s="9" t="n">
        <x:f>Model_Data!A117</x:f>
        <x:v>-2.5</x:v>
      </x:c>
      <x:c r="B117" s="9" t="n">
        <x:f>0</x:f>
        <x:v>0</x:v>
      </x:c>
      <x:c r="C117" s="9" t="n">
        <x:f>((SQRT((Inputs!$C$52+Inputs!$C$5)^2+Inputs!$C$52^2-2*(Inputs!$C$52+Inputs!$C$5)*Inputs!$C$52*COS(SQRT((Model_Data!A117)^2+Inputs!$C$6^2)/Inputs!$C$52))-Inputs!$C$5)*1000/Inputs!$C$12)</x:f>
        <x:v>556.1999417579955</x:v>
      </x:c>
      <x:c r="D117" s="9" t="n">
        <x:f>Model_Data!F117</x:f>
        <x:v>556.1922769103146</x:v>
      </x:c>
      <x:c r="E117" s="9" t="n">
        <x:f>Model_Data!AC117</x:f>
        <x:v>292.4263678838553</x:v>
      </x:c>
      <x:c r="F117" s="10"/>
      <x:c r="G117" s="9" t="n">
        <x:f>Model_Data!A117</x:f>
        <x:v>-2.5</x:v>
      </x:c>
      <x:c r="H117" s="9" t="n">
        <x:f>Model_Data!Y117</x:f>
        <x:v>420.97624209793275</x:v>
      </x:c>
      <x:c r="I117" s="9" t="n">
        <x:f>Model_Data!Y117</x:f>
        <x:v>420.97624209793275</x:v>
      </x:c>
      <x:c r="J117" s="9" t="n">
        <x:f>Model_Data!X117</x:f>
        <x:v>-49.83449295863612</x:v>
      </x:c>
      <x:c r="K117" s="9" t="n">
        <x:f>Model_Data!A117</x:f>
        <x:v>-2.5</x:v>
      </x:c>
      <x:c r="L117" s="9" t="n">
        <x:f>Model_Data!Y117</x:f>
        <x:v>420.97624209793275</x:v>
      </x:c>
      <x:c r="M117" s="9" t="n">
        <x:f>Model_Data!X117</x:f>
        <x:v>-49.83449295863612</x:v>
      </x:c>
      <x:c r="N117" s="9" t="n">
        <x:f>-(Model_Data!AC117-Model_Data!F117)*Inputs!$C$12</x:f>
        <x:v>469.5033180670976</x:v>
      </x:c>
      <x:c r="O117" s="10"/>
      <x:c r="P117" s="9" t="n">
        <x:f>Model_Data!A117</x:f>
        <x:v>-2.5</x:v>
      </x:c>
      <x:c r="Q117" s="9" t="n">
        <x:f>Model_Data!P117</x:f>
        <x:v>21.402457042222522</x:v>
      </x:c>
      <x:c r="R117" s="9" t="n">
        <x:f>Model_Data!AM117</x:f>
        <x:v>46.67733826336189</x:v>
      </x:c>
      <x:c r="S117" s="9" t="n">
        <x:f>Model_Data!Q117</x:f>
        <x:v>3.2135821384718506</x:v>
      </x:c>
      <x:c r="T117" s="9" t="n">
        <x:f>Model_Data!AN117</x:f>
        <x:v>7.008609348853137</x:v>
      </x:c>
      <x:c r="U117" s="10"/>
      <x:c r="V117" s="9" t="n">
        <x:f>Model_Data!A117</x:f>
        <x:v>-2.5</x:v>
      </x:c>
      <x:c r="W117" s="9" t="n">
        <x:f>Model_Data!B117-Inputs!$C$5</x:f>
        <x:v>0.006944444444457076</x:v>
      </x:c>
      <x:c r="X117" s="10"/>
      <x:c r="Y117" s="9" t="n">
        <x:f>Model_Data!A117</x:f>
        <x:v>-2.5</x:v>
      </x:c>
      <x:c r="Z117" s="9" t="n">
        <x:f>0</x:f>
        <x:v>0</x:v>
      </x:c>
      <x:c r="AA117" s="9" t="n">
        <x:f>((SQRT((Inputs!$C$52+Inputs!$C$5)^2+Inputs!$C$52^2-2*(Inputs!$C$52+Inputs!$C$5)*Inputs!$C$52*COS(SQRT((Model_Data!A117)^2+Inputs!$C$6^2)/Inputs!$C$52))-Inputs!$C$5)*1000/Inputs!$C$12)</x:f>
        <x:v>556.1999417579955</x:v>
      </x:c>
      <x:c r="AB117" s="9" t="n">
        <x:f>Model_Data!F117</x:f>
        <x:v>556.1922769103146</x:v>
      </x:c>
    </x:row>
    <x:row r="118">
      <x:c r="A118" s="9" t="n">
        <x:f>Model_Data!A118</x:f>
        <x:v>-2</x:v>
      </x:c>
      <x:c r="B118" s="9" t="n">
        <x:f>0</x:f>
        <x:v>0</x:v>
      </x:c>
      <x:c r="C118" s="9" t="n">
        <x:f>((SQRT((Inputs!$C$52+Inputs!$C$5)^2+Inputs!$C$52^2-2*(Inputs!$C$52+Inputs!$C$5)*Inputs!$C$52*COS(SQRT((Model_Data!A118)^2+Inputs!$C$6^2)/Inputs!$C$52))-Inputs!$C$5)*1000/Inputs!$C$12)</x:f>
        <x:v>554.2199281880963</x:v>
      </x:c>
      <x:c r="D118" s="9" t="n">
        <x:f>Model_Data!F118</x:f>
        <x:v>554.2150400691909</x:v>
      </x:c>
      <x:c r="E118" s="9" t="n">
        <x:f>Model_Data!AC118</x:f>
        <x:v>276.5515509108209</x:v>
      </x:c>
      <x:c r="F118" s="10"/>
      <x:c r="G118" s="9" t="n">
        <x:f>Model_Data!A118</x:f>
        <x:v>-2</x:v>
      </x:c>
      <x:c r="H118" s="9" t="n">
        <x:f>Model_Data!Y118</x:f>
        <x:v>435.98300826713626</x:v>
      </x:c>
      <x:c r="I118" s="9" t="n">
        <x:f>Model_Data!Y118</x:f>
        <x:v>435.98300826713626</x:v>
      </x:c>
      <x:c r="J118" s="9" t="n">
        <x:f>Model_Data!X118</x:f>
        <x:v>-59.60727995622125</x:v>
      </x:c>
      <x:c r="K118" s="9" t="n">
        <x:f>Model_Data!A118</x:f>
        <x:v>-2</x:v>
      </x:c>
      <x:c r="L118" s="9" t="n">
        <x:f>Model_Data!Y118</x:f>
        <x:v>435.98300826713626</x:v>
      </x:c>
      <x:c r="M118" s="9" t="n">
        <x:f>Model_Data!X118</x:f>
        <x:v>-59.60727995622125</x:v>
      </x:c>
      <x:c r="N118" s="9" t="n">
        <x:f>-(Model_Data!AC118-Model_Data!F118)*Inputs!$C$12</x:f>
        <x:v>494.24101070189863</x:v>
      </x:c>
      <x:c r="O118" s="10"/>
      <x:c r="P118" s="9" t="n">
        <x:f>Model_Data!A118</x:f>
        <x:v>-2</x:v>
      </x:c>
      <x:c r="Q118" s="9" t="n">
        <x:f>Model_Data!P118</x:f>
        <x:v>17.12215430170545</x:v>
      </x:c>
      <x:c r="R118" s="9" t="n">
        <x:f>Model_Data!AM118</x:f>
        <x:v>33.29255923435994</x:v>
      </x:c>
      <x:c r="S118" s="9" t="n">
        <x:f>Model_Data!Q118</x:f>
        <x:v>2.570894039295113</x:v>
      </x:c>
      <x:c r="T118" s="9" t="n">
        <x:f>Model_Data!AN118</x:f>
        <x:v>4.998882767921914</x:v>
      </x:c>
      <x:c r="U118" s="10"/>
      <x:c r="V118" s="9" t="n">
        <x:f>Model_Data!A118</x:f>
        <x:v>-2</x:v>
      </x:c>
      <x:c r="W118" s="9" t="n">
        <x:f>Model_Data!B118-Inputs!$C$5</x:f>
        <x:v>0.00444444444445935</x:v>
      </x:c>
      <x:c r="X118" s="10"/>
      <x:c r="Y118" s="9" t="n">
        <x:f>Model_Data!A118</x:f>
        <x:v>-2</x:v>
      </x:c>
      <x:c r="Z118" s="9" t="n">
        <x:f>0</x:f>
        <x:v>0</x:v>
      </x:c>
      <x:c r="AA118" s="9" t="n">
        <x:f>((SQRT((Inputs!$C$52+Inputs!$C$5)^2+Inputs!$C$52^2-2*(Inputs!$C$52+Inputs!$C$5)*Inputs!$C$52*COS(SQRT((Model_Data!A118)^2+Inputs!$C$6^2)/Inputs!$C$52))-Inputs!$C$5)*1000/Inputs!$C$12)</x:f>
        <x:v>554.2199281880963</x:v>
      </x:c>
      <x:c r="AB118" s="9" t="n">
        <x:f>Model_Data!F118</x:f>
        <x:v>554.2150400691909</x:v>
      </x:c>
    </x:row>
    <x:row r="119">
      <x:c r="A119" s="9" t="n">
        <x:f>Model_Data!A119</x:f>
        <x:v>-1.5</x:v>
      </x:c>
      <x:c r="B119" s="9" t="n">
        <x:f>0</x:f>
        <x:v>0</x:v>
      </x:c>
      <x:c r="C119" s="9" t="n">
        <x:f>((SQRT((Inputs!$C$52+Inputs!$C$5)^2+Inputs!$C$52^2-2*(Inputs!$C$52+Inputs!$C$5)*Inputs!$C$52*COS(SQRT((Model_Data!A119)^2+Inputs!$C$6^2)/Inputs!$C$52))-Inputs!$C$5)*1000/Inputs!$C$12)</x:f>
        <x:v>552.6799053911694</x:v>
      </x:c>
      <x:c r="D119" s="9" t="n">
        <x:f>Model_Data!F119</x:f>
        <x:v>552.6771634304794</x:v>
      </x:c>
      <x:c r="E119" s="9" t="n">
        <x:f>Model_Data!AC119</x:f>
        <x:v>292.0424003355421</x:v>
      </x:c>
      <x:c r="F119" s="10"/>
      <x:c r="G119" s="9" t="n">
        <x:f>Model_Data!A119</x:f>
        <x:v>-1.5</x:v>
      </x:c>
      <x:c r="H119" s="9" t="n">
        <x:f>Model_Data!Y119</x:f>
        <x:v>431.10580672292525</x:v>
      </x:c>
      <x:c r="I119" s="9" t="n">
        <x:f>Model_Data!Y119</x:f>
        <x:v>431.10580672292525</x:v>
      </x:c>
      <x:c r="J119" s="9" t="n">
        <x:f>Model_Data!X119</x:f>
        <x:v>-34.15455011761312</x:v>
      </x:c>
      <x:c r="K119" s="9" t="n">
        <x:f>Model_Data!A119</x:f>
        <x:v>-1.5</x:v>
      </x:c>
      <x:c r="L119" s="9" t="n">
        <x:f>Model_Data!Y119</x:f>
        <x:v>431.10580672292525</x:v>
      </x:c>
      <x:c r="M119" s="9" t="n">
        <x:f>Model_Data!X119</x:f>
        <x:v>-34.15455011761312</x:v>
      </x:c>
      <x:c r="N119" s="9" t="n">
        <x:f>-(Model_Data!AC119-Model_Data!F119)*Inputs!$C$12</x:f>
        <x:v>463.92987830898835</x:v>
      </x:c>
      <x:c r="O119" s="10"/>
      <x:c r="P119" s="9" t="n">
        <x:f>Model_Data!A119</x:f>
        <x:v>-1.5</x:v>
      </x:c>
      <x:c r="Q119" s="9" t="n">
        <x:f>Model_Data!P119</x:f>
        <x:v>12.841725789530756</x:v>
      </x:c>
      <x:c r="R119" s="9" t="n">
        <x:f>Model_Data!AM119</x:f>
        <x:v>20.845477274997393</x:v>
      </x:c>
      <x:c r="S119" s="9" t="n">
        <x:f>Model_Data!Q119</x:f>
        <x:v>1.9281870554850986</x:v>
      </x:c>
      <x:c r="T119" s="9" t="n">
        <x:f>Model_Data!AN119</x:f>
        <x:v>3.1299515427924014</x:v>
      </x:c>
      <x:c r="U119" s="10"/>
      <x:c r="V119" s="9" t="n">
        <x:f>Model_Data!A119</x:f>
        <x:v>-1.5</x:v>
      </x:c>
      <x:c r="W119" s="9" t="n">
        <x:f>Model_Data!B119-Inputs!$C$5</x:f>
        <x:v>0.0024999999999977263</x:v>
      </x:c>
      <x:c r="X119" s="10"/>
      <x:c r="Y119" s="9" t="n">
        <x:f>Model_Data!A119</x:f>
        <x:v>-1.5</x:v>
      </x:c>
      <x:c r="Z119" s="9" t="n">
        <x:f>0</x:f>
        <x:v>0</x:v>
      </x:c>
      <x:c r="AA119" s="9" t="n">
        <x:f>((SQRT((Inputs!$C$52+Inputs!$C$5)^2+Inputs!$C$52^2-2*(Inputs!$C$52+Inputs!$C$5)*Inputs!$C$52*COS(SQRT((Model_Data!A119)^2+Inputs!$C$6^2)/Inputs!$C$52))-Inputs!$C$5)*1000/Inputs!$C$12)</x:f>
        <x:v>552.6799053911694</x:v>
      </x:c>
      <x:c r="AB119" s="9" t="n">
        <x:f>Model_Data!F119</x:f>
        <x:v>552.6771634304794</x:v>
      </x:c>
    </x:row>
    <x:row r="120">
      <x:c r="A120" s="9" t="n">
        <x:f>Model_Data!A120</x:f>
        <x:v>-1</x:v>
      </x:c>
      <x:c r="B120" s="9" t="n">
        <x:f>0</x:f>
        <x:v>0</x:v>
      </x:c>
      <x:c r="C120" s="9" t="n">
        <x:f>((SQRT((Inputs!$C$52+Inputs!$C$5)^2+Inputs!$C$52^2-2*(Inputs!$C$52+Inputs!$C$5)*Inputs!$C$52*COS(SQRT((Model_Data!A120)^2+Inputs!$C$6^2)/Inputs!$C$52))-Inputs!$C$5)*1000/Inputs!$C$12)</x:f>
        <x:v>551.5798825481614</x:v>
      </x:c>
      <x:c r="D120" s="9" t="n">
        <x:f>Model_Data!F120</x:f>
        <x:v>551.5786663135019</x:v>
      </x:c>
      <x:c r="E120" s="9" t="n">
        <x:f>Model_Data!AC120</x:f>
        <x:v>283.0944706325295</x:v>
      </x:c>
      <x:c r="F120" s="10"/>
      <x:c r="G120" s="9" t="n">
        <x:f>Model_Data!A120</x:f>
        <x:v>-1</x:v>
      </x:c>
      <x:c r="H120" s="9" t="n">
        <x:f>Model_Data!Y120</x:f>
        <x:v>440.9944102420088</x:v>
      </x:c>
      <x:c r="I120" s="9" t="n">
        <x:f>Model_Data!Y120</x:f>
        <x:v>440.9944102420088</x:v>
      </x:c>
      <x:c r="J120" s="9" t="n">
        <x:f>Model_Data!X120</x:f>
        <x:v>-38.26579288799343</x:v>
      </x:c>
      <x:c r="K120" s="9" t="n">
        <x:f>Model_Data!A120</x:f>
        <x:v>-1</x:v>
      </x:c>
      <x:c r="L120" s="9" t="n">
        <x:f>Model_Data!Y120</x:f>
        <x:v>440.9944102420088</x:v>
      </x:c>
      <x:c r="M120" s="9" t="n">
        <x:f>Model_Data!X120</x:f>
        <x:v>-38.26579288799343</x:v>
      </x:c>
      <x:c r="N120" s="9" t="n">
        <x:f>-(Model_Data!AC120-Model_Data!F120)*Inputs!$C$12</x:f>
        <x:v>477.9018683121309</x:v>
      </x:c>
      <x:c r="O120" s="10"/>
      <x:c r="P120" s="9" t="n">
        <x:f>Model_Data!A120</x:f>
        <x:v>-1</x:v>
      </x:c>
      <x:c r="Q120" s="9" t="n">
        <x:f>Model_Data!P120</x:f>
        <x:v>8.561202941109514</x:v>
      </x:c>
      <x:c r="R120" s="9" t="n">
        <x:f>Model_Data!AM120</x:f>
        <x:v>77.35858270280005</x:v>
      </x:c>
      <x:c r="S120" s="9" t="n">
        <x:f>Model_Data!Q120</x:f>
        <x:v>1.2854659070735006</x:v>
      </x:c>
      <x:c r="T120" s="9" t="n">
        <x:f>Model_Data!AN120</x:f>
        <x:v>11.615402808228236</x:v>
      </x:c>
      <x:c r="U120" s="10"/>
      <x:c r="V120" s="9" t="n">
        <x:f>Model_Data!A120</x:f>
        <x:v>-1</x:v>
      </x:c>
      <x:c r="W120" s="9" t="n">
        <x:f>Model_Data!B120-Inputs!$C$5</x:f>
        <x:v>0.0011111111111290484</x:v>
      </x:c>
      <x:c r="X120" s="10"/>
      <x:c r="Y120" s="9" t="n">
        <x:f>Model_Data!A120</x:f>
        <x:v>-1</x:v>
      </x:c>
      <x:c r="Z120" s="9" t="n">
        <x:f>0</x:f>
        <x:v>0</x:v>
      </x:c>
      <x:c r="AA120" s="9" t="n">
        <x:f>((SQRT((Inputs!$C$52+Inputs!$C$5)^2+Inputs!$C$52^2-2*(Inputs!$C$52+Inputs!$C$5)*Inputs!$C$52*COS(SQRT((Model_Data!A120)^2+Inputs!$C$6^2)/Inputs!$C$52))-Inputs!$C$5)*1000/Inputs!$C$12)</x:f>
        <x:v>551.5798825481614</x:v>
      </x:c>
      <x:c r="AB120" s="9" t="n">
        <x:f>Model_Data!F120</x:f>
        <x:v>551.5786663135019</x:v>
      </x:c>
    </x:row>
    <x:row r="121">
      <x:c r="A121" s="9" t="n">
        <x:f>Model_Data!A121</x:f>
        <x:v>-0.5</x:v>
      </x:c>
      <x:c r="B121" s="9" t="n">
        <x:f>0</x:f>
        <x:v>0</x:v>
      </x:c>
      <x:c r="C121" s="9" t="n">
        <x:f>((SQRT((Inputs!$C$52+Inputs!$C$5)^2+Inputs!$C$52^2-2*(Inputs!$C$52+Inputs!$C$5)*Inputs!$C$52*COS(SQRT((Model_Data!A121)^2+Inputs!$C$6^2)/Inputs!$C$52))-Inputs!$C$5)*1000/Inputs!$C$12)</x:f>
        <x:v>550.9198662189946</x:v>
      </x:c>
      <x:c r="D121" s="9" t="n">
        <x:f>Model_Data!F121</x:f>
        <x:v>550.9195625226187</x:v>
      </x:c>
      <x:c r="E121" s="9" t="n">
        <x:f>Model_Data!AC121</x:f>
        <x:v>276.35578795075725</x:v>
      </x:c>
      <x:c r="F121" s="10"/>
      <x:c r="G121" s="9" t="n">
        <x:f>Model_Data!A121</x:f>
        <x:v>-0.5</x:v>
      </x:c>
      <x:c r="H121" s="9" t="n">
        <x:f>Model_Data!Y121</x:f>
        <x:v>474.23278667183286</x:v>
      </x:c>
      <x:c r="I121" s="9" t="n">
        <x:f>Model_Data!Y121</x:f>
        <x:v>474.23278667183286</x:v>
      </x:c>
      <x:c r="J121" s="9" t="n">
        <x:f>Model_Data!X121</x:f>
        <x:v>-15.949828195457984</x:v>
      </x:c>
      <x:c r="K121" s="9" t="n">
        <x:f>Model_Data!A121</x:f>
        <x:v>-0.5</x:v>
      </x:c>
      <x:c r="L121" s="9" t="n">
        <x:f>Model_Data!Y121</x:f>
        <x:v>474.23278667183286</x:v>
      </x:c>
      <x:c r="M121" s="9" t="n">
        <x:f>Model_Data!X121</x:f>
        <x:v>-15.949828195457984</x:v>
      </x:c>
      <x:c r="N121" s="9" t="n">
        <x:f>-(Model_Data!AC121-Model_Data!F121)*Inputs!$C$12</x:f>
        <x:v>488.7235187379133</x:v>
      </x:c>
      <x:c r="O121" s="10"/>
      <x:c r="P121" s="9" t="n">
        <x:f>Model_Data!A121</x:f>
        <x:v>-0.5</x:v>
      </x:c>
      <x:c r="Q121" s="9" t="n">
        <x:f>Model_Data!P121</x:f>
        <x:v>4.280617193035141</x:v>
      </x:c>
      <x:c r="R121" s="9" t="n">
        <x:f>Model_Data!AM121</x:f>
        <x:v>67.21549524045258</x:v>
      </x:c>
      <x:c r="S121" s="9" t="n">
        <x:f>Model_Data!Q121</x:f>
        <x:v>0.6427353142695408</x:v>
      </x:c>
      <x:c r="T121" s="9" t="n">
        <x:f>Model_Data!AN121</x:f>
        <x:v>10.09241670277066</x:v>
      </x:c>
      <x:c r="U121" s="10"/>
      <x:c r="V121" s="9" t="n">
        <x:f>Model_Data!A121</x:f>
        <x:v>-0.5</x:v>
      </x:c>
      <x:c r="W121" s="9" t="n">
        <x:f>Model_Data!B121-Inputs!$C$5</x:f>
        <x:v>0.00027777777779647295</x:v>
      </x:c>
      <x:c r="X121" s="10"/>
      <x:c r="Y121" s="9" t="n">
        <x:f>Model_Data!A121</x:f>
        <x:v>-0.5</x:v>
      </x:c>
      <x:c r="Z121" s="9" t="n">
        <x:f>0</x:f>
        <x:v>0</x:v>
      </x:c>
      <x:c r="AA121" s="9" t="n">
        <x:f>((SQRT((Inputs!$C$52+Inputs!$C$5)^2+Inputs!$C$52^2-2*(Inputs!$C$52+Inputs!$C$5)*Inputs!$C$52*COS(SQRT((Model_Data!A121)^2+Inputs!$C$6^2)/Inputs!$C$52))-Inputs!$C$5)*1000/Inputs!$C$12)</x:f>
        <x:v>550.9198662189946</x:v>
      </x:c>
      <x:c r="AB121" s="9" t="n">
        <x:f>Model_Data!F121</x:f>
        <x:v>550.9195625226187</x:v>
      </x:c>
    </x:row>
    <x:row r="122">
      <x:c r="A122" s="9" t="n">
        <x:f>Model_Data!A122</x:f>
        <x:v>0</x:v>
      </x:c>
      <x:c r="B122" s="9" t="n">
        <x:f>0</x:f>
        <x:v>0</x:v>
      </x:c>
      <x:c r="C122" s="9" t="n">
        <x:f>((SQRT((Inputs!$C$52+Inputs!$C$5)^2+Inputs!$C$52^2-2*(Inputs!$C$52+Inputs!$C$5)*Inputs!$C$52*COS(SQRT((Model_Data!A122)^2+Inputs!$C$6^2)/Inputs!$C$52))-Inputs!$C$5)*1000/Inputs!$C$12)</x:f>
        <x:v>550.6998603390537</x:v>
      </x:c>
      <x:c r="D122" s="9" t="n">
        <x:f>Model_Data!F122</x:f>
        <x:v>550.6998603390537</x:v>
      </x:c>
      <x:c r="E122" s="9" t="n">
        <x:f>Model_Data!AC122</x:f>
        <x:v>278.8355336025972</x:v>
      </x:c>
      <x:c r="F122" s="10"/>
      <x:c r="G122" s="9" t="n">
        <x:f>Model_Data!A122</x:f>
        <x:v>0</x:v>
      </x:c>
      <x:c r="H122" s="9" t="n">
        <x:f>Model_Data!Y122</x:f>
        <x:v>480.44802858922253</x:v>
      </x:c>
      <x:c r="I122" s="9" t="n">
        <x:f>Model_Data!Y122</x:f>
        <x:v>480.44802858922253</x:v>
      </x:c>
      <x:c r="J122" s="9" t="n">
        <x:f>Model_Data!X122</x:f>
        <x:v>-4.948127387128106</x:v>
      </x:c>
      <x:c r="K122" s="9" t="n">
        <x:f>Model_Data!A122</x:f>
        <x:v>0</x:v>
      </x:c>
      <x:c r="L122" s="9" t="n">
        <x:f>Model_Data!Y122</x:f>
        <x:v>480.44802858922253</x:v>
      </x:c>
      <x:c r="M122" s="9" t="n">
        <x:f>Model_Data!X122</x:f>
        <x:v>-4.948127387128106</x:v>
      </x:c>
      <x:c r="N122" s="9" t="n">
        <x:f>-(Model_Data!AC122-Model_Data!F122)*Inputs!$C$12</x:f>
        <x:v>483.9185015908925</x:v>
      </x:c>
      <x:c r="O122" s="10"/>
      <x:c r="P122" s="9" t="n">
        <x:f>Model_Data!A122</x:f>
        <x:v>0</x:v>
      </x:c>
      <x:c r="Q122" s="9" t="n">
        <x:f>Model_Data!P122</x:f>
        <x:v>0</x:v>
      </x:c>
      <x:c r="R122" s="9" t="n">
        <x:f>Model_Data!AM122</x:f>
        <x:v>13.577875871487777</x:v>
      </x:c>
      <x:c r="S122" s="9" t="n">
        <x:f>Model_Data!Q122</x:f>
        <x:v>0</x:v>
      </x:c>
      <x:c r="T122" s="9" t="n">
        <x:f>Model_Data!AN122</x:f>
        <x:v>2.0387201008239906</x:v>
      </x:c>
      <x:c r="U122" s="10"/>
      <x:c r="V122" s="9" t="n">
        <x:f>Model_Data!A122</x:f>
        <x:v>0</x:v>
      </x:c>
      <x:c r="W122" s="9" t="n">
        <x:f>Model_Data!B122-Inputs!$C$5</x:f>
        <x:v>0</x:v>
      </x:c>
      <x:c r="X122" s="10"/>
      <x:c r="Y122" s="9" t="n">
        <x:f>Model_Data!A122</x:f>
        <x:v>0</x:v>
      </x:c>
      <x:c r="Z122" s="9" t="n">
        <x:f>0</x:f>
        <x:v>0</x:v>
      </x:c>
      <x:c r="AA122" s="9" t="n">
        <x:f>((SQRT((Inputs!$C$52+Inputs!$C$5)^2+Inputs!$C$52^2-2*(Inputs!$C$52+Inputs!$C$5)*Inputs!$C$52*COS(SQRT((Model_Data!A122)^2+Inputs!$C$6^2)/Inputs!$C$52))-Inputs!$C$5)*1000/Inputs!$C$12)</x:f>
        <x:v>550.6998603390537</x:v>
      </x:c>
      <x:c r="AB122" s="9" t="n">
        <x:f>Model_Data!F122</x:f>
        <x:v>550.6998603390537</x:v>
      </x:c>
    </x:row>
    <x:row r="123">
      <x:c r="A123" s="9" t="n">
        <x:f>Model_Data!A123</x:f>
        <x:v>0.5</x:v>
      </x:c>
      <x:c r="B123" s="9" t="n">
        <x:f>0</x:f>
        <x:v>0</x:v>
      </x:c>
      <x:c r="C123" s="9" t="n">
        <x:f>((SQRT((Inputs!$C$52+Inputs!$C$5)^2+Inputs!$C$52^2-2*(Inputs!$C$52+Inputs!$C$5)*Inputs!$C$52*COS(SQRT((Model_Data!A123)^2+Inputs!$C$6^2)/Inputs!$C$52))-Inputs!$C$5)*1000/Inputs!$C$12)</x:f>
        <x:v>550.9198662189946</x:v>
      </x:c>
      <x:c r="D123" s="9" t="n">
        <x:f>Model_Data!F123</x:f>
        <x:v>550.9195625226187</x:v>
      </x:c>
      <x:c r="E123" s="9" t="n">
        <x:f>Model_Data!AC123</x:f>
        <x:v>281.8182738541844</x:v>
      </x:c>
      <x:c r="F123" s="10"/>
      <x:c r="G123" s="9" t="n">
        <x:f>Model_Data!A123</x:f>
        <x:v>0.5</x:v>
      </x:c>
      <x:c r="H123" s="9" t="n">
        <x:f>Model_Data!Y123</x:f>
        <x:v>482.7451811280071</x:v>
      </x:c>
      <x:c r="I123" s="9" t="n">
        <x:f>Model_Data!Y123</x:f>
        <x:v>482.7451811280071</x:v>
      </x:c>
      <x:c r="J123" s="9" t="n">
        <x:f>Model_Data!X123</x:f>
        <x:v>2.259569132321303</x:v>
      </x:c>
      <x:c r="K123" s="9" t="n">
        <x:f>Model_Data!A123</x:f>
        <x:v>0.5</x:v>
      </x:c>
      <x:c r="L123" s="9" t="n">
        <x:f>Model_Data!Y123</x:f>
        <x:v>482.7451811280071</x:v>
      </x:c>
      <x:c r="M123" s="9" t="n">
        <x:f>Model_Data!X123</x:f>
        <x:v>2.259569132321303</x:v>
      </x:c>
      <x:c r="N123" s="9" t="n">
        <x:f>-(Model_Data!AC123-Model_Data!F123)*Inputs!$C$12</x:f>
        <x:v>479.000293829813</x:v>
      </x:c>
      <x:c r="O123" s="10"/>
      <x:c r="P123" s="9" t="n">
        <x:f>Model_Data!A123</x:f>
        <x:v>0.5</x:v>
      </x:c>
      <x:c r="Q123" s="9" t="n">
        <x:f>Model_Data!P123</x:f>
        <x:v>-4.280617193035141</x:v>
      </x:c>
      <x:c r="R123" s="9" t="n">
        <x:f>Model_Data!AM123</x:f>
        <x:v>23.04487073324708</x:v>
      </x:c>
      <x:c r="S123" s="9" t="n">
        <x:f>Model_Data!Q123</x:f>
        <x:v>-0.6427353142695408</x:v>
      </x:c>
      <x:c r="T123" s="9" t="n">
        <x:f>Model_Data!AN123</x:f>
        <x:v>3.46019080078785</x:v>
      </x:c>
      <x:c r="U123" s="10"/>
      <x:c r="V123" s="9" t="n">
        <x:f>Model_Data!A123</x:f>
        <x:v>0.5</x:v>
      </x:c>
      <x:c r="W123" s="9" t="n">
        <x:f>Model_Data!B123-Inputs!$C$5</x:f>
        <x:v>0.00027777777779647295</x:v>
      </x:c>
      <x:c r="X123" s="10"/>
      <x:c r="Y123" s="9" t="n">
        <x:f>Model_Data!A123</x:f>
        <x:v>0.5</x:v>
      </x:c>
      <x:c r="Z123" s="9" t="n">
        <x:f>0</x:f>
        <x:v>0</x:v>
      </x:c>
      <x:c r="AA123" s="9" t="n">
        <x:f>((SQRT((Inputs!$C$52+Inputs!$C$5)^2+Inputs!$C$52^2-2*(Inputs!$C$52+Inputs!$C$5)*Inputs!$C$52*COS(SQRT((Model_Data!A123)^2+Inputs!$C$6^2)/Inputs!$C$52))-Inputs!$C$5)*1000/Inputs!$C$12)</x:f>
        <x:v>550.9198662189946</x:v>
      </x:c>
      <x:c r="AB123" s="9" t="n">
        <x:f>Model_Data!F123</x:f>
        <x:v>550.9195625226187</x:v>
      </x:c>
    </x:row>
    <x:row r="124">
      <x:c r="A124" s="9" t="n">
        <x:f>Model_Data!A124</x:f>
        <x:v>1</x:v>
      </x:c>
      <x:c r="B124" s="9" t="n">
        <x:f>0</x:f>
        <x:v>0</x:v>
      </x:c>
      <x:c r="C124" s="9" t="n">
        <x:f>((SQRT((Inputs!$C$52+Inputs!$C$5)^2+Inputs!$C$52^2-2*(Inputs!$C$52+Inputs!$C$5)*Inputs!$C$52*COS(SQRT((Model_Data!A124)^2+Inputs!$C$6^2)/Inputs!$C$52))-Inputs!$C$5)*1000/Inputs!$C$12)</x:f>
        <x:v>551.5798825481614</x:v>
      </x:c>
      <x:c r="D124" s="9" t="n">
        <x:f>Model_Data!F124</x:f>
        <x:v>551.5786663135019</x:v>
      </x:c>
      <x:c r="E124" s="9" t="n">
        <x:f>Model_Data!AC124</x:f>
        <x:v>297.0998135402417</x:v>
      </x:c>
      <x:c r="F124" s="10"/>
      <x:c r="G124" s="9" t="n">
        <x:f>Model_Data!A124</x:f>
        <x:v>1</x:v>
      </x:c>
      <x:c r="H124" s="9" t="n">
        <x:f>Model_Data!Y124</x:f>
        <x:v>497.58165314697214</x:v>
      </x:c>
      <x:c r="I124" s="9" t="n">
        <x:f>Model_Data!Y124</x:f>
        <x:v>497.58165314697214</x:v>
      </x:c>
      <x:c r="J124" s="9" t="n">
        <x:f>Model_Data!X124</x:f>
        <x:v>43.07644622126787</x:v>
      </x:c>
      <x:c r="K124" s="9" t="n">
        <x:f>Model_Data!A124</x:f>
        <x:v>1</x:v>
      </x:c>
      <x:c r="L124" s="9" t="n">
        <x:f>Model_Data!Y124</x:f>
        <x:v>497.58165314697214</x:v>
      </x:c>
      <x:c r="M124" s="9" t="n">
        <x:f>Model_Data!X124</x:f>
        <x:v>43.07644622126787</x:v>
      </x:c>
      <x:c r="N124" s="9" t="n">
        <x:f>-(Model_Data!AC124-Model_Data!F124)*Inputs!$C$12</x:f>
        <x:v>452.97235793640317</x:v>
      </x:c>
      <x:c r="O124" s="10"/>
      <x:c r="P124" s="9" t="n">
        <x:f>Model_Data!A124</x:f>
        <x:v>1</x:v>
      </x:c>
      <x:c r="Q124" s="9" t="n">
        <x:f>Model_Data!P124</x:f>
        <x:v>-8.561202941109514</x:v>
      </x:c>
      <x:c r="R124" s="9" t="n">
        <x:f>Model_Data!AM124</x:f>
        <x:v>45.85282185325923</x:v>
      </x:c>
      <x:c r="S124" s="9" t="n">
        <x:f>Model_Data!Q124</x:f>
        <x:v>-1.2854659070735006</x:v>
      </x:c>
      <x:c r="T124" s="9" t="n">
        <x:f>Model_Data!AN124</x:f>
        <x:v>6.88480808607496</x:v>
      </x:c>
      <x:c r="U124" s="10"/>
      <x:c r="V124" s="9" t="n">
        <x:f>Model_Data!A124</x:f>
        <x:v>1</x:v>
      </x:c>
      <x:c r="W124" s="9" t="n">
        <x:f>Model_Data!B124-Inputs!$C$5</x:f>
        <x:v>0.0011111111111290484</x:v>
      </x:c>
      <x:c r="X124" s="10"/>
      <x:c r="Y124" s="9" t="n">
        <x:f>Model_Data!A124</x:f>
        <x:v>1</x:v>
      </x:c>
      <x:c r="Z124" s="9" t="n">
        <x:f>0</x:f>
        <x:v>0</x:v>
      </x:c>
      <x:c r="AA124" s="9" t="n">
        <x:f>((SQRT((Inputs!$C$52+Inputs!$C$5)^2+Inputs!$C$52^2-2*(Inputs!$C$52+Inputs!$C$5)*Inputs!$C$52*COS(SQRT((Model_Data!A124)^2+Inputs!$C$6^2)/Inputs!$C$52))-Inputs!$C$5)*1000/Inputs!$C$12)</x:f>
        <x:v>551.5798825481614</x:v>
      </x:c>
      <x:c r="AB124" s="9" t="n">
        <x:f>Model_Data!F124</x:f>
        <x:v>551.5786663135019</x:v>
      </x:c>
    </x:row>
    <x:row r="125">
      <x:c r="A125" s="9" t="n">
        <x:f>Model_Data!A125</x:f>
        <x:v>1.5</x:v>
      </x:c>
      <x:c r="B125" s="9" t="n">
        <x:f>0</x:f>
        <x:v>0</x:v>
      </x:c>
      <x:c r="C125" s="9" t="n">
        <x:f>((SQRT((Inputs!$C$52+Inputs!$C$5)^2+Inputs!$C$52^2-2*(Inputs!$C$52+Inputs!$C$5)*Inputs!$C$52*COS(SQRT((Model_Data!A125)^2+Inputs!$C$6^2)/Inputs!$C$52))-Inputs!$C$5)*1000/Inputs!$C$12)</x:f>
        <x:v>552.6799053911694</x:v>
      </x:c>
      <x:c r="D125" s="9" t="n">
        <x:f>Model_Data!F125</x:f>
        <x:v>552.6771634304794</x:v>
      </x:c>
      <x:c r="E125" s="9" t="n">
        <x:f>Model_Data!AC125</x:f>
        <x:v>289.5009422899691</x:v>
      </x:c>
      <x:c r="F125" s="10"/>
      <x:c r="G125" s="9" t="n">
        <x:f>Model_Data!A125</x:f>
        <x:v>1.5</x:v>
      </x:c>
      <x:c r="H125" s="9" t="n">
        <x:f>Model_Data!Y125</x:f>
        <x:v>516.864115303311</x:v>
      </x:c>
      <x:c r="I125" s="9" t="n">
        <x:f>Model_Data!Y125</x:f>
        <x:v>516.864115303311</x:v>
      </x:c>
      <x:c r="J125" s="9" t="n">
        <x:f>Model_Data!X125</x:f>
        <x:v>46.8149548284789</x:v>
      </x:c>
      <x:c r="K125" s="9" t="n">
        <x:f>Model_Data!A125</x:f>
        <x:v>1.5</x:v>
      </x:c>
      <x:c r="L125" s="9" t="n">
        <x:f>Model_Data!Y125</x:f>
        <x:v>516.864115303311</x:v>
      </x:c>
      <x:c r="M125" s="9" t="n">
        <x:f>Model_Data!X125</x:f>
        <x:v>46.8149548284789</x:v>
      </x:c>
      <x:c r="N125" s="9" t="n">
        <x:f>-(Model_Data!AC125-Model_Data!F125)*Inputs!$C$12</x:f>
        <x:v>468.4536736301083</x:v>
      </x:c>
      <x:c r="O125" s="10"/>
      <x:c r="P125" s="9" t="n">
        <x:f>Model_Data!A125</x:f>
        <x:v>1.5</x:v>
      </x:c>
      <x:c r="Q125" s="9" t="n">
        <x:f>Model_Data!P125</x:f>
        <x:v>-12.841725789530756</x:v>
      </x:c>
      <x:c r="R125" s="9" t="n">
        <x:f>Model_Data!AM125</x:f>
        <x:v>46.04321213610092</x:v>
      </x:c>
      <x:c r="S125" s="9" t="n">
        <x:f>Model_Data!Q125</x:f>
        <x:v>-1.9281870554850986</x:v>
      </x:c>
      <x:c r="T125" s="9" t="n">
        <x:f>Model_Data!AN125</x:f>
        <x:v>6.91339521563077</x:v>
      </x:c>
      <x:c r="U125" s="10"/>
      <x:c r="V125" s="9" t="n">
        <x:f>Model_Data!A125</x:f>
        <x:v>1.5</x:v>
      </x:c>
      <x:c r="W125" s="9" t="n">
        <x:f>Model_Data!B125-Inputs!$C$5</x:f>
        <x:v>0.0024999999999977263</x:v>
      </x:c>
      <x:c r="X125" s="10"/>
      <x:c r="Y125" s="9" t="n">
        <x:f>Model_Data!A125</x:f>
        <x:v>1.5</x:v>
      </x:c>
      <x:c r="Z125" s="9" t="n">
        <x:f>0</x:f>
        <x:v>0</x:v>
      </x:c>
      <x:c r="AA125" s="9" t="n">
        <x:f>((SQRT((Inputs!$C$52+Inputs!$C$5)^2+Inputs!$C$52^2-2*(Inputs!$C$52+Inputs!$C$5)*Inputs!$C$52*COS(SQRT((Model_Data!A125)^2+Inputs!$C$6^2)/Inputs!$C$52))-Inputs!$C$5)*1000/Inputs!$C$12)</x:f>
        <x:v>552.6799053911694</x:v>
      </x:c>
      <x:c r="AB125" s="9" t="n">
        <x:f>Model_Data!F125</x:f>
        <x:v>552.6771634304794</x:v>
      </x:c>
    </x:row>
    <x:row r="126">
      <x:c r="A126" s="9" t="n">
        <x:f>Model_Data!A126</x:f>
        <x:v>2</x:v>
      </x:c>
      <x:c r="B126" s="9" t="n">
        <x:f>0</x:f>
        <x:v>0</x:v>
      </x:c>
      <x:c r="C126" s="9" t="n">
        <x:f>((SQRT((Inputs!$C$52+Inputs!$C$5)^2+Inputs!$C$52^2-2*(Inputs!$C$52+Inputs!$C$5)*Inputs!$C$52*COS(SQRT((Model_Data!A126)^2+Inputs!$C$6^2)/Inputs!$C$52))-Inputs!$C$5)*1000/Inputs!$C$12)</x:f>
        <x:v>554.2199281880963</x:v>
      </x:c>
      <x:c r="D126" s="9" t="n">
        <x:f>Model_Data!F126</x:f>
        <x:v>554.2150400691909</x:v>
      </x:c>
      <x:c r="E126" s="9" t="n">
        <x:f>Model_Data!AC126</x:f>
        <x:v>291.6904825085158</x:v>
      </x:c>
      <x:c r="F126" s="10"/>
      <x:c r="G126" s="9" t="n">
        <x:f>Model_Data!A126</x:f>
        <x:v>2</x:v>
      </x:c>
      <x:c r="H126" s="9" t="n">
        <x:f>Model_Data!Y126</x:f>
        <x:v>534.5064840723982</x:v>
      </x:c>
      <x:c r="I126" s="9" t="n">
        <x:f>Model_Data!Y126</x:f>
        <x:v>534.5064840723982</x:v>
      </x:c>
      <x:c r="J126" s="9" t="n">
        <x:f>Model_Data!X126</x:f>
        <x:v>65.55817790320465</x:v>
      </x:c>
      <x:c r="K126" s="9" t="n">
        <x:f>Model_Data!A126</x:f>
        <x:v>2</x:v>
      </x:c>
      <x:c r="L126" s="9" t="n">
        <x:f>Model_Data!Y126</x:f>
        <x:v>534.5064840723982</x:v>
      </x:c>
      <x:c r="M126" s="9" t="n">
        <x:f>Model_Data!X126</x:f>
        <x:v>65.55817790320465</x:v>
      </x:c>
      <x:c r="N126" s="9" t="n">
        <x:f>-(Model_Data!AC126-Model_Data!F126)*Inputs!$C$12</x:f>
        <x:v>467.29371245800166</x:v>
      </x:c>
      <x:c r="O126" s="10"/>
      <x:c r="P126" s="9" t="n">
        <x:f>Model_Data!A126</x:f>
        <x:v>2</x:v>
      </x:c>
      <x:c r="Q126" s="9" t="n">
        <x:f>Model_Data!P126</x:f>
        <x:v>-17.12215430170545</x:v>
      </x:c>
      <x:c r="R126" s="9" t="n">
        <x:f>Model_Data!AM126</x:f>
        <x:v>35.28480728100476</x:v>
      </x:c>
      <x:c r="S126" s="9" t="n">
        <x:f>Model_Data!Q126</x:f>
        <x:v>-2.570894039295113</x:v>
      </x:c>
      <x:c r="T126" s="9" t="n">
        <x:f>Model_Data!AN126</x:f>
        <x:v>5.2980191112619766</x:v>
      </x:c>
      <x:c r="U126" s="10"/>
      <x:c r="V126" s="9" t="n">
        <x:f>Model_Data!A126</x:f>
        <x:v>2</x:v>
      </x:c>
      <x:c r="W126" s="9" t="n">
        <x:f>Model_Data!B126-Inputs!$C$5</x:f>
        <x:v>0.00444444444445935</x:v>
      </x:c>
      <x:c r="X126" s="10"/>
      <x:c r="Y126" s="9" t="n">
        <x:f>Model_Data!A126</x:f>
        <x:v>2</x:v>
      </x:c>
      <x:c r="Z126" s="9" t="n">
        <x:f>0</x:f>
        <x:v>0</x:v>
      </x:c>
      <x:c r="AA126" s="9" t="n">
        <x:f>((SQRT((Inputs!$C$52+Inputs!$C$5)^2+Inputs!$C$52^2-2*(Inputs!$C$52+Inputs!$C$5)*Inputs!$C$52*COS(SQRT((Model_Data!A126)^2+Inputs!$C$6^2)/Inputs!$C$52))-Inputs!$C$5)*1000/Inputs!$C$12)</x:f>
        <x:v>554.2199281880963</x:v>
      </x:c>
      <x:c r="AB126" s="9" t="n">
        <x:f>Model_Data!F126</x:f>
        <x:v>554.2150400691909</x:v>
      </x:c>
    </x:row>
    <x:row r="127">
      <x:c r="A127" s="9" t="n">
        <x:f>Model_Data!A127</x:f>
        <x:v>2.5</x:v>
      </x:c>
      <x:c r="B127" s="9" t="n">
        <x:f>0</x:f>
        <x:v>0</x:v>
      </x:c>
      <x:c r="C127" s="9" t="n">
        <x:f>((SQRT((Inputs!$C$52+Inputs!$C$5)^2+Inputs!$C$52^2-2*(Inputs!$C$52+Inputs!$C$5)*Inputs!$C$52*COS(SQRT((Model_Data!A127)^2+Inputs!$C$6^2)/Inputs!$C$52))-Inputs!$C$5)*1000/Inputs!$C$12)</x:f>
        <x:v>556.1999417579955</x:v>
      </x:c>
      <x:c r="D127" s="9" t="n">
        <x:f>Model_Data!F127</x:f>
        <x:v>556.1922769103146</x:v>
      </x:c>
      <x:c r="E127" s="9" t="n">
        <x:f>Model_Data!AC127</x:f>
        <x:v>288.1461556623928</x:v>
      </x:c>
      <x:c r="F127" s="10"/>
      <x:c r="G127" s="9" t="n">
        <x:f>Model_Data!A127</x:f>
        <x:v>2.5</x:v>
      </x:c>
      <x:c r="H127" s="9" t="n">
        <x:f>Model_Data!Y127</x:f>
        <x:v>549.7308148691991</x:v>
      </x:c>
      <x:c r="I127" s="9" t="n">
        <x:f>Model_Data!Y127</x:f>
        <x:v>549.7308148691991</x:v>
      </x:c>
      <x:c r="J127" s="9" t="n">
        <x:f>Model_Data!X127</x:f>
        <x:v>70.90088362648228</x:v>
      </x:c>
      <x:c r="K127" s="9" t="n">
        <x:f>Model_Data!A127</x:f>
        <x:v>2.5</x:v>
      </x:c>
      <x:c r="L127" s="9" t="n">
        <x:f>Model_Data!Y127</x:f>
        <x:v>549.7308148691991</x:v>
      </x:c>
      <x:c r="M127" s="9" t="n">
        <x:f>Model_Data!X127</x:f>
        <x:v>70.90088362648228</x:v>
      </x:c>
      <x:c r="N127" s="9" t="n">
        <x:f>-(Model_Data!AC127-Model_Data!F127)*Inputs!$C$12</x:f>
        <x:v>477.12209582130083</x:v>
      </x:c>
      <x:c r="O127" s="10"/>
      <x:c r="P127" s="9" t="n">
        <x:f>Model_Data!A127</x:f>
        <x:v>2.5</x:v>
      </x:c>
      <x:c r="Q127" s="9" t="n">
        <x:f>Model_Data!P127</x:f>
        <x:v>-21.402457042222522</x:v>
      </x:c>
      <x:c r="R127" s="9" t="n">
        <x:f>Model_Data!AM127</x:f>
        <x:v>-17.696456895737356</x:v>
      </x:c>
      <x:c r="S127" s="9" t="n">
        <x:f>Model_Data!Q127</x:f>
        <x:v>-3.2135821384718506</x:v>
      </x:c>
      <x:c r="T127" s="9" t="n">
        <x:f>Model_Data!AN127</x:f>
        <x:v>-2.657125660020624</x:v>
      </x:c>
      <x:c r="U127" s="10"/>
      <x:c r="V127" s="9" t="n">
        <x:f>Model_Data!A127</x:f>
        <x:v>2.5</x:v>
      </x:c>
      <x:c r="W127" s="9" t="n">
        <x:f>Model_Data!B127-Inputs!$C$5</x:f>
        <x:v>0.006944444444457076</x:v>
      </x:c>
      <x:c r="X127" s="10"/>
      <x:c r="Y127" s="9" t="n">
        <x:f>Model_Data!A127</x:f>
        <x:v>2.5</x:v>
      </x:c>
      <x:c r="Z127" s="9" t="n">
        <x:f>0</x:f>
        <x:v>0</x:v>
      </x:c>
      <x:c r="AA127" s="9" t="n">
        <x:f>((SQRT((Inputs!$C$52+Inputs!$C$5)^2+Inputs!$C$52^2-2*(Inputs!$C$52+Inputs!$C$5)*Inputs!$C$52*COS(SQRT((Model_Data!A127)^2+Inputs!$C$6^2)/Inputs!$C$52))-Inputs!$C$5)*1000/Inputs!$C$12)</x:f>
        <x:v>556.1999417579955</x:v>
      </x:c>
      <x:c r="AB127" s="9" t="n">
        <x:f>Model_Data!F127</x:f>
        <x:v>556.1922769103146</x:v>
      </x:c>
    </x:row>
    <x:row r="128">
      <x:c r="A128" s="9" t="n">
        <x:f>Model_Data!A128</x:f>
        <x:v>3</x:v>
      </x:c>
      <x:c r="B128" s="9" t="n">
        <x:f>0</x:f>
        <x:v>0</x:v>
      </x:c>
      <x:c r="C128" s="9" t="n">
        <x:f>((SQRT((Inputs!$C$52+Inputs!$C$5)^2+Inputs!$C$52^2-2*(Inputs!$C$52+Inputs!$C$5)*Inputs!$C$52*COS(SQRT((Model_Data!A128)^2+Inputs!$C$6^2)/Inputs!$C$52))-Inputs!$C$5)*1000/Inputs!$C$12)</x:f>
        <x:v>558.6199342970436</x:v>
      </x:c>
      <x:c r="D128" s="9" t="n">
        <x:f>Model_Data!F128</x:f>
        <x:v>558.6088491118074</x:v>
      </x:c>
      <x:c r="E128" s="9" t="n">
        <x:f>Model_Data!AC128</x:f>
        <x:v>304.08790833176766</x:v>
      </x:c>
      <x:c r="F128" s="10"/>
      <x:c r="G128" s="9" t="n">
        <x:f>Model_Data!A128</x:f>
        <x:v>3</x:v>
      </x:c>
      <x:c r="H128" s="9" t="n">
        <x:f>Model_Data!Y128</x:f>
        <x:v>536.8431041026216</x:v>
      </x:c>
      <x:c r="I128" s="9" t="n">
        <x:f>Model_Data!Y128</x:f>
        <x:v>536.8431041026216</x:v>
      </x:c>
      <x:c r="J128" s="9" t="n">
        <x:f>Model_Data!X128</x:f>
        <x:v>82.12086586426281</x:v>
      </x:c>
      <x:c r="K128" s="9" t="n">
        <x:f>Model_Data!A128</x:f>
        <x:v>3</x:v>
      </x:c>
      <x:c r="L128" s="9" t="n">
        <x:f>Model_Data!Y128</x:f>
        <x:v>536.8431041026216</x:v>
      </x:c>
      <x:c r="M128" s="9" t="n">
        <x:f>Model_Data!X128</x:f>
        <x:v>82.12086586426281</x:v>
      </x:c>
      <x:c r="N128" s="9" t="n">
        <x:f>-(Model_Data!AC128-Model_Data!F128)*Inputs!$C$12</x:f>
        <x:v>453.0472745884708</x:v>
      </x:c>
      <x:c r="O128" s="10"/>
      <x:c r="P128" s="9" t="n">
        <x:f>Model_Data!A128</x:f>
        <x:v>3</x:v>
      </x:c>
      <x:c r="Q128" s="9" t="n">
        <x:f>Model_Data!P128</x:f>
        <x:v>-25.68260257039583</x:v>
      </x:c>
      <x:c r="R128" s="9" t="n">
        <x:f>Model_Data!AM128</x:f>
        <x:v>-4.673549830840784</x:v>
      </x:c>
      <x:c r="S128" s="9" t="n">
        <x:f>Model_Data!Q128</x:f>
        <x:v>-3.8562466321915663</x:v>
      </x:c>
      <x:c r="T128" s="9" t="n">
        <x:f>Model_Data!AN128</x:f>
        <x:v>-0.7017342088349526</x:v>
      </x:c>
      <x:c r="U128" s="10"/>
      <x:c r="V128" s="9" t="n">
        <x:f>Model_Data!A128</x:f>
        <x:v>3</x:v>
      </x:c>
      <x:c r="W128" s="9" t="n">
        <x:f>Model_Data!B128-Inputs!$C$5</x:f>
        <x:v>0.009999999999990905</x:v>
      </x:c>
      <x:c r="X128" s="10"/>
      <x:c r="Y128" s="9" t="n">
        <x:f>Model_Data!A128</x:f>
        <x:v>3</x:v>
      </x:c>
      <x:c r="Z128" s="9" t="n">
        <x:f>0</x:f>
        <x:v>0</x:v>
      </x:c>
      <x:c r="AA128" s="9" t="n">
        <x:f>((SQRT((Inputs!$C$52+Inputs!$C$5)^2+Inputs!$C$52^2-2*(Inputs!$C$52+Inputs!$C$5)*Inputs!$C$52*COS(SQRT((Model_Data!A128)^2+Inputs!$C$6^2)/Inputs!$C$52))-Inputs!$C$5)*1000/Inputs!$C$12)</x:f>
        <x:v>558.6199342970436</x:v>
      </x:c>
      <x:c r="AB128" s="9" t="n">
        <x:f>Model_Data!F128</x:f>
        <x:v>558.6088491118074</x:v>
      </x:c>
    </x:row>
    <x:row r="129">
      <x:c r="A129" s="9" t="n">
        <x:f>Model_Data!A129</x:f>
        <x:v>3.5</x:v>
      </x:c>
      <x:c r="B129" s="9" t="n">
        <x:f>0</x:f>
        <x:v>0</x:v>
      </x:c>
      <x:c r="C129" s="9" t="n">
        <x:f>((SQRT((Inputs!$C$52+Inputs!$C$5)^2+Inputs!$C$52^2-2*(Inputs!$C$52+Inputs!$C$5)*Inputs!$C$52*COS(SQRT((Model_Data!A129)^2+Inputs!$C$6^2)/Inputs!$C$52))-Inputs!$C$5)*1000/Inputs!$C$12)</x:f>
        <x:v>561.4798913764969</x:v>
      </x:c>
      <x:c r="D129" s="9" t="n">
        <x:f>Model_Data!F129</x:f>
        <x:v>561.4647263147173</x:v>
      </x:c>
      <x:c r="E129" s="9" t="n">
        <x:f>Model_Data!AC129</x:f>
        <x:v>301.61232511013645</x:v>
      </x:c>
      <x:c r="F129" s="10"/>
      <x:c r="G129" s="9" t="n">
        <x:f>Model_Data!A129</x:f>
        <x:v>3.5</x:v>
      </x:c>
      <x:c r="H129" s="9" t="n">
        <x:f>Model_Data!Y129</x:f>
        <x:v>562.919019674553</x:v>
      </x:c>
      <x:c r="I129" s="9" t="n">
        <x:f>Model_Data!Y129</x:f>
        <x:v>562.919019674553</x:v>
      </x:c>
      <x:c r="J129" s="9" t="n">
        <x:f>Model_Data!X129</x:f>
        <x:v>98.61636326587373</x:v>
      </x:c>
      <x:c r="K129" s="9" t="n">
        <x:f>Model_Data!A129</x:f>
        <x:v>3.5</x:v>
      </x:c>
      <x:c r="L129" s="9" t="n">
        <x:f>Model_Data!Y129</x:f>
        <x:v>562.919019674553</x:v>
      </x:c>
      <x:c r="M129" s="9" t="n">
        <x:f>Model_Data!X129</x:f>
        <x:v>98.61636326587373</x:v>
      </x:c>
      <x:c r="N129" s="9" t="n">
        <x:f>-(Model_Data!AC129-Model_Data!F129)*Inputs!$C$12</x:f>
        <x:v>462.53727414415386</x:v>
      </x:c>
      <x:c r="O129" s="10"/>
      <x:c r="P129" s="9" t="n">
        <x:f>Model_Data!A129</x:f>
        <x:v>3.5</x:v>
      </x:c>
      <x:c r="Q129" s="9" t="n">
        <x:f>Model_Data!P129</x:f>
        <x:v>-29.962559468549443</x:v>
      </x:c>
      <x:c r="R129" s="9" t="n">
        <x:f>Model_Data!AM129</x:f>
        <x:v>9.605232374906336</x:v>
      </x:c>
      <x:c r="S129" s="9" t="n">
        <x:f>Model_Data!Q129</x:f>
        <x:v>-4.498882803085502</x:v>
      </x:c>
      <x:c r="T129" s="9" t="n">
        <x:f>Model_Data!AN129</x:f>
        <x:v>1.4422270833192699</x:v>
      </x:c>
      <x:c r="U129" s="10"/>
      <x:c r="V129" s="9" t="n">
        <x:f>Model_Data!A129</x:f>
        <x:v>3.5</x:v>
      </x:c>
      <x:c r="W129" s="9" t="n">
        <x:f>Model_Data!B129-Inputs!$C$5</x:f>
        <x:v>0.01361111111111768</x:v>
      </x:c>
      <x:c r="X129" s="10"/>
      <x:c r="Y129" s="9" t="n">
        <x:f>Model_Data!A129</x:f>
        <x:v>3.5</x:v>
      </x:c>
      <x:c r="Z129" s="9" t="n">
        <x:f>0</x:f>
        <x:v>0</x:v>
      </x:c>
      <x:c r="AA129" s="9" t="n">
        <x:f>((SQRT((Inputs!$C$52+Inputs!$C$5)^2+Inputs!$C$52^2-2*(Inputs!$C$52+Inputs!$C$5)*Inputs!$C$52*COS(SQRT((Model_Data!A129)^2+Inputs!$C$6^2)/Inputs!$C$52))-Inputs!$C$5)*1000/Inputs!$C$12)</x:f>
        <x:v>561.4798913764969</x:v>
      </x:c>
      <x:c r="AB129" s="9" t="n">
        <x:f>Model_Data!F129</x:f>
        <x:v>561.4647263147173</x:v>
      </x:c>
    </x:row>
    <x:row r="130">
      <x:c r="A130" s="9" t="n">
        <x:f>Model_Data!A130</x:f>
        <x:v>4</x:v>
      </x:c>
      <x:c r="B130" s="9" t="n">
        <x:f>0</x:f>
        <x:v>0</x:v>
      </x:c>
      <x:c r="C130" s="9" t="n">
        <x:f>((SQRT((Inputs!$C$52+Inputs!$C$5)^2+Inputs!$C$52^2-2*(Inputs!$C$52+Inputs!$C$5)*Inputs!$C$52*COS(SQRT((Model_Data!A130)^2+Inputs!$C$6^2)/Inputs!$C$52))-Inputs!$C$5)*1000/Inputs!$C$12)</x:f>
        <x:v>564.7797959481517</x:v>
      </x:c>
      <x:c r="D130" s="9" t="n">
        <x:f>Model_Data!F130</x:f>
        <x:v>564.7598726455456</x:v>
      </x:c>
      <x:c r="E130" s="9" t="n">
        <x:f>Model_Data!AC130</x:f>
        <x:v>304.3470092749752</x:v>
      </x:c>
      <x:c r="F130" s="10"/>
      <x:c r="G130" s="9" t="n">
        <x:f>Model_Data!A130</x:f>
        <x:v>4</x:v>
      </x:c>
      <x:c r="H130" s="9" t="n">
        <x:f>Model_Data!Y130</x:f>
        <x:v>561.6697690573507</x:v>
      </x:c>
      <x:c r="I130" s="9" t="n">
        <x:f>Model_Data!Y130</x:f>
        <x:v>561.6697690573507</x:v>
      </x:c>
      <x:c r="J130" s="9" t="n">
        <x:f>Model_Data!X130</x:f>
        <x:v>96.36311355528144</x:v>
      </x:c>
      <x:c r="K130" s="9" t="n">
        <x:f>Model_Data!A130</x:f>
        <x:v>4</x:v>
      </x:c>
      <x:c r="L130" s="9" t="n">
        <x:f>Model_Data!Y130</x:f>
        <x:v>561.6697690573507</x:v>
      </x:c>
      <x:c r="M130" s="9" t="n">
        <x:f>Model_Data!X130</x:f>
        <x:v>96.36311355528144</x:v>
      </x:c>
      <x:c r="N130" s="9" t="n">
        <x:f>-(Model_Data!AC130-Model_Data!F130)*Inputs!$C$12</x:f>
        <x:v>463.5348967996152</x:v>
      </x:c>
      <x:c r="O130" s="10"/>
      <x:c r="P130" s="9" t="n">
        <x:f>Model_Data!A130</x:f>
        <x:v>4</x:v>
      </x:c>
      <x:c r="Q130" s="9" t="n">
        <x:f>Model_Data!P130</x:f>
        <x:v>-34.24229631555136</x:v>
      </x:c>
      <x:c r="R130" s="9" t="n">
        <x:f>Model_Data!AM130</x:f>
        <x:v>-25.147264343559073</x:v>
      </x:c>
      <x:c r="S130" s="9" t="n">
        <x:f>Model_Data!Q130</x:f>
        <x:v>-5.14148593326597</x:v>
      </x:c>
      <x:c r="T130" s="9" t="n">
        <x:f>Model_Data!AN130</x:f>
        <x:v>-3.7758655170509123</x:v>
      </x:c>
      <x:c r="U130" s="10"/>
      <x:c r="V130" s="9" t="n">
        <x:f>Model_Data!A130</x:f>
        <x:v>4</x:v>
      </x:c>
      <x:c r="W130" s="9" t="n">
        <x:f>Model_Data!B130-Inputs!$C$5</x:f>
        <x:v>0.017777777777780557</x:v>
      </x:c>
      <x:c r="X130" s="10"/>
      <x:c r="Y130" s="9" t="n">
        <x:f>Model_Data!A130</x:f>
        <x:v>4</x:v>
      </x:c>
      <x:c r="Z130" s="9" t="n">
        <x:f>0</x:f>
        <x:v>0</x:v>
      </x:c>
      <x:c r="AA130" s="9" t="n">
        <x:f>((SQRT((Inputs!$C$52+Inputs!$C$5)^2+Inputs!$C$52^2-2*(Inputs!$C$52+Inputs!$C$5)*Inputs!$C$52*COS(SQRT((Model_Data!A130)^2+Inputs!$C$6^2)/Inputs!$C$52))-Inputs!$C$5)*1000/Inputs!$C$12)</x:f>
        <x:v>564.7797959481517</x:v>
      </x:c>
      <x:c r="AB130" s="9" t="n">
        <x:f>Model_Data!F130</x:f>
        <x:v>564.7598726455456</x:v>
      </x:c>
    </x:row>
    <x:row r="131">
      <x:c r="A131" s="9" t="n">
        <x:f>Model_Data!A131</x:f>
        <x:v>4.5</x:v>
      </x:c>
      <x:c r="B131" s="9" t="n">
        <x:f>0</x:f>
        <x:v>0</x:v>
      </x:c>
      <x:c r="C131" s="9" t="n">
        <x:f>((SQRT((Inputs!$C$52+Inputs!$C$5)^2+Inputs!$C$52^2-2*(Inputs!$C$52+Inputs!$C$5)*Inputs!$C$52*COS(SQRT((Model_Data!A131)^2+Inputs!$C$6^2)/Inputs!$C$52))-Inputs!$C$5)*1000/Inputs!$C$12)</x:f>
        <x:v>568.519628340385</x:v>
      </x:c>
      <x:c r="D131" s="9" t="n">
        <x:f>Model_Data!F131</x:f>
        <x:v>568.494246712671</x:v>
      </x:c>
      <x:c r="E131" s="9" t="n">
        <x:f>Model_Data!AC131</x:f>
        <x:v>296.4054565525343</x:v>
      </x:c>
      <x:c r="F131" s="10"/>
      <x:c r="G131" s="9" t="n">
        <x:f>Model_Data!A131</x:f>
        <x:v>4.5</x:v>
      </x:c>
      <x:c r="H131" s="9" t="n">
        <x:f>Model_Data!Y131</x:f>
        <x:v>568.6436382247327</x:v>
      </x:c>
      <x:c r="I131" s="9" t="n">
        <x:f>Model_Data!Y131</x:f>
        <x:v>568.6436382247327</x:v>
      </x:c>
      <x:c r="J131" s="9" t="n">
        <x:f>Model_Data!X131</x:f>
        <x:v>82.51998590748882</x:v>
      </x:c>
      <x:c r="K131" s="9" t="n">
        <x:f>Model_Data!A131</x:f>
        <x:v>4.5</x:v>
      </x:c>
      <x:c r="L131" s="9" t="n">
        <x:f>Model_Data!Y131</x:f>
        <x:v>568.6436382247327</x:v>
      </x:c>
      <x:c r="M131" s="9" t="n">
        <x:f>Model_Data!X131</x:f>
        <x:v>82.51998590748882</x:v>
      </x:c>
      <x:c r="N131" s="9" t="n">
        <x:f>-(Model_Data!AC131-Model_Data!F131)*Inputs!$C$12</x:f>
        <x:v>484.3180464850434</x:v>
      </x:c>
      <x:c r="O131" s="10"/>
      <x:c r="P131" s="9" t="n">
        <x:f>Model_Data!A131</x:f>
        <x:v>4.5</x:v>
      </x:c>
      <x:c r="Q131" s="9" t="n">
        <x:f>Model_Data!P131</x:f>
        <x:v>-38.521781712279335</x:v>
      </x:c>
      <x:c r="R131" s="9" t="n">
        <x:f>Model_Data!AM131</x:f>
        <x:v>-59.06357460689833</x:v>
      </x:c>
      <x:c r="S131" s="9" t="n">
        <x:f>Model_Data!Q131</x:f>
        <x:v>-5.784051308150051</x:v>
      </x:c>
      <x:c r="T131" s="9" t="n">
        <x:f>Model_Data!AN131</x:f>
        <x:v>-8.86840459563038</x:v>
      </x:c>
      <x:c r="U131" s="10"/>
      <x:c r="V131" s="9" t="n">
        <x:f>Model_Data!A131</x:f>
        <x:v>4.5</x:v>
      </x:c>
      <x:c r="W131" s="9" t="n">
        <x:f>Model_Data!B131-Inputs!$C$5</x:f>
        <x:v>0.022499999999979536</x:v>
      </x:c>
      <x:c r="X131" s="10"/>
      <x:c r="Y131" s="9" t="n">
        <x:f>Model_Data!A131</x:f>
        <x:v>4.5</x:v>
      </x:c>
      <x:c r="Z131" s="9" t="n">
        <x:f>0</x:f>
        <x:v>0</x:v>
      </x:c>
      <x:c r="AA131" s="9" t="n">
        <x:f>((SQRT((Inputs!$C$52+Inputs!$C$5)^2+Inputs!$C$52^2-2*(Inputs!$C$52+Inputs!$C$5)*Inputs!$C$52*COS(SQRT((Model_Data!A131)^2+Inputs!$C$6^2)/Inputs!$C$52))-Inputs!$C$5)*1000/Inputs!$C$12)</x:f>
        <x:v>568.519628340385</x:v>
      </x:c>
      <x:c r="AB131" s="9" t="n">
        <x:f>Model_Data!F131</x:f>
        <x:v>568.494246712671</x:v>
      </x:c>
    </x:row>
    <x:row r="132">
      <x:c r="A132" s="9" t="n">
        <x:f>Model_Data!A132</x:f>
        <x:v>5</x:v>
      </x:c>
      <x:c r="B132" s="9" t="n">
        <x:f>0</x:f>
        <x:v>0</x:v>
      </x:c>
      <x:c r="C132" s="9" t="n">
        <x:f>((SQRT((Inputs!$C$52+Inputs!$C$5)^2+Inputs!$C$52^2-2*(Inputs!$C$52+Inputs!$C$5)*Inputs!$C$52*COS(SQRT((Model_Data!A132)^2+Inputs!$C$6^2)/Inputs!$C$52))-Inputs!$C$5)*1000/Inputs!$C$12)</x:f>
        <x:v>572.6993662599103</x:v>
      </x:c>
      <x:c r="D132" s="9" t="n">
        <x:f>Model_Data!F132</x:f>
        <x:v>572.6678016175588</x:v>
      </x:c>
      <x:c r="E132" s="9" t="n">
        <x:f>Model_Data!AC132</x:f>
        <x:v>320.9208205560296</x:v>
      </x:c>
      <x:c r="F132" s="10"/>
      <x:c r="G132" s="9" t="n">
        <x:f>Model_Data!A132</x:f>
        <x:v>5</x:v>
      </x:c>
      <x:c r="H132" s="9" t="n">
        <x:f>Model_Data!Y132</x:f>
        <x:v>548.8146920903409</x:v>
      </x:c>
      <x:c r="I132" s="9" t="n">
        <x:f>Model_Data!Y132</x:f>
        <x:v>548.8146920903409</x:v>
      </x:c>
      <x:c r="J132" s="9" t="n">
        <x:f>Model_Data!X132</x:f>
        <x:v>98.94976350623145</x:v>
      </x:c>
      <x:c r="K132" s="9" t="n">
        <x:f>Model_Data!A132</x:f>
        <x:v>5</x:v>
      </x:c>
      <x:c r="L132" s="9" t="n">
        <x:f>Model_Data!Y132</x:f>
        <x:v>548.8146920903409</x:v>
      </x:c>
      <x:c r="M132" s="9" t="n">
        <x:f>Model_Data!X132</x:f>
        <x:v>98.94976350623145</x:v>
      </x:c>
      <x:c r="N132" s="9" t="n">
        <x:f>-(Model_Data!AC132-Model_Data!F132)*Inputs!$C$12</x:f>
        <x:v>448.109626289522</x:v>
      </x:c>
      <x:c r="O132" s="10"/>
      <x:c r="P132" s="9" t="n">
        <x:f>Model_Data!A132</x:f>
        <x:v>5</x:v>
      </x:c>
      <x:c r="Q132" s="9" t="n">
        <x:f>Model_Data!P132</x:f>
        <x:v>-42.80098427389021</x:v>
      </x:c>
      <x:c r="R132" s="9" t="n">
        <x:f>Model_Data!AM132</x:f>
        <x:v>-89.29079603231003</x:v>
      </x:c>
      <x:c r="S132" s="9" t="n">
        <x:f>Model_Data!Q132</x:f>
        <x:v>-6.426574215298831</x:v>
      </x:c>
      <x:c r="T132" s="9" t="n">
        <x:f>Model_Data!AN132</x:f>
        <x:v>-13.407026431277783</x:v>
      </x:c>
      <x:c r="U132" s="10"/>
      <x:c r="V132" s="9" t="n">
        <x:f>Model_Data!A132</x:f>
        <x:v>5</x:v>
      </x:c>
      <x:c r="W132" s="9" t="n">
        <x:f>Model_Data!B132-Inputs!$C$5</x:f>
        <x:v>0.027777777777771462</x:v>
      </x:c>
      <x:c r="X132" s="10"/>
      <x:c r="Y132" s="9" t="n">
        <x:f>Model_Data!A132</x:f>
        <x:v>5</x:v>
      </x:c>
      <x:c r="Z132" s="9" t="n">
        <x:f>0</x:f>
        <x:v>0</x:v>
      </x:c>
      <x:c r="AA132" s="9" t="n">
        <x:f>((SQRT((Inputs!$C$52+Inputs!$C$5)^2+Inputs!$C$52^2-2*(Inputs!$C$52+Inputs!$C$5)*Inputs!$C$52*COS(SQRT((Model_Data!A132)^2+Inputs!$C$6^2)/Inputs!$C$52))-Inputs!$C$5)*1000/Inputs!$C$12)</x:f>
        <x:v>572.6993662599103</x:v>
      </x:c>
      <x:c r="AB132" s="9" t="n">
        <x:f>Model_Data!F132</x:f>
        <x:v>572.6678016175588</x:v>
      </x:c>
    </x:row>
    <x:row r="133">
      <x:c r="A133" s="9" t="n">
        <x:f>Model_Data!A133</x:f>
        <x:v>5.5</x:v>
      </x:c>
      <x:c r="B133" s="9" t="n">
        <x:f>0</x:f>
        <x:v>0</x:v>
      </x:c>
      <x:c r="C133" s="9" t="n">
        <x:f>((SQRT((Inputs!$C$52+Inputs!$C$5)^2+Inputs!$C$52^2-2*(Inputs!$C$52+Inputs!$C$5)*Inputs!$C$52*COS(SQRT((Model_Data!A133)^2+Inputs!$C$6^2)/Inputs!$C$52))-Inputs!$C$5)*1000/Inputs!$C$12)</x:f>
        <x:v>577.3189847965366</x:v>
      </x:c>
      <x:c r="D133" s="9" t="n">
        <x:f>Model_Data!F133</x:f>
        <x:v>577.2804849486606</x:v>
      </x:c>
      <x:c r="E133" s="9" t="n">
        <x:f>Model_Data!AC133</x:f>
        <x:v>329.7144835071999</x:v>
      </x:c>
      <x:c r="F133" s="10"/>
      <x:c r="G133" s="9" t="n">
        <x:f>Model_Data!A133</x:f>
        <x:v>5.5</x:v>
      </x:c>
      <x:c r="H133" s="9" t="n">
        <x:f>Model_Data!Y133</x:f>
        <x:v>539.5212853164131</x:v>
      </x:c>
      <x:c r="I133" s="9" t="n">
        <x:f>Model_Data!Y133</x:f>
        <x:v>539.5212853164131</x:v>
      </x:c>
      <x:c r="J133" s="9" t="n">
        <x:f>Model_Data!X133</x:f>
        <x:v>97.11441747768895</x:v>
      </x:c>
      <x:c r="K133" s="9" t="n">
        <x:f>Model_Data!A133</x:f>
        <x:v>5.5</x:v>
      </x:c>
      <x:c r="L133" s="9" t="n">
        <x:f>Model_Data!Y133</x:f>
        <x:v>539.5212853164131</x:v>
      </x:c>
      <x:c r="M133" s="9" t="n">
        <x:f>Model_Data!X133</x:f>
        <x:v>97.11441747768895</x:v>
      </x:c>
      <x:c r="N133" s="9" t="n">
        <x:f>-(Model_Data!AC133-Model_Data!F133)*Inputs!$C$12</x:f>
        <x:v>440.6674825658001</x:v>
      </x:c>
      <x:c r="O133" s="10"/>
      <x:c r="P133" s="9" t="n">
        <x:f>Model_Data!A133</x:f>
        <x:v>5.5</x:v>
      </x:c>
      <x:c r="Q133" s="9" t="n">
        <x:f>Model_Data!P133</x:f>
        <x:v>-47.07987260953814</x:v>
      </x:c>
      <x:c r="R133" s="9" t="n">
        <x:f>Model_Data!AM133</x:f>
        <x:v>-71.24450372502906</x:v>
      </x:c>
      <x:c r="S133" s="9" t="n">
        <x:f>Model_Data!Q133</x:f>
        <x:v>-7.069049941372094</x:v>
      </x:c>
      <x:c r="T133" s="9" t="n">
        <x:f>Model_Data!AN133</x:f>
        <x:v>-10.697372931686047</x:v>
      </x:c>
      <x:c r="U133" s="10"/>
      <x:c r="V133" s="9" t="n">
        <x:f>Model_Data!A133</x:f>
        <x:v>5.5</x:v>
      </x:c>
      <x:c r="W133" s="9" t="n">
        <x:f>Model_Data!B133-Inputs!$C$5</x:f>
        <x:v>0.03361111111109949</x:v>
      </x:c>
      <x:c r="X133" s="10"/>
      <x:c r="Y133" s="9" t="n">
        <x:f>Model_Data!A133</x:f>
        <x:v>5.5</x:v>
      </x:c>
      <x:c r="Z133" s="9" t="n">
        <x:f>0</x:f>
        <x:v>0</x:v>
      </x:c>
      <x:c r="AA133" s="9" t="n">
        <x:f>((SQRT((Inputs!$C$52+Inputs!$C$5)^2+Inputs!$C$52^2-2*(Inputs!$C$52+Inputs!$C$5)*Inputs!$C$52*COS(SQRT((Model_Data!A133)^2+Inputs!$C$6^2)/Inputs!$C$52))-Inputs!$C$5)*1000/Inputs!$C$12)</x:f>
        <x:v>577.3189847965366</x:v>
      </x:c>
      <x:c r="AB133" s="9" t="n">
        <x:f>Model_Data!F133</x:f>
        <x:v>577.2804849486606</x:v>
      </x:c>
    </x:row>
    <x:row r="134">
      <x:c r="A134" s="9" t="n">
        <x:f>Model_Data!A134</x:f>
        <x:v>6</x:v>
      </x:c>
      <x:c r="B134" s="9" t="n">
        <x:f>0</x:f>
        <x:v>0</x:v>
      </x:c>
      <x:c r="C134" s="9" t="n">
        <x:f>((SQRT((Inputs!$C$52+Inputs!$C$5)^2+Inputs!$C$52^2-2*(Inputs!$C$52+Inputs!$C$5)*Inputs!$C$52*COS(SQRT((Model_Data!A134)^2+Inputs!$C$6^2)/Inputs!$C$52))-Inputs!$C$5)*1000/Inputs!$C$12)</x:f>
        <x:v>582.3784564165571</x:v>
      </x:c>
      <x:c r="D134" s="9" t="n">
        <x:f>Model_Data!F134</x:f>
        <x:v>582.3322387853748</x:v>
      </x:c>
      <x:c r="E134" s="9" t="n">
        <x:f>Model_Data!AC134</x:f>
        <x:v>322.9985635779654</x:v>
      </x:c>
      <x:c r="F134" s="10"/>
      <x:c r="G134" s="9" t="n">
        <x:f>Model_Data!A134</x:f>
        <x:v>6</x:v>
      </x:c>
      <x:c r="H134" s="9" t="n">
        <x:f>Model_Data!Y134</x:f>
        <x:v>533.6920620973987</x:v>
      </x:c>
      <x:c r="I134" s="9" t="n">
        <x:f>Model_Data!Y134</x:f>
        <x:v>533.6920620973987</x:v>
      </x:c>
      <x:c r="J134" s="9" t="n">
        <x:f>Model_Data!X134</x:f>
        <x:v>70.34255347941284</x:v>
      </x:c>
      <x:c r="K134" s="9" t="n">
        <x:f>Model_Data!A134</x:f>
        <x:v>6</x:v>
      </x:c>
      <x:c r="L134" s="9" t="n">
        <x:f>Model_Data!Y134</x:f>
        <x:v>533.6920620973987</x:v>
      </x:c>
      <x:c r="M134" s="9" t="n">
        <x:f>Model_Data!X134</x:f>
        <x:v>70.34255347941284</x:v>
      </x:c>
      <x:c r="N134" s="9" t="n">
        <x:f>-(Model_Data!AC134-Model_Data!F134)*Inputs!$C$12</x:f>
        <x:v>461.6139418691887</x:v>
      </x:c>
      <x:c r="O134" s="10"/>
      <x:c r="P134" s="9" t="n">
        <x:f>Model_Data!A134</x:f>
        <x:v>6</x:v>
      </x:c>
      <x:c r="Q134" s="9" t="n">
        <x:f>Model_Data!P134</x:f>
        <x:v>-51.35841535866348</x:v>
      </x:c>
      <x:c r="R134" s="9" t="n">
        <x:f>Model_Data!AM134</x:f>
        <x:v>-75.48150197753785</x:v>
      </x:c>
      <x:c r="S134" s="9" t="n">
        <x:f>Model_Data!Q134</x:f>
        <x:v>-7.711473777577099</x:v>
      </x:c>
      <x:c r="T134" s="9" t="n">
        <x:f>Model_Data!AN134</x:f>
        <x:v>-11.333558855486164</x:v>
      </x:c>
      <x:c r="U134" s="10"/>
      <x:c r="V134" s="9" t="n">
        <x:f>Model_Data!A134</x:f>
        <x:v>6</x:v>
      </x:c>
      <x:c r="W134" s="9" t="n">
        <x:f>Model_Data!B134-Inputs!$C$5</x:f>
        <x:v>0.040000000000020464</x:v>
      </x:c>
      <x:c r="X134" s="10"/>
      <x:c r="Y134" s="9" t="n">
        <x:f>Model_Data!A134</x:f>
        <x:v>6</x:v>
      </x:c>
      <x:c r="Z134" s="9" t="n">
        <x:f>0</x:f>
        <x:v>0</x:v>
      </x:c>
      <x:c r="AA134" s="9" t="n">
        <x:f>((SQRT((Inputs!$C$52+Inputs!$C$5)^2+Inputs!$C$52^2-2*(Inputs!$C$52+Inputs!$C$5)*Inputs!$C$52*COS(SQRT((Model_Data!A134)^2+Inputs!$C$6^2)/Inputs!$C$52))-Inputs!$C$5)*1000/Inputs!$C$12)</x:f>
        <x:v>582.3784564165571</x:v>
      </x:c>
      <x:c r="AB134" s="9" t="n">
        <x:f>Model_Data!F134</x:f>
        <x:v>582.3322387853748</x:v>
      </x:c>
    </x:row>
    <x:row r="135">
      <x:c r="A135" s="9" t="n">
        <x:f>Model_Data!A135</x:f>
        <x:v>6.5</x:v>
      </x:c>
      <x:c r="B135" s="9" t="n">
        <x:f>0</x:f>
        <x:v>0</x:v>
      </x:c>
      <x:c r="C135" s="9" t="n">
        <x:f>((SQRT((Inputs!$C$52+Inputs!$C$5)^2+Inputs!$C$52^2-2*(Inputs!$C$52+Inputs!$C$5)*Inputs!$C$52*COS(SQRT((Model_Data!A135)^2+Inputs!$C$6^2)/Inputs!$C$52))-Inputs!$C$5)*1000/Inputs!$C$12)</x:f>
        <x:v>587.8777509688173</x:v>
      </x:c>
      <x:c r="D135" s="9" t="n">
        <x:f>Model_Data!F135</x:f>
        <x:v>587.8229997047524</x:v>
      </x:c>
      <x:c r="E135" s="9" t="n">
        <x:f>Model_Data!AC135</x:f>
        <x:v>337.790965941397</x:v>
      </x:c>
      <x:c r="F135" s="10"/>
      <x:c r="G135" s="9" t="n">
        <x:f>Model_Data!A135</x:f>
        <x:v>6.5</x:v>
      </x:c>
      <x:c r="H135" s="9" t="n">
        <x:f>Model_Data!Y135</x:f>
        <x:v>524.4263848132822</x:v>
      </x:c>
      <x:c r="I135" s="9" t="n">
        <x:f>Model_Data!Y135</x:f>
        <x:v>524.4263848132822</x:v>
      </x:c>
      <x:c r="J135" s="9" t="n">
        <x:f>Model_Data!X135</x:f>
        <x:v>77.64795080795966</x:v>
      </x:c>
      <x:c r="K135" s="9" t="n">
        <x:f>Model_Data!A135</x:f>
        <x:v>6.5</x:v>
      </x:c>
      <x:c r="L135" s="9" t="n">
        <x:f>Model_Data!Y135</x:f>
        <x:v>524.4263848132822</x:v>
      </x:c>
      <x:c r="M135" s="9" t="n">
        <x:f>Model_Data!X135</x:f>
        <x:v>77.64795080795966</x:v>
      </x:c>
      <x:c r="N135" s="9" t="n">
        <x:f>-(Model_Data!AC135-Model_Data!F135)*Inputs!$C$12</x:f>
        <x:v>445.0570200987726</x:v>
      </x:c>
      <x:c r="O135" s="10"/>
      <x:c r="P135" s="9" t="n">
        <x:f>Model_Data!A135</x:f>
        <x:v>6.5</x:v>
      </x:c>
      <x:c r="Q135" s="9" t="n">
        <x:f>Model_Data!P135</x:f>
        <x:v>-55.63658118935564</x:v>
      </x:c>
      <x:c r="R135" s="9" t="n">
        <x:f>Model_Data!AM135</x:f>
        <x:v>-54.54940081717723</x:v>
      </x:c>
      <x:c r="S135" s="9" t="n">
        <x:f>Model_Data!Q135</x:f>
        <x:v>-8.353841019422768</x:v>
      </x:c>
      <x:c r="T135" s="9" t="n">
        <x:f>Model_Data!AN135</x:f>
        <x:v>-8.190600723299886</x:v>
      </x:c>
      <x:c r="U135" s="10"/>
      <x:c r="V135" s="9" t="n">
        <x:f>Model_Data!A135</x:f>
        <x:v>6.5</x:v>
      </x:c>
      <x:c r="W135" s="9" t="n">
        <x:f>Model_Data!B135-Inputs!$C$5</x:f>
        <x:v>0.046944444444420697</x:v>
      </x:c>
      <x:c r="X135" s="10"/>
      <x:c r="Y135" s="9" t="n">
        <x:f>Model_Data!A135</x:f>
        <x:v>6.5</x:v>
      </x:c>
      <x:c r="Z135" s="9" t="n">
        <x:f>0</x:f>
        <x:v>0</x:v>
      </x:c>
      <x:c r="AA135" s="9" t="n">
        <x:f>((SQRT((Inputs!$C$52+Inputs!$C$5)^2+Inputs!$C$52^2-2*(Inputs!$C$52+Inputs!$C$5)*Inputs!$C$52*COS(SQRT((Model_Data!A135)^2+Inputs!$C$6^2)/Inputs!$C$52))-Inputs!$C$5)*1000/Inputs!$C$12)</x:f>
        <x:v>587.8777509688173</x:v>
      </x:c>
      <x:c r="AB135" s="9" t="n">
        <x:f>Model_Data!F135</x:f>
        <x:v>587.8229997047524</x:v>
      </x:c>
    </x:row>
    <x:row r="136">
      <x:c r="A136" s="9" t="n">
        <x:f>Model_Data!A136</x:f>
        <x:v>7</x:v>
      </x:c>
      <x:c r="B136" s="9" t="n">
        <x:f>0</x:f>
        <x:v>0</x:v>
      </x:c>
      <x:c r="C136" s="9" t="n">
        <x:f>((SQRT((Inputs!$C$52+Inputs!$C$5)^2+Inputs!$C$52^2-2*(Inputs!$C$52+Inputs!$C$5)*Inputs!$C$52*COS(SQRT((Model_Data!A136)^2+Inputs!$C$6^2)/Inputs!$C$52))-Inputs!$C$5)*1000/Inputs!$C$12)</x:f>
        <x:v>593.816835685641</x:v>
      </x:c>
      <x:c r="D136" s="9" t="n">
        <x:f>Model_Data!F136</x:f>
        <x:v>593.7526987847551</x:v>
      </x:c>
      <x:c r="E136" s="9" t="n">
        <x:f>Model_Data!AC136</x:f>
        <x:v>332.11198351387907</x:v>
      </x:c>
      <x:c r="F136" s="10"/>
      <x:c r="G136" s="9" t="n">
        <x:f>Model_Data!A136</x:f>
        <x:v>7</x:v>
      </x:c>
      <x:c r="H136" s="9" t="n">
        <x:f>Model_Data!Y136</x:f>
        <x:v>534.4078318791427</x:v>
      </x:c>
      <x:c r="I136" s="9" t="n">
        <x:f>Model_Data!Y136</x:f>
        <x:v>534.4078318791427</x:v>
      </x:c>
      <x:c r="J136" s="9" t="n">
        <x:f>Model_Data!X136</x:f>
        <x:v>66.91550989906084</x:v>
      </x:c>
      <x:c r="K136" s="9" t="n">
        <x:f>Model_Data!A136</x:f>
        <x:v>7</x:v>
      </x:c>
      <x:c r="L136" s="9" t="n">
        <x:f>Model_Data!Y136</x:f>
        <x:v>534.4078318791427</x:v>
      </x:c>
      <x:c r="M136" s="9" t="n">
        <x:f>Model_Data!X136</x:f>
        <x:v>66.91550989906084</x:v>
      </x:c>
      <x:c r="N136" s="9" t="n">
        <x:f>-(Model_Data!AC136-Model_Data!F136)*Inputs!$C$12</x:f>
        <x:v>465.72047318215937</x:v>
      </x:c>
      <x:c r="O136" s="10"/>
      <x:c r="P136" s="9" t="n">
        <x:f>Model_Data!A136</x:f>
        <x:v>7</x:v>
      </x:c>
      <x:c r="Q136" s="9" t="n">
        <x:f>Model_Data!P136</x:f>
        <x:v>-59.914338766157016</x:v>
      </x:c>
      <x:c r="R136" s="9" t="n">
        <x:f>Model_Data!AM136</x:f>
        <x:v>-93.36744727406767</x:v>
      </x:c>
      <x:c r="S136" s="9" t="n">
        <x:f>Model_Data!Q136</x:f>
        <x:v>-8.996146961885438</x:v>
      </x:c>
      <x:c r="T136" s="9" t="n">
        <x:f>Model_Data!AN136</x:f>
        <x:v>-14.019136227337489</x:v>
      </x:c>
      <x:c r="U136" s="10"/>
      <x:c r="V136" s="9" t="n">
        <x:f>Model_Data!A136</x:f>
        <x:v>7</x:v>
      </x:c>
      <x:c r="W136" s="9" t="n">
        <x:f>Model_Data!B136-Inputs!$C$5</x:f>
        <x:v>0.05444444444447072</x:v>
      </x:c>
      <x:c r="X136" s="10"/>
      <x:c r="Y136" s="9" t="n">
        <x:f>Model_Data!A136</x:f>
        <x:v>7</x:v>
      </x:c>
      <x:c r="Z136" s="9" t="n">
        <x:f>0</x:f>
        <x:v>0</x:v>
      </x:c>
      <x:c r="AA136" s="9" t="n">
        <x:f>((SQRT((Inputs!$C$52+Inputs!$C$5)^2+Inputs!$C$52^2-2*(Inputs!$C$52+Inputs!$C$5)*Inputs!$C$52*COS(SQRT((Model_Data!A136)^2+Inputs!$C$6^2)/Inputs!$C$52))-Inputs!$C$5)*1000/Inputs!$C$12)</x:f>
        <x:v>593.816835685641</x:v>
      </x:c>
      <x:c r="AB136" s="9" t="n">
        <x:f>Model_Data!F136</x:f>
        <x:v>593.7526987847551</x:v>
      </x:c>
    </x:row>
    <x:row r="137">
      <x:c r="A137" s="9" t="n">
        <x:f>Model_Data!A137</x:f>
        <x:v>7.5</x:v>
      </x:c>
      <x:c r="B137" s="9" t="n">
        <x:f>0</x:f>
        <x:v>0</x:v>
      </x:c>
      <x:c r="C137" s="9" t="n">
        <x:f>((SQRT((Inputs!$C$52+Inputs!$C$5)^2+Inputs!$C$52^2-2*(Inputs!$C$52+Inputs!$C$5)*Inputs!$C$52*COS(SQRT((Model_Data!A137)^2+Inputs!$C$6^2)/Inputs!$C$52))-Inputs!$C$5)*1000/Inputs!$C$12)</x:f>
        <x:v>600.1956751785191</x:v>
      </x:c>
      <x:c r="D137" s="9" t="n">
        <x:f>Model_Data!F137</x:f>
        <x:v>600.1212615998473</x:v>
      </x:c>
      <x:c r="E137" s="9" t="n">
        <x:f>Model_Data!AC137</x:f>
        <x:v>349.7871376378669</x:v>
      </x:c>
      <x:c r="F137" s="10"/>
      <x:c r="G137" s="9" t="n">
        <x:f>Model_Data!A137</x:f>
        <x:v>7.5</x:v>
      </x:c>
      <x:c r="H137" s="9" t="n">
        <x:f>Model_Data!Y137</x:f>
        <x:v>503.48380224840304</x:v>
      </x:c>
      <x:c r="I137" s="9" t="n">
        <x:f>Model_Data!Y137</x:f>
        <x:v>503.48380224840304</x:v>
      </x:c>
      <x:c r="J137" s="9" t="n">
        <x:f>Model_Data!X137</x:f>
        <x:v>56.202037436945574</x:v>
      </x:c>
      <x:c r="K137" s="9" t="n">
        <x:f>Model_Data!A137</x:f>
        <x:v>7.5</x:v>
      </x:c>
      <x:c r="L137" s="9" t="n">
        <x:f>Model_Data!Y137</x:f>
        <x:v>503.48380224840304</x:v>
      </x:c>
      <x:c r="M137" s="9" t="n">
        <x:f>Model_Data!X137</x:f>
        <x:v>56.202037436945574</x:v>
      </x:c>
      <x:c r="N137" s="9" t="n">
        <x:f>-(Model_Data!AC137-Model_Data!F137)*Inputs!$C$12</x:f>
        <x:v>445.5947406523252</x:v>
      </x:c>
      <x:c r="O137" s="10"/>
      <x:c r="P137" s="9" t="n">
        <x:f>Model_Data!A137</x:f>
        <x:v>7.5</x:v>
      </x:c>
      <x:c r="Q137" s="9" t="n">
        <x:f>Model_Data!P137</x:f>
        <x:v>-64.19165678507852</x:v>
      </x:c>
      <x:c r="R137" s="9" t="n">
        <x:f>Model_Data!AM137</x:f>
        <x:v>-123.54267273130972</x:v>
      </x:c>
      <x:c r="S137" s="9" t="n">
        <x:f>Model_Data!Q137</x:f>
        <x:v>-9.638386904666445</x:v>
      </x:c>
      <x:c r="T137" s="9" t="n">
        <x:f>Model_Data!AN137</x:f>
        <x:v>-18.54995086055702</x:v>
      </x:c>
      <x:c r="U137" s="10"/>
      <x:c r="V137" s="9" t="n">
        <x:f>Model_Data!A137</x:f>
        <x:v>7.5</x:v>
      </x:c>
      <x:c r="W137" s="9" t="n">
        <x:f>Model_Data!B137-Inputs!$C$5</x:f>
        <x:v>0.0625</x:v>
      </x:c>
      <x:c r="X137" s="10"/>
      <x:c r="Y137" s="9" t="n">
        <x:f>Model_Data!A137</x:f>
        <x:v>7.5</x:v>
      </x:c>
      <x:c r="Z137" s="9" t="n">
        <x:f>0</x:f>
        <x:v>0</x:v>
      </x:c>
      <x:c r="AA137" s="9" t="n">
        <x:f>((SQRT((Inputs!$C$52+Inputs!$C$5)^2+Inputs!$C$52^2-2*(Inputs!$C$52+Inputs!$C$5)*Inputs!$C$52*COS(SQRT((Model_Data!A137)^2+Inputs!$C$6^2)/Inputs!$C$52))-Inputs!$C$5)*1000/Inputs!$C$12)</x:f>
        <x:v>600.1956751785191</x:v>
      </x:c>
      <x:c r="AB137" s="9" t="n">
        <x:f>Model_Data!F137</x:f>
        <x:v>600.1212615998473</x:v>
      </x:c>
    </x:row>
    <x:row r="138">
      <x:c r="A138" s="9" t="n">
        <x:f>Model_Data!A138</x:f>
        <x:v>8</x:v>
      </x:c>
      <x:c r="B138" s="9" t="n">
        <x:f>0</x:f>
        <x:v>0</x:v>
      </x:c>
      <x:c r="C138" s="9" t="n">
        <x:f>((SQRT((Inputs!$C$52+Inputs!$C$5)^2+Inputs!$C$52^2-2*(Inputs!$C$52+Inputs!$C$5)*Inputs!$C$52*COS(SQRT((Model_Data!A138)^2+Inputs!$C$6^2)/Inputs!$C$52))-Inputs!$C$5)*1000/Inputs!$C$12)</x:f>
        <x:v>607.0142314470512</x:v>
      </x:c>
      <x:c r="D138" s="9" t="n">
        <x:f>Model_Data!F138</x:f>
        <x:v>606.9286082364532</x:v>
      </x:c>
      <x:c r="E138" s="9" t="n">
        <x:f>Model_Data!AC138</x:f>
        <x:v>354.3733312405015</x:v>
      </x:c>
      <x:c r="F138" s="10"/>
      <x:c r="G138" s="9" t="n">
        <x:f>Model_Data!A138</x:f>
        <x:v>8</x:v>
      </x:c>
      <x:c r="H138" s="9" t="n">
        <x:f>Model_Data!Y138</x:f>
        <x:v>497.2264534493298</x:v>
      </x:c>
      <x:c r="I138" s="9" t="n">
        <x:f>Model_Data!Y138</x:f>
        <x:v>497.2264534493298</x:v>
      </x:c>
      <x:c r="J138" s="9" t="n">
        <x:f>Model_Data!X138</x:f>
        <x:v>45.99320506201067</x:v>
      </x:c>
      <x:c r="K138" s="9" t="n">
        <x:f>Model_Data!A138</x:f>
        <x:v>8</x:v>
      </x:c>
      <x:c r="L138" s="9" t="n">
        <x:f>Model_Data!Y138</x:f>
        <x:v>497.2264534493298</x:v>
      </x:c>
      <x:c r="M138" s="9" t="n">
        <x:f>Model_Data!X138</x:f>
        <x:v>45.99320506201067</x:v>
      </x:c>
      <x:c r="N138" s="9" t="n">
        <x:f>-(Model_Data!AC138-Model_Data!F138)*Inputs!$C$12</x:f>
        <x:v>449.54839305279404</x:v>
      </x:c>
      <x:c r="O138" s="10"/>
      <x:c r="P138" s="9" t="n">
        <x:f>Model_Data!A138</x:f>
        <x:v>8</x:v>
      </x:c>
      <x:c r="Q138" s="9" t="n">
        <x:f>Model_Data!P138</x:f>
        <x:v>-68.46850397168964</x:v>
      </x:c>
      <x:c r="R138" s="9" t="n">
        <x:f>Model_Data!AM138</x:f>
        <x:v>-106.61121304219705</x:v>
      </x:c>
      <x:c r="S138" s="9" t="n">
        <x:f>Model_Data!Q138</x:f>
        <x:v>-10.280556151905353</x:v>
      </x:c>
      <x:c r="T138" s="9" t="n">
        <x:f>Model_Data!AN138</x:f>
        <x:v>-16.007689645975535</x:v>
      </x:c>
      <x:c r="U138" s="10"/>
      <x:c r="V138" s="9" t="n">
        <x:f>Model_Data!A138</x:f>
        <x:v>8</x:v>
      </x:c>
      <x:c r="W138" s="9" t="n">
        <x:f>Model_Data!B138-Inputs!$C$5</x:f>
        <x:v>0.07111111111112223</x:v>
      </x:c>
      <x:c r="X138" s="10"/>
      <x:c r="Y138" s="9" t="n">
        <x:f>Model_Data!A138</x:f>
        <x:v>8</x:v>
      </x:c>
      <x:c r="Z138" s="9" t="n">
        <x:f>0</x:f>
        <x:v>0</x:v>
      </x:c>
      <x:c r="AA138" s="9" t="n">
        <x:f>((SQRT((Inputs!$C$52+Inputs!$C$5)^2+Inputs!$C$52^2-2*(Inputs!$C$52+Inputs!$C$5)*Inputs!$C$52*COS(SQRT((Model_Data!A138)^2+Inputs!$C$6^2)/Inputs!$C$52))-Inputs!$C$5)*1000/Inputs!$C$12)</x:f>
        <x:v>607.0142314470512</x:v>
      </x:c>
      <x:c r="AB138" s="9" t="n">
        <x:f>Model_Data!F138</x:f>
        <x:v>606.9286082364532</x:v>
      </x:c>
    </x:row>
    <x:row r="139">
      <x:c r="A139" s="9" t="n">
        <x:f>Model_Data!A139</x:f>
        <x:v>8.5</x:v>
      </x:c>
      <x:c r="B139" s="9" t="n">
        <x:f>0</x:f>
        <x:v>0</x:v>
      </x:c>
      <x:c r="C139" s="9" t="n">
        <x:f>((SQRT((Inputs!$C$52+Inputs!$C$5)^2+Inputs!$C$52^2-2*(Inputs!$C$52+Inputs!$C$5)*Inputs!$C$52*COS(SQRT((Model_Data!A139)^2+Inputs!$C$6^2)/Inputs!$C$52))-Inputs!$C$5)*1000/Inputs!$C$12)</x:f>
        <x:v>614.2724638740281</x:v>
      </x:c>
      <x:c r="D139" s="9" t="n">
        <x:f>Model_Data!F139</x:f>
        <x:v>614.1746532877829</x:v>
      </x:c>
      <x:c r="E139" s="9" t="n">
        <x:f>Model_Data!AC139</x:f>
        <x:v>365.5587112543377</x:v>
      </x:c>
      <x:c r="F139" s="10"/>
      <x:c r="G139" s="9" t="n">
        <x:f>Model_Data!A139</x:f>
        <x:v>8.5</x:v>
      </x:c>
      <x:c r="H139" s="9" t="n">
        <x:f>Model_Data!Y139</x:f>
        <x:v>479.6019721372586</x:v>
      </x:c>
      <x:c r="I139" s="9" t="n">
        <x:f>Model_Data!Y139</x:f>
        <x:v>479.6019721372586</x:v>
      </x:c>
      <x:c r="J139" s="9" t="n">
        <x:f>Model_Data!X139</x:f>
        <x:v>35.42120810065494</x:v>
      </x:c>
      <x:c r="K139" s="9" t="n">
        <x:f>Model_Data!A139</x:f>
        <x:v>8.5</x:v>
      </x:c>
      <x:c r="L139" s="9" t="n">
        <x:f>Model_Data!Y139</x:f>
        <x:v>479.6019721372586</x:v>
      </x:c>
      <x:c r="M139" s="9" t="n">
        <x:f>Model_Data!X139</x:f>
        <x:v>35.42120810065494</x:v>
      </x:c>
      <x:c r="N139" s="9" t="n">
        <x:f>-(Model_Data!AC139-Model_Data!F139)*Inputs!$C$12</x:f>
        <x:v>442.53637681953245</x:v>
      </x:c>
      <x:c r="O139" s="10"/>
      <x:c r="P139" s="9" t="n">
        <x:f>Model_Data!A139</x:f>
        <x:v>8.5</x:v>
      </x:c>
      <x:c r="Q139" s="9" t="n">
        <x:f>Model_Data!P139</x:f>
        <x:v>-72.74484905628924</x:v>
      </x:c>
      <x:c r="R139" s="9" t="n">
        <x:f>Model_Data!AM139</x:f>
        <x:v>-98.32283519044722</x:v>
      </x:c>
      <x:c r="S139" s="9" t="n">
        <x:f>Model_Data!Q139</x:f>
        <x:v>-10.92265000845184</x:v>
      </x:c>
      <x:c r="T139" s="9" t="n">
        <x:f>Model_Data!AN139</x:f>
        <x:v>-14.76318846703412</x:v>
      </x:c>
      <x:c r="U139" s="10"/>
      <x:c r="V139" s="9" t="n">
        <x:f>Model_Data!A139</x:f>
        <x:v>8.5</x:v>
      </x:c>
      <x:c r="W139" s="9" t="n">
        <x:f>Model_Data!B139-Inputs!$C$5</x:f>
        <x:v>0.08027777777778056</x:v>
      </x:c>
      <x:c r="X139" s="10"/>
      <x:c r="Y139" s="9" t="n">
        <x:f>Model_Data!A139</x:f>
        <x:v>8.5</x:v>
      </x:c>
      <x:c r="Z139" s="9" t="n">
        <x:f>0</x:f>
        <x:v>0</x:v>
      </x:c>
      <x:c r="AA139" s="9" t="n">
        <x:f>((SQRT((Inputs!$C$52+Inputs!$C$5)^2+Inputs!$C$52^2-2*(Inputs!$C$52+Inputs!$C$5)*Inputs!$C$52*COS(SQRT((Model_Data!A139)^2+Inputs!$C$6^2)/Inputs!$C$52))-Inputs!$C$5)*1000/Inputs!$C$12)</x:f>
        <x:v>614.2724638740281</x:v>
      </x:c>
      <x:c r="AB139" s="9" t="n">
        <x:f>Model_Data!F139</x:f>
        <x:v>614.1746532877829</x:v>
      </x:c>
    </x:row>
    <x:row r="140">
      <x:c r="A140" s="9" t="n">
        <x:f>Model_Data!A140</x:f>
        <x:v>9</x:v>
      </x:c>
      <x:c r="B140" s="9" t="n">
        <x:f>0</x:f>
        <x:v>0</x:v>
      </x:c>
      <x:c r="C140" s="9" t="n">
        <x:f>((SQRT((Inputs!$C$52+Inputs!$C$5)^2+Inputs!$C$52^2-2*(Inputs!$C$52+Inputs!$C$5)*Inputs!$C$52*COS(SQRT((Model_Data!A140)^2+Inputs!$C$6^2)/Inputs!$C$52))-Inputs!$C$5)*1000/Inputs!$C$12)</x:f>
        <x:v>621.9703292280814</x:v>
      </x:c>
      <x:c r="D140" s="9" t="n">
        <x:f>Model_Data!F140</x:f>
        <x:v>621.8593058607947</x:v>
      </x:c>
      <x:c r="E140" s="9" t="n">
        <x:f>Model_Data!AC140</x:f>
        <x:v>369.09121200702185</x:v>
      </x:c>
      <x:c r="F140" s="10"/>
      <x:c r="G140" s="9" t="n">
        <x:f>Model_Data!A140</x:f>
        <x:v>9</x:v>
      </x:c>
      <x:c r="H140" s="9" t="n">
        <x:f>Model_Data!Y140</x:f>
        <x:v>481.22587957439987</x:v>
      </x:c>
      <x:c r="I140" s="9" t="n">
        <x:f>Model_Data!Y140</x:f>
        <x:v>481.22587957439987</x:v>
      </x:c>
      <x:c r="J140" s="9" t="n">
        <x:f>Model_Data!X140</x:f>
        <x:v>29.628149721243545</x:v>
      </x:c>
      <x:c r="K140" s="9" t="n">
        <x:f>Model_Data!A140</x:f>
        <x:v>9</x:v>
      </x:c>
      <x:c r="L140" s="9" t="n">
        <x:f>Model_Data!Y140</x:f>
        <x:v>481.22587957439987</x:v>
      </x:c>
      <x:c r="M140" s="9" t="n">
        <x:f>Model_Data!X140</x:f>
        <x:v>29.628149721243545</x:v>
      </x:c>
      <x:c r="N140" s="9" t="n">
        <x:f>-(Model_Data!AC140-Model_Data!F140)*Inputs!$C$12</x:f>
        <x:v>449.9272070597157</x:v>
      </x:c>
      <x:c r="O140" s="10"/>
      <x:c r="P140" s="9" t="n">
        <x:f>Model_Data!A140</x:f>
        <x:v>9</x:v>
      </x:c>
      <x:c r="Q140" s="9" t="n">
        <x:f>Model_Data!P140</x:f>
        <x:v>-77.0206608074659</x:v>
      </x:c>
      <x:c r="R140" s="9" t="n">
        <x:f>Model_Data!AM140</x:f>
        <x:v>-79.19680840677756</x:v>
      </x:c>
      <x:c r="S140" s="9" t="n">
        <x:f>Model_Data!Q140</x:f>
        <x:v>-11.564663784904791</x:v>
      </x:c>
      <x:c r="T140" s="9" t="n">
        <x:f>Model_Data!AN140</x:f>
        <x:v>-11.891412673690326</x:v>
      </x:c>
      <x:c r="U140" s="10"/>
      <x:c r="V140" s="9" t="n">
        <x:f>Model_Data!A140</x:f>
        <x:v>9</x:v>
      </x:c>
      <x:c r="W140" s="9" t="n">
        <x:f>Model_Data!B140-Inputs!$C$5</x:f>
        <x:v>0.08999999999997499</x:v>
      </x:c>
      <x:c r="X140" s="10"/>
      <x:c r="Y140" s="9" t="n">
        <x:f>Model_Data!A140</x:f>
        <x:v>9</x:v>
      </x:c>
      <x:c r="Z140" s="9" t="n">
        <x:f>0</x:f>
        <x:v>0</x:v>
      </x:c>
      <x:c r="AA140" s="9" t="n">
        <x:f>((SQRT((Inputs!$C$52+Inputs!$C$5)^2+Inputs!$C$52^2-2*(Inputs!$C$52+Inputs!$C$5)*Inputs!$C$52*COS(SQRT((Model_Data!A140)^2+Inputs!$C$6^2)/Inputs!$C$52))-Inputs!$C$5)*1000/Inputs!$C$12)</x:f>
        <x:v>621.9703292280814</x:v>
      </x:c>
      <x:c r="AB140" s="9" t="n">
        <x:f>Model_Data!F140</x:f>
        <x:v>621.8593058607947</x:v>
      </x:c>
    </x:row>
    <x:row r="141">
      <x:c r="A141" s="9" t="n">
        <x:f>Model_Data!A141</x:f>
        <x:v>9.5</x:v>
      </x:c>
      <x:c r="B141" s="9" t="n">
        <x:f>0</x:f>
        <x:v>0</x:v>
      </x:c>
      <x:c r="C141" s="9" t="n">
        <x:f>((SQRT((Inputs!$C$52+Inputs!$C$5)^2+Inputs!$C$52^2-2*(Inputs!$C$52+Inputs!$C$5)*Inputs!$C$52*COS(SQRT((Model_Data!A141)^2+Inputs!$C$6^2)/Inputs!$C$52))-Inputs!$C$5)*1000/Inputs!$C$12)</x:f>
        <x:v>630.1077816669101</x:v>
      </x:c>
      <x:c r="D141" s="9" t="n">
        <x:f>Model_Data!F141</x:f>
        <x:v>629.9824695825495</x:v>
      </x:c>
      <x:c r="E141" s="9" t="n">
        <x:f>Model_Data!AC141</x:f>
        <x:v>365.40518550838584</x:v>
      </x:c>
      <x:c r="F141" s="10"/>
      <x:c r="G141" s="9" t="n">
        <x:f>Model_Data!A141</x:f>
        <x:v>9.5</x:v>
      </x:c>
      <x:c r="H141" s="9" t="n">
        <x:f>Model_Data!Y141</x:f>
        <x:v>478.27937371872196</x:v>
      </x:c>
      <x:c r="I141" s="9" t="n">
        <x:f>Model_Data!Y141</x:f>
        <x:v>478.27937371872196</x:v>
      </x:c>
      <x:c r="J141" s="9" t="n">
        <x:f>Model_Data!X141</x:f>
        <x:v>5.649927018638348</x:v>
      </x:c>
      <x:c r="K141" s="9" t="n">
        <x:f>Model_Data!A141</x:f>
        <x:v>9.5</x:v>
      </x:c>
      <x:c r="L141" s="9" t="n">
        <x:f>Model_Data!Y141</x:f>
        <x:v>478.27937371872196</x:v>
      </x:c>
      <x:c r="M141" s="9" t="n">
        <x:f>Model_Data!X141</x:f>
        <x:v>5.649927018638348</x:v>
      </x:c>
      <x:c r="N141" s="9" t="n">
        <x:f>-(Model_Data!AC141-Model_Data!F141)*Inputs!$C$12</x:f>
        <x:v>470.9475656520113</x:v>
      </x:c>
      <x:c r="O141" s="10"/>
      <x:c r="P141" s="9" t="n">
        <x:f>Model_Data!A141</x:f>
        <x:v>9.5</x:v>
      </x:c>
      <x:c r="Q141" s="9" t="n">
        <x:f>Model_Data!P141</x:f>
        <x:v>-81.2959080145447</x:v>
      </x:c>
      <x:c r="R141" s="9" t="n">
        <x:f>Model_Data!AM141</x:f>
        <x:v>-124.45092927709993</x:v>
      </x:c>
      <x:c r="S141" s="9" t="n">
        <x:f>Model_Data!Q141</x:f>
        <x:v>-12.206592794976682</x:v>
      </x:c>
      <x:c r="T141" s="9" t="n">
        <x:f>Model_Data!AN141</x:f>
        <x:v>-18.686325717282273</x:v>
      </x:c>
      <x:c r="U141" s="10"/>
      <x:c r="V141" s="9" t="n">
        <x:f>Model_Data!A141</x:f>
        <x:v>9.5</x:v>
      </x:c>
      <x:c r="W141" s="9" t="n">
        <x:f>Model_Data!B141-Inputs!$C$5</x:f>
        <x:v>0.10027777777776237</x:v>
      </x:c>
      <x:c r="X141" s="10"/>
      <x:c r="Y141" s="9" t="n">
        <x:f>Model_Data!A141</x:f>
        <x:v>9.5</x:v>
      </x:c>
      <x:c r="Z141" s="9" t="n">
        <x:f>0</x:f>
        <x:v>0</x:v>
      </x:c>
      <x:c r="AA141" s="9" t="n">
        <x:f>((SQRT((Inputs!$C$52+Inputs!$C$5)^2+Inputs!$C$52^2-2*(Inputs!$C$52+Inputs!$C$5)*Inputs!$C$52*COS(SQRT((Model_Data!A141)^2+Inputs!$C$6^2)/Inputs!$C$52))-Inputs!$C$5)*1000/Inputs!$C$12)</x:f>
        <x:v>630.1077816669101</x:v>
      </x:c>
      <x:c r="AB141" s="9" t="n">
        <x:f>Model_Data!F141</x:f>
        <x:v>629.9824695825495</x:v>
      </x:c>
    </x:row>
    <x:row r="142">
      <x:c r="A142" s="9" t="n">
        <x:f>Model_Data!A142</x:f>
        <x:v>10</x:v>
      </x:c>
      <x:c r="B142" s="9" t="n">
        <x:f>0</x:f>
        <x:v>0</x:v>
      </x:c>
      <x:c r="C142" s="9" t="n">
        <x:f>((SQRT((Inputs!$C$52+Inputs!$C$5)^2+Inputs!$C$52^2-2*(Inputs!$C$52+Inputs!$C$5)*Inputs!$C$52*COS(SQRT((Model_Data!A142)^2+Inputs!$C$6^2)/Inputs!$C$52))-Inputs!$C$5)*1000/Inputs!$C$12)</x:f>
        <x:v>638.6847727352039</x:v>
      </x:c>
      <x:c r="D142" s="9" t="n">
        <x:f>Model_Data!F142</x:f>
        <x:v>638.5440426012327</x:v>
      </x:c>
      <x:c r="E142" s="9" t="n">
        <x:f>Model_Data!AC142</x:f>
        <x:v>379.4693740000762</x:v>
      </x:c>
      <x:c r="F142" s="10"/>
      <x:c r="G142" s="9" t="n">
        <x:f>Model_Data!A142</x:f>
        <x:v>10</x:v>
      </x:c>
      <x:c r="H142" s="9" t="n">
        <x:f>Model_Data!Y142</x:f>
        <x:v>454.2022007690729</x:v>
      </x:c>
      <x:c r="I142" s="9" t="n">
        <x:f>Model_Data!Y142</x:f>
        <x:v>454.2022007690729</x:v>
      </x:c>
      <x:c r="J142" s="9" t="n">
        <x:f>Model_Data!X142</x:f>
        <x:v>-8.569441618173819</x:v>
      </x:c>
      <x:c r="K142" s="9" t="n">
        <x:f>Model_Data!A142</x:f>
        <x:v>10</x:v>
      </x:c>
      <x:c r="L142" s="9" t="n">
        <x:f>Model_Data!Y142</x:f>
        <x:v>454.2022007690729</x:v>
      </x:c>
      <x:c r="M142" s="9" t="n">
        <x:f>Model_Data!X142</x:f>
        <x:v>-8.569441618173819</x:v>
      </x:c>
      <x:c r="N142" s="9" t="n">
        <x:f>-(Model_Data!AC142-Model_Data!F142)*Inputs!$C$12</x:f>
        <x:v>461.15291011005866</x:v>
      </x:c>
      <x:c r="O142" s="10"/>
      <x:c r="P142" s="9" t="n">
        <x:f>Model_Data!A142</x:f>
        <x:v>10</x:v>
      </x:c>
      <x:c r="Q142" s="9" t="n">
        <x:f>Model_Data!P142</x:f>
        <x:v>-85.5705594970459</x:v>
      </x:c>
      <x:c r="R142" s="9" t="n">
        <x:f>Model_Data!AM142</x:f>
        <x:v>-149.95775995867007</x:v>
      </x:c>
      <x:c r="S142" s="9" t="n">
        <x:f>Model_Data!Q142</x:f>
        <x:v>-12.8484323569138</x:v>
      </x:c>
      <x:c r="T142" s="9" t="n">
        <x:f>Model_Data!AN142</x:f>
        <x:v>-22.516180173974487</x:v>
      </x:c>
      <x:c r="U142" s="10"/>
      <x:c r="V142" s="9" t="n">
        <x:f>Model_Data!A142</x:f>
        <x:v>10</x:v>
      </x:c>
      <x:c r="W142" s="9" t="n">
        <x:f>Model_Data!B142-Inputs!$C$5</x:f>
        <x:v>0.11111111111108585</x:v>
      </x:c>
      <x:c r="X142" s="10"/>
      <x:c r="Y142" s="9" t="n">
        <x:f>Model_Data!A142</x:f>
        <x:v>10</x:v>
      </x:c>
      <x:c r="Z142" s="9" t="n">
        <x:f>0</x:f>
        <x:v>0</x:v>
      </x:c>
      <x:c r="AA142" s="9" t="n">
        <x:f>((SQRT((Inputs!$C$52+Inputs!$C$5)^2+Inputs!$C$52^2-2*(Inputs!$C$52+Inputs!$C$5)*Inputs!$C$52*COS(SQRT((Model_Data!A142)^2+Inputs!$C$6^2)/Inputs!$C$52))-Inputs!$C$5)*1000/Inputs!$C$12)</x:f>
        <x:v>638.6847727352039</x:v>
      </x:c>
      <x:c r="AB142" s="9" t="n">
        <x:f>Model_Data!F142</x:f>
        <x:v>638.5440426012327</x:v>
      </x:c>
    </x:row>
    <x:row r="143">
      <x:c r="A143" s="9" t="n">
        <x:f>Model_Data!A143</x:f>
        <x:v>10.5</x:v>
      </x:c>
      <x:c r="B143" s="9" t="n">
        <x:f>0</x:f>
        <x:v>0</x:v>
      </x:c>
      <x:c r="C143" s="9" t="n">
        <x:f>((SQRT((Inputs!$C$52+Inputs!$C$5)^2+Inputs!$C$52^2-2*(Inputs!$C$52+Inputs!$C$5)*Inputs!$C$52*COS(SQRT((Model_Data!A143)^2+Inputs!$C$6^2)/Inputs!$C$52))-Inputs!$C$5)*1000/Inputs!$C$12)</x:f>
        <x:v>647.7012513701045</x:v>
      </x:c>
      <x:c r="D143" s="9" t="n">
        <x:f>Model_Data!F143</x:f>
        <x:v>647.5439175957033</x:v>
      </x:c>
      <x:c r="E143" s="9" t="n">
        <x:f>Model_Data!AC143</x:f>
        <x:v>405.1735794078741</x:v>
      </x:c>
      <x:c r="F143" s="10"/>
      <x:c r="G143" s="9" t="n">
        <x:f>Model_Data!A143</x:f>
        <x:v>10.5</x:v>
      </x:c>
      <x:c r="H143" s="9" t="n">
        <x:f>Model_Data!Y143</x:f>
        <x:v>437.9381023255588</x:v>
      </x:c>
      <x:c r="I143" s="9" t="n">
        <x:f>Model_Data!Y143</x:f>
        <x:v>437.9381023255588</x:v>
      </x:c>
      <x:c r="J143" s="9" t="n">
        <x:f>Model_Data!X143</x:f>
        <x:v>4.936290407774814</x:v>
      </x:c>
      <x:c r="K143" s="9" t="n">
        <x:f>Model_Data!A143</x:f>
        <x:v>10.5</x:v>
      </x:c>
      <x:c r="L143" s="9" t="n">
        <x:f>Model_Data!Y143</x:f>
        <x:v>437.9381023255588</x:v>
      </x:c>
      <x:c r="M143" s="9" t="n">
        <x:f>Model_Data!X143</x:f>
        <x:v>4.936290407774814</x:v>
      </x:c>
      <x:c r="N143" s="9" t="n">
        <x:f>-(Model_Data!AC143-Model_Data!F143)*Inputs!$C$12</x:f>
        <x:v>431.419201974336</x:v>
      </x:c>
      <x:c r="O143" s="10"/>
      <x:c r="P143" s="9" t="n">
        <x:f>Model_Data!A143</x:f>
        <x:v>10.5</x:v>
      </x:c>
      <x:c r="Q143" s="9" t="n">
        <x:f>Model_Data!P143</x:f>
        <x:v>-89.8445841135981</x:v>
      </x:c>
      <x:c r="R143" s="9" t="n">
        <x:f>Model_Data!AM143</x:f>
        <x:v>-104.68639668342803</x:v>
      </x:c>
      <x:c r="S143" s="9" t="n">
        <x:f>Model_Data!Q143</x:f>
        <x:v>-13.490177794834551</x:v>
      </x:c>
      <x:c r="T143" s="9" t="n">
        <x:f>Model_Data!AN143</x:f>
        <x:v>-15.718678180694901</x:v>
      </x:c>
      <x:c r="U143" s="10"/>
      <x:c r="V143" s="9" t="n">
        <x:f>Model_Data!A143</x:f>
        <x:v>10.5</x:v>
      </x:c>
      <x:c r="W143" s="9" t="n">
        <x:f>Model_Data!B143-Inputs!$C$5</x:f>
        <x:v>0.12250000000000227</x:v>
      </x:c>
      <x:c r="X143" s="10"/>
      <x:c r="Y143" s="9" t="n">
        <x:f>Model_Data!A143</x:f>
        <x:v>10.5</x:v>
      </x:c>
      <x:c r="Z143" s="9" t="n">
        <x:f>0</x:f>
        <x:v>0</x:v>
      </x:c>
      <x:c r="AA143" s="9" t="n">
        <x:f>((SQRT((Inputs!$C$52+Inputs!$C$5)^2+Inputs!$C$52^2-2*(Inputs!$C$52+Inputs!$C$5)*Inputs!$C$52*COS(SQRT((Model_Data!A143)^2+Inputs!$C$6^2)/Inputs!$C$52))-Inputs!$C$5)*1000/Inputs!$C$12)</x:f>
        <x:v>647.7012513701045</x:v>
      </x:c>
      <x:c r="AB143" s="9" t="n">
        <x:f>Model_Data!F143</x:f>
        <x:v>647.5439175957033</x:v>
      </x:c>
    </x:row>
    <x:row r="144">
      <x:c r="A144" s="9" t="n">
        <x:f>Model_Data!A144</x:f>
        <x:v>11</x:v>
      </x:c>
      <x:c r="B144" s="9" t="n">
        <x:f>0</x:f>
        <x:v>0</x:v>
      </x:c>
      <x:c r="C144" s="9" t="n">
        <x:f>((SQRT((Inputs!$C$52+Inputs!$C$5)^2+Inputs!$C$52^2-2*(Inputs!$C$52+Inputs!$C$5)*Inputs!$C$52*COS(SQRT((Model_Data!A144)^2+Inputs!$C$6^2)/Inputs!$C$52))-Inputs!$C$5)*1000/Inputs!$C$12)</x:f>
        <x:v>657.1571638987466</x:v>
      </x:c>
      <x:c r="D144" s="9" t="n">
        <x:f>Model_Data!F144</x:f>
        <x:v>656.9819817796764</x:v>
      </x:c>
      <x:c r="E144" s="9" t="n">
        <x:f>Model_Data!AC144</x:f>
        <x:v>409.0230111070318</x:v>
      </x:c>
      <x:c r="F144" s="10"/>
      <x:c r="G144" s="9" t="n">
        <x:f>Model_Data!A144</x:f>
        <x:v>11</x:v>
      </x:c>
      <x:c r="H144" s="9" t="n">
        <x:f>Model_Data!Y144</x:f>
        <x:v>444.9386077034983</x:v>
      </x:c>
      <x:c r="I144" s="9" t="n">
        <x:f>Model_Data!Y144</x:f>
        <x:v>444.9386077034983</x:v>
      </x:c>
      <x:c r="J144" s="9" t="n">
        <x:f>Model_Data!X144</x:f>
        <x:v>1.9403678384373038</x:v>
      </x:c>
      <x:c r="K144" s="9" t="n">
        <x:f>Model_Data!A144</x:f>
        <x:v>11</x:v>
      </x:c>
      <x:c r="L144" s="9" t="n">
        <x:f>Model_Data!Y144</x:f>
        <x:v>444.9386077034983</x:v>
      </x:c>
      <x:c r="M144" s="9" t="n">
        <x:f>Model_Data!X144</x:f>
        <x:v>1.9403678384373038</x:v>
      </x:c>
      <x:c r="N144" s="9" t="n">
        <x:f>-(Model_Data!AC144-Model_Data!F144)*Inputs!$C$12</x:f>
        <x:v>441.36696779730744</x:v>
      </x:c>
      <x:c r="O144" s="10"/>
      <x:c r="P144" s="9" t="n">
        <x:f>Model_Data!A144</x:f>
        <x:v>11</x:v>
      </x:c>
      <x:c r="Q144" s="9" t="n">
        <x:f>Model_Data!P144</x:f>
        <x:v>-94.1179507391098</x:v>
      </x:c>
      <x:c r="R144" s="9" t="n">
        <x:f>Model_Data!AM144</x:f>
        <x:v>-99.76180605999616</x:v>
      </x:c>
      <x:c r="S144" s="9" t="n">
        <x:f>Model_Data!Q144</x:f>
        <x:v>-14.131824435301773</x:v>
      </x:c>
      <x:c r="T144" s="9" t="n">
        <x:f>Model_Data!AN144</x:f>
        <x:v>-14.979250159158584</x:v>
      </x:c>
      <x:c r="U144" s="10"/>
      <x:c r="V144" s="9" t="n">
        <x:f>Model_Data!A144</x:f>
        <x:v>11</x:v>
      </x:c>
      <x:c r="W144" s="9" t="n">
        <x:f>Model_Data!B144-Inputs!$C$5</x:f>
        <x:v>0.1344444444444548</x:v>
      </x:c>
      <x:c r="X144" s="10"/>
      <x:c r="Y144" s="9" t="n">
        <x:f>Model_Data!A144</x:f>
        <x:v>11</x:v>
      </x:c>
      <x:c r="Z144" s="9" t="n">
        <x:f>0</x:f>
        <x:v>0</x:v>
      </x:c>
      <x:c r="AA144" s="9" t="n">
        <x:f>((SQRT((Inputs!$C$52+Inputs!$C$5)^2+Inputs!$C$52^2-2*(Inputs!$C$52+Inputs!$C$5)*Inputs!$C$52*COS(SQRT((Model_Data!A144)^2+Inputs!$C$6^2)/Inputs!$C$52))-Inputs!$C$5)*1000/Inputs!$C$12)</x:f>
        <x:v>657.1571638987466</x:v>
      </x:c>
      <x:c r="AB144" s="9" t="n">
        <x:f>Model_Data!F144</x:f>
        <x:v>656.9819817796764</x:v>
      </x:c>
    </x:row>
    <x:row r="145">
      <x:c r="A145" s="9" t="n">
        <x:f>Model_Data!A145</x:f>
        <x:v>11.5</x:v>
      </x:c>
      <x:c r="B145" s="9" t="n">
        <x:f>0</x:f>
        <x:v>0</x:v>
      </x:c>
      <x:c r="C145" s="9" t="n">
        <x:f>((SQRT((Inputs!$C$52+Inputs!$C$5)^2+Inputs!$C$52^2-2*(Inputs!$C$52+Inputs!$C$5)*Inputs!$C$52*COS(SQRT((Model_Data!A145)^2+Inputs!$C$6^2)/Inputs!$C$52))-Inputs!$C$5)*1000/Inputs!$C$12)</x:f>
        <x:v>667.052454042441</x:v>
      </x:c>
      <x:c r="D145" s="9" t="n">
        <x:f>Model_Data!F145</x:f>
        <x:v>666.8581169032889</x:v>
      </x:c>
      <x:c r="E145" s="9" t="n">
        <x:f>Model_Data!AC145</x:f>
        <x:v>425.9686460478199</x:v>
      </x:c>
      <x:c r="F145" s="10"/>
      <x:c r="G145" s="9" t="n">
        <x:f>Model_Data!A145</x:f>
        <x:v>11.5</x:v>
      </x:c>
      <x:c r="H145" s="9" t="n">
        <x:f>Model_Data!Y145</x:f>
        <x:v>434.44467895572086</x:v>
      </x:c>
      <x:c r="I145" s="9" t="n">
        <x:f>Model_Data!Y145</x:f>
        <x:v>434.44467895572086</x:v>
      </x:c>
      <x:c r="J145" s="9" t="n">
        <x:f>Model_Data!X145</x:f>
        <x:v>4.044824683821267</x:v>
      </x:c>
      <x:c r="K145" s="9" t="n">
        <x:f>Model_Data!A145</x:f>
        <x:v>11.5</x:v>
      </x:c>
      <x:c r="L145" s="9" t="n">
        <x:f>Model_Data!Y145</x:f>
        <x:v>434.44467895572086</x:v>
      </x:c>
      <x:c r="M145" s="9" t="n">
        <x:f>Model_Data!X145</x:f>
        <x:v>4.044824683821267</x:v>
      </x:c>
      <x:c r="N145" s="9" t="n">
        <x:f>-(Model_Data!AC145-Model_Data!F145)*Inputs!$C$12</x:f>
        <x:v>428.78325812273476</x:v>
      </x:c>
      <x:c r="O145" s="10"/>
      <x:c r="P145" s="9" t="n">
        <x:f>Model_Data!A145</x:f>
        <x:v>11.5</x:v>
      </x:c>
      <x:c r="Q145" s="9" t="n">
        <x:f>Model_Data!P145</x:f>
        <x:v>-98.39062828850729</x:v>
      </x:c>
      <x:c r="R145" s="9" t="n">
        <x:f>Model_Data!AM145</x:f>
        <x:v>-133.6965623294418</x:v>
      </x:c>
      <x:c r="S145" s="9" t="n">
        <x:f>Model_Data!Q145</x:f>
        <x:v>-14.77336761088698</x:v>
      </x:c>
      <x:c r="T145" s="9" t="n">
        <x:f>Model_Data!AN145</x:f>
        <x:v>-20.074558908324597</x:v>
      </x:c>
      <x:c r="U145" s="10"/>
      <x:c r="V145" s="9" t="n">
        <x:f>Model_Data!A145</x:f>
        <x:v>11.5</x:v>
      </x:c>
      <x:c r="W145" s="9" t="n">
        <x:f>Model_Data!B145-Inputs!$C$5</x:f>
        <x:v>0.14694444444444343</x:v>
      </x:c>
      <x:c r="X145" s="10"/>
      <x:c r="Y145" s="9" t="n">
        <x:f>Model_Data!A145</x:f>
        <x:v>11.5</x:v>
      </x:c>
      <x:c r="Z145" s="9" t="n">
        <x:f>0</x:f>
        <x:v>0</x:v>
      </x:c>
      <x:c r="AA145" s="9" t="n">
        <x:f>((SQRT((Inputs!$C$52+Inputs!$C$5)^2+Inputs!$C$52^2-2*(Inputs!$C$52+Inputs!$C$5)*Inputs!$C$52*COS(SQRT((Model_Data!A145)^2+Inputs!$C$6^2)/Inputs!$C$52))-Inputs!$C$5)*1000/Inputs!$C$12)</x:f>
        <x:v>667.052454042441</x:v>
      </x:c>
      <x:c r="AB145" s="9" t="n">
        <x:f>Model_Data!F145</x:f>
        <x:v>666.8581169032889</x:v>
      </x:c>
    </x:row>
    <x:row r="146">
      <x:c r="A146" s="9" t="n">
        <x:f>Model_Data!A146</x:f>
        <x:v>12</x:v>
      </x:c>
      <x:c r="B146" s="9" t="n">
        <x:f>0</x:f>
        <x:v>0</x:v>
      </x:c>
      <x:c r="C146" s="9" t="n">
        <x:f>((SQRT((Inputs!$C$52+Inputs!$C$5)^2+Inputs!$C$52^2-2*(Inputs!$C$52+Inputs!$C$5)*Inputs!$C$52*COS(SQRT((Model_Data!A146)^2+Inputs!$C$6^2)/Inputs!$C$52))-Inputs!$C$5)*1000/Inputs!$C$12)</x:f>
        <x:v>677.387062917697</x:v>
      </x:c>
      <x:c r="D146" s="9" t="n">
        <x:f>Model_Data!F146</x:f>
        <x:v>677.1721992654893</x:v>
      </x:c>
      <x:c r="E146" s="9" t="n">
        <x:f>Model_Data!AC146</x:f>
        <x:v>444.4939773250507</x:v>
      </x:c>
      <x:c r="F146" s="10"/>
      <x:c r="G146" s="9" t="n">
        <x:f>Model_Data!A146</x:f>
        <x:v>12</x:v>
      </x:c>
      <x:c r="H146" s="9" t="n">
        <x:f>Model_Data!Y146</x:f>
        <x:v>422.8387186345762</x:v>
      </x:c>
      <x:c r="I146" s="9" t="n">
        <x:f>Model_Data!Y146</x:f>
        <x:v>422.8387186345762</x:v>
      </x:c>
      <x:c r="J146" s="9" t="n">
        <x:f>Model_Data!X146</x:f>
        <x:v>7.0738918061296845</x:v>
      </x:c>
      <x:c r="K146" s="9" t="n">
        <x:f>Model_Data!A146</x:f>
        <x:v>12</x:v>
      </x:c>
      <x:c r="L146" s="9" t="n">
        <x:f>Model_Data!Y146</x:f>
        <x:v>422.8387186345762</x:v>
      </x:c>
      <x:c r="M146" s="9" t="n">
        <x:f>Model_Data!X146</x:f>
        <x:v>7.0738918061296845</x:v>
      </x:c>
      <x:c r="N146" s="9" t="n">
        <x:f>-(Model_Data!AC146-Model_Data!F146)*Inputs!$C$12</x:f>
        <x:v>414.16723505398073</x:v>
      </x:c>
      <x:c r="O146" s="10"/>
      <x:c r="P146" s="9" t="n">
        <x:f>Model_Data!A146</x:f>
        <x:v>12</x:v>
      </x:c>
      <x:c r="Q146" s="9" t="n">
        <x:f>Model_Data!P146</x:f>
        <x:v>-102.66258570945865</x:v>
      </x:c>
      <x:c r="R146" s="9" t="n">
        <x:f>Model_Data!AM146</x:f>
        <x:v>-103.25466974927622</x:v>
      </x:c>
      <x:c r="S146" s="9" t="n">
        <x:f>Model_Data!Q146</x:f>
        <x:v>-15.414802659077877</x:v>
      </x:c>
      <x:c r="T146" s="9" t="n">
        <x:f>Model_Data!AN146</x:f>
        <x:v>-15.503704166557991</x:v>
      </x:c>
      <x:c r="U146" s="10"/>
      <x:c r="V146" s="9" t="n">
        <x:f>Model_Data!A146</x:f>
        <x:v>12</x:v>
      </x:c>
      <x:c r="W146" s="9" t="n">
        <x:f>Model_Data!B146-Inputs!$C$5</x:f>
        <x:v>0.160000000000025</x:v>
      </x:c>
      <x:c r="X146" s="10"/>
      <x:c r="Y146" s="9" t="n">
        <x:f>Model_Data!A146</x:f>
        <x:v>12</x:v>
      </x:c>
      <x:c r="Z146" s="9" t="n">
        <x:f>0</x:f>
        <x:v>0</x:v>
      </x:c>
      <x:c r="AA146" s="9" t="n">
        <x:f>((SQRT((Inputs!$C$52+Inputs!$C$5)^2+Inputs!$C$52^2-2*(Inputs!$C$52+Inputs!$C$5)*Inputs!$C$52*COS(SQRT((Model_Data!A146)^2+Inputs!$C$6^2)/Inputs!$C$52))-Inputs!$C$5)*1000/Inputs!$C$12)</x:f>
        <x:v>677.387062917697</x:v>
      </x:c>
      <x:c r="AB146" s="9" t="n">
        <x:f>Model_Data!F146</x:f>
        <x:v>677.1721992654893</x:v>
      </x:c>
    </x:row>
    <x:row r="147">
      <x:c r="A147" s="9" t="n">
        <x:f>Model_Data!A147</x:f>
        <x:v>12.5</x:v>
      </x:c>
      <x:c r="B147" s="9" t="n">
        <x:f>0</x:f>
        <x:v>0</x:v>
      </x:c>
      <x:c r="C147" s="9" t="n">
        <x:f>((SQRT((Inputs!$C$52+Inputs!$C$5)^2+Inputs!$C$52^2-2*(Inputs!$C$52+Inputs!$C$5)*Inputs!$C$52*COS(SQRT((Model_Data!A147)^2+Inputs!$C$6^2)/Inputs!$C$52))-Inputs!$C$5)*1000/Inputs!$C$12)</x:f>
        <x:v>688.1609290384572</x:v>
      </x:c>
      <x:c r="D147" s="9" t="n">
        <x:f>Model_Data!F147</x:f>
        <x:v>687.9240997132716</x:v>
      </x:c>
      <x:c r="E147" s="9" t="n">
        <x:f>Model_Data!AC147</x:f>
        <x:v>441.77495114183785</x:v>
      </x:c>
      <x:c r="F147" s="10"/>
      <x:c r="G147" s="9" t="n">
        <x:f>Model_Data!A147</x:f>
        <x:v>12.5</x:v>
      </x:c>
      <x:c r="H147" s="9" t="n">
        <x:f>Model_Data!Y147</x:f>
        <x:v>434.12423495839124</x:v>
      </x:c>
      <x:c r="I147" s="9" t="n">
        <x:f>Model_Data!Y147</x:f>
        <x:v>434.12423495839124</x:v>
      </x:c>
      <x:c r="J147" s="9" t="n">
        <x:f>Model_Data!X147</x:f>
        <x:v>-5.687454175445142</x:v>
      </x:c>
      <x:c r="K147" s="9" t="n">
        <x:f>Model_Data!A147</x:f>
        <x:v>12.5</x:v>
      </x:c>
      <x:c r="L147" s="9" t="n">
        <x:f>Model_Data!Y147</x:f>
        <x:v>434.12423495839124</x:v>
      </x:c>
      <x:c r="M147" s="9" t="n">
        <x:f>Model_Data!X147</x:f>
        <x:v>-5.687454175445142</x:v>
      </x:c>
      <x:c r="N147" s="9" t="n">
        <x:f>-(Model_Data!AC147-Model_Data!F147)*Inputs!$C$12</x:f>
        <x:v>438.1454844571521</x:v>
      </x:c>
      <x:c r="O147" s="10"/>
      <x:c r="P147" s="9" t="n">
        <x:f>Model_Data!A147</x:f>
        <x:v>12.5</x:v>
      </x:c>
      <x:c r="Q147" s="9" t="n">
        <x:f>Model_Data!P147</x:f>
        <x:v>-106.9337919834652</x:v>
      </x:c>
      <x:c r="R147" s="9" t="n">
        <x:f>Model_Data!AM147</x:f>
        <x:v>-97.45932921296117</x:v>
      </x:c>
      <x:c r="S147" s="9" t="n">
        <x:f>Model_Data!Q147</x:f>
        <x:v>-16.056124922442223</x:v>
      </x:c>
      <x:c r="T147" s="9" t="n">
        <x:f>Model_Data!AN147</x:f>
        <x:v>-14.633532914859035</x:v>
      </x:c>
      <x:c r="U147" s="10"/>
      <x:c r="V147" s="9" t="n">
        <x:f>Model_Data!A147</x:f>
        <x:v>12.5</x:v>
      </x:c>
      <x:c r="W147" s="9" t="n">
        <x:f>Model_Data!B147-Inputs!$C$5</x:f>
        <x:v>0.17361111111108585</x:v>
      </x:c>
      <x:c r="X147" s="10"/>
      <x:c r="Y147" s="9" t="n">
        <x:f>Model_Data!A147</x:f>
        <x:v>12.5</x:v>
      </x:c>
      <x:c r="Z147" s="9" t="n">
        <x:f>0</x:f>
        <x:v>0</x:v>
      </x:c>
      <x:c r="AA147" s="9" t="n">
        <x:f>((SQRT((Inputs!$C$52+Inputs!$C$5)^2+Inputs!$C$52^2-2*(Inputs!$C$52+Inputs!$C$5)*Inputs!$C$52*COS(SQRT((Model_Data!A147)^2+Inputs!$C$6^2)/Inputs!$C$52))-Inputs!$C$5)*1000/Inputs!$C$12)</x:f>
        <x:v>688.1609290384572</x:v>
      </x:c>
      <x:c r="AB147" s="9" t="n">
        <x:f>Model_Data!F147</x:f>
        <x:v>687.9240997132716</x:v>
      </x:c>
    </x:row>
    <x:row r="148">
      <x:c r="A148" s="9" t="n">
        <x:f>Model_Data!A148</x:f>
        <x:v>13</x:v>
      </x:c>
      <x:c r="B148" s="9" t="n">
        <x:f>0</x:f>
        <x:v>0</x:v>
      </x:c>
      <x:c r="C148" s="9" t="n">
        <x:f>((SQRT((Inputs!$C$52+Inputs!$C$5)^2+Inputs!$C$52^2-2*(Inputs!$C$52+Inputs!$C$5)*Inputs!$C$52*COS(SQRT((Model_Data!A148)^2+Inputs!$C$6^2)/Inputs!$C$52))-Inputs!$C$5)*1000/Inputs!$C$12)</x:f>
        <x:v>699.3739883142141</x:v>
      </x:c>
      <x:c r="D148" s="9" t="n">
        <x:f>Model_Data!F148</x:f>
        <x:v>699.1136836541939</x:v>
      </x:c>
      <x:c r="E148" s="9" t="n">
        <x:f>Model_Data!AC148</x:f>
        <x:v>457.10179766639783</x:v>
      </x:c>
      <x:c r="F148" s="10"/>
      <x:c r="G148" s="9" t="n">
        <x:f>Model_Data!A148</x:f>
        <x:v>13</x:v>
      </x:c>
      <x:c r="H148" s="9" t="n">
        <x:f>Model_Data!Y148</x:f>
        <x:v>428.8351991704085</x:v>
      </x:c>
      <x:c r="I148" s="9" t="n">
        <x:f>Model_Data!Y148</x:f>
        <x:v>428.8351991704085</x:v>
      </x:c>
      <x:c r="J148" s="9" t="n">
        <x:f>Model_Data!X148</x:f>
        <x:v>-3.618490966575764</x:v>
      </x:c>
      <x:c r="K148" s="9" t="n">
        <x:f>Model_Data!A148</x:f>
        <x:v>13</x:v>
      </x:c>
      <x:c r="L148" s="9" t="n">
        <x:f>Model_Data!Y148</x:f>
        <x:v>428.8351991704085</x:v>
      </x:c>
      <x:c r="M148" s="9" t="n">
        <x:f>Model_Data!X148</x:f>
        <x:v>-3.618490966575764</x:v>
      </x:c>
      <x:c r="N148" s="9" t="n">
        <x:f>-(Model_Data!AC148-Model_Data!F148)*Inputs!$C$12</x:f>
        <x:v>430.781157058277</x:v>
      </x:c>
      <x:c r="O148" s="10"/>
      <x:c r="P148" s="9" t="n">
        <x:f>Model_Data!A148</x:f>
        <x:v>13</x:v>
      </x:c>
      <x:c r="Q148" s="9" t="n">
        <x:f>Model_Data!P148</x:f>
        <x:v>-111.20421613486542</x:v>
      </x:c>
      <x:c r="R148" s="9" t="n">
        <x:f>Model_Data!AM148</x:f>
        <x:v>-151.57657912886862</x:v>
      </x:c>
      <x:c r="S148" s="9" t="n">
        <x:f>Model_Data!Q148</x:f>
        <x:v>-16.697329749979794</x:v>
      </x:c>
      <x:c r="T148" s="9" t="n">
        <x:f>Model_Data!AN148</x:f>
        <x:v>-22.75924611544574</x:v>
      </x:c>
      <x:c r="U148" s="10"/>
      <x:c r="V148" s="9" t="n">
        <x:f>Model_Data!A148</x:f>
        <x:v>13</x:v>
      </x:c>
      <x:c r="W148" s="9" t="n">
        <x:f>Model_Data!B148-Inputs!$C$5</x:f>
        <x:v>0.18777777777779647</x:v>
      </x:c>
      <x:c r="X148" s="10"/>
      <x:c r="Y148" s="9" t="n">
        <x:f>Model_Data!A148</x:f>
        <x:v>13</x:v>
      </x:c>
      <x:c r="Z148" s="9" t="n">
        <x:f>0</x:f>
        <x:v>0</x:v>
      </x:c>
      <x:c r="AA148" s="9" t="n">
        <x:f>((SQRT((Inputs!$C$52+Inputs!$C$5)^2+Inputs!$C$52^2-2*(Inputs!$C$52+Inputs!$C$5)*Inputs!$C$52*COS(SQRT((Model_Data!A148)^2+Inputs!$C$6^2)/Inputs!$C$52))-Inputs!$C$5)*1000/Inputs!$C$12)</x:f>
        <x:v>699.3739883142141</x:v>
      </x:c>
      <x:c r="AB148" s="9" t="n">
        <x:f>Model_Data!F148</x:f>
        <x:v>699.1136836541939</x:v>
      </x:c>
    </x:row>
    <x:row r="149">
      <x:c r="A149" s="9" t="n">
        <x:f>Model_Data!A149</x:f>
        <x:v>13.5</x:v>
      </x:c>
      <x:c r="B149" s="9" t="n">
        <x:f>0</x:f>
        <x:v>0</x:v>
      </x:c>
      <x:c r="C149" s="9" t="n">
        <x:f>((SQRT((Inputs!$C$52+Inputs!$C$5)^2+Inputs!$C$52^2-2*(Inputs!$C$52+Inputs!$C$5)*Inputs!$C$52*COS(SQRT((Model_Data!A149)^2+Inputs!$C$6^2)/Inputs!$C$52))-Inputs!$C$5)*1000/Inputs!$C$12)</x:f>
        <x:v>711.0261740581527</x:v>
      </x:c>
      <x:c r="D149" s="9" t="n">
        <x:f>Model_Data!F149</x:f>
        <x:v>710.7408110589965</x:v>
      </x:c>
      <x:c r="E149" s="9" t="n">
        <x:f>Model_Data!AC149</x:f>
        <x:v>481.98825932573664</x:v>
      </x:c>
      <x:c r="F149" s="10"/>
      <x:c r="G149" s="9" t="n">
        <x:f>Model_Data!A149</x:f>
        <x:v>13.5</x:v>
      </x:c>
      <x:c r="H149" s="9" t="n">
        <x:f>Model_Data!Y149</x:f>
        <x:v>408.84619240872695</x:v>
      </x:c>
      <x:c r="I149" s="9" t="n">
        <x:f>Model_Data!Y149</x:f>
        <x:v>408.84619240872695</x:v>
      </x:c>
      <x:c r="J149" s="9" t="n">
        <x:f>Model_Data!X149</x:f>
        <x:v>0.04576132524433074</x:v>
      </x:c>
      <x:c r="K149" s="9" t="n">
        <x:f>Model_Data!A149</x:f>
        <x:v>13.5</x:v>
      </x:c>
      <x:c r="L149" s="9" t="n">
        <x:f>Model_Data!Y149</x:f>
        <x:v>408.84619240872695</x:v>
      </x:c>
      <x:c r="M149" s="9" t="n">
        <x:f>Model_Data!X149</x:f>
        <x:v>0.04576132524433074</x:v>
      </x:c>
      <x:c r="N149" s="9" t="n">
        <x:f>-(Model_Data!AC149-Model_Data!F149)*Inputs!$C$12</x:f>
        <x:v>407.1795420852026</x:v>
      </x:c>
      <x:c r="O149" s="10"/>
      <x:c r="P149" s="9" t="n">
        <x:f>Model_Data!A149</x:f>
        <x:v>13.5</x:v>
      </x:c>
      <x:c r="Q149" s="9" t="n">
        <x:f>Model_Data!P149</x:f>
        <x:v>-115.4738272234681</x:v>
      </x:c>
      <x:c r="R149" s="9" t="n">
        <x:f>Model_Data!AM149</x:f>
        <x:v>-141.51365191682999</x:v>
      </x:c>
      <x:c r="S149" s="9" t="n">
        <x:f>Model_Data!Q149</x:f>
        <x:v>-17.338412496016232</x:v>
      </x:c>
      <x:c r="T149" s="9" t="n">
        <x:f>Model_Data!AN149</x:f>
        <x:v>-21.248296083608107</x:v>
      </x:c>
      <x:c r="U149" s="10"/>
      <x:c r="V149" s="9" t="n">
        <x:f>Model_Data!A149</x:f>
        <x:v>13.5</x:v>
      </x:c>
      <x:c r="W149" s="9" t="n">
        <x:f>Model_Data!B149-Inputs!$C$5</x:f>
        <x:v>0.20249999999998636</x:v>
      </x:c>
      <x:c r="X149" s="10"/>
      <x:c r="Y149" s="9" t="n">
        <x:f>Model_Data!A149</x:f>
        <x:v>13.5</x:v>
      </x:c>
      <x:c r="Z149" s="9" t="n">
        <x:f>0</x:f>
        <x:v>0</x:v>
      </x:c>
      <x:c r="AA149" s="9" t="n">
        <x:f>((SQRT((Inputs!$C$52+Inputs!$C$5)^2+Inputs!$C$52^2-2*(Inputs!$C$52+Inputs!$C$5)*Inputs!$C$52*COS(SQRT((Model_Data!A149)^2+Inputs!$C$6^2)/Inputs!$C$52))-Inputs!$C$5)*1000/Inputs!$C$12)</x:f>
        <x:v>711.0261740581527</x:v>
      </x:c>
      <x:c r="AB149" s="9" t="n">
        <x:f>Model_Data!F149</x:f>
        <x:v>710.7408110589965</x:v>
      </x:c>
    </x:row>
    <x:row r="150">
      <x:c r="A150" s="9" t="n">
        <x:f>Model_Data!A150</x:f>
        <x:v>14</x:v>
      </x:c>
      <x:c r="B150" s="9" t="n">
        <x:f>0</x:f>
        <x:v>0</x:v>
      </x:c>
      <x:c r="C150" s="9" t="n">
        <x:f>((SQRT((Inputs!$C$52+Inputs!$C$5)^2+Inputs!$C$52^2-2*(Inputs!$C$52+Inputs!$C$5)*Inputs!$C$52*COS(SQRT((Model_Data!A150)^2+Inputs!$C$6^2)/Inputs!$C$52))-Inputs!$C$5)*1000/Inputs!$C$12)</x:f>
        <x:v>723.1174169847241</x:v>
      </x:c>
      <x:c r="D150" s="9" t="n">
        <x:f>Model_Data!F150</x:f>
        <x:v>722.8053364714383</x:v>
      </x:c>
      <x:c r="E150" s="9" t="n">
        <x:f>Model_Data!AC150</x:f>
        <x:v>501.6032485701963</x:v>
      </x:c>
      <x:c r="F150" s="10"/>
      <x:c r="G150" s="9" t="n">
        <x:f>Model_Data!A150</x:f>
        <x:v>14</x:v>
      </x:c>
      <x:c r="H150" s="9" t="n">
        <x:f>Model_Data!Y150</x:f>
        <x:v>412.55100068044544</x:v>
      </x:c>
      <x:c r="I150" s="9" t="n">
        <x:f>Model_Data!Y150</x:f>
        <x:v>412.55100068044544</x:v>
      </x:c>
      <x:c r="J150" s="9" t="n">
        <x:f>Model_Data!X150</x:f>
        <x:v>17.14805919414721</x:v>
      </x:c>
      <x:c r="K150" s="9" t="n">
        <x:f>Model_Data!A150</x:f>
        <x:v>14</x:v>
      </x:c>
      <x:c r="L150" s="9" t="n">
        <x:f>Model_Data!Y150</x:f>
        <x:v>412.55100068044544</x:v>
      </x:c>
      <x:c r="M150" s="9" t="n">
        <x:f>Model_Data!X150</x:f>
        <x:v>17.14805919414721</x:v>
      </x:c>
      <x:c r="N150" s="9" t="n">
        <x:f>-(Model_Data!AC150-Model_Data!F150)*Inputs!$C$12</x:f>
        <x:v>393.7397164642108</x:v>
      </x:c>
      <x:c r="O150" s="10"/>
      <x:c r="P150" s="9" t="n">
        <x:f>Model_Data!A150</x:f>
        <x:v>14</x:v>
      </x:c>
      <x:c r="Q150" s="9" t="n">
        <x:f>Model_Data!P150</x:f>
        <x:v>-119.7425943531016</x:v>
      </x:c>
      <x:c r="R150" s="9" t="n">
        <x:f>Model_Data!AM150</x:f>
        <x:v>-109.12181689409408</x:v>
      </x:c>
      <x:c r="S150" s="9" t="n">
        <x:f>Model_Data!Q150</x:f>
        <x:v>-17.979368521486727</x:v>
      </x:c>
      <x:c r="T150" s="9" t="n">
        <x:f>Model_Data!AN150</x:f>
        <x:v>-16.38465719130542</x:v>
      </x:c>
      <x:c r="U150" s="10"/>
      <x:c r="V150" s="9" t="n">
        <x:f>Model_Data!A150</x:f>
        <x:v>14</x:v>
      </x:c>
      <x:c r="W150" s="9" t="n">
        <x:f>Model_Data!B150-Inputs!$C$5</x:f>
        <x:v>0.2177777777777692</x:v>
      </x:c>
      <x:c r="X150" s="10"/>
      <x:c r="Y150" s="9" t="n">
        <x:f>Model_Data!A150</x:f>
        <x:v>14</x:v>
      </x:c>
      <x:c r="Z150" s="9" t="n">
        <x:f>0</x:f>
        <x:v>0</x:v>
      </x:c>
      <x:c r="AA150" s="9" t="n">
        <x:f>((SQRT((Inputs!$C$52+Inputs!$C$5)^2+Inputs!$C$52^2-2*(Inputs!$C$52+Inputs!$C$5)*Inputs!$C$52*COS(SQRT((Model_Data!A150)^2+Inputs!$C$6^2)/Inputs!$C$52))-Inputs!$C$5)*1000/Inputs!$C$12)</x:f>
        <x:v>723.1174169847241</x:v>
      </x:c>
      <x:c r="AB150" s="9" t="n">
        <x:f>Model_Data!F150</x:f>
        <x:v>722.8053364714383</x:v>
      </x:c>
    </x:row>
    <x:row r="151">
      <x:c r="A151" s="9" t="n">
        <x:f>Model_Data!A151</x:f>
        <x:v>14.5</x:v>
      </x:c>
      <x:c r="B151" s="9" t="n">
        <x:f>0</x:f>
        <x:v>0</x:v>
      </x:c>
      <x:c r="C151" s="9" t="n">
        <x:f>((SQRT((Inputs!$C$52+Inputs!$C$5)^2+Inputs!$C$52^2-2*(Inputs!$C$52+Inputs!$C$5)*Inputs!$C$52*COS(SQRT((Model_Data!A151)^2+Inputs!$C$6^2)/Inputs!$C$52))-Inputs!$C$5)*1000/Inputs!$C$12)</x:f>
        <x:v>735.6476452129021</x:v>
      </x:c>
      <x:c r="D151" s="9" t="n">
        <x:f>Model_Data!F151</x:f>
        <x:v>735.3071090138205</x:v>
      </x:c>
      <x:c r="E151" s="9" t="n">
        <x:f>Model_Data!AC151</x:f>
        <x:v>518.151007119691</x:v>
      </x:c>
      <x:c r="F151" s="10"/>
      <x:c r="G151" s="9" t="n">
        <x:f>Model_Data!A151</x:f>
        <x:v>14.5</x:v>
      </x:c>
      <x:c r="H151" s="9" t="n">
        <x:f>Model_Data!Y151</x:f>
        <x:v>415.5675277705944</x:v>
      </x:c>
      <x:c r="I151" s="9" t="n">
        <x:f>Model_Data!Y151</x:f>
        <x:v>415.5675277705944</x:v>
      </x:c>
      <x:c r="J151" s="9" t="n">
        <x:f>Model_Data!X151</x:f>
        <x:v>27.325427950737776</x:v>
      </x:c>
      <x:c r="K151" s="9" t="n">
        <x:f>Model_Data!A151</x:f>
        <x:v>14.5</x:v>
      </x:c>
      <x:c r="L151" s="9" t="n">
        <x:f>Model_Data!Y151</x:f>
        <x:v>415.5675277705944</x:v>
      </x:c>
      <x:c r="M151" s="9" t="n">
        <x:f>Model_Data!X151</x:f>
        <x:v>27.325427950737776</x:v>
      </x:c>
      <x:c r="N151" s="9" t="n">
        <x:f>-(Model_Data!AC151-Model_Data!F151)*Inputs!$C$12</x:f>
        <x:v>386.53786137155055</x:v>
      </x:c>
      <x:c r="O151" s="10"/>
      <x:c r="P151" s="9" t="n">
        <x:f>Model_Data!A151</x:f>
        <x:v>14.5</x:v>
      </x:c>
      <x:c r="Q151" s="9" t="n">
        <x:f>Model_Data!P151</x:f>
        <x:v>-124.0104866564252</x:v>
      </x:c>
      <x:c r="R151" s="9" t="n">
        <x:f>Model_Data!AM151</x:f>
        <x:v>-145.14355631799845</x:v>
      </x:c>
      <x:c r="S151" s="9" t="n">
        <x:f>Model_Data!Q151</x:f>
        <x:v>-18.62019319165544</x:v>
      </x:c>
      <x:c r="T151" s="9" t="n">
        <x:f>Model_Data!AN151</x:f>
        <x:v>-21.79332677447424</x:v>
      </x:c>
      <x:c r="U151" s="10"/>
      <x:c r="V151" s="9" t="n">
        <x:f>Model_Data!A151</x:f>
        <x:v>14.5</x:v>
      </x:c>
      <x:c r="W151" s="9" t="n">
        <x:f>Model_Data!B151-Inputs!$C$5</x:f>
        <x:v>0.23361111111108812</x:v>
      </x:c>
      <x:c r="X151" s="10"/>
      <x:c r="Y151" s="9" t="n">
        <x:f>Model_Data!A151</x:f>
        <x:v>14.5</x:v>
      </x:c>
      <x:c r="Z151" s="9" t="n">
        <x:f>0</x:f>
        <x:v>0</x:v>
      </x:c>
      <x:c r="AA151" s="9" t="n">
        <x:f>((SQRT((Inputs!$C$52+Inputs!$C$5)^2+Inputs!$C$52^2-2*(Inputs!$C$52+Inputs!$C$5)*Inputs!$C$52*COS(SQRT((Model_Data!A151)^2+Inputs!$C$6^2)/Inputs!$C$52))-Inputs!$C$5)*1000/Inputs!$C$12)</x:f>
        <x:v>735.6476452129021</x:v>
      </x:c>
      <x:c r="AB151" s="9" t="n">
        <x:f>Model_Data!F151</x:f>
        <x:v>735.3071090138205</x:v>
      </x:c>
    </x:row>
    <x:row r="152">
      <x:c r="A152" s="9" t="n">
        <x:f>Model_Data!A152</x:f>
        <x:v>15</x:v>
      </x:c>
      <x:c r="B152" s="9" t="n">
        <x:f>0</x:f>
        <x:v>0</x:v>
      </x:c>
      <x:c r="C152" s="9" t="n">
        <x:f>((SQRT((Inputs!$C$52+Inputs!$C$5)^2+Inputs!$C$52^2-2*(Inputs!$C$52+Inputs!$C$5)*Inputs!$C$52*COS(SQRT((Model_Data!A152)^2+Inputs!$C$6^2)/Inputs!$C$52))-Inputs!$C$5)*1000/Inputs!$C$12)</x:f>
        <x:v>748.6167842668547</x:v>
      </x:c>
      <x:c r="D152" s="9" t="n">
        <x:f>Model_Data!F152</x:f>
        <x:v>748.2459723916826</x:v>
      </x:c>
      <x:c r="E152" s="9" t="n">
        <x:f>Model_Data!AC152</x:f>
        <x:v>550.3152412227324</x:v>
      </x:c>
      <x:c r="F152" s="10"/>
      <x:c r="G152" s="9" t="n">
        <x:f>Model_Data!A152</x:f>
        <x:v>15</x:v>
      </x:c>
      <x:c r="H152" s="9" t="n">
        <x:f>Model_Data!Y152</x:f>
        <x:v>399.34593170493116</x:v>
      </x:c>
      <x:c r="I152" s="9" t="n">
        <x:f>Model_Data!Y152</x:f>
        <x:v>399.34593170493116</x:v>
      </x:c>
      <x:c r="J152" s="9" t="n">
        <x:f>Model_Data!X152</x:f>
        <x:v>45.362905639140564</x:v>
      </x:c>
      <x:c r="K152" s="9" t="n">
        <x:f>Model_Data!A152</x:f>
        <x:v>15</x:v>
      </x:c>
      <x:c r="L152" s="9" t="n">
        <x:f>Model_Data!Y152</x:f>
        <x:v>399.34593170493116</x:v>
      </x:c>
      <x:c r="M152" s="9" t="n">
        <x:f>Model_Data!X152</x:f>
        <x:v>45.362905639140564</x:v>
      </x:c>
      <x:c r="N152" s="9" t="n">
        <x:f>-(Model_Data!AC152-Model_Data!F152)*Inputs!$C$12</x:f>
        <x:v>352.3167014807313</x:v>
      </x:c>
      <x:c r="O152" s="10"/>
      <x:c r="P152" s="9" t="n">
        <x:f>Model_Data!A152</x:f>
        <x:v>15</x:v>
      </x:c>
      <x:c r="Q152" s="9" t="n">
        <x:f>Model_Data!P152</x:f>
        <x:v>-128.2774733243059</x:v>
      </x:c>
      <x:c r="R152" s="9" t="n">
        <x:f>Model_Data!AM152</x:f>
        <x:v>-160.1607348960897</x:v>
      </x:c>
      <x:c r="S152" s="9" t="n">
        <x:f>Model_Data!Q152</x:f>
        <x:v>-19.260881880526412</x:v>
      </x:c>
      <x:c r="T152" s="9" t="n">
        <x:f>Model_Data!AN152</x:f>
        <x:v>-24.048158392806265</x:v>
      </x:c>
      <x:c r="U152" s="10"/>
      <x:c r="V152" s="9" t="n">
        <x:f>Model_Data!A152</x:f>
        <x:v>15</x:v>
      </x:c>
      <x:c r="W152" s="9" t="n">
        <x:f>Model_Data!B152-Inputs!$C$5</x:f>
        <x:v>0.25</x:v>
      </x:c>
      <x:c r="X152" s="10"/>
      <x:c r="Y152" s="9" t="n">
        <x:f>Model_Data!A152</x:f>
        <x:v>15</x:v>
      </x:c>
      <x:c r="Z152" s="9" t="n">
        <x:f>0</x:f>
        <x:v>0</x:v>
      </x:c>
      <x:c r="AA152" s="9" t="n">
        <x:f>((SQRT((Inputs!$C$52+Inputs!$C$5)^2+Inputs!$C$52^2-2*(Inputs!$C$52+Inputs!$C$5)*Inputs!$C$52*COS(SQRT((Model_Data!A152)^2+Inputs!$C$6^2)/Inputs!$C$52))-Inputs!$C$5)*1000/Inputs!$C$12)</x:f>
        <x:v>748.6167842668547</x:v>
      </x:c>
      <x:c r="AB152" s="9" t="n">
        <x:f>Model_Data!F152</x:f>
        <x:v>748.2459723916826</x:v>
      </x:c>
    </x:row>
    <x:row r="153">
      <x:c r="A153" s="9" t="n">
        <x:f>Model_Data!A153</x:f>
        <x:v>15.5</x:v>
      </x:c>
      <x:c r="B153" s="9" t="n">
        <x:f>0</x:f>
        <x:v>0</x:v>
      </x:c>
      <x:c r="C153" s="9" t="n">
        <x:f>((SQRT((Inputs!$C$52+Inputs!$C$5)^2+Inputs!$C$52^2-2*(Inputs!$C$52+Inputs!$C$5)*Inputs!$C$52*COS(SQRT((Model_Data!A153)^2+Inputs!$C$6^2)/Inputs!$C$52))-Inputs!$C$5)*1000/Inputs!$C$12)</x:f>
        <x:v>762.0247570816274</x:v>
      </x:c>
      <x:c r="D153" s="9" t="n">
        <x:f>Model_Data!F153</x:f>
        <x:v>761.6217649095123</x:v>
      </x:c>
      <x:c r="E153" s="9" t="n">
        <x:f>Model_Data!AC153</x:f>
        <x:v>567.8880170454719</x:v>
      </x:c>
      <x:c r="F153" s="10"/>
      <x:c r="G153" s="9" t="n">
        <x:f>Model_Data!A153</x:f>
        <x:v>15.5</x:v>
      </x:c>
      <x:c r="H153" s="9" t="n">
        <x:f>Model_Data!Y153</x:f>
        <x:v>395.616361037493</x:v>
      </x:c>
      <x:c r="I153" s="9" t="n">
        <x:f>Model_Data!Y153</x:f>
        <x:v>395.616361037493</x:v>
      </x:c>
      <x:c r="J153" s="9" t="n">
        <x:f>Model_Data!X153</x:f>
        <x:v>49.090179641950456</x:v>
      </x:c>
      <x:c r="K153" s="9" t="n">
        <x:f>Model_Data!A153</x:f>
        <x:v>15.5</x:v>
      </x:c>
      <x:c r="L153" s="9" t="n">
        <x:f>Model_Data!Y153</x:f>
        <x:v>395.616361037493</x:v>
      </x:c>
      <x:c r="M153" s="9" t="n">
        <x:f>Model_Data!X153</x:f>
        <x:v>49.090179641950456</x:v>
      </x:c>
      <x:c r="N153" s="9" t="n">
        <x:f>-(Model_Data!AC153-Model_Data!F153)*Inputs!$C$12</x:f>
        <x:v>344.84607119799193</x:v>
      </x:c>
      <x:c r="O153" s="10"/>
      <x:c r="P153" s="9" t="n">
        <x:f>Model_Data!A153</x:f>
        <x:v>15.5</x:v>
      </x:c>
      <x:c r="Q153" s="9" t="n">
        <x:f>Model_Data!P153</x:f>
        <x:v>-132.5435235945406</x:v>
      </x:c>
      <x:c r="R153" s="9" t="n">
        <x:f>Model_Data!AM153</x:f>
        <x:v>-131.10580275870234</x:v>
      </x:c>
      <x:c r="S153" s="9" t="n">
        <x:f>Model_Data!Q153</x:f>
        <x:v>-19.901429969150243</x:v>
      </x:c>
      <x:c r="T153" s="9" t="n">
        <x:f>Model_Data!AN153</x:f>
        <x:v>-19.685555969775127</x:v>
      </x:c>
      <x:c r="U153" s="10"/>
      <x:c r="V153" s="9" t="n">
        <x:f>Model_Data!A153</x:f>
        <x:v>15.5</x:v>
      </x:c>
      <x:c r="W153" s="9" t="n">
        <x:f>Model_Data!B153-Inputs!$C$5</x:f>
        <x:v>0.266944444444448</x:v>
      </x:c>
      <x:c r="X153" s="10"/>
      <x:c r="Y153" s="9" t="n">
        <x:f>Model_Data!A153</x:f>
        <x:v>15.5</x:v>
      </x:c>
      <x:c r="Z153" s="9" t="n">
        <x:f>0</x:f>
        <x:v>0</x:v>
      </x:c>
      <x:c r="AA153" s="9" t="n">
        <x:f>((SQRT((Inputs!$C$52+Inputs!$C$5)^2+Inputs!$C$52^2-2*(Inputs!$C$52+Inputs!$C$5)*Inputs!$C$52*COS(SQRT((Model_Data!A153)^2+Inputs!$C$6^2)/Inputs!$C$52))-Inputs!$C$5)*1000/Inputs!$C$12)</x:f>
        <x:v>762.0247570816274</x:v>
      </x:c>
      <x:c r="AB153" s="9" t="n">
        <x:f>Model_Data!F153</x:f>
        <x:v>761.6217649095123</x:v>
      </x:c>
    </x:row>
    <x:row r="154">
      <x:c r="A154" s="9" t="n">
        <x:f>Model_Data!A154</x:f>
        <x:v>16</x:v>
      </x:c>
      <x:c r="B154" s="9" t="n">
        <x:f>0</x:f>
        <x:v>0</x:v>
      </x:c>
      <x:c r="C154" s="9" t="n">
        <x:f>((SQRT((Inputs!$C$52+Inputs!$C$5)^2+Inputs!$C$52^2-2*(Inputs!$C$52+Inputs!$C$5)*Inputs!$C$52*COS(SQRT((Model_Data!A154)^2+Inputs!$C$6^2)/Inputs!$C$52))-Inputs!$C$5)*1000/Inputs!$C$12)</x:f>
        <x:v>775.8714840006216</x:v>
      </x:c>
      <x:c r="D154" s="9" t="n">
        <x:f>Model_Data!F154</x:f>
        <x:v>775.4343194715455</x:v>
      </x:c>
      <x:c r="E154" s="9" t="n">
        <x:f>Model_Data!AC154</x:f>
        <x:v>590.6826371130727</x:v>
      </x:c>
      <x:c r="F154" s="10"/>
      <x:c r="G154" s="9" t="n">
        <x:f>Model_Data!A154</x:f>
        <x:v>16</x:v>
      </x:c>
      <x:c r="H154" s="9" t="n">
        <x:f>Model_Data!Y154</x:f>
        <x:v>400.30891755789503</x:v>
      </x:c>
      <x:c r="I154" s="9" t="n">
        <x:f>Model_Data!Y154</x:f>
        <x:v>400.30891755789503</x:v>
      </x:c>
      <x:c r="J154" s="9" t="n">
        <x:f>Model_Data!X154</x:f>
        <x:v>69.7201880441823</x:v>
      </x:c>
      <x:c r="K154" s="9" t="n">
        <x:f>Model_Data!A154</x:f>
        <x:v>16</x:v>
      </x:c>
      <x:c r="L154" s="9" t="n">
        <x:f>Model_Data!Y154</x:f>
        <x:v>400.30891755789503</x:v>
      </x:c>
      <x:c r="M154" s="9" t="n">
        <x:f>Model_Data!X154</x:f>
        <x:v>69.7201880441823</x:v>
      </x:c>
      <x:c r="N154" s="9" t="n">
        <x:f>-(Model_Data!AC154-Model_Data!F154)*Inputs!$C$12</x:f>
        <x:v>328.8579945980815</x:v>
      </x:c>
      <x:c r="O154" s="10"/>
      <x:c r="P154" s="9" t="n">
        <x:f>Model_Data!A154</x:f>
        <x:v>16</x:v>
      </x:c>
      <x:c r="Q154" s="9" t="n">
        <x:f>Model_Data!P154</x:f>
        <x:v>-136.80860673657662</x:v>
      </x:c>
      <x:c r="R154" s="9" t="n">
        <x:f>Model_Data!AM154</x:f>
        <x:v>-120.04510651404416</x:v>
      </x:c>
      <x:c r="S154" s="9" t="n">
        <x:f>Model_Data!Q154</x:f>
        <x:v>-20.541832843329825</x:v>
      </x:c>
      <x:c r="T154" s="9" t="n">
        <x:f>Model_Data!AN154</x:f>
        <x:v>-18.0247907678745</x:v>
      </x:c>
      <x:c r="U154" s="10"/>
      <x:c r="V154" s="9" t="n">
        <x:f>Model_Data!A154</x:f>
        <x:v>16</x:v>
      </x:c>
      <x:c r="W154" s="9" t="n">
        <x:f>Model_Data!B154-Inputs!$C$5</x:f>
        <x:v>0.28444444444443207</x:v>
      </x:c>
      <x:c r="X154" s="10"/>
      <x:c r="Y154" s="9" t="n">
        <x:f>Model_Data!A154</x:f>
        <x:v>16</x:v>
      </x:c>
      <x:c r="Z154" s="9" t="n">
        <x:f>0</x:f>
        <x:v>0</x:v>
      </x:c>
      <x:c r="AA154" s="9" t="n">
        <x:f>((SQRT((Inputs!$C$52+Inputs!$C$5)^2+Inputs!$C$52^2-2*(Inputs!$C$52+Inputs!$C$5)*Inputs!$C$52*COS(SQRT((Model_Data!A154)^2+Inputs!$C$6^2)/Inputs!$C$52))-Inputs!$C$5)*1000/Inputs!$C$12)</x:f>
        <x:v>775.8714840006216</x:v>
      </x:c>
      <x:c r="AB154" s="9" t="n">
        <x:f>Model_Data!F154</x:f>
        <x:v>775.4343194715455</x:v>
      </x:c>
    </x:row>
    <x:row r="155">
      <x:c r="A155" s="9" t="n">
        <x:f>Model_Data!A155</x:f>
        <x:v>16.5</x:v>
      </x:c>
      <x:c r="B155" s="9" t="n">
        <x:f>0</x:f>
        <x:v>0</x:v>
      </x:c>
      <x:c r="C155" s="9" t="n">
        <x:f>((SQRT((Inputs!$C$52+Inputs!$C$5)^2+Inputs!$C$52^2-2*(Inputs!$C$52+Inputs!$C$5)*Inputs!$C$52*COS(SQRT((Model_Data!A155)^2+Inputs!$C$6^2)/Inputs!$C$52))-Inputs!$C$5)*1000/Inputs!$C$12)</x:f>
        <x:v>790.1568827831939</x:v>
      </x:c>
      <x:c r="D155" s="9" t="n">
        <x:f>Model_Data!F155</x:f>
        <x:v>789.6834635919838</x:v>
      </x:c>
      <x:c r="E155" s="9" t="n">
        <x:f>Model_Data!AC155</x:f>
        <x:v>602.6586096200855</x:v>
      </x:c>
      <x:c r="F155" s="10"/>
      <x:c r="G155" s="9" t="n">
        <x:f>Model_Data!A155</x:f>
        <x:v>16.5</x:v>
      </x:c>
      <x:c r="H155" s="9" t="n">
        <x:f>Model_Data!Y155</x:f>
        <x:v>406.20178346502695</x:v>
      </x:c>
      <x:c r="I155" s="9" t="n">
        <x:f>Model_Data!Y155</x:f>
        <x:v>406.20178346502695</x:v>
      </x:c>
      <x:c r="J155" s="9" t="n">
        <x:f>Model_Data!X155</x:f>
        <x:v>71.50919840907298</x:v>
      </x:c>
      <x:c r="K155" s="9" t="n">
        <x:f>Model_Data!A155</x:f>
        <x:v>16.5</x:v>
      </x:c>
      <x:c r="L155" s="9" t="n">
        <x:f>Model_Data!Y155</x:f>
        <x:v>406.20178346502695</x:v>
      </x:c>
      <x:c r="M155" s="9" t="n">
        <x:f>Model_Data!X155</x:f>
        <x:v>71.50919840907298</x:v>
      </x:c>
      <x:c r="N155" s="9" t="n">
        <x:f>-(Model_Data!AC155-Model_Data!F155)*Inputs!$C$12</x:f>
        <x:v>332.90424006997904</x:v>
      </x:c>
      <x:c r="O155" s="10"/>
      <x:c r="P155" s="9" t="n">
        <x:f>Model_Data!A155</x:f>
        <x:v>16.5</x:v>
      </x:c>
      <x:c r="Q155" s="9" t="n">
        <x:f>Model_Data!P155</x:f>
        <x:v>-141.07269207324862</x:v>
      </x:c>
      <x:c r="R155" s="9" t="n">
        <x:f>Model_Data!AM155</x:f>
        <x:v>-137.05256517414455</x:v>
      </x:c>
      <x:c r="S155" s="9" t="n">
        <x:f>Model_Data!Q155</x:f>
        <x:v>-21.18208589688418</x:v>
      </x:c>
      <x:c r="T155" s="9" t="n">
        <x:f>Model_Data!AN155</x:f>
        <x:v>-20.578463239361046</x:v>
      </x:c>
      <x:c r="U155" s="10"/>
      <x:c r="V155" s="9" t="n">
        <x:f>Model_Data!A155</x:f>
        <x:v>16.5</x:v>
      </x:c>
      <x:c r="W155" s="9" t="n">
        <x:f>Model_Data!B155-Inputs!$C$5</x:f>
        <x:v>0.3025000000000091</x:v>
      </x:c>
      <x:c r="X155" s="10"/>
      <x:c r="Y155" s="9" t="n">
        <x:f>Model_Data!A155</x:f>
        <x:v>16.5</x:v>
      </x:c>
      <x:c r="Z155" s="9" t="n">
        <x:f>0</x:f>
        <x:v>0</x:v>
      </x:c>
      <x:c r="AA155" s="9" t="n">
        <x:f>((SQRT((Inputs!$C$52+Inputs!$C$5)^2+Inputs!$C$52^2-2*(Inputs!$C$52+Inputs!$C$5)*Inputs!$C$52*COS(SQRT((Model_Data!A155)^2+Inputs!$C$6^2)/Inputs!$C$52))-Inputs!$C$5)*1000/Inputs!$C$12)</x:f>
        <x:v>790.1568827831939</x:v>
      </x:c>
      <x:c r="AB155" s="9" t="n">
        <x:f>Model_Data!F155</x:f>
        <x:v>789.6834635919838</x:v>
      </x:c>
    </x:row>
    <x:row r="156">
      <x:c r="A156" s="9" t="n">
        <x:f>Model_Data!A156</x:f>
        <x:v>17</x:v>
      </x:c>
      <x:c r="B156" s="9" t="n">
        <x:f>0</x:f>
        <x:v>0</x:v>
      </x:c>
      <x:c r="C156" s="9" t="n">
        <x:f>((SQRT((Inputs!$C$52+Inputs!$C$5)^2+Inputs!$C$52^2-2*(Inputs!$C$52+Inputs!$C$5)*Inputs!$C$52*COS(SQRT((Model_Data!A156)^2+Inputs!$C$6^2)/Inputs!$C$52))-Inputs!$C$5)*1000/Inputs!$C$12)</x:f>
        <x:v>804.8808686017826</x:v>
      </x:c>
      <x:c r="D156" s="9" t="n">
        <x:f>Model_Data!F156</x:f>
        <x:v>804.3690194036186</x:v>
      </x:c>
      <x:c r="E156" s="9" t="n">
        <x:f>Model_Data!AC156</x:f>
        <x:v>611.950718920336</x:v>
      </x:c>
      <x:c r="F156" s="10"/>
      <x:c r="G156" s="9" t="n">
        <x:f>Model_Data!A156</x:f>
        <x:v>17</x:v>
      </x:c>
      <x:c r="H156" s="9" t="n">
        <x:f>Model_Data!Y156</x:f>
        <x:v>402.8973585501548</x:v>
      </x:c>
      <x:c r="I156" s="9" t="n">
        <x:f>Model_Data!Y156</x:f>
        <x:v>402.8973585501548</x:v>
      </x:c>
      <x:c r="J156" s="9" t="n">
        <x:f>Model_Data!X156</x:f>
        <x:v>58.586187093984584</x:v>
      </x:c>
      <x:c r="K156" s="9" t="n">
        <x:f>Model_Data!A156</x:f>
        <x:v>17</x:v>
      </x:c>
      <x:c r="L156" s="9" t="n">
        <x:f>Model_Data!Y156</x:f>
        <x:v>402.8973585501548</x:v>
      </x:c>
      <x:c r="M156" s="9" t="n">
        <x:f>Model_Data!X156</x:f>
        <x:v>58.586187093984584</x:v>
      </x:c>
      <x:c r="N156" s="9" t="n">
        <x:f>-(Model_Data!AC156-Model_Data!F156)*Inputs!$C$12</x:f>
        <x:v>342.504574860243</x:v>
      </x:c>
      <x:c r="O156" s="10"/>
      <x:c r="P156" s="9" t="n">
        <x:f>Model_Data!A156</x:f>
        <x:v>17</x:v>
      </x:c>
      <x:c r="Q156" s="9" t="n">
        <x:f>Model_Data!P156</x:f>
        <x:v>-145.33574898605366</x:v>
      </x:c>
      <x:c r="R156" s="9" t="n">
        <x:f>Model_Data!AM156</x:f>
        <x:v>-135.2580367196424</x:v>
      </x:c>
      <x:c r="S156" s="9" t="n">
        <x:f>Model_Data!Q156</x:f>
        <x:v>-21.82218453244049</x:v>
      </x:c>
      <x:c r="T156" s="9" t="n">
        <x:f>Model_Data!AN156</x:f>
        <x:v>-20.309014522468832</x:v>
      </x:c>
      <x:c r="U156" s="10"/>
      <x:c r="V156" s="9" t="n">
        <x:f>Model_Data!A156</x:f>
        <x:v>17</x:v>
      </x:c>
      <x:c r="W156" s="9" t="n">
        <x:f>Model_Data!B156-Inputs!$C$5</x:f>
        <x:v>0.3211111111111222</x:v>
      </x:c>
      <x:c r="X156" s="10"/>
      <x:c r="Y156" s="9" t="n">
        <x:f>Model_Data!A156</x:f>
        <x:v>17</x:v>
      </x:c>
      <x:c r="Z156" s="9" t="n">
        <x:f>0</x:f>
        <x:v>0</x:v>
      </x:c>
      <x:c r="AA156" s="9" t="n">
        <x:f>((SQRT((Inputs!$C$52+Inputs!$C$5)^2+Inputs!$C$52^2-2*(Inputs!$C$52+Inputs!$C$5)*Inputs!$C$52*COS(SQRT((Model_Data!A156)^2+Inputs!$C$6^2)/Inputs!$C$52))-Inputs!$C$5)*1000/Inputs!$C$12)</x:f>
        <x:v>804.8808686017826</x:v>
      </x:c>
      <x:c r="AB156" s="9" t="n">
        <x:f>Model_Data!F156</x:f>
        <x:v>804.3690194036186</x:v>
      </x:c>
    </x:row>
    <x:row r="157">
      <x:c r="A157" s="9" t="n">
        <x:f>Model_Data!A157</x:f>
        <x:v>17.5</x:v>
      </x:c>
      <x:c r="B157" s="9" t="n">
        <x:f>0</x:f>
        <x:v>0</x:v>
      </x:c>
      <x:c r="C157" s="9" t="n">
        <x:f>((SQRT((Inputs!$C$52+Inputs!$C$5)^2+Inputs!$C$52^2-2*(Inputs!$C$52+Inputs!$C$5)*Inputs!$C$52*COS(SQRT((Model_Data!A157)^2+Inputs!$C$6^2)/Inputs!$C$52))-Inputs!$C$5)*1000/Inputs!$C$12)</x:f>
        <x:v>820.0433540484541</x:v>
      </x:c>
      <x:c r="D157" s="9" t="n">
        <x:f>Model_Data!F157</x:f>
        <x:v>819.4908036698047</x:v>
      </x:c>
      <x:c r="E157" s="9" t="n">
        <x:f>Model_Data!AC157</x:f>
        <x:v>625.6707230353426</x:v>
      </x:c>
      <x:c r="F157" s="10"/>
      <x:c r="G157" s="9" t="n">
        <x:f>Model_Data!A157</x:f>
        <x:v>17.5</x:v>
      </x:c>
      <x:c r="H157" s="9" t="n">
        <x:f>Model_Data!Y157</x:f>
        <x:v>412.59673853506814</x:v>
      </x:c>
      <x:c r="I157" s="9" t="n">
        <x:f>Model_Data!Y157</x:f>
        <x:v>412.59673853506814</x:v>
      </x:c>
      <x:c r="J157" s="9" t="n">
        <x:f>Model_Data!X157</x:f>
        <x:v>65.71226511619231</x:v>
      </x:c>
      <x:c r="K157" s="9" t="n">
        <x:f>Model_Data!A157</x:f>
        <x:v>17.5</x:v>
      </x:c>
      <x:c r="L157" s="9" t="n">
        <x:f>Model_Data!Y157</x:f>
        <x:v>412.59673853506814</x:v>
      </x:c>
      <x:c r="M157" s="9" t="n">
        <x:f>Model_Data!X157</x:f>
        <x:v>65.71226511619231</x:v>
      </x:c>
      <x:c r="N157" s="9" t="n">
        <x:f>-(Model_Data!AC157-Model_Data!F157)*Inputs!$C$12</x:f>
        <x:v>344.99974352934254</x:v>
      </x:c>
      <x:c r="O157" s="10"/>
      <x:c r="P157" s="9" t="n">
        <x:f>Model_Data!A157</x:f>
        <x:v>17.5</x:v>
      </x:c>
      <x:c r="Q157" s="9" t="n">
        <x:f>Model_Data!P157</x:f>
        <x:v>-149.59774689641563</x:v>
      </x:c>
      <x:c r="R157" s="9" t="n">
        <x:f>Model_Data!AM157</x:f>
        <x:v>-126.66363410589838</x:v>
      </x:c>
      <x:c r="S157" s="9" t="n">
        <x:f>Model_Data!Q157</x:f>
        <x:v>-22.462124158620966</x:v>
      </x:c>
      <x:c r="T157" s="9" t="n">
        <x:f>Model_Data!AN157</x:f>
        <x:v>-19.018563679564323</x:v>
      </x:c>
      <x:c r="U157" s="10"/>
      <x:c r="V157" s="9" t="n">
        <x:f>Model_Data!A157</x:f>
        <x:v>17.5</x:v>
      </x:c>
      <x:c r="W157" s="9" t="n">
        <x:f>Model_Data!B157-Inputs!$C$5</x:f>
        <x:v>0.34027777777777146</x:v>
      </x:c>
      <x:c r="X157" s="10"/>
      <x:c r="Y157" s="9" t="n">
        <x:f>Model_Data!A157</x:f>
        <x:v>17.5</x:v>
      </x:c>
      <x:c r="Z157" s="9" t="n">
        <x:f>0</x:f>
        <x:v>0</x:v>
      </x:c>
      <x:c r="AA157" s="9" t="n">
        <x:f>((SQRT((Inputs!$C$52+Inputs!$C$5)^2+Inputs!$C$52^2-2*(Inputs!$C$52+Inputs!$C$5)*Inputs!$C$52*COS(SQRT((Model_Data!A157)^2+Inputs!$C$6^2)/Inputs!$C$52))-Inputs!$C$5)*1000/Inputs!$C$12)</x:f>
        <x:v>820.0433540484541</x:v>
      </x:c>
      <x:c r="AB157" s="9" t="n">
        <x:f>Model_Data!F157</x:f>
        <x:v>819.4908036698047</x:v>
      </x:c>
    </x:row>
    <x:row r="158">
      <x:c r="A158" s="9" t="n">
        <x:f>Model_Data!A158</x:f>
        <x:v>18</x:v>
      </x:c>
      <x:c r="B158" s="9" t="n">
        <x:f>0</x:f>
        <x:v>0</x:v>
      </x:c>
      <x:c r="C158" s="9" t="n">
        <x:f>((SQRT((Inputs!$C$52+Inputs!$C$5)^2+Inputs!$C$52^2-2*(Inputs!$C$52+Inputs!$C$5)*Inputs!$C$52*COS(SQRT((Model_Data!A158)^2+Inputs!$C$6^2)/Inputs!$C$52))-Inputs!$C$5)*1000/Inputs!$C$12)</x:f>
        <x:v>835.6442491352863</x:v>
      </x:c>
      <x:c r="D158" s="9" t="n">
        <x:f>Model_Data!F158</x:f>
        <x:v>835.0486277864097</x:v>
      </x:c>
      <x:c r="E158" s="9" t="n">
        <x:f>Model_Data!AC158</x:f>
        <x:v>641.272450083539</x:v>
      </x:c>
      <x:c r="F158" s="10"/>
      <x:c r="G158" s="9" t="n">
        <x:f>Model_Data!A158</x:f>
        <x:v>18</x:v>
      </x:c>
      <x:c r="H158" s="9" t="n">
        <x:f>Model_Data!Y158</x:f>
        <x:v>417.3671248555401</x:v>
      </x:c>
      <x:c r="I158" s="9" t="n">
        <x:f>Model_Data!Y158</x:f>
        <x:v>417.3671248555401</x:v>
      </x:c>
      <x:c r="J158" s="9" t="n">
        <x:f>Model_Data!X158</x:f>
        <x:v>70.50298613715029</x:v>
      </x:c>
      <x:c r="K158" s="9" t="n">
        <x:f>Model_Data!A158</x:f>
        <x:v>18</x:v>
      </x:c>
      <x:c r="L158" s="9" t="n">
        <x:f>Model_Data!Y158</x:f>
        <x:v>417.3671248555401</x:v>
      </x:c>
      <x:c r="M158" s="9" t="n">
        <x:f>Model_Data!X158</x:f>
        <x:v>70.50298613715029</x:v>
      </x:c>
      <x:c r="N158" s="9" t="n">
        <x:f>-(Model_Data!AC158-Model_Data!F158)*Inputs!$C$12</x:f>
        <x:v>344.92159631110997</x:v>
      </x:c>
      <x:c r="O158" s="10"/>
      <x:c r="P158" s="9" t="n">
        <x:f>Model_Data!A158</x:f>
        <x:v>18</x:v>
      </x:c>
      <x:c r="Q158" s="9" t="n">
        <x:f>Model_Data!P158</x:f>
        <x:v>-153.85865527787246</x:v>
      </x:c>
      <x:c r="R158" s="9" t="n">
        <x:f>Model_Data!AM158</x:f>
        <x:v>-151.69053844329028</x:v>
      </x:c>
      <x:c r="S158" s="9" t="n">
        <x:f>Model_Data!Q158</x:f>
        <x:v>-23.101900191872744</x:v>
      </x:c>
      <x:c r="T158" s="9" t="n">
        <x:f>Model_Data!AN158</x:f>
        <x:v>-22.77635712361716</x:v>
      </x:c>
      <x:c r="U158" s="10"/>
      <x:c r="V158" s="9" t="n">
        <x:f>Model_Data!A158</x:f>
        <x:v>18</x:v>
      </x:c>
      <x:c r="W158" s="9" t="n">
        <x:f>Model_Data!B158-Inputs!$C$5</x:f>
        <x:v>0.36000000000001364</x:v>
      </x:c>
      <x:c r="X158" s="10"/>
      <x:c r="Y158" s="9" t="n">
        <x:f>Model_Data!A158</x:f>
        <x:v>18</x:v>
      </x:c>
      <x:c r="Z158" s="9" t="n">
        <x:f>0</x:f>
        <x:v>0</x:v>
      </x:c>
      <x:c r="AA158" s="9" t="n">
        <x:f>((SQRT((Inputs!$C$52+Inputs!$C$5)^2+Inputs!$C$52^2-2*(Inputs!$C$52+Inputs!$C$5)*Inputs!$C$52*COS(SQRT((Model_Data!A158)^2+Inputs!$C$6^2)/Inputs!$C$52))-Inputs!$C$5)*1000/Inputs!$C$12)</x:f>
        <x:v>835.6442491352863</x:v>
      </x:c>
      <x:c r="AB158" s="9" t="n">
        <x:f>Model_Data!F158</x:f>
        <x:v>835.0486277864097</x:v>
      </x:c>
    </x:row>
    <x:row r="159">
      <x:c r="A159" s="9" t="n">
        <x:f>Model_Data!A159</x:f>
        <x:v>18.5</x:v>
      </x:c>
      <x:c r="B159" s="9" t="n">
        <x:f>0</x:f>
        <x:v>0</x:v>
      </x:c>
      <x:c r="C159" s="9" t="n">
        <x:f>((SQRT((Inputs!$C$52+Inputs!$C$5)^2+Inputs!$C$52^2-2*(Inputs!$C$52+Inputs!$C$5)*Inputs!$C$52*COS(SQRT((Model_Data!A159)^2+Inputs!$C$6^2)/Inputs!$C$52))-Inputs!$C$5)*1000/Inputs!$C$12)</x:f>
        <x:v>851.6834612977212</x:v>
      </x:c>
      <x:c r="D159" s="9" t="n">
        <x:f>Model_Data!F159</x:f>
        <x:v>851.0422977982597</x:v>
      </x:c>
      <x:c r="E159" s="9" t="n">
        <x:f>Model_Data!AC159</x:f>
        <x:v>666.8213603992552</x:v>
      </x:c>
      <x:c r="F159" s="10"/>
      <x:c r="G159" s="9" t="n">
        <x:f>Model_Data!A159</x:f>
        <x:v>18.5</x:v>
      </x:c>
      <x:c r="H159" s="9" t="n">
        <x:f>Model_Data!Y159</x:f>
        <x:v>414.03078360208366</x:v>
      </x:c>
      <x:c r="I159" s="9" t="n">
        <x:f>Model_Data!Y159</x:f>
        <x:v>414.03078360208366</x:v>
      </x:c>
      <x:c r="J159" s="9" t="n">
        <x:f>Model_Data!X159</x:f>
        <x:v>84.15381309689964</x:v>
      </x:c>
      <x:c r="K159" s="9" t="n">
        <x:f>Model_Data!A159</x:f>
        <x:v>18.5</x:v>
      </x:c>
      <x:c r="L159" s="9" t="n">
        <x:f>Model_Data!Y159</x:f>
        <x:v>414.03078360208366</x:v>
      </x:c>
      <x:c r="M159" s="9" t="n">
        <x:f>Model_Data!X159</x:f>
        <x:v>84.15381309689964</x:v>
      </x:c>
      <x:c r="N159" s="9" t="n">
        <x:f>-(Model_Data!AC159-Model_Data!F159)*Inputs!$C$12</x:f>
        <x:v>327.91326857022796</x:v>
      </x:c>
      <x:c r="O159" s="10"/>
      <x:c r="P159" s="9" t="n">
        <x:f>Model_Data!A159</x:f>
        <x:v>18.5</x:v>
      </x:c>
      <x:c r="Q159" s="9" t="n">
        <x:f>Model_Data!P159</x:f>
        <x:v>-158.1184436692638</x:v>
      </x:c>
      <x:c r="R159" s="9" t="n">
        <x:f>Model_Data!AM159</x:f>
        <x:v>-139.1757167734795</x:v>
      </x:c>
      <x:c r="S159" s="9" t="n">
        <x:f>Model_Data!Q159</x:f>
        <x:v>-23.74150805844802</x:v>
      </x:c>
      <x:c r="T159" s="9" t="n">
        <x:f>Model_Data!AN159</x:f>
        <x:v>-20.89725477079272</x:v>
      </x:c>
      <x:c r="U159" s="10"/>
      <x:c r="V159" s="9" t="n">
        <x:f>Model_Data!A159</x:f>
        <x:v>18.5</x:v>
      </x:c>
      <x:c r="W159" s="9" t="n">
        <x:f>Model_Data!B159-Inputs!$C$5</x:f>
        <x:v>0.3802777777777919</x:v>
      </x:c>
      <x:c r="X159" s="10"/>
      <x:c r="Y159" s="9" t="n">
        <x:f>Model_Data!A159</x:f>
        <x:v>18.5</x:v>
      </x:c>
      <x:c r="Z159" s="9" t="n">
        <x:f>0</x:f>
        <x:v>0</x:v>
      </x:c>
      <x:c r="AA159" s="9" t="n">
        <x:f>((SQRT((Inputs!$C$52+Inputs!$C$5)^2+Inputs!$C$52^2-2*(Inputs!$C$52+Inputs!$C$5)*Inputs!$C$52*COS(SQRT((Model_Data!A159)^2+Inputs!$C$6^2)/Inputs!$C$52))-Inputs!$C$5)*1000/Inputs!$C$12)</x:f>
        <x:v>851.6834612977212</x:v>
      </x:c>
      <x:c r="AB159" s="9" t="n">
        <x:f>Model_Data!F159</x:f>
        <x:v>851.0422977982597</x:v>
      </x:c>
    </x:row>
    <x:row r="160">
      <x:c r="A160" s="9" t="n">
        <x:f>Model_Data!A160</x:f>
        <x:v>19</x:v>
      </x:c>
      <x:c r="B160" s="9" t="n">
        <x:f>0</x:f>
        <x:v>0</x:v>
      </x:c>
      <x:c r="C160" s="9" t="n">
        <x:f>((SQRT((Inputs!$C$52+Inputs!$C$5)^2+Inputs!$C$52^2-2*(Inputs!$C$52+Inputs!$C$5)*Inputs!$C$52*COS(SQRT((Model_Data!A160)^2+Inputs!$C$6^2)/Inputs!$C$52))-Inputs!$C$5)*1000/Inputs!$C$12)</x:f>
        <x:v>868.1608953972801</x:v>
      </x:c>
      <x:c r="D160" s="9" t="n">
        <x:f>Model_Data!F160</x:f>
        <x:v>867.4716144056217</x:v>
      </x:c>
      <x:c r="E160" s="9" t="n">
        <x:f>Model_Data!AC160</x:f>
        <x:v>676.7589035842173</x:v>
      </x:c>
      <x:c r="F160" s="10"/>
      <x:c r="G160" s="9" t="n">
        <x:f>Model_Data!A160</x:f>
        <x:v>19</x:v>
      </x:c>
      <x:c r="H160" s="9" t="n">
        <x:f>Model_Data!Y160</x:f>
        <x:v>429.33926339108206</x:v>
      </x:c>
      <x:c r="I160" s="9" t="n">
        <x:f>Model_Data!Y160</x:f>
        <x:v>429.33926339108206</x:v>
      </x:c>
      <x:c r="J160" s="9" t="n">
        <x:f>Model_Data!X160</x:f>
        <x:v>87.79516149602648</x:v>
      </x:c>
      <x:c r="K160" s="9" t="n">
        <x:f>Model_Data!A160</x:f>
        <x:v>19</x:v>
      </x:c>
      <x:c r="L160" s="9" t="n">
        <x:f>Model_Data!Y160</x:f>
        <x:v>429.33926339108206</x:v>
      </x:c>
      <x:c r="M160" s="9" t="n">
        <x:f>Model_Data!X160</x:f>
        <x:v>87.79516149602648</x:v>
      </x:c>
      <x:c r="N160" s="9" t="n">
        <x:f>-(Model_Data!AC160-Model_Data!F160)*Inputs!$C$12</x:f>
        <x:v>339.4686252621</x:v>
      </x:c>
      <x:c r="O160" s="10"/>
      <x:c r="P160" s="9" t="n">
        <x:f>Model_Data!A160</x:f>
        <x:v>19</x:v>
      </x:c>
      <x:c r="Q160" s="9" t="n">
        <x:f>Model_Data!P160</x:f>
        <x:v>-162.37708165526783</x:v>
      </x:c>
      <x:c r="R160" s="9" t="n">
        <x:f>Model_Data!AM160</x:f>
        <x:v>-126.46437359499032</x:v>
      </x:c>
      <x:c r="S160" s="9" t="n">
        <x:f>Model_Data!Q160</x:f>
        <x:v>-24.38094319148166</x:v>
      </x:c>
      <x:c r="T160" s="9" t="n">
        <x:f>Model_Data!AN160</x:f>
        <x:v>-18.98864468393248</x:v>
      </x:c>
      <x:c r="U160" s="10"/>
      <x:c r="V160" s="9" t="n">
        <x:f>Model_Data!A160</x:f>
        <x:v>19</x:v>
      </x:c>
      <x:c r="W160" s="9" t="n">
        <x:f>Model_Data!B160-Inputs!$C$5</x:f>
        <x:v>0.4011111111111063</x:v>
      </x:c>
      <x:c r="X160" s="10"/>
      <x:c r="Y160" s="9" t="n">
        <x:f>Model_Data!A160</x:f>
        <x:v>19</x:v>
      </x:c>
      <x:c r="Z160" s="9" t="n">
        <x:f>0</x:f>
        <x:v>0</x:v>
      </x:c>
      <x:c r="AA160" s="9" t="n">
        <x:f>((SQRT((Inputs!$C$52+Inputs!$C$5)^2+Inputs!$C$52^2-2*(Inputs!$C$52+Inputs!$C$5)*Inputs!$C$52*COS(SQRT((Model_Data!A160)^2+Inputs!$C$6^2)/Inputs!$C$52))-Inputs!$C$5)*1000/Inputs!$C$12)</x:f>
        <x:v>868.1608953972801</x:v>
      </x:c>
      <x:c r="AB160" s="9" t="n">
        <x:f>Model_Data!F160</x:f>
        <x:v>867.4716144056217</x:v>
      </x:c>
    </x:row>
    <x:row r="161">
      <x:c r="A161" s="9" t="n">
        <x:f>Model_Data!A161</x:f>
        <x:v>19.5</x:v>
      </x:c>
      <x:c r="B161" s="9" t="n">
        <x:f>0</x:f>
        <x:v>0</x:v>
      </x:c>
      <x:c r="C161" s="9" t="n">
        <x:f>((SQRT((Inputs!$C$52+Inputs!$C$5)^2+Inputs!$C$52^2-2*(Inputs!$C$52+Inputs!$C$5)*Inputs!$C$52*COS(SQRT((Model_Data!A161)^2+Inputs!$C$6^2)/Inputs!$C$52))-Inputs!$C$5)*1000/Inputs!$C$12)</x:f>
        <x:v>885.0764537237027</x:v>
      </x:c>
      <x:c r="D161" s="9" t="n">
        <x:f>Model_Data!F161</x:f>
        <x:v>884.3363729737207</x:v>
      </x:c>
      <x:c r="E161" s="9" t="n">
        <x:f>Model_Data!AC161</x:f>
        <x:v>685.2202289391233</x:v>
      </x:c>
      <x:c r="F161" s="10"/>
      <x:c r="G161" s="9" t="n">
        <x:f>Model_Data!A161</x:f>
        <x:v>19.5</x:v>
      </x:c>
      <x:c r="H161" s="9" t="n">
        <x:f>Model_Data!Y161</x:f>
        <x:v>436.66425250955575</x:v>
      </x:c>
      <x:c r="I161" s="9" t="n">
        <x:f>Model_Data!Y161</x:f>
        <x:v>436.66425250955575</x:v>
      </x:c>
      <x:c r="J161" s="9" t="n">
        <x:f>Model_Data!X161</x:f>
        <x:v>80.08578782325549</x:v>
      </x:c>
      <x:c r="K161" s="9" t="n">
        <x:f>Model_Data!A161</x:f>
        <x:v>19.5</x:v>
      </x:c>
      <x:c r="L161" s="9" t="n">
        <x:f>Model_Data!Y161</x:f>
        <x:v>436.66425250955575</x:v>
      </x:c>
      <x:c r="M161" s="9" t="n">
        <x:f>Model_Data!X161</x:f>
        <x:v>80.08578782325549</x:v>
      </x:c>
      <x:c r="N161" s="9" t="n">
        <x:f>-(Model_Data!AC161-Model_Data!F161)*Inputs!$C$12</x:f>
        <x:v>354.42673638158334</x:v>
      </x:c>
      <x:c r="O161" s="10"/>
      <x:c r="P161" s="9" t="n">
        <x:f>Model_Data!A161</x:f>
        <x:v>19.5</x:v>
      </x:c>
      <x:c r="Q161" s="9" t="n">
        <x:f>Model_Data!P161</x:f>
        <x:v>-166.6345388791342</x:v>
      </x:c>
      <x:c r="R161" s="9" t="n">
        <x:f>Model_Data!AM161</x:f>
        <x:v>-151.36712018684193</x:v>
      </x:c>
      <x:c r="S161" s="9" t="n">
        <x:f>Model_Data!Q161</x:f>
        <x:v>-25.020201032903035</x:v>
      </x:c>
      <x:c r="T161" s="9" t="n">
        <x:f>Model_Data!AN161</x:f>
        <x:v>-22.72779582385014</x:v>
      </x:c>
      <x:c r="U161" s="10"/>
      <x:c r="V161" s="9" t="n">
        <x:f>Model_Data!A161</x:f>
        <x:v>19.5</x:v>
      </x:c>
      <x:c r="W161" s="9" t="n">
        <x:f>Model_Data!B161-Inputs!$C$5</x:f>
        <x:v>0.42250000000001364</x:v>
      </x:c>
      <x:c r="X161" s="10"/>
      <x:c r="Y161" s="9" t="n">
        <x:f>Model_Data!A161</x:f>
        <x:v>19.5</x:v>
      </x:c>
      <x:c r="Z161" s="9" t="n">
        <x:f>0</x:f>
        <x:v>0</x:v>
      </x:c>
      <x:c r="AA161" s="9" t="n">
        <x:f>((SQRT((Inputs!$C$52+Inputs!$C$5)^2+Inputs!$C$52^2-2*(Inputs!$C$52+Inputs!$C$5)*Inputs!$C$52*COS(SQRT((Model_Data!A161)^2+Inputs!$C$6^2)/Inputs!$C$52))-Inputs!$C$5)*1000/Inputs!$C$12)</x:f>
        <x:v>885.0764537237027</x:v>
      </x:c>
      <x:c r="AB161" s="9" t="n">
        <x:f>Model_Data!F161</x:f>
        <x:v>884.3363729737207</x:v>
      </x:c>
    </x:row>
    <x:row r="162">
      <x:c r="A162" s="9" t="n">
        <x:f>Model_Data!A162</x:f>
        <x:v>20</x:v>
      </x:c>
      <x:c r="B162" s="9" t="n">
        <x:f>0</x:f>
        <x:v>0</x:v>
      </x:c>
      <x:c r="C162" s="9" t="n">
        <x:f>((SQRT((Inputs!$C$52+Inputs!$C$5)^2+Inputs!$C$52^2-2*(Inputs!$C$52+Inputs!$C$5)*Inputs!$C$52*COS(SQRT((Model_Data!A162)^2+Inputs!$C$6^2)/Inputs!$C$52))-Inputs!$C$5)*1000/Inputs!$C$12)</x:f>
        <x:v>902.4300359989069</x:v>
      </x:c>
      <x:c r="D162" s="9" t="n">
        <x:f>Model_Data!F162</x:f>
        <x:v>901.6363635438846</x:v>
      </x:c>
      <x:c r="E162" s="9" t="n">
        <x:f>Model_Data!AC162</x:f>
        <x:v>697.9991417451627</x:v>
      </x:c>
      <x:c r="F162" s="10"/>
      <x:c r="G162" s="9" t="n">
        <x:f>Model_Data!A162</x:f>
        <x:v>20</x:v>
      </x:c>
      <x:c r="H162" s="9" t="n">
        <x:f>Model_Data!Y162</x:f>
        <x:v>439.0113020882822</x:v>
      </x:c>
      <x:c r="I162" s="9" t="n">
        <x:f>Model_Data!Y162</x:f>
        <x:v>439.0113020882822</x:v>
      </x:c>
      <x:c r="J162" s="9" t="n">
        <x:f>Model_Data!X162</x:f>
        <x:v>74.33166863889775</x:v>
      </x:c>
      <x:c r="K162" s="9" t="n">
        <x:f>Model_Data!A162</x:f>
        <x:v>20</x:v>
      </x:c>
      <x:c r="L162" s="9" t="n">
        <x:f>Model_Data!Y162</x:f>
        <x:v>439.0113020882822</x:v>
      </x:c>
      <x:c r="M162" s="9" t="n">
        <x:f>Model_Data!X162</x:f>
        <x:v>74.33166863889775</x:v>
      </x:c>
      <x:c r="N162" s="9" t="n">
        <x:f>-(Model_Data!AC162-Model_Data!F162)*Inputs!$C$12</x:f>
        <x:v>362.47425480172507</x:v>
      </x:c>
      <x:c r="O162" s="10"/>
      <x:c r="P162" s="9" t="n">
        <x:f>Model_Data!A162</x:f>
        <x:v>20</x:v>
      </x:c>
      <x:c r="Q162" s="9" t="n">
        <x:f>Model_Data!P162</x:f>
        <x:v>-170.89078503895507</x:v>
      </x:c>
      <x:c r="R162" s="9" t="n">
        <x:f>Model_Data!AM162</x:f>
        <x:v>-162.90904520274125</x:v>
      </x:c>
      <x:c r="S162" s="9" t="n">
        <x:f>Model_Data!Q162</x:f>
        <x:v>-25.65927703287614</x:v>
      </x:c>
      <x:c r="T162" s="9" t="n">
        <x:f>Model_Data!AN162</x:f>
        <x:v>-24.4608175980092</x:v>
      </x:c>
      <x:c r="U162" s="10"/>
      <x:c r="V162" s="9" t="n">
        <x:f>Model_Data!A162</x:f>
        <x:v>20</x:v>
      </x:c>
      <x:c r="W162" s="9" t="n">
        <x:f>Model_Data!B162-Inputs!$C$5</x:f>
        <x:v>0.4444444444444571</x:v>
      </x:c>
      <x:c r="X162" s="10"/>
      <x:c r="Y162" s="9" t="n">
        <x:f>Model_Data!A162</x:f>
        <x:v>20</x:v>
      </x:c>
      <x:c r="Z162" s="9" t="n">
        <x:f>0</x:f>
        <x:v>0</x:v>
      </x:c>
      <x:c r="AA162" s="9" t="n">
        <x:f>((SQRT((Inputs!$C$52+Inputs!$C$5)^2+Inputs!$C$52^2-2*(Inputs!$C$52+Inputs!$C$5)*Inputs!$C$52*COS(SQRT((Model_Data!A162)^2+Inputs!$C$6^2)/Inputs!$C$52))-Inputs!$C$5)*1000/Inputs!$C$12)</x:f>
        <x:v>902.4300359989069</x:v>
      </x:c>
      <x:c r="AB162" s="9" t="n">
        <x:f>Model_Data!F162</x:f>
        <x:v>901.6363635438846</x:v>
      </x:c>
    </x:row>
    <x:row r="163">
      <x:c r="A163" s="9" t="n">
        <x:f>Model_Data!A163</x:f>
        <x:v>20.5</x:v>
      </x:c>
      <x:c r="B163" s="9" t="n">
        <x:f>0</x:f>
        <x:v>0</x:v>
      </x:c>
      <x:c r="C163" s="9" t="n">
        <x:f>((SQRT((Inputs!$C$52+Inputs!$C$5)^2+Inputs!$C$52^2-2*(Inputs!$C$52+Inputs!$C$5)*Inputs!$C$52*COS(SQRT((Model_Data!A163)^2+Inputs!$C$6^2)/Inputs!$C$52))-Inputs!$C$5)*1000/Inputs!$C$12)</x:f>
        <x:v>920.2215393788732</x:v>
      </x:c>
      <x:c r="D163" s="9" t="n">
        <x:f>Model_Data!F163</x:f>
        <x:v>919.3713708416556</x:v>
      </x:c>
      <x:c r="E163" s="9" t="n">
        <x:f>Model_Data!AC163</x:f>
        <x:v>715.7656836312115</x:v>
      </x:c>
      <x:c r="F163" s="10"/>
      <x:c r="G163" s="9" t="n">
        <x:f>Model_Data!A163</x:f>
        <x:v>20.5</x:v>
      </x:c>
      <x:c r="H163" s="9" t="n">
        <x:f>Model_Data!Y163</x:f>
        <x:v>441.7637232897853</x:v>
      </x:c>
      <x:c r="I163" s="9" t="n">
        <x:f>Model_Data!Y163</x:f>
        <x:v>441.7637232897853</x:v>
      </x:c>
      <x:c r="J163" s="9" t="n">
        <x:f>Model_Data!X163</x:f>
        <x:v>77.08298836787891</x:v>
      </x:c>
      <x:c r="K163" s="9" t="n">
        <x:f>Model_Data!A163</x:f>
        <x:v>20.5</x:v>
      </x:c>
      <x:c r="L163" s="9" t="n">
        <x:f>Model_Data!Y163</x:f>
        <x:v>441.7637232897853</x:v>
      </x:c>
      <x:c r="M163" s="9" t="n">
        <x:f>Model_Data!X163</x:f>
        <x:v>77.08298836787891</x:v>
      </x:c>
      <x:c r="N163" s="9" t="n">
        <x:f>-(Model_Data!AC163-Model_Data!F163)*Inputs!$C$12</x:f>
        <x:v>362.4181232345905</x:v>
      </x:c>
      <x:c r="O163" s="10"/>
      <x:c r="P163" s="9" t="n">
        <x:f>Model_Data!A163</x:f>
        <x:v>20.5</x:v>
      </x:c>
      <x:c r="Q163" s="9" t="n">
        <x:f>Model_Data!P163</x:f>
        <x:v>-175.14578990121663</x:v>
      </x:c>
      <x:c r="R163" s="9" t="n">
        <x:f>Model_Data!AM163</x:f>
        <x:v>-171.7163481087482</x:v>
      </x:c>
      <x:c r="S163" s="9" t="n">
        <x:f>Model_Data!Q163</x:f>
        <x:v>-26.298166651834332</x:v>
      </x:c>
      <x:c r="T163" s="9" t="n">
        <x:f>Model_Data!AN163</x:f>
        <x:v>-25.783235451763996</x:v>
      </x:c>
      <x:c r="U163" s="10"/>
      <x:c r="V163" s="9" t="n">
        <x:f>Model_Data!A163</x:f>
        <x:v>20.5</x:v>
      </x:c>
      <x:c r="W163" s="9" t="n">
        <x:f>Model_Data!B163-Inputs!$C$5</x:f>
        <x:v>0.4669444444444366</x:v>
      </x:c>
      <x:c r="X163" s="10"/>
      <x:c r="Y163" s="9" t="n">
        <x:f>Model_Data!A163</x:f>
        <x:v>20.5</x:v>
      </x:c>
      <x:c r="Z163" s="9" t="n">
        <x:f>0</x:f>
        <x:v>0</x:v>
      </x:c>
      <x:c r="AA163" s="9" t="n">
        <x:f>((SQRT((Inputs!$C$52+Inputs!$C$5)^2+Inputs!$C$52^2-2*(Inputs!$C$52+Inputs!$C$5)*Inputs!$C$52*COS(SQRT((Model_Data!A163)^2+Inputs!$C$6^2)/Inputs!$C$52))-Inputs!$C$5)*1000/Inputs!$C$12)</x:f>
        <x:v>920.2215393788732</x:v>
      </x:c>
      <x:c r="AB163" s="9" t="n">
        <x:f>Model_Data!F163</x:f>
        <x:v>919.3713708416556</x:v>
      </x:c>
    </x:row>
    <x:row r="164">
      <x:c r="A164" s="9" t="n">
        <x:f>Model_Data!A164</x:f>
        <x:v>21</x:v>
      </x:c>
      <x:c r="B164" s="9" t="n">
        <x:f>0</x:f>
        <x:v>0</x:v>
      </x:c>
      <x:c r="C164" s="9" t="n">
        <x:f>((SQRT((Inputs!$C$52+Inputs!$C$5)^2+Inputs!$C$52^2-2*(Inputs!$C$52+Inputs!$C$5)*Inputs!$C$52*COS(SQRT((Model_Data!A164)^2+Inputs!$C$6^2)/Inputs!$C$52))-Inputs!$C$5)*1000/Inputs!$C$12)</x:f>
        <x:v>938.450858456998</x:v>
      </x:c>
      <x:c r="D164" s="9" t="n">
        <x:f>Model_Data!F164</x:f>
        <x:v>937.5411742925972</x:v>
      </x:c>
      <x:c r="E164" s="9" t="n">
        <x:f>Model_Data!AC164</x:f>
        <x:v>738.4719361030246</x:v>
      </x:c>
      <x:c r="F164" s="10"/>
      <x:c r="G164" s="9" t="n">
        <x:f>Model_Data!A164</x:f>
        <x:v>21</x:v>
      </x:c>
      <x:c r="H164" s="9" t="n">
        <x:f>Model_Data!Y164</x:f>
        <x:v>441.2537143317768</x:v>
      </x:c>
      <x:c r="I164" s="9" t="n">
        <x:f>Model_Data!Y164</x:f>
        <x:v>441.2537143317768</x:v>
      </x:c>
      <x:c r="J164" s="9" t="n">
        <x:f>Model_Data!X164</x:f>
        <x:v>84.6060805836893</x:v>
      </x:c>
      <x:c r="K164" s="9" t="n">
        <x:f>Model_Data!A164</x:f>
        <x:v>21</x:v>
      </x:c>
      <x:c r="L164" s="9" t="n">
        <x:f>Model_Data!Y164</x:f>
        <x:v>441.2537143317768</x:v>
      </x:c>
      <x:c r="M164" s="9" t="n">
        <x:f>Model_Data!X164</x:f>
        <x:v>84.6060805836893</x:v>
      </x:c>
      <x:c r="N164" s="9" t="n">
        <x:f>-(Model_Data!AC164-Model_Data!F164)*Inputs!$C$12</x:f>
        <x:v>354.3432439774393</x:v>
      </x:c>
      <x:c r="O164" s="10"/>
      <x:c r="P164" s="9" t="n">
        <x:f>Model_Data!A164</x:f>
        <x:v>21</x:v>
      </x:c>
      <x:c r="Q164" s="9" t="n">
        <x:f>Model_Data!P164</x:f>
        <x:v>-179.3995232830639</x:v>
      </x:c>
      <x:c r="R164" s="9" t="n">
        <x:f>Model_Data!AM164</x:f>
        <x:v>-175.76256821785137</x:v>
      </x:c>
      <x:c r="S164" s="9" t="n">
        <x:f>Model_Data!Q164</x:f>
        <x:v>-26.936865357817403</x:v>
      </x:c>
      <x:c r="T164" s="9" t="n">
        <x:f>Model_Data!AN164</x:f>
        <x:v>-26.390776008686395</x:v>
      </x:c>
      <x:c r="U164" s="10"/>
      <x:c r="V164" s="9" t="n">
        <x:f>Model_Data!A164</x:f>
        <x:v>21</x:v>
      </x:c>
      <x:c r="W164" s="9" t="n">
        <x:f>Model_Data!B164-Inputs!$C$5</x:f>
        <x:v>0.4900000000000091</x:v>
      </x:c>
      <x:c r="X164" s="10"/>
      <x:c r="Y164" s="9" t="n">
        <x:f>Model_Data!A164</x:f>
        <x:v>21</x:v>
      </x:c>
      <x:c r="Z164" s="9" t="n">
        <x:f>0</x:f>
        <x:v>0</x:v>
      </x:c>
      <x:c r="AA164" s="9" t="n">
        <x:f>((SQRT((Inputs!$C$52+Inputs!$C$5)^2+Inputs!$C$52^2-2*(Inputs!$C$52+Inputs!$C$5)*Inputs!$C$52*COS(SQRT((Model_Data!A164)^2+Inputs!$C$6^2)/Inputs!$C$52))-Inputs!$C$5)*1000/Inputs!$C$12)</x:f>
        <x:v>938.450858456998</x:v>
      </x:c>
      <x:c r="AB164" s="9" t="n">
        <x:f>Model_Data!F164</x:f>
        <x:v>937.5411742925972</x:v>
      </x:c>
    </x:row>
    <x:row r="165">
      <x:c r="A165" s="9" t="n">
        <x:f>Model_Data!A165</x:f>
        <x:v>21.5</x:v>
      </x:c>
      <x:c r="B165" s="9" t="n">
        <x:f>0</x:f>
        <x:v>0</x:v>
      </x:c>
      <x:c r="C165" s="9" t="n">
        <x:f>((SQRT((Inputs!$C$52+Inputs!$C$5)^2+Inputs!$C$52^2-2*(Inputs!$C$52+Inputs!$C$5)*Inputs!$C$52*COS(SQRT((Model_Data!A165)^2+Inputs!$C$6^2)/Inputs!$C$52))-Inputs!$C$5)*1000/Inputs!$C$12)</x:f>
        <x:v>957.1178852667437</x:v>
      </x:c>
      <x:c r="D165" s="9" t="n">
        <x:f>Model_Data!F165</x:f>
        <x:v>956.1455480243712</x:v>
      </x:c>
      <x:c r="E165" s="9" t="n">
        <x:f>Model_Data!AC165</x:f>
        <x:v>754.9531130982788</x:v>
      </x:c>
      <x:c r="F165" s="10"/>
      <x:c r="G165" s="9" t="n">
        <x:f>Model_Data!A165</x:f>
        <x:v>21.5</x:v>
      </x:c>
      <x:c r="H165" s="9" t="n">
        <x:f>Model_Data!Y165</x:f>
        <x:v>444.1394266764314</x:v>
      </x:c>
      <x:c r="I165" s="9" t="n">
        <x:f>Model_Data!Y165</x:f>
        <x:v>444.1394266764314</x:v>
      </x:c>
      <x:c r="J165" s="9" t="n">
        <x:f>Model_Data!X165</x:f>
        <x:v>83.65167434978589</x:v>
      </x:c>
      <x:c r="K165" s="9" t="n">
        <x:f>Model_Data!A165</x:f>
        <x:v>21.5</x:v>
      </x:c>
      <x:c r="L165" s="9" t="n">
        <x:f>Model_Data!Y165</x:f>
        <x:v>444.1394266764314</x:v>
      </x:c>
      <x:c r="M165" s="9" t="n">
        <x:f>Model_Data!X165</x:f>
        <x:v>83.65167434978589</x:v>
      </x:c>
      <x:c r="N165" s="9" t="n">
        <x:f>-(Model_Data!AC165-Model_Data!F165)*Inputs!$C$12</x:f>
        <x:v>358.1225341684446</x:v>
      </x:c>
      <x:c r="O165" s="10"/>
      <x:c r="P165" s="9" t="n">
        <x:f>Model_Data!A165</x:f>
        <x:v>21.5</x:v>
      </x:c>
      <x:c r="Q165" s="9" t="n">
        <x:f>Model_Data!P165</x:f>
        <x:v>-183.65195507121825</x:v>
      </x:c>
      <x:c r="R165" s="9" t="n">
        <x:f>Model_Data!AM165</x:f>
        <x:v>-173.414639069415</x:v>
      </x:c>
      <x:c r="S165" s="9" t="n">
        <x:f>Model_Data!Q165</x:f>
        <x:v>-27.575368629312052</x:v>
      </x:c>
      <x:c r="T165" s="9" t="n">
        <x:f>Model_Data!AN165</x:f>
        <x:v>-26.03823409450676</x:v>
      </x:c>
      <x:c r="U165" s="10"/>
      <x:c r="V165" s="9" t="n">
        <x:f>Model_Data!A165</x:f>
        <x:v>21.5</x:v>
      </x:c>
      <x:c r="W165" s="9" t="n">
        <x:f>Model_Data!B165-Inputs!$C$5</x:f>
        <x:v>0.5136111111111177</x:v>
      </x:c>
      <x:c r="X165" s="10"/>
      <x:c r="Y165" s="9" t="n">
        <x:f>Model_Data!A165</x:f>
        <x:v>21.5</x:v>
      </x:c>
      <x:c r="Z165" s="9" t="n">
        <x:f>0</x:f>
        <x:v>0</x:v>
      </x:c>
      <x:c r="AA165" s="9" t="n">
        <x:f>((SQRT((Inputs!$C$52+Inputs!$C$5)^2+Inputs!$C$52^2-2*(Inputs!$C$52+Inputs!$C$5)*Inputs!$C$52*COS(SQRT((Model_Data!A165)^2+Inputs!$C$6^2)/Inputs!$C$52))-Inputs!$C$5)*1000/Inputs!$C$12)</x:f>
        <x:v>957.1178852667437</x:v>
      </x:c>
      <x:c r="AB165" s="9" t="n">
        <x:f>Model_Data!F165</x:f>
        <x:v>956.1455480243712</x:v>
      </x:c>
    </x:row>
    <x:row r="166">
      <x:c r="A166" s="9" t="n">
        <x:f>Model_Data!A166</x:f>
        <x:v>22</x:v>
      </x:c>
      <x:c r="B166" s="9" t="n">
        <x:f>0</x:f>
        <x:v>0</x:v>
      </x:c>
      <x:c r="C166" s="9" t="n">
        <x:f>((SQRT((Inputs!$C$52+Inputs!$C$5)^2+Inputs!$C$52^2-2*(Inputs!$C$52+Inputs!$C$5)*Inputs!$C$52*COS(SQRT((Model_Data!A166)^2+Inputs!$C$6^2)/Inputs!$C$52))-Inputs!$C$5)*1000/Inputs!$C$12)</x:f>
        <x:v>976.222509285854</x:v>
      </x:c>
      <x:c r="D166" s="9" t="n">
        <x:f>Model_Data!F166</x:f>
        <x:v>975.1842608890905</x:v>
      </x:c>
      <x:c r="E166" s="9" t="n">
        <x:f>Model_Data!AC166</x:f>
        <x:v>766.2057503281173</x:v>
      </x:c>
      <x:c r="F166" s="10"/>
      <x:c r="G166" s="9" t="n">
        <x:f>Model_Data!A166</x:f>
        <x:v>22</x:v>
      </x:c>
      <x:c r="H166" s="9" t="n">
        <x:f>Model_Data!Y166</x:f>
        <x:v>447.7794532624074</x:v>
      </x:c>
      <x:c r="I166" s="9" t="n">
        <x:f>Model_Data!Y166</x:f>
        <x:v>447.7794532624074</x:v>
      </x:c>
      <x:c r="J166" s="9" t="n">
        <x:f>Model_Data!X166</x:f>
        <x:v>73.36589826371042</x:v>
      </x:c>
      <x:c r="K166" s="9" t="n">
        <x:f>Model_Data!A166</x:f>
        <x:v>22</x:v>
      </x:c>
      <x:c r="L166" s="9" t="n">
        <x:f>Model_Data!Y166</x:f>
        <x:v>447.7794532624074</x:v>
      </x:c>
      <x:c r="M166" s="9" t="n">
        <x:f>Model_Data!X166</x:f>
        <x:v>73.36589826371042</x:v>
      </x:c>
      <x:c r="N166" s="9" t="n">
        <x:f>-(Model_Data!AC166-Model_Data!F166)*Inputs!$C$12</x:f>
        <x:v>371.98174879853224</x:v>
      </x:c>
      <x:c r="O166" s="10"/>
      <x:c r="P166" s="9" t="n">
        <x:f>Model_Data!A166</x:f>
        <x:v>22</x:v>
      </x:c>
      <x:c r="Q166" s="9" t="n">
        <x:f>Model_Data!P166</x:f>
        <x:v>-187.90305521988557</x:v>
      </x:c>
      <x:c r="R166" s="9" t="n">
        <x:f>Model_Data!AM166</x:f>
        <x:v>-190.64828334176127</x:v>
      </x:c>
      <x:c r="S166" s="9" t="n">
        <x:f>Model_Data!Q166</x:f>
        <x:v>-28.213671954937777</x:v>
      </x:c>
      <x:c r="T166" s="9" t="n">
        <x:f>Model_Data!AN166</x:f>
        <x:v>-28.625868369633828</x:v>
      </x:c>
      <x:c r="U166" s="10"/>
      <x:c r="V166" s="9" t="n">
        <x:f>Model_Data!A166</x:f>
        <x:v>22</x:v>
      </x:c>
      <x:c r="W166" s="9" t="n">
        <x:f>Model_Data!B166-Inputs!$C$5</x:f>
        <x:v>0.5377777777777624</x:v>
      </x:c>
      <x:c r="X166" s="10"/>
      <x:c r="Y166" s="9" t="n">
        <x:f>Model_Data!A166</x:f>
        <x:v>22</x:v>
      </x:c>
      <x:c r="Z166" s="9" t="n">
        <x:f>0</x:f>
        <x:v>0</x:v>
      </x:c>
      <x:c r="AA166" s="9" t="n">
        <x:f>((SQRT((Inputs!$C$52+Inputs!$C$5)^2+Inputs!$C$52^2-2*(Inputs!$C$52+Inputs!$C$5)*Inputs!$C$52*COS(SQRT((Model_Data!A166)^2+Inputs!$C$6^2)/Inputs!$C$52))-Inputs!$C$5)*1000/Inputs!$C$12)</x:f>
        <x:v>976.222509285854</x:v>
      </x:c>
      <x:c r="AB166" s="9" t="n">
        <x:f>Model_Data!F166</x:f>
        <x:v>975.1842608890905</x:v>
      </x:c>
    </x:row>
    <x:row r="167">
      <x:c r="A167" s="9" t="n">
        <x:f>Model_Data!A167</x:f>
        <x:v>22.5</x:v>
      </x:c>
      <x:c r="B167" s="9" t="n">
        <x:f>0</x:f>
        <x:v>0</x:v>
      </x:c>
      <x:c r="C167" s="9" t="n">
        <x:f>((SQRT((Inputs!$C$52+Inputs!$C$5)^2+Inputs!$C$52^2-2*(Inputs!$C$52+Inputs!$C$5)*Inputs!$C$52*COS(SQRT((Model_Data!A167)^2+Inputs!$C$6^2)/Inputs!$C$52))-Inputs!$C$5)*1000/Inputs!$C$12)</x:f>
        <x:v>995.7646174390374</x:v>
      </x:c>
      <x:c r="D167" s="9" t="n">
        <x:f>Model_Data!F167</x:f>
        <x:v>994.6570764645656</x:v>
      </x:c>
      <x:c r="E167" s="9" t="n">
        <x:f>Model_Data!AC167</x:f>
        <x:v>788.9294242986809</x:v>
      </x:c>
      <x:c r="F167" s="10"/>
      <x:c r="G167" s="9" t="n">
        <x:f>Model_Data!A167</x:f>
        <x:v>22.5</x:v>
      </x:c>
      <x:c r="H167" s="9" t="n">
        <x:f>Model_Data!Y167</x:f>
        <x:v>442.50927153418206</x:v>
      </x:c>
      <x:c r="I167" s="9" t="n">
        <x:f>Model_Data!Y167</x:f>
        <x:v>442.50927153418206</x:v>
      </x:c>
      <x:c r="J167" s="9" t="n">
        <x:f>Model_Data!X167</x:f>
        <x:v>73.86322008676284</x:v>
      </x:c>
      <x:c r="K167" s="9" t="n">
        <x:f>Model_Data!A167</x:f>
        <x:v>22.5</x:v>
      </x:c>
      <x:c r="L167" s="9" t="n">
        <x:f>Model_Data!Y167</x:f>
        <x:v>442.50927153418206</x:v>
      </x:c>
      <x:c r="M167" s="9" t="n">
        <x:f>Model_Data!X167</x:f>
        <x:v>73.86322008676284</x:v>
      </x:c>
      <x:c r="N167" s="9" t="n">
        <x:f>-(Model_Data!AC167-Model_Data!F167)*Inputs!$C$12</x:f>
        <x:v>366.1952208552748</x:v>
      </x:c>
      <x:c r="O167" s="10"/>
      <x:c r="P167" s="9" t="n">
        <x:f>Model_Data!A167</x:f>
        <x:v>22.5</x:v>
      </x:c>
      <x:c r="Q167" s="9" t="n">
        <x:f>Model_Data!P167</x:f>
        <x:v>-192.15279373456724</x:v>
      </x:c>
      <x:c r="R167" s="9" t="n">
        <x:f>Model_Data!AM167</x:f>
        <x:v>-207.66237126308624</x:v>
      </x:c>
      <x:c r="S167" s="9" t="n">
        <x:f>Model_Data!Q167</x:f>
        <x:v>-28.851770831016104</x:v>
      </x:c>
      <x:c r="T167" s="9" t="n">
        <x:f>Model_Data!AN167</x:f>
        <x:v>-31.180536225688627</x:v>
      </x:c>
      <x:c r="U167" s="10"/>
      <x:c r="V167" s="9" t="n">
        <x:f>Model_Data!A167</x:f>
        <x:v>22.5</x:v>
      </x:c>
      <x:c r="W167" s="9" t="n">
        <x:f>Model_Data!B167-Inputs!$C$5</x:f>
        <x:v>0.5625</x:v>
      </x:c>
      <x:c r="X167" s="10"/>
      <x:c r="Y167" s="9" t="n">
        <x:f>Model_Data!A167</x:f>
        <x:v>22.5</x:v>
      </x:c>
      <x:c r="Z167" s="9" t="n">
        <x:f>0</x:f>
        <x:v>0</x:v>
      </x:c>
      <x:c r="AA167" s="9" t="n">
        <x:f>((SQRT((Inputs!$C$52+Inputs!$C$5)^2+Inputs!$C$52^2-2*(Inputs!$C$52+Inputs!$C$5)*Inputs!$C$52*COS(SQRT((Model_Data!A167)^2+Inputs!$C$6^2)/Inputs!$C$52))-Inputs!$C$5)*1000/Inputs!$C$12)</x:f>
        <x:v>995.7646174390374</x:v>
      </x:c>
      <x:c r="AB167" s="9" t="n">
        <x:f>Model_Data!F167</x:f>
        <x:v>994.6570764645656</x:v>
      </x:c>
    </x:row>
    <x:row r="168">
      <x:c r="A168" s="9" t="n">
        <x:f>Model_Data!A168</x:f>
        <x:v>23</x:v>
      </x:c>
      <x:c r="B168" s="9" t="n">
        <x:f>0</x:f>
        <x:v>0</x:v>
      </x:c>
      <x:c r="C168" s="9" t="n">
        <x:f>((SQRT((Inputs!$C$52+Inputs!$C$5)^2+Inputs!$C$52^2-2*(Inputs!$C$52+Inputs!$C$5)*Inputs!$C$52*COS(SQRT((Model_Data!A168)^2+Inputs!$C$6^2)/Inputs!$C$52))-Inputs!$C$5)*1000/Inputs!$C$12)</x:f>
        <x:v>1015.7440940999775</x:v>
      </x:c>
      <x:c r="D168" s="9" t="n">
        <x:f>Model_Data!F168</x:f>
        <x:v>1014.5637530711654</x:v>
      </x:c>
      <x:c r="E168" s="9" t="n">
        <x:f>Model_Data!AC168</x:f>
        <x:v>804.522959392281</x:v>
      </x:c>
      <x:c r="F168" s="10"/>
      <x:c r="G168" s="9" t="n">
        <x:f>Model_Data!A168</x:f>
        <x:v>23</x:v>
      </x:c>
      <x:c r="H168" s="9" t="n">
        <x:f>Model_Data!Y168</x:f>
        <x:v>438.1289491107309</x:v>
      </x:c>
      <x:c r="I168" s="9" t="n">
        <x:f>Model_Data!Y168</x:f>
        <x:v>438.1289491107309</x:v>
      </x:c>
      <x:c r="J168" s="9" t="n">
        <x:f>Model_Data!X168</x:f>
        <x:v>61.781548358505674</x:v>
      </x:c>
      <x:c r="K168" s="9" t="n">
        <x:f>Model_Data!A168</x:f>
        <x:v>23</x:v>
      </x:c>
      <x:c r="L168" s="9" t="n">
        <x:f>Model_Data!Y168</x:f>
        <x:v>438.1289491107309</x:v>
      </x:c>
      <x:c r="M168" s="9" t="n">
        <x:f>Model_Data!X168</x:f>
        <x:v>61.781548358505674</x:v>
      </x:c>
      <x:c r="N168" s="9" t="n">
        <x:f>-(Model_Data!AC168-Model_Data!F168)*Inputs!$C$12</x:f>
        <x:v>373.87261274841416</x:v>
      </x:c>
      <x:c r="O168" s="10"/>
      <x:c r="P168" s="9" t="n">
        <x:f>Model_Data!A168</x:f>
        <x:v>23</x:v>
      </x:c>
      <x:c r="Q168" s="9" t="n">
        <x:f>Model_Data!P168</x:f>
        <x:v>-196.40114070170966</x:v>
      </x:c>
      <x:c r="R168" s="9" t="n">
        <x:f>Model_Data!AM168</x:f>
        <x:v>-214.52838117938882</x:v>
      </x:c>
      <x:c r="S168" s="9" t="n">
        <x:f>Model_Data!Q168</x:f>
        <x:v>-29.489660766022475</x:v>
      </x:c>
      <x:c r="T168" s="9" t="n">
        <x:f>Model_Data!AN168</x:f>
        <x:v>-32.21146864555388</x:v>
      </x:c>
      <x:c r="U168" s="10"/>
      <x:c r="V168" s="9" t="n">
        <x:f>Model_Data!A168</x:f>
        <x:v>23</x:v>
      </x:c>
      <x:c r="W168" s="9" t="n">
        <x:f>Model_Data!B168-Inputs!$C$5</x:f>
        <x:v>0.5877777777777737</x:v>
      </x:c>
      <x:c r="X168" s="10"/>
      <x:c r="Y168" s="9" t="n">
        <x:f>Model_Data!A168</x:f>
        <x:v>23</x:v>
      </x:c>
      <x:c r="Z168" s="9" t="n">
        <x:f>0</x:f>
        <x:v>0</x:v>
      </x:c>
      <x:c r="AA168" s="9" t="n">
        <x:f>((SQRT((Inputs!$C$52+Inputs!$C$5)^2+Inputs!$C$52^2-2*(Inputs!$C$52+Inputs!$C$5)*Inputs!$C$52*COS(SQRT((Model_Data!A168)^2+Inputs!$C$6^2)/Inputs!$C$52))-Inputs!$C$5)*1000/Inputs!$C$12)</x:f>
        <x:v>1015.7440940999775</x:v>
      </x:c>
      <x:c r="AB168" s="9" t="n">
        <x:f>Model_Data!F168</x:f>
        <x:v>1014.5637530711654</x:v>
      </x:c>
    </x:row>
    <x:row r="169">
      <x:c r="A169" s="9" t="n">
        <x:f>Model_Data!A169</x:f>
        <x:v>23.5</x:v>
      </x:c>
      <x:c r="B169" s="9" t="n">
        <x:f>0</x:f>
        <x:v>0</x:v>
      </x:c>
      <x:c r="C169" s="9" t="n">
        <x:f>((SQRT((Inputs!$C$52+Inputs!$C$5)^2+Inputs!$C$52^2-2*(Inputs!$C$52+Inputs!$C$5)*Inputs!$C$52*COS(SQRT((Model_Data!A169)^2+Inputs!$C$6^2)/Inputs!$C$52))-Inputs!$C$5)*1000/Inputs!$C$12)</x:f>
        <x:v>1036.1608210971144</x:v>
      </x:c>
      <x:c r="D169" s="9" t="n">
        <x:f>Model_Data!F169</x:f>
        <x:v>1034.9040437833773</x:v>
      </x:c>
      <x:c r="E169" s="9" t="n">
        <x:f>Model_Data!AC169</x:f>
        <x:v>833.9263770468148</x:v>
      </x:c>
      <x:c r="F169" s="10"/>
      <x:c r="G169" s="9" t="n">
        <x:f>Model_Data!A169</x:f>
        <x:v>23.5</x:v>
      </x:c>
      <x:c r="H169" s="9" t="n">
        <x:f>Model_Data!Y169</x:f>
        <x:v>431.2131008039683</x:v>
      </x:c>
      <x:c r="I169" s="9" t="n">
        <x:f>Model_Data!Y169</x:f>
        <x:v>431.2131008039683</x:v>
      </x:c>
      <x:c r="J169" s="9" t="n">
        <x:f>Model_Data!X169</x:f>
        <x:v>70.98866885242666</x:v>
      </x:c>
      <x:c r="K169" s="9" t="n">
        <x:f>Model_Data!A169</x:f>
        <x:v>23.5</x:v>
      </x:c>
      <x:c r="L169" s="9" t="n">
        <x:f>Model_Data!Y169</x:f>
        <x:v>431.2131008039683</x:v>
      </x:c>
      <x:c r="M169" s="9" t="n">
        <x:f>Model_Data!X169</x:f>
        <x:v>70.98866885242666</x:v>
      </x:c>
      <x:c r="N169" s="9" t="n">
        <x:f>-(Model_Data!AC169-Model_Data!F169)*Inputs!$C$12</x:f>
        <x:v>357.7402467910814</x:v>
      </x:c>
      <x:c r="O169" s="10"/>
      <x:c r="P169" s="9" t="n">
        <x:f>Model_Data!A169</x:f>
        <x:v>23.5</x:v>
      </x:c>
      <x:c r="Q169" s="9" t="n">
        <x:f>Model_Data!P169</x:f>
        <x:v>-200.64806626696736</x:v>
      </x:c>
      <x:c r="R169" s="9" t="n">
        <x:f>Model_Data!AM169</x:f>
        <x:v>-195.82322653741357</x:v>
      </x:c>
      <x:c r="S169" s="9" t="n">
        <x:f>Model_Data!Q169</x:f>
        <x:v>-30.12733727732243</x:v>
      </x:c>
      <x:c r="T169" s="9" t="n">
        <x:f>Model_Data!AN169</x:f>
        <x:v>-29.40288686747952</x:v>
      </x:c>
      <x:c r="U169" s="10"/>
      <x:c r="V169" s="9" t="n">
        <x:f>Model_Data!A169</x:f>
        <x:v>23.5</x:v>
      </x:c>
      <x:c r="W169" s="9" t="n">
        <x:f>Model_Data!B169-Inputs!$C$5</x:f>
        <x:v>0.6136111111110836</x:v>
      </x:c>
      <x:c r="X169" s="10"/>
      <x:c r="Y169" s="9" t="n">
        <x:f>Model_Data!A169</x:f>
        <x:v>23.5</x:v>
      </x:c>
      <x:c r="Z169" s="9" t="n">
        <x:f>0</x:f>
        <x:v>0</x:v>
      </x:c>
      <x:c r="AA169" s="9" t="n">
        <x:f>((SQRT((Inputs!$C$52+Inputs!$C$5)^2+Inputs!$C$52^2-2*(Inputs!$C$52+Inputs!$C$5)*Inputs!$C$52*COS(SQRT((Model_Data!A169)^2+Inputs!$C$6^2)/Inputs!$C$52))-Inputs!$C$5)*1000/Inputs!$C$12)</x:f>
        <x:v>1036.1608210971144</x:v>
      </x:c>
      <x:c r="AB169" s="9" t="n">
        <x:f>Model_Data!F169</x:f>
        <x:v>1034.9040437833773</x:v>
      </x:c>
    </x:row>
    <x:row r="170">
      <x:c r="A170" s="9" t="n">
        <x:f>Model_Data!A170</x:f>
        <x:v>24</x:v>
      </x:c>
      <x:c r="B170" s="9" t="n">
        <x:f>0</x:f>
        <x:v>0</x:v>
      </x:c>
      <x:c r="C170" s="9" t="n">
        <x:f>((SQRT((Inputs!$C$52+Inputs!$C$5)^2+Inputs!$C$52^2-2*(Inputs!$C$52+Inputs!$C$5)*Inputs!$C$52*COS(SQRT((Model_Data!A170)^2+Inputs!$C$6^2)/Inputs!$C$52))-Inputs!$C$5)*1000/Inputs!$C$12)</x:f>
        <x:v>1057.0146777139</x:v>
      </x:c>
      <x:c r="D170" s="9" t="n">
        <x:f>Model_Data!F170</x:f>
        <x:v>1055.6776964389417</x:v>
      </x:c>
      <x:c r="E170" s="9" t="n">
        <x:f>Model_Data!AC170</x:f>
        <x:v>851.6318898280975</x:v>
      </x:c>
      <x:c r="F170" s="10"/>
      <x:c r="G170" s="9" t="n">
        <x:f>Model_Data!A170</x:f>
        <x:v>24</x:v>
      </x:c>
      <x:c r="H170" s="9" t="n">
        <x:f>Model_Data!Y170</x:f>
        <x:v>441.2625072507224</x:v>
      </x:c>
      <x:c r="I170" s="9" t="n">
        <x:f>Model_Data!Y170</x:f>
        <x:v>441.2625072507224</x:v>
      </x:c>
      <x:c r="J170" s="9" t="n">
        <x:f>Model_Data!X170</x:f>
        <x:v>75.46815017037277</x:v>
      </x:c>
      <x:c r="K170" s="9" t="n">
        <x:f>Model_Data!A170</x:f>
        <x:v>24</x:v>
      </x:c>
      <x:c r="L170" s="9" t="n">
        <x:f>Model_Data!Y170</x:f>
        <x:v>441.2625072507224</x:v>
      </x:c>
      <x:c r="M170" s="9" t="n">
        <x:f>Model_Data!X170</x:f>
        <x:v>75.46815017037277</x:v>
      </x:c>
      <x:c r="N170" s="9" t="n">
        <x:f>-(Model_Data!AC170-Model_Data!F170)*Inputs!$C$12</x:f>
        <x:v>363.2015357673026</x:v>
      </x:c>
      <x:c r="O170" s="10"/>
      <x:c r="P170" s="9" t="n">
        <x:f>Model_Data!A170</x:f>
        <x:v>24</x:v>
      </x:c>
      <x:c r="Q170" s="9" t="n">
        <x:f>Model_Data!P170</x:f>
        <x:v>-204.89354065312</x:v>
      </x:c>
      <x:c r="R170" s="9" t="n">
        <x:f>Model_Data!AM170</x:f>
        <x:v>-230.14401414493477</x:v>
      </x:c>
      <x:c r="S170" s="9" t="n">
        <x:f>Model_Data!Q170</x:f>
        <x:v>-30.764795893861866</x:v>
      </x:c>
      <x:c r="T170" s="9" t="n">
        <x:f>Model_Data!AN170</x:f>
        <x:v>-34.55615828002024</x:v>
      </x:c>
      <x:c r="U170" s="10"/>
      <x:c r="V170" s="9" t="n">
        <x:f>Model_Data!A170</x:f>
        <x:v>24</x:v>
      </x:c>
      <x:c r="W170" s="9" t="n">
        <x:f>Model_Data!B170-Inputs!$C$5</x:f>
        <x:v>0.6399999999999864</x:v>
      </x:c>
      <x:c r="X170" s="10"/>
      <x:c r="Y170" s="9" t="n">
        <x:f>Model_Data!A170</x:f>
        <x:v>24</x:v>
      </x:c>
      <x:c r="Z170" s="9" t="n">
        <x:f>0</x:f>
        <x:v>0</x:v>
      </x:c>
      <x:c r="AA170" s="9" t="n">
        <x:f>((SQRT((Inputs!$C$52+Inputs!$C$5)^2+Inputs!$C$52^2-2*(Inputs!$C$52+Inputs!$C$5)*Inputs!$C$52*COS(SQRT((Model_Data!A170)^2+Inputs!$C$6^2)/Inputs!$C$52))-Inputs!$C$5)*1000/Inputs!$C$12)</x:f>
        <x:v>1057.0146777139</x:v>
      </x:c>
      <x:c r="AB170" s="9" t="n">
        <x:f>Model_Data!F170</x:f>
        <x:v>1055.6776964389417</x:v>
      </x:c>
    </x:row>
    <x:row r="171">
      <x:c r="A171" s="9" t="n">
        <x:f>Model_Data!A171</x:f>
        <x:v>24.5</x:v>
      </x:c>
      <x:c r="B171" s="9" t="n">
        <x:f>0</x:f>
        <x:v>0</x:v>
      </x:c>
      <x:c r="C171" s="9" t="n">
        <x:f>((SQRT((Inputs!$C$52+Inputs!$C$5)^2+Inputs!$C$52^2-2*(Inputs!$C$52+Inputs!$C$5)*Inputs!$C$52*COS(SQRT((Model_Data!A171)^2+Inputs!$C$6^2)/Inputs!$C$52))-Inputs!$C$5)*1000/Inputs!$C$12)</x:f>
        <x:v>1078.3055406969088</x:v>
      </x:c>
      <x:c r="D171" s="9" t="n">
        <x:f>Model_Data!F171</x:f>
        <x:v>1076.8844536568934</x:v>
      </x:c>
      <x:c r="E171" s="9" t="n">
        <x:f>Model_Data!AC171</x:f>
        <x:v>889.9972587260671</x:v>
      </x:c>
      <x:c r="F171" s="10"/>
      <x:c r="G171" s="9" t="n">
        <x:f>Model_Data!A171</x:f>
        <x:v>24.5</x:v>
      </x:c>
      <x:c r="H171" s="9" t="n">
        <x:f>Model_Data!Y171</x:f>
        <x:v>415.4369773442437</x:v>
      </x:c>
      <x:c r="I171" s="9" t="n">
        <x:f>Model_Data!Y171</x:f>
        <x:v>415.4369773442437</x:v>
      </x:c>
      <x:c r="J171" s="9" t="n">
        <x:f>Model_Data!X171</x:f>
        <x:v>80.2881627342364</x:v>
      </x:c>
      <x:c r="K171" s="9" t="n">
        <x:f>Model_Data!A171</x:f>
        <x:v>24.5</x:v>
      </x:c>
      <x:c r="L171" s="9" t="n">
        <x:f>Model_Data!Y171</x:f>
        <x:v>415.4369773442437</x:v>
      </x:c>
      <x:c r="M171" s="9" t="n">
        <x:f>Model_Data!X171</x:f>
        <x:v>80.2881627342364</x:v>
      </x:c>
      <x:c r="N171" s="9" t="n">
        <x:f>-(Model_Data!AC171-Model_Data!F171)*Inputs!$C$12</x:f>
        <x:v>332.65920697687073</x:v>
      </x:c>
      <x:c r="O171" s="10"/>
      <x:c r="P171" s="9" t="n">
        <x:f>Model_Data!A171</x:f>
        <x:v>24.5</x:v>
      </x:c>
      <x:c r="Q171" s="9" t="n">
        <x:f>Model_Data!P171</x:f>
        <x:v>-209.13753414824896</x:v>
      </x:c>
      <x:c r="R171" s="9" t="n">
        <x:f>Model_Data!AM171</x:f>
        <x:v>-244.97379562135393</x:v>
      </x:c>
      <x:c r="S171" s="9" t="n">
        <x:f>Model_Data!Q171</x:f>
        <x:v>-31.402032154391737</x:v>
      </x:c>
      <x:c r="T171" s="9" t="n">
        <x:f>Model_Data!AN171</x:f>
        <x:v>-36.78285219539849</x:v>
      </x:c>
      <x:c r="U171" s="10"/>
      <x:c r="V171" s="9" t="n">
        <x:f>Model_Data!A171</x:f>
        <x:v>24.5</x:v>
      </x:c>
      <x:c r="W171" s="9" t="n">
        <x:f>Model_Data!B171-Inputs!$C$5</x:f>
        <x:v>0.6669444444444252</x:v>
      </x:c>
      <x:c r="X171" s="10"/>
      <x:c r="Y171" s="9" t="n">
        <x:f>Model_Data!A171</x:f>
        <x:v>24.5</x:v>
      </x:c>
      <x:c r="Z171" s="9" t="n">
        <x:f>0</x:f>
        <x:v>0</x:v>
      </x:c>
      <x:c r="AA171" s="9" t="n">
        <x:f>((SQRT((Inputs!$C$52+Inputs!$C$5)^2+Inputs!$C$52^2-2*(Inputs!$C$52+Inputs!$C$5)*Inputs!$C$52*COS(SQRT((Model_Data!A171)^2+Inputs!$C$6^2)/Inputs!$C$52))-Inputs!$C$5)*1000/Inputs!$C$12)</x:f>
        <x:v>1078.3055406969088</x:v>
      </x:c>
      <x:c r="AB171" s="9" t="n">
        <x:f>Model_Data!F171</x:f>
        <x:v>1076.8844536568934</x:v>
      </x:c>
    </x:row>
    <x:row r="172">
      <x:c r="A172" s="9" t="n">
        <x:f>Model_Data!A172</x:f>
        <x:v>25</x:v>
      </x:c>
      <x:c r="B172" s="9" t="n">
        <x:f>0</x:f>
        <x:v>0</x:v>
      </x:c>
      <x:c r="C172" s="9" t="n">
        <x:f>((SQRT((Inputs!$C$52+Inputs!$C$5)^2+Inputs!$C$52^2-2*(Inputs!$C$52+Inputs!$C$5)*Inputs!$C$52*COS(SQRT((Model_Data!A172)^2+Inputs!$C$6^2)/Inputs!$C$52))-Inputs!$C$5)*1000/Inputs!$C$12)</x:f>
        <x:v>1100.033284253411</x:v>
      </x:c>
      <x:c r="D172" s="9" t="n">
        <x:f>Model_Data!F172</x:f>
        <x:v>1098.5240528424165</x:v>
      </x:c>
      <x:c r="E172" s="9" t="n">
        <x:f>Model_Data!AC172</x:f>
        <x:v>899.2131123935461</x:v>
      </x:c>
      <x:c r="F172" s="10"/>
      <x:c r="G172" s="9" t="n">
        <x:f>Model_Data!A172</x:f>
        <x:v>25</x:v>
      </x:c>
      <x:c r="H172" s="9" t="n">
        <x:f>Model_Data!Y172</x:f>
        <x:v>418.8320748478676</x:v>
      </x:c>
      <x:c r="I172" s="9" t="n">
        <x:f>Model_Data!Y172</x:f>
        <x:v>418.8320748478676</x:v>
      </x:c>
      <x:c r="J172" s="9" t="n">
        <x:f>Model_Data!X172</x:f>
        <x:v>61.498548518191555</x:v>
      </x:c>
      <x:c r="K172" s="9" t="n">
        <x:f>Model_Data!A172</x:f>
        <x:v>25</x:v>
      </x:c>
      <x:c r="L172" s="9" t="n">
        <x:f>Model_Data!Y172</x:f>
        <x:v>418.8320748478676</x:v>
      </x:c>
      <x:c r="M172" s="9" t="n">
        <x:f>Model_Data!X172</x:f>
        <x:v>61.498548518191555</x:v>
      </x:c>
      <x:c r="N172" s="9" t="n">
        <x:f>-(Model_Data!AC172-Model_Data!F172)*Inputs!$C$12</x:f>
        <x:v>354.7734739989893</x:v>
      </x:c>
      <x:c r="O172" s="10"/>
      <x:c r="P172" s="9" t="n">
        <x:f>Model_Data!A172</x:f>
        <x:v>25</x:v>
      </x:c>
      <x:c r="Q172" s="9" t="n">
        <x:f>Model_Data!P172</x:f>
        <x:v>-213.38001711119432</x:v>
      </x:c>
      <x:c r="R172" s="9" t="n">
        <x:f>Model_Data!AM172</x:f>
        <x:v>-253.7362306406976</x:v>
      </x:c>
      <x:c r="S172" s="9" t="n">
        <x:f>Model_Data!Q172</x:f>
        <x:v>-32.03904160828744</x:v>
      </x:c>
      <x:c r="T172" s="9" t="n">
        <x:f>Model_Data!AN172</x:f>
        <x:v>-38.09853312923388</x:v>
      </x:c>
      <x:c r="U172" s="10"/>
      <x:c r="V172" s="9" t="n">
        <x:f>Model_Data!A172</x:f>
        <x:v>25</x:v>
      </x:c>
      <x:c r="W172" s="9" t="n">
        <x:f>Model_Data!B172-Inputs!$C$5</x:f>
        <x:v>0.6944444444444571</x:v>
      </x:c>
      <x:c r="X172" s="10"/>
      <x:c r="Y172" s="9" t="n">
        <x:f>Model_Data!A172</x:f>
        <x:v>25</x:v>
      </x:c>
      <x:c r="Z172" s="9" t="n">
        <x:f>0</x:f>
        <x:v>0</x:v>
      </x:c>
      <x:c r="AA172" s="9" t="n">
        <x:f>((SQRT((Inputs!$C$52+Inputs!$C$5)^2+Inputs!$C$52^2-2*(Inputs!$C$52+Inputs!$C$5)*Inputs!$C$52*COS(SQRT((Model_Data!A172)^2+Inputs!$C$6^2)/Inputs!$C$52))-Inputs!$C$5)*1000/Inputs!$C$12)</x:f>
        <x:v>1100.033284253411</x:v>
      </x:c>
      <x:c r="AB172" s="9" t="n">
        <x:f>Model_Data!F172</x:f>
        <x:v>1098.5240528424165</x:v>
      </x:c>
    </x:row>
    <x:row r="173">
      <x:c r="A173" s="9" t="n">
        <x:f>Model_Data!A173</x:f>
        <x:v>25.5</x:v>
      </x:c>
      <x:c r="B173" s="9" t="n">
        <x:f>0</x:f>
        <x:v>0</x:v>
      </x:c>
      <x:c r="C173" s="9" t="n">
        <x:f>((SQRT((Inputs!$C$52+Inputs!$C$5)^2+Inputs!$C$52^2-2*(Inputs!$C$52+Inputs!$C$5)*Inputs!$C$52*COS(SQRT((Model_Data!A173)^2+Inputs!$C$6^2)/Inputs!$C$52))-Inputs!$C$5)*1000/Inputs!$C$12)</x:f>
        <x:v>1122.1977800602508</x:v>
      </x:c>
      <x:c r="D173" s="9" t="n">
        <x:f>Model_Data!F173</x:f>
        <x:v>1120.5962262068354</x:v>
      </x:c>
      <x:c r="E173" s="9" t="n">
        <x:f>Model_Data!AC173</x:f>
        <x:v>940.9204645179622</x:v>
      </x:c>
      <x:c r="F173" s="10"/>
      <x:c r="G173" s="9" t="n">
        <x:f>Model_Data!A173</x:f>
        <x:v>25.5</x:v>
      </x:c>
      <x:c r="H173" s="9" t="n">
        <x:f>Model_Data!Y173</x:f>
        <x:v>390.15691093629596</x:v>
      </x:c>
      <x:c r="I173" s="9" t="n">
        <x:f>Model_Data!Y173</x:f>
        <x:v>390.15691093629596</x:v>
      </x:c>
      <x:c r="J173" s="9" t="n">
        <x:f>Model_Data!X173</x:f>
        <x:v>67.90188044896082</x:v>
      </x:c>
      <x:c r="K173" s="9" t="n">
        <x:f>Model_Data!A173</x:f>
        <x:v>25.5</x:v>
      </x:c>
      <x:c r="L173" s="9" t="n">
        <x:f>Model_Data!Y173</x:f>
        <x:v>390.15691093629596</x:v>
      </x:c>
      <x:c r="M173" s="9" t="n">
        <x:f>Model_Data!X173</x:f>
        <x:v>67.90188044896082</x:v>
      </x:c>
      <x:c r="N173" s="9" t="n">
        <x:f>-(Model_Data!AC173-Model_Data!F173)*Inputs!$C$12</x:f>
        <x:v>319.8228558061943</x:v>
      </x:c>
      <x:c r="O173" s="10"/>
      <x:c r="P173" s="9" t="n">
        <x:f>Model_Data!A173</x:f>
        <x:v>25.5</x:v>
      </x:c>
      <x:c r="Q173" s="9" t="n">
        <x:f>Model_Data!P173</x:f>
        <x:v>-217.6209599799222</x:v>
      </x:c>
      <x:c r="R173" s="9" t="n">
        <x:f>Model_Data!AM173</x:f>
        <x:v>-267.79701353634664</x:v>
      </x:c>
      <x:c r="S173" s="9" t="n">
        <x:f>Model_Data!Q173</x:f>
        <x:v>-32.67581981680514</x:v>
      </x:c>
      <x:c r="T173" s="9" t="n">
        <x:f>Model_Data!AN173</x:f>
        <x:v>-40.209761792244244</x:v>
      </x:c>
      <x:c r="U173" s="10"/>
      <x:c r="V173" s="9" t="n">
        <x:f>Model_Data!A173</x:f>
        <x:v>25.5</x:v>
      </x:c>
      <x:c r="W173" s="9" t="n">
        <x:f>Model_Data!B173-Inputs!$C$5</x:f>
        <x:v>0.722500000000025</x:v>
      </x:c>
      <x:c r="X173" s="10"/>
      <x:c r="Y173" s="9" t="n">
        <x:f>Model_Data!A173</x:f>
        <x:v>25.5</x:v>
      </x:c>
      <x:c r="Z173" s="9" t="n">
        <x:f>0</x:f>
        <x:v>0</x:v>
      </x:c>
      <x:c r="AA173" s="9" t="n">
        <x:f>((SQRT((Inputs!$C$52+Inputs!$C$5)^2+Inputs!$C$52^2-2*(Inputs!$C$52+Inputs!$C$5)*Inputs!$C$52*COS(SQRT((Model_Data!A173)^2+Inputs!$C$6^2)/Inputs!$C$52))-Inputs!$C$5)*1000/Inputs!$C$12)</x:f>
        <x:v>1122.1977800602508</x:v>
      </x:c>
      <x:c r="AB173" s="9" t="n">
        <x:f>Model_Data!F173</x:f>
        <x:v>1120.5962262068354</x:v>
      </x:c>
    </x:row>
    <x:row r="174">
      <x:c r="A174" s="9" t="n">
        <x:f>Model_Data!A174</x:f>
        <x:v>26</x:v>
      </x:c>
      <x:c r="B174" s="9" t="n">
        <x:f>0</x:f>
        <x:v>0</x:v>
      </x:c>
      <x:c r="C174" s="9" t="n">
        <x:f>((SQRT((Inputs!$C$52+Inputs!$C$5)^2+Inputs!$C$52^2-2*(Inputs!$C$52+Inputs!$C$5)*Inputs!$C$52*COS(SQRT((Model_Data!A174)^2+Inputs!$C$6^2)/Inputs!$C$52))-Inputs!$C$5)*1000/Inputs!$C$12)</x:f>
        <x:v>1144.7988972650598</x:v>
      </x:c>
      <x:c r="D174" s="9" t="n">
        <x:f>Model_Data!F174</x:f>
        <x:v>1143.1007007754386</x:v>
      </x:c>
      <x:c r="E174" s="9" t="n">
        <x:f>Model_Data!AC174</x:f>
        <x:v>963.3932192130122</x:v>
      </x:c>
      <x:c r="F174" s="10"/>
      <x:c r="G174" s="9" t="n">
        <x:f>Model_Data!A174</x:f>
        <x:v>26</x:v>
      </x:c>
      <x:c r="H174" s="9" t="n">
        <x:f>Model_Data!Y174</x:f>
        <x:v>387.3749410180904</x:v>
      </x:c>
      <x:c r="I174" s="9" t="n">
        <x:f>Model_Data!Y174</x:f>
        <x:v>387.3749410180904</x:v>
      </x:c>
      <x:c r="J174" s="9" t="n">
        <x:f>Model_Data!X174</x:f>
        <x:v>65.03267186217182</x:v>
      </x:c>
      <x:c r="K174" s="9" t="n">
        <x:f>Model_Data!A174</x:f>
        <x:v>26</x:v>
      </x:c>
      <x:c r="L174" s="9" t="n">
        <x:f>Model_Data!Y174</x:f>
        <x:v>387.3749410180904</x:v>
      </x:c>
      <x:c r="M174" s="9" t="n">
        <x:f>Model_Data!X174</x:f>
        <x:v>65.03267186217182</x:v>
      </x:c>
      <x:c r="N174" s="9" t="n">
        <x:f>-(Model_Data!AC174-Model_Data!F174)*Inputs!$C$12</x:f>
        <x:v>319.87931718111884</x:v>
      </x:c>
      <x:c r="O174" s="10"/>
      <x:c r="P174" s="9" t="n">
        <x:f>Model_Data!A174</x:f>
        <x:v>26</x:v>
      </x:c>
      <x:c r="Q174" s="9" t="n">
        <x:f>Model_Data!P174</x:f>
        <x:v>-221.86033326770485</x:v>
      </x:c>
      <x:c r="R174" s="9" t="n">
        <x:f>Model_Data!AM174</x:f>
        <x:v>-232.61930903145185</x:v>
      </x:c>
      <x:c r="S174" s="9" t="n">
        <x:f>Model_Data!Q174</x:f>
        <x:v>-33.31236235250824</x:v>
      </x:c>
      <x:c r="T174" s="9" t="n">
        <x:f>Model_Data!AN174</x:f>
        <x:v>-34.92782417889668</x:v>
      </x:c>
      <x:c r="U174" s="10"/>
      <x:c r="V174" s="9" t="n">
        <x:f>Model_Data!A174</x:f>
        <x:v>26</x:v>
      </x:c>
      <x:c r="W174" s="9" t="n">
        <x:f>Model_Data!B174-Inputs!$C$5</x:f>
        <x:v>0.751111111111129</x:v>
      </x:c>
      <x:c r="X174" s="10"/>
      <x:c r="Y174" s="9" t="n">
        <x:f>Model_Data!A174</x:f>
        <x:v>26</x:v>
      </x:c>
      <x:c r="Z174" s="9" t="n">
        <x:f>0</x:f>
        <x:v>0</x:v>
      </x:c>
      <x:c r="AA174" s="9" t="n">
        <x:f>((SQRT((Inputs!$C$52+Inputs!$C$5)^2+Inputs!$C$52^2-2*(Inputs!$C$52+Inputs!$C$5)*Inputs!$C$52*COS(SQRT((Model_Data!A174)^2+Inputs!$C$6^2)/Inputs!$C$52))-Inputs!$C$5)*1000/Inputs!$C$12)</x:f>
        <x:v>1144.7988972650598</x:v>
      </x:c>
      <x:c r="AB174" s="9" t="n">
        <x:f>Model_Data!F174</x:f>
        <x:v>1143.1007007754386</x:v>
      </x:c>
    </x:row>
    <x:row r="175">
      <x:c r="A175" s="9" t="n">
        <x:f>Model_Data!A175</x:f>
        <x:v>26.5</x:v>
      </x:c>
      <x:c r="B175" s="9" t="n">
        <x:f>0</x:f>
        <x:v>0</x:v>
      </x:c>
      <x:c r="C175" s="9" t="n">
        <x:f>((SQRT((Inputs!$C$52+Inputs!$C$5)^2+Inputs!$C$52^2-2*(Inputs!$C$52+Inputs!$C$5)*Inputs!$C$52*COS(SQRT((Model_Data!A175)^2+Inputs!$C$6^2)/Inputs!$C$52))-Inputs!$C$5)*1000/Inputs!$C$12)</x:f>
        <x:v>1167.83650249044</x:v>
      </x:c>
      <x:c r="D175" s="9" t="n">
        <x:f>Model_Data!F175</x:f>
        <x:v>1166.0371984060328</x:v>
      </x:c>
      <x:c r="E175" s="9" t="n">
        <x:f>Model_Data!AC175</x:f>
        <x:v>991.0463117819929</x:v>
      </x:c>
      <x:c r="F175" s="10"/>
      <x:c r="G175" s="9" t="n">
        <x:f>Model_Data!A175</x:f>
        <x:v>26.5</x:v>
      </x:c>
      <x:c r="H175" s="9" t="n">
        <x:f>Model_Data!Y175</x:f>
        <x:v>383.48713922986474</x:v>
      </x:c>
      <x:c r="I175" s="9" t="n">
        <x:f>Model_Data!Y175</x:f>
        <x:v>383.48713922986474</x:v>
      </x:c>
      <x:c r="J175" s="9" t="n">
        <x:f>Model_Data!X175</x:f>
        <x:v>69.51659821200863</x:v>
      </x:c>
      <x:c r="K175" s="9" t="n">
        <x:f>Model_Data!A175</x:f>
        <x:v>26.5</x:v>
      </x:c>
      <x:c r="L175" s="9" t="n">
        <x:f>Model_Data!Y175</x:f>
        <x:v>383.48713922986474</x:v>
      </x:c>
      <x:c r="M175" s="9" t="n">
        <x:f>Model_Data!X175</x:f>
        <x:v>69.51659821200863</x:v>
      </x:c>
      <x:c r="N175" s="9" t="n">
        <x:f>-(Model_Data!AC175-Model_Data!F175)*Inputs!$C$12</x:f>
        <x:v>311.48377819079093</x:v>
      </x:c>
      <x:c r="O175" s="10"/>
      <x:c r="P175" s="9" t="n">
        <x:f>Model_Data!A175</x:f>
        <x:v>26.5</x:v>
      </x:c>
      <x:c r="Q175" s="9" t="n">
        <x:f>Model_Data!P175</x:f>
        <x:v>-226.0981075584823</x:v>
      </x:c>
      <x:c r="R175" s="9" t="n">
        <x:f>Model_Data!AM175</x:f>
        <x:v>-291.65466654148986</x:v>
      </x:c>
      <x:c r="S175" s="9" t="n">
        <x:f>Model_Data!Q175</x:f>
        <x:v>-33.94866479857092</x:v>
      </x:c>
      <x:c r="T175" s="9" t="n">
        <x:f>Model_Data!AN175</x:f>
        <x:v>-43.79199197319668</x:v>
      </x:c>
      <x:c r="U175" s="10"/>
      <x:c r="V175" s="9" t="n">
        <x:f>Model_Data!A175</x:f>
        <x:v>26.5</x:v>
      </x:c>
      <x:c r="W175" s="9" t="n">
        <x:f>Model_Data!B175-Inputs!$C$5</x:f>
        <x:v>0.7802777777777692</x:v>
      </x:c>
      <x:c r="X175" s="10"/>
      <x:c r="Y175" s="9" t="n">
        <x:f>Model_Data!A175</x:f>
        <x:v>26.5</x:v>
      </x:c>
      <x:c r="Z175" s="9" t="n">
        <x:f>0</x:f>
        <x:v>0</x:v>
      </x:c>
      <x:c r="AA175" s="9" t="n">
        <x:f>((SQRT((Inputs!$C$52+Inputs!$C$5)^2+Inputs!$C$52^2-2*(Inputs!$C$52+Inputs!$C$5)*Inputs!$C$52*COS(SQRT((Model_Data!A175)^2+Inputs!$C$6^2)/Inputs!$C$52))-Inputs!$C$5)*1000/Inputs!$C$12)</x:f>
        <x:v>1167.83650249044</x:v>
      </x:c>
      <x:c r="AB175" s="9" t="n">
        <x:f>Model_Data!F175</x:f>
        <x:v>1166.0371984060328</x:v>
      </x:c>
    </x:row>
    <x:row r="176">
      <x:c r="A176" s="9" t="n">
        <x:f>Model_Data!A176</x:f>
        <x:v>27</x:v>
      </x:c>
      <x:c r="B176" s="9" t="n">
        <x:f>0</x:f>
        <x:v>0</x:v>
      </x:c>
      <x:c r="C176" s="9" t="n">
        <x:f>((SQRT((Inputs!$C$52+Inputs!$C$5)^2+Inputs!$C$52^2-2*(Inputs!$C$52+Inputs!$C$5)*Inputs!$C$52*COS(SQRT((Model_Data!A176)^2+Inputs!$C$6^2)/Inputs!$C$52))-Inputs!$C$5)*1000/Inputs!$C$12)</x:f>
        <x:v>1191.3104598367102</x:v>
      </x:c>
      <x:c r="D176" s="9" t="n">
        <x:f>Model_Data!F176</x:f>
        <x:v>1189.4054357952016</x:v>
      </x:c>
      <x:c r="E176" s="9" t="n">
        <x:f>Model_Data!AC176</x:f>
        <x:v>1032.3915762449658</x:v>
      </x:c>
      <x:c r="F176" s="10"/>
      <x:c r="G176" s="9" t="n">
        <x:f>Model_Data!A176</x:f>
        <x:v>27</x:v>
      </x:c>
      <x:c r="H176" s="9" t="n">
        <x:f>Model_Data!Y176</x:f>
        <x:v>346.2287328646241</x:v>
      </x:c>
      <x:c r="I176" s="9" t="n">
        <x:f>Model_Data!Y176</x:f>
        <x:v>346.2287328646241</x:v>
      </x:c>
      <x:c r="J176" s="9" t="n">
        <x:f>Model_Data!X176</x:f>
        <x:v>64.45446968061479</x:v>
      </x:c>
      <x:c r="K176" s="9" t="n">
        <x:f>Model_Data!A176</x:f>
        <x:v>27</x:v>
      </x:c>
      <x:c r="L176" s="9" t="n">
        <x:f>Model_Data!Y176</x:f>
        <x:v>346.2287328646241</x:v>
      </x:c>
      <x:c r="M176" s="9" t="n">
        <x:f>Model_Data!X176</x:f>
        <x:v>64.45446968061479</x:v>
      </x:c>
      <x:c r="N176" s="9" t="n">
        <x:f>-(Model_Data!AC176-Model_Data!F176)*Inputs!$C$12</x:f>
        <x:v>279.48466999941974</x:v>
      </x:c>
      <x:c r="O176" s="10"/>
      <x:c r="P176" s="9" t="n">
        <x:f>Model_Data!A176</x:f>
        <x:v>27</x:v>
      </x:c>
      <x:c r="Q176" s="9" t="n">
        <x:f>Model_Data!P176</x:f>
        <x:v>-230.3342535144111</x:v>
      </x:c>
      <x:c r="R176" s="9" t="n">
        <x:f>Model_Data!AM176</x:f>
        <x:v>-304.31541811476563</x:v>
      </x:c>
      <x:c r="S176" s="9" t="n">
        <x:f>Model_Data!Q176</x:f>
        <x:v>-34.58472274991158</x:v>
      </x:c>
      <x:c r="T176" s="9" t="n">
        <x:f>Model_Data!AN176</x:f>
        <x:v>-45.693005722937784</x:v>
      </x:c>
      <x:c r="U176" s="10"/>
      <x:c r="V176" s="9" t="n">
        <x:f>Model_Data!A176</x:f>
        <x:v>27</x:v>
      </x:c>
      <x:c r="W176" s="9" t="n">
        <x:f>Model_Data!B176-Inputs!$C$5</x:f>
        <x:v>0.8100000000000023</x:v>
      </x:c>
      <x:c r="X176" s="10"/>
      <x:c r="Y176" s="9" t="n">
        <x:f>Model_Data!A176</x:f>
        <x:v>27</x:v>
      </x:c>
      <x:c r="Z176" s="9" t="n">
        <x:f>0</x:f>
        <x:v>0</x:v>
      </x:c>
      <x:c r="AA176" s="9" t="n">
        <x:f>((SQRT((Inputs!$C$52+Inputs!$C$5)^2+Inputs!$C$52^2-2*(Inputs!$C$52+Inputs!$C$5)*Inputs!$C$52*COS(SQRT((Model_Data!A176)^2+Inputs!$C$6^2)/Inputs!$C$52))-Inputs!$C$5)*1000/Inputs!$C$12)</x:f>
        <x:v>1191.3104598367102</x:v>
      </x:c>
      <x:c r="AB176" s="9" t="n">
        <x:f>Model_Data!F176</x:f>
        <x:v>1189.4054357952016</x:v>
      </x:c>
    </x:row>
    <x:row r="177">
      <x:c r="A177" s="9" t="n">
        <x:f>Model_Data!A177</x:f>
        <x:v>27.5</x:v>
      </x:c>
      <x:c r="B177" s="9" t="n">
        <x:f>0</x:f>
        <x:v>0</x:v>
      </x:c>
      <x:c r="C177" s="9" t="n">
        <x:f>((SQRT((Inputs!$C$52+Inputs!$C$5)^2+Inputs!$C$52^2-2*(Inputs!$C$52+Inputs!$C$5)*Inputs!$C$52*COS(SQRT((Model_Data!A177)^2+Inputs!$C$6^2)/Inputs!$C$52))-Inputs!$C$5)*1000/Inputs!$C$12)</x:f>
        <x:v>1215.2206308890595</x:v>
      </x:c>
      <x:c r="D177" s="9" t="n">
        <x:f>Model_Data!F177</x:f>
        <x:v>1213.2051244995746</x:v>
      </x:c>
      <x:c r="E177" s="9" t="n">
        <x:f>Model_Data!AC177</x:f>
        <x:v>1050.8589069580808</x:v>
      </x:c>
      <x:c r="F177" s="10"/>
      <x:c r="G177" s="9" t="n">
        <x:f>Model_Data!A177</x:f>
        <x:v>27.5</x:v>
      </x:c>
      <x:c r="H177" s="9" t="n">
        <x:f>Model_Data!Y177</x:f>
        <x:v>337.0351401860322</x:v>
      </x:c>
      <x:c r="I177" s="9" t="n">
        <x:f>Model_Data!Y177</x:f>
        <x:v>337.0351401860322</x:v>
      </x:c>
      <x:c r="J177" s="9" t="n">
        <x:f>Model_Data!X177</x:f>
        <x:v>45.78588130375909</x:v>
      </x:c>
      <x:c r="K177" s="9" t="n">
        <x:f>Model_Data!A177</x:f>
        <x:v>27.5</x:v>
      </x:c>
      <x:c r="L177" s="9" t="n">
        <x:f>Model_Data!Y177</x:f>
        <x:v>337.0351401860322</x:v>
      </x:c>
      <x:c r="M177" s="9" t="n">
        <x:f>Model_Data!X177</x:f>
        <x:v>45.78588130375909</x:v>
      </x:c>
      <x:c r="N177" s="9" t="n">
        <x:f>-(Model_Data!AC177-Model_Data!F177)*Inputs!$C$12</x:f>
        <x:v>288.97626722385905</x:v>
      </x:c>
      <x:c r="O177" s="10"/>
      <x:c r="P177" s="9" t="n">
        <x:f>Model_Data!A177</x:f>
        <x:v>27.5</x:v>
      </x:c>
      <x:c r="Q177" s="9" t="n">
        <x:f>Model_Data!P177</x:f>
        <x:v>-234.56874188968868</x:v>
      </x:c>
      <x:c r="R177" s="9" t="n">
        <x:f>Model_Data!AM177</x:f>
        <x:v>-288.8126042343174</x:v>
      </x:c>
      <x:c r="S177" s="9" t="n">
        <x:f>Model_Data!Q177</x:f>
        <x:v>-35.22053181526857</x:v>
      </x:c>
      <x:c r="T177" s="9" t="n">
        <x:f>Model_Data!AN177</x:f>
        <x:v>-43.36525589103865</x:v>
      </x:c>
      <x:c r="U177" s="10"/>
      <x:c r="V177" s="9" t="n">
        <x:f>Model_Data!A177</x:f>
        <x:v>27.5</x:v>
      </x:c>
      <x:c r="W177" s="9" t="n">
        <x:f>Model_Data!B177-Inputs!$C$5</x:f>
        <x:v>0.8402777777777715</x:v>
      </x:c>
      <x:c r="X177" s="10"/>
      <x:c r="Y177" s="9" t="n">
        <x:f>Model_Data!A177</x:f>
        <x:v>27.5</x:v>
      </x:c>
      <x:c r="Z177" s="9" t="n">
        <x:f>0</x:f>
        <x:v>0</x:v>
      </x:c>
      <x:c r="AA177" s="9" t="n">
        <x:f>((SQRT((Inputs!$C$52+Inputs!$C$5)^2+Inputs!$C$52^2-2*(Inputs!$C$52+Inputs!$C$5)*Inputs!$C$52*COS(SQRT((Model_Data!A177)^2+Inputs!$C$6^2)/Inputs!$C$52))-Inputs!$C$5)*1000/Inputs!$C$12)</x:f>
        <x:v>1215.2206308890595</x:v>
      </x:c>
      <x:c r="AB177" s="9" t="n">
        <x:f>Model_Data!F177</x:f>
        <x:v>1213.2051244995746</x:v>
      </x:c>
    </x:row>
    <x:row r="178">
      <x:c r="A178" s="9" t="n">
        <x:f>Model_Data!A178</x:f>
        <x:v>28</x:v>
      </x:c>
      <x:c r="B178" s="9" t="n">
        <x:f>0</x:f>
        <x:v>0</x:v>
      </x:c>
      <x:c r="C178" s="9" t="n">
        <x:f>((SQRT((Inputs!$C$52+Inputs!$C$5)^2+Inputs!$C$52^2-2*(Inputs!$C$52+Inputs!$C$5)*Inputs!$C$52*COS(SQRT((Model_Data!A178)^2+Inputs!$C$6^2)/Inputs!$C$52))-Inputs!$C$5)*1000/Inputs!$C$12)</x:f>
        <x:v>1239.5668747174202</x:v>
      </x:c>
      <x:c r="D178" s="9" t="n">
        <x:f>Model_Data!F178</x:f>
        <x:v>1237.4359709468442</x:v>
      </x:c>
      <x:c r="E178" s="9" t="n">
        <x:f>Model_Data!AC178</x:f>
        <x:v>1096.372861991217</x:v>
      </x:c>
      <x:c r="F178" s="10"/>
      <x:c r="G178" s="9" t="n">
        <x:f>Model_Data!A178</x:f>
        <x:v>28</x:v>
      </x:c>
      <x:c r="H178" s="9" t="n">
        <x:f>Model_Data!Y178</x:f>
        <x:v>312.18369818898617</x:v>
      </x:c>
      <x:c r="I178" s="9" t="n">
        <x:f>Model_Data!Y178</x:f>
        <x:v>312.18369818898617</x:v>
      </x:c>
      <x:c r="J178" s="9" t="n">
        <x:f>Model_Data!X178</x:f>
        <x:v>58.94439177372493</x:v>
      </x:c>
      <x:c r="K178" s="9" t="n">
        <x:f>Model_Data!A178</x:f>
        <x:v>28</x:v>
      </x:c>
      <x:c r="L178" s="9" t="n">
        <x:f>Model_Data!Y178</x:f>
        <x:v>312.18369818898617</x:v>
      </x:c>
      <x:c r="M178" s="9" t="n">
        <x:f>Model_Data!X178</x:f>
        <x:v>58.94439177372493</x:v>
      </x:c>
      <x:c r="N178" s="9" t="n">
        <x:f>-(Model_Data!AC178-Model_Data!F178)*Inputs!$C$12</x:f>
        <x:v>251.09233394101656</x:v>
      </x:c>
      <x:c r="O178" s="10"/>
      <x:c r="P178" s="9" t="n">
        <x:f>Model_Data!A178</x:f>
        <x:v>28</x:v>
      </x:c>
      <x:c r="Q178" s="9" t="n">
        <x:f>Model_Data!P178</x:f>
        <x:v>-238.80154350054</x:v>
      </x:c>
      <x:c r="R178" s="9" t="n">
        <x:f>Model_Data!AM178</x:f>
        <x:v>-281.15917075083416</x:v>
      </x:c>
      <x:c r="S178" s="9" t="n">
        <x:f>Model_Data!Q178</x:f>
        <x:v>-35.8560876126937</x:v>
      </x:c>
      <x:c r="T178" s="9" t="n">
        <x:f>Model_Data!AN178</x:f>
        <x:v>-42.21609170432946</x:v>
      </x:c>
      <x:c r="U178" s="10"/>
      <x:c r="V178" s="9" t="n">
        <x:f>Model_Data!A178</x:f>
        <x:v>28</x:v>
      </x:c>
      <x:c r="W178" s="9" t="n">
        <x:f>Model_Data!B178-Inputs!$C$5</x:f>
        <x:v>0.8711111111111336</x:v>
      </x:c>
      <x:c r="X178" s="10"/>
      <x:c r="Y178" s="9" t="n">
        <x:f>Model_Data!A178</x:f>
        <x:v>28</x:v>
      </x:c>
      <x:c r="Z178" s="9" t="n">
        <x:f>0</x:f>
        <x:v>0</x:v>
      </x:c>
      <x:c r="AA178" s="9" t="n">
        <x:f>((SQRT((Inputs!$C$52+Inputs!$C$5)^2+Inputs!$C$52^2-2*(Inputs!$C$52+Inputs!$C$5)*Inputs!$C$52*COS(SQRT((Model_Data!A178)^2+Inputs!$C$6^2)/Inputs!$C$52))-Inputs!$C$5)*1000/Inputs!$C$12)</x:f>
        <x:v>1239.5668747174202</x:v>
      </x:c>
      <x:c r="AB178" s="9" t="n">
        <x:f>Model_Data!F178</x:f>
        <x:v>1237.4359709468442</x:v>
      </x:c>
    </x:row>
    <x:row r="179">
      <x:c r="A179" s="9" t="n">
        <x:f>Model_Data!A179</x:f>
        <x:v>28.5</x:v>
      </x:c>
      <x:c r="B179" s="9" t="n">
        <x:f>0</x:f>
        <x:v>0</x:v>
      </x:c>
      <x:c r="C179" s="9" t="n">
        <x:f>((SQRT((Inputs!$C$52+Inputs!$C$5)^2+Inputs!$C$52^2-2*(Inputs!$C$52+Inputs!$C$5)*Inputs!$C$52*COS(SQRT((Model_Data!A179)^2+Inputs!$C$6^2)/Inputs!$C$52))-Inputs!$C$5)*1000/Inputs!$C$12)</x:f>
        <x:v>1264.3490478827257</x:v>
      </x:c>
      <x:c r="D179" s="9" t="n">
        <x:f>Model_Data!F179</x:f>
        <x:v>1262.09767644656</x:v>
      </x:c>
      <x:c r="E179" s="9" t="n">
        <x:f>Model_Data!AC179</x:f>
        <x:v>1119.085556794183</x:v>
      </x:c>
      <x:c r="F179" s="10"/>
      <x:c r="G179" s="9" t="n">
        <x:f>Model_Data!A179</x:f>
        <x:v>28.5</x:v>
      </x:c>
      <x:c r="H179" s="9" t="n">
        <x:f>Model_Data!Y179</x:f>
        <x:v>310.4659866511931</x:v>
      </x:c>
      <x:c r="I179" s="9" t="n">
        <x:f>Model_Data!Y179</x:f>
        <x:v>310.4659866511931</x:v>
      </x:c>
      <x:c r="J179" s="9" t="n">
        <x:f>Model_Data!X179</x:f>
        <x:v>53.72705851492565</x:v>
      </x:c>
      <x:c r="K179" s="9" t="n">
        <x:f>Model_Data!A179</x:f>
        <x:v>28.5</x:v>
      </x:c>
      <x:c r="L179" s="9" t="n">
        <x:f>Model_Data!Y179</x:f>
        <x:v>310.4659866511931</x:v>
      </x:c>
      <x:c r="M179" s="9" t="n">
        <x:f>Model_Data!X179</x:f>
        <x:v>53.72705851492565</x:v>
      </x:c>
      <x:c r="N179" s="9" t="n">
        <x:f>-(Model_Data!AC179-Model_Data!F179)*Inputs!$C$12</x:f>
        <x:v>254.56157298123088</x:v>
      </x:c>
      <x:c r="O179" s="10"/>
      <x:c r="P179" s="9" t="n">
        <x:f>Model_Data!A179</x:f>
        <x:v>28.5</x:v>
      </x:c>
      <x:c r="Q179" s="9" t="n">
        <x:f>Model_Data!P179</x:f>
        <x:v>-243.03262925423041</x:v>
      </x:c>
      <x:c r="R179" s="9" t="n">
        <x:f>Model_Data!AM179</x:f>
        <x:v>-287.9698524754531</x:v>
      </x:c>
      <x:c r="S179" s="9" t="n">
        <x:f>Model_Data!Q179</x:f>
        <x:v>-36.491385773908476</x:v>
      </x:c>
      <x:c r="T179" s="9" t="n">
        <x:f>Model_Data!AN179</x:f>
        <x:v>-43.23871658790587</x:v>
      </x:c>
      <x:c r="U179" s="10"/>
      <x:c r="V179" s="9" t="n">
        <x:f>Model_Data!A179</x:f>
        <x:v>28.5</x:v>
      </x:c>
      <x:c r="W179" s="9" t="n">
        <x:f>Model_Data!B179-Inputs!$C$5</x:f>
        <x:v>0.902499999999975</x:v>
      </x:c>
      <x:c r="X179" s="10"/>
      <x:c r="Y179" s="9" t="n">
        <x:f>Model_Data!A179</x:f>
        <x:v>28.5</x:v>
      </x:c>
      <x:c r="Z179" s="9" t="n">
        <x:f>0</x:f>
        <x:v>0</x:v>
      </x:c>
      <x:c r="AA179" s="9" t="n">
        <x:f>((SQRT((Inputs!$C$52+Inputs!$C$5)^2+Inputs!$C$52^2-2*(Inputs!$C$52+Inputs!$C$5)*Inputs!$C$52*COS(SQRT((Model_Data!A179)^2+Inputs!$C$6^2)/Inputs!$C$52))-Inputs!$C$5)*1000/Inputs!$C$12)</x:f>
        <x:v>1264.3490478827257</x:v>
      </x:c>
      <x:c r="AB179" s="9" t="n">
        <x:f>Model_Data!F179</x:f>
        <x:v>1262.09767644656</x:v>
      </x:c>
    </x:row>
    <x:row r="180">
      <x:c r="A180" s="9" t="n">
        <x:f>Model_Data!A180</x:f>
        <x:v>29</x:v>
      </x:c>
      <x:c r="B180" s="9" t="n">
        <x:f>0</x:f>
        <x:v>0</x:v>
      </x:c>
      <x:c r="C180" s="9" t="n">
        <x:f>((SQRT((Inputs!$C$52+Inputs!$C$5)^2+Inputs!$C$52^2-2*(Inputs!$C$52+Inputs!$C$5)*Inputs!$C$52*COS(SQRT((Model_Data!A180)^2+Inputs!$C$6^2)/Inputs!$C$52))-Inputs!$C$5)*1000/Inputs!$C$12)</x:f>
        <x:v>1289.5670044428514</x:v>
      </x:c>
      <x:c r="D180" s="9" t="n">
        <x:f>Model_Data!F180</x:f>
        <x:v>1287.1899372112048</x:v>
      </x:c>
      <x:c r="E180" s="9" t="n">
        <x:f>Model_Data!AC180</x:f>
        <x:v>1145.2861149607133</x:v>
      </x:c>
      <x:c r="F180" s="10"/>
      <x:c r="G180" s="9" t="n">
        <x:f>Model_Data!A180</x:f>
        <x:v>29</x:v>
      </x:c>
      <x:c r="H180" s="9" t="n">
        <x:f>Model_Data!Y180</x:f>
        <x:v>283.98171018669603</x:v>
      </x:c>
      <x:c r="I180" s="9" t="n">
        <x:f>Model_Data!Y180</x:f>
        <x:v>283.98171018669603</x:v>
      </x:c>
      <x:c r="J180" s="9" t="n">
        <x:f>Model_Data!X180</x:f>
        <x:v>29.362157595592716</x:v>
      </x:c>
      <x:c r="K180" s="9" t="n">
        <x:f>Model_Data!A180</x:f>
        <x:v>29</x:v>
      </x:c>
      <x:c r="L180" s="9" t="n">
        <x:f>Model_Data!Y180</x:f>
        <x:v>283.98171018669603</x:v>
      </x:c>
      <x:c r="M180" s="9" t="n">
        <x:f>Model_Data!X180</x:f>
        <x:v>29.362157595592716</x:v>
      </x:c>
      <x:c r="N180" s="9" t="n">
        <x:f>-(Model_Data!AC180-Model_Data!F180)*Inputs!$C$12</x:f>
        <x:v>252.58880360587474</x:v>
      </x:c>
      <x:c r="O180" s="10"/>
      <x:c r="P180" s="9" t="n">
        <x:f>Model_Data!A180</x:f>
        <x:v>29</x:v>
      </x:c>
      <x:c r="Q180" s="9" t="n">
        <x:f>Model_Data!P180</x:f>
        <x:v>-247.26197014497302</x:v>
      </x:c>
      <x:c r="R180" s="9" t="n">
        <x:f>Model_Data!AM180</x:f>
        <x:v>-321.95858402801605</x:v>
      </x:c>
      <x:c r="S180" s="9" t="n">
        <x:f>Model_Data!Q180</x:f>
        <x:v>-37.12642194368964</x:v>
      </x:c>
      <x:c r="T180" s="9" t="n">
        <x:f>Model_Data!AN180</x:f>
        <x:v>-48.342129733936346</x:v>
      </x:c>
      <x:c r="U180" s="10"/>
      <x:c r="V180" s="9" t="n">
        <x:f>Model_Data!A180</x:f>
        <x:v>29</x:v>
      </x:c>
      <x:c r="W180" s="9" t="n">
        <x:f>Model_Data!B180-Inputs!$C$5</x:f>
        <x:v>0.9344444444444662</x:v>
      </x:c>
      <x:c r="X180" s="10"/>
      <x:c r="Y180" s="9" t="n">
        <x:f>Model_Data!A180</x:f>
        <x:v>29</x:v>
      </x:c>
      <x:c r="Z180" s="9" t="n">
        <x:f>0</x:f>
        <x:v>0</x:v>
      </x:c>
      <x:c r="AA180" s="9" t="n">
        <x:f>((SQRT((Inputs!$C$52+Inputs!$C$5)^2+Inputs!$C$52^2-2*(Inputs!$C$52+Inputs!$C$5)*Inputs!$C$52*COS(SQRT((Model_Data!A180)^2+Inputs!$C$6^2)/Inputs!$C$52))-Inputs!$C$5)*1000/Inputs!$C$12)</x:f>
        <x:v>1289.5670044428514</x:v>
      </x:c>
      <x:c r="AB180" s="9" t="n">
        <x:f>Model_Data!F180</x:f>
        <x:v>1287.1899372112048</x:v>
      </x:c>
    </x:row>
    <x:row r="181">
      <x:c r="A181" s="9" t="n">
        <x:f>Model_Data!A181</x:f>
        <x:v>29.5</x:v>
      </x:c>
      <x:c r="B181" s="9" t="n">
        <x:f>0</x:f>
        <x:v>0</x:v>
      </x:c>
      <x:c r="C181" s="9" t="n">
        <x:f>((SQRT((Inputs!$C$52+Inputs!$C$5)^2+Inputs!$C$52^2-2*(Inputs!$C$52+Inputs!$C$5)*Inputs!$C$52*COS(SQRT((Model_Data!A181)^2+Inputs!$C$6^2)/Inputs!$C$52))-Inputs!$C$5)*1000/Inputs!$C$12)</x:f>
        <x:v>1315.2205959528692</x:v>
      </x:c>
      <x:c r="D181" s="9" t="n">
        <x:f>Model_Data!F181</x:f>
        <x:v>1312.7124443657435</x:v>
      </x:c>
      <x:c r="E181" s="9" t="n">
        <x:f>Model_Data!AC181</x:f>
        <x:v>1177.2307489554819</x:v>
      </x:c>
      <x:c r="F181" s="10"/>
      <x:c r="G181" s="9" t="n">
        <x:f>Model_Data!A181</x:f>
        <x:v>29.5</x:v>
      </x:c>
      <x:c r="H181" s="9" t="n">
        <x:f>Model_Data!Y181</x:f>
        <x:v>263.5246591496981</x:v>
      </x:c>
      <x:c r="I181" s="9" t="n">
        <x:f>Model_Data!Y181</x:f>
        <x:v>263.5246591496981</x:v>
      </x:c>
      <x:c r="J181" s="9" t="n">
        <x:f>Model_Data!X181</x:f>
        <x:v>20.4458299890095</x:v>
      </x:c>
      <x:c r="K181" s="9" t="n">
        <x:f>Model_Data!A181</x:f>
        <x:v>29.5</x:v>
      </x:c>
      <x:c r="L181" s="9" t="n">
        <x:f>Model_Data!Y181</x:f>
        <x:v>263.5246591496981</x:v>
      </x:c>
      <x:c r="M181" s="9" t="n">
        <x:f>Model_Data!X181</x:f>
        <x:v>20.4458299890095</x:v>
      </x:c>
      <x:c r="N181" s="9" t="n">
        <x:f>-(Model_Data!AC181-Model_Data!F181)*Inputs!$C$12</x:f>
        <x:v>241.15741783026573</x:v>
      </x:c>
      <x:c r="O181" s="10"/>
      <x:c r="P181" s="9" t="n">
        <x:f>Model_Data!A181</x:f>
        <x:v>29.5</x:v>
      </x:c>
      <x:c r="Q181" s="9" t="n">
        <x:f>Model_Data!P181</x:f>
        <x:v>-251.4895372385581</x:v>
      </x:c>
      <x:c r="R181" s="9" t="n">
        <x:f>Model_Data!AM181</x:f>
        <x:v>-292.2747079845067</x:v>
      </x:c>
      <x:c r="S181" s="9" t="n">
        <x:f>Model_Data!Q181</x:f>
        <x:v>-37.76119177756128</x:v>
      </x:c>
      <x:c r="T181" s="9" t="n">
        <x:f>Model_Data!AN181</x:f>
        <x:v>-43.88509128896497</x:v>
      </x:c>
      <x:c r="U181" s="10"/>
      <x:c r="V181" s="9" t="n">
        <x:f>Model_Data!A181</x:f>
        <x:v>29.5</x:v>
      </x:c>
      <x:c r="W181" s="9" t="n">
        <x:f>Model_Data!B181-Inputs!$C$5</x:f>
        <x:v>0.9669444444444366</x:v>
      </x:c>
      <x:c r="X181" s="10"/>
      <x:c r="Y181" s="9" t="n">
        <x:f>Model_Data!A181</x:f>
        <x:v>29.5</x:v>
      </x:c>
      <x:c r="Z181" s="9" t="n">
        <x:f>0</x:f>
        <x:v>0</x:v>
      </x:c>
      <x:c r="AA181" s="9" t="n">
        <x:f>((SQRT((Inputs!$C$52+Inputs!$C$5)^2+Inputs!$C$52^2-2*(Inputs!$C$52+Inputs!$C$5)*Inputs!$C$52*COS(SQRT((Model_Data!A181)^2+Inputs!$C$6^2)/Inputs!$C$52))-Inputs!$C$5)*1000/Inputs!$C$12)</x:f>
        <x:v>1315.2205959528692</x:v>
      </x:c>
      <x:c r="AB181" s="9" t="n">
        <x:f>Model_Data!F181</x:f>
        <x:v>1312.7124443657435</x:v>
      </x:c>
    </x:row>
    <x:row r="182">
      <x:c r="A182" s="9" t="n">
        <x:f>Model_Data!A182</x:f>
        <x:v>30</x:v>
      </x:c>
      <x:c r="B182" s="9" t="n">
        <x:f>0</x:f>
        <x:v>0</x:v>
      </x:c>
      <x:c r="C182" s="9" t="n">
        <x:f>((SQRT((Inputs!$C$52+Inputs!$C$5)^2+Inputs!$C$52^2-2*(Inputs!$C$52+Inputs!$C$5)*Inputs!$C$52*COS(SQRT((Model_Data!A182)^2+Inputs!$C$6^2)/Inputs!$C$52))-Inputs!$C$5)*1000/Inputs!$C$12)</x:f>
        <x:v>1341.3096714700305</x:v>
      </x:c>
      <x:c r="D182" s="9" t="n">
        <x:f>Model_Data!F182</x:f>
        <x:v>1338.6648839632076</x:v>
      </x:c>
      <x:c r="E182" s="9" t="n">
        <x:f>Model_Data!AC182</x:f>
        <x:v>1201.2597654401989</x:v>
      </x:c>
      <x:c r="F182" s="10"/>
      <x:c r="G182" s="9" t="n">
        <x:f>Model_Data!A182</x:f>
        <x:v>30</x:v>
      </x:c>
      <x:c r="H182" s="9" t="n">
        <x:f>Model_Data!Y182</x:f>
        <x:v>258.3810354027646</x:v>
      </x:c>
      <x:c r="I182" s="9" t="n">
        <x:f>Model_Data!Y182</x:f>
        <x:v>258.3810354027646</x:v>
      </x:c>
      <x:c r="J182" s="9" t="n">
        <x:f>Model_Data!X182</x:f>
        <x:v>11.879118514207924</x:v>
      </x:c>
      <x:c r="K182" s="9" t="n">
        <x:f>Model_Data!A182</x:f>
        <x:v>30</x:v>
      </x:c>
      <x:c r="L182" s="9" t="n">
        <x:f>Model_Data!Y182</x:f>
        <x:v>258.3810354027646</x:v>
      </x:c>
      <x:c r="M182" s="9" t="n">
        <x:f>Model_Data!X182</x:f>
        <x:v>11.879118514207924</x:v>
      </x:c>
      <x:c r="N182" s="9" t="n">
        <x:f>-(Model_Data!AC182-Model_Data!F182)*Inputs!$C$12</x:f>
        <x:v>244.58111097095548</x:v>
      </x:c>
      <x:c r="O182" s="10"/>
      <x:c r="P182" s="9" t="n">
        <x:f>Model_Data!A182</x:f>
        <x:v>30</x:v>
      </x:c>
      <x:c r="Q182" s="9" t="n">
        <x:f>Model_Data!P182</x:f>
        <x:v>-255.71530170509504</x:v>
      </x:c>
      <x:c r="R182" s="9" t="n">
        <x:f>Model_Data!AM182</x:f>
        <x:v>-293.2127943361593</x:v>
      </x:c>
      <x:c r="S182" s="9" t="n">
        <x:f>Model_Data!Q182</x:f>
        <x:v>-38.39569094671097</x:v>
      </x:c>
      <x:c r="T182" s="9" t="n">
        <x:f>Model_Data!AN182</x:f>
        <x:v>-44.02594509551942</x:v>
      </x:c>
      <x:c r="U182" s="10"/>
      <x:c r="V182" s="9" t="n">
        <x:f>Model_Data!A182</x:f>
        <x:v>30</x:v>
      </x:c>
      <x:c r="W182" s="9" t="n">
        <x:f>Model_Data!B182-Inputs!$C$5</x:f>
        <x:v>1</x:v>
      </x:c>
      <x:c r="X182" s="10"/>
      <x:c r="Y182" s="9" t="n">
        <x:f>Model_Data!A182</x:f>
        <x:v>30</x:v>
      </x:c>
      <x:c r="Z182" s="9" t="n">
        <x:f>0</x:f>
        <x:v>0</x:v>
      </x:c>
      <x:c r="AA182" s="9" t="n">
        <x:f>((SQRT((Inputs!$C$52+Inputs!$C$5)^2+Inputs!$C$52^2-2*(Inputs!$C$52+Inputs!$C$5)*Inputs!$C$52*COS(SQRT((Model_Data!A182)^2+Inputs!$C$6^2)/Inputs!$C$52))-Inputs!$C$5)*1000/Inputs!$C$12)</x:f>
        <x:v>1341.3096714700305</x:v>
      </x:c>
      <x:c r="AB182" s="9" t="n">
        <x:f>Model_Data!F182</x:f>
        <x:v>1338.6648839632076</x:v>
      </x:c>
    </x:row>
    <x:row r="183">
      <x:c r="A183" s="9" t="n">
        <x:f>Model_Data!A183</x:f>
        <x:v>30.5</x:v>
      </x:c>
      <x:c r="B183" s="9" t="n">
        <x:f>0</x:f>
        <x:v>0</x:v>
      </x:c>
      <x:c r="C183" s="9" t="n">
        <x:f>((SQRT((Inputs!$C$52+Inputs!$C$5)^2+Inputs!$C$52^2-2*(Inputs!$C$52+Inputs!$C$5)*Inputs!$C$52*COS(SQRT((Model_Data!A183)^2+Inputs!$C$6^2)/Inputs!$C$52))-Inputs!$C$5)*1000/Inputs!$C$12)</x:f>
        <x:v>1367.8340775619401</x:v>
      </x:c>
      <x:c r="D183" s="9" t="n">
        <x:f>Model_Data!F183</x:f>
        <x:v>1365.0469370056433</x:v>
      </x:c>
      <x:c r="E183" s="9" t="n">
        <x:f>Model_Data!AC183</x:f>
        <x:v>1233.652267725149</x:v>
      </x:c>
      <x:c r="F183" s="10"/>
      <x:c r="G183" s="9" t="n">
        <x:f>Model_Data!A183</x:f>
        <x:v>30.5</x:v>
      </x:c>
      <x:c r="H183" s="9" t="n">
        <x:f>Model_Data!Y183</x:f>
        <x:v>239.98613946224492</x:v>
      </x:c>
      <x:c r="I183" s="9" t="n">
        <x:f>Model_Data!Y183</x:f>
        <x:v>239.98613946224492</x:v>
      </x:c>
      <x:c r="J183" s="9" t="n">
        <x:f>Model_Data!X183</x:f>
        <x:v>4.284803604386864</x:v>
      </x:c>
      <x:c r="K183" s="9" t="n">
        <x:f>Model_Data!A183</x:f>
        <x:v>30.5</x:v>
      </x:c>
      <x:c r="L183" s="9" t="n">
        <x:f>Model_Data!Y183</x:f>
        <x:v>239.98613946224492</x:v>
      </x:c>
      <x:c r="M183" s="9" t="n">
        <x:f>Model_Data!X183</x:f>
        <x:v>4.284803604386864</x:v>
      </x:c>
      <x:c r="N183" s="9" t="n">
        <x:f>-(Model_Data!AC183-Model_Data!F183)*Inputs!$C$12</x:f>
        <x:v>233.8825113192799</x:v>
      </x:c>
      <x:c r="O183" s="10"/>
      <x:c r="P183" s="9" t="n">
        <x:f>Model_Data!A183</x:f>
        <x:v>30.5</x:v>
      </x:c>
      <x:c r="Q183" s="9" t="n">
        <x:f>Model_Data!P183</x:f>
        <x:v>-259.939234788817</x:v>
      </x:c>
      <x:c r="R183" s="9" t="n">
        <x:f>Model_Data!AM183</x:f>
        <x:v>-289.90851072876467</x:v>
      </x:c>
      <x:c r="S183" s="9" t="n">
        <x:f>Model_Data!Q183</x:f>
        <x:v>-39.02991513345601</x:v>
      </x:c>
      <x:c r="T183" s="9" t="n">
        <x:f>Model_Data!AN183</x:f>
        <x:v>-43.529806415730434</x:v>
      </x:c>
      <x:c r="U183" s="10"/>
      <x:c r="V183" s="9" t="n">
        <x:f>Model_Data!A183</x:f>
        <x:v>30.5</x:v>
      </x:c>
      <x:c r="W183" s="9" t="n">
        <x:f>Model_Data!B183-Inputs!$C$5</x:f>
        <x:v>1.0336111111110995</x:v>
      </x:c>
      <x:c r="X183" s="10"/>
      <x:c r="Y183" s="9" t="n">
        <x:f>Model_Data!A183</x:f>
        <x:v>30.5</x:v>
      </x:c>
      <x:c r="Z183" s="9" t="n">
        <x:f>0</x:f>
        <x:v>0</x:v>
      </x:c>
      <x:c r="AA183" s="9" t="n">
        <x:f>((SQRT((Inputs!$C$52+Inputs!$C$5)^2+Inputs!$C$52^2-2*(Inputs!$C$52+Inputs!$C$5)*Inputs!$C$52*COS(SQRT((Model_Data!A183)^2+Inputs!$C$6^2)/Inputs!$C$52))-Inputs!$C$5)*1000/Inputs!$C$12)</x:f>
        <x:v>1367.8340775619401</x:v>
      </x:c>
      <x:c r="AB183" s="9" t="n">
        <x:f>Model_Data!F183</x:f>
        <x:v>1365.0469370056433</x:v>
      </x:c>
    </x:row>
    <x:row r="184">
      <x:c r="A184" s="9" t="n">
        <x:f>Model_Data!A184</x:f>
        <x:v>31</x:v>
      </x:c>
      <x:c r="B184" s="9" t="n">
        <x:f>0</x:f>
        <x:v>0</x:v>
      </x:c>
      <x:c r="C184" s="9" t="n">
        <x:f>((SQRT((Inputs!$C$52+Inputs!$C$5)^2+Inputs!$C$52^2-2*(Inputs!$C$52+Inputs!$C$5)*Inputs!$C$52*COS(SQRT((Model_Data!A184)^2+Inputs!$C$6^2)/Inputs!$C$52))-Inputs!$C$5)*1000/Inputs!$C$12)</x:f>
        <x:v>1394.7936583071323</x:v>
      </x:c>
      <x:c r="D184" s="9" t="n">
        <x:f>Model_Data!F184</x:f>
        <x:v>1391.8582794492854</x:v>
      </x:c>
      <x:c r="E184" s="9" t="n">
        <x:f>Model_Data!AC184</x:f>
        <x:v>1268.8037272244458</x:v>
      </x:c>
      <x:c r="F184" s="10"/>
      <x:c r="G184" s="9" t="n">
        <x:f>Model_Data!A184</x:f>
        <x:v>31</x:v>
      </x:c>
      <x:c r="H184" s="9" t="n">
        <x:f>Model_Data!Y184</x:f>
        <x:v>239.58052305996605</x:v>
      </x:c>
      <x:c r="I184" s="9" t="n">
        <x:f>Model_Data!Y184</x:f>
        <x:v>239.58052305996605</x:v>
      </x:c>
      <x:c r="J184" s="9" t="n">
        <x:f>Model_Data!X184</x:f>
        <x:v>18.692329061381155</x:v>
      </x:c>
      <x:c r="K184" s="9" t="n">
        <x:f>Model_Data!A184</x:f>
        <x:v>31</x:v>
      </x:c>
      <x:c r="L184" s="9" t="n">
        <x:f>Model_Data!Y184</x:f>
        <x:v>239.58052305996605</x:v>
      </x:c>
      <x:c r="M184" s="9" t="n">
        <x:f>Model_Data!X184</x:f>
        <x:v>18.692329061381155</x:v>
      </x:c>
      <x:c r="N184" s="9" t="n">
        <x:f>-(Model_Data!AC184-Model_Data!F184)*Inputs!$C$12</x:f>
        <x:v>219.03710296021458</x:v>
      </x:c>
      <x:c r="O184" s="10"/>
      <x:c r="P184" s="9" t="n">
        <x:f>Model_Data!A184</x:f>
        <x:v>31</x:v>
      </x:c>
      <x:c r="Q184" s="9" t="n">
        <x:f>Model_Data!P184</x:f>
        <x:v>-264.16130781663014</x:v>
      </x:c>
      <x:c r="R184" s="9" t="n">
        <x:f>Model_Data!AM184</x:f>
        <x:v>-301.4594318800846</x:v>
      </x:c>
      <x:c r="S184" s="9" t="n">
        <x:f>Model_Data!Q184</x:f>
        <x:v>-39.663860032527054</x:v>
      </x:c>
      <x:c r="T184" s="9" t="n">
        <x:f>Model_Data!AN184</x:f>
        <x:v>-45.264178960973666</x:v>
      </x:c>
      <x:c r="U184" s="10"/>
      <x:c r="V184" s="9" t="n">
        <x:f>Model_Data!A184</x:f>
        <x:v>31</x:v>
      </x:c>
      <x:c r="W184" s="9" t="n">
        <x:f>Model_Data!B184-Inputs!$C$5</x:f>
        <x:v>1.067777777777792</x:v>
      </x:c>
      <x:c r="X184" s="10"/>
      <x:c r="Y184" s="9" t="n">
        <x:f>Model_Data!A184</x:f>
        <x:v>31</x:v>
      </x:c>
      <x:c r="Z184" s="9" t="n">
        <x:f>0</x:f>
        <x:v>0</x:v>
      </x:c>
      <x:c r="AA184" s="9" t="n">
        <x:f>((SQRT((Inputs!$C$52+Inputs!$C$5)^2+Inputs!$C$52^2-2*(Inputs!$C$52+Inputs!$C$5)*Inputs!$C$52*COS(SQRT((Model_Data!A184)^2+Inputs!$C$6^2)/Inputs!$C$52))-Inputs!$C$5)*1000/Inputs!$C$12)</x:f>
        <x:v>1394.7936583071323</x:v>
      </x:c>
      <x:c r="AB184" s="9" t="n">
        <x:f>Model_Data!F184</x:f>
        <x:v>1391.8582794492854</x:v>
      </x:c>
    </x:row>
    <x:row r="185">
      <x:c r="A185" s="9" t="n">
        <x:f>Model_Data!A185</x:f>
        <x:v>31.5</x:v>
      </x:c>
      <x:c r="B185" s="9" t="n">
        <x:f>0</x:f>
        <x:v>0</x:v>
      </x:c>
      <x:c r="C185" s="9" t="n">
        <x:f>((SQRT((Inputs!$C$52+Inputs!$C$5)^2+Inputs!$C$52^2-2*(Inputs!$C$52+Inputs!$C$5)*Inputs!$C$52*COS(SQRT((Model_Data!A185)^2+Inputs!$C$6^2)/Inputs!$C$52))-Inputs!$C$5)*1000/Inputs!$C$12)</x:f>
        <x:v>1422.1882553000517</x:v>
      </x:c>
      <x:c r="D185" s="9" t="n">
        <x:f>Model_Data!F185</x:f>
        <x:v>1419.0985822283808</x:v>
      </x:c>
      <x:c r="E185" s="9" t="n">
        <x:f>Model_Data!AC185</x:f>
        <x:v>1308.8310653148674</x:v>
      </x:c>
      <x:c r="F185" s="10"/>
      <x:c r="G185" s="9" t="n">
        <x:f>Model_Data!A185</x:f>
        <x:v>31.5</x:v>
      </x:c>
      <x:c r="H185" s="9" t="n">
        <x:f>Model_Data!Y185</x:f>
        <x:v>216.56157473369862</x:v>
      </x:c>
      <x:c r="I185" s="9" t="n">
        <x:f>Model_Data!Y185</x:f>
        <x:v>216.56157473369862</x:v>
      </x:c>
      <x:c r="J185" s="9" t="n">
        <x:f>Model_Data!X185</x:f>
        <x:v>18.579807279306877</x:v>
      </x:c>
      <x:c r="K185" s="9" t="n">
        <x:f>Model_Data!A185</x:f>
        <x:v>31.5</x:v>
      </x:c>
      <x:c r="L185" s="9" t="n">
        <x:f>Model_Data!Y185</x:f>
        <x:v>216.56157473369862</x:v>
      </x:c>
      <x:c r="M185" s="9" t="n">
        <x:f>Model_Data!X185</x:f>
        <x:v>18.579807279306877</x:v>
      </x:c>
      <x:c r="N185" s="9" t="n">
        <x:f>-(Model_Data!AC185-Model_Data!F185)*Inputs!$C$12</x:f>
        <x:v>196.27618010605389</x:v>
      </x:c>
      <x:c r="O185" s="10"/>
      <x:c r="P185" s="9" t="n">
        <x:f>Model_Data!A185</x:f>
        <x:v>31.5</x:v>
      </x:c>
      <x:c r="Q185" s="9" t="n">
        <x:f>Model_Data!P185</x:f>
        <x:v>-268.38149222203356</x:v>
      </x:c>
      <x:c r="R185" s="9" t="n">
        <x:f>Model_Data!AM185</x:f>
        <x:v>-295.7054253145543</x:v>
      </x:c>
      <x:c r="S185" s="9" t="n">
        <x:f>Model_Data!Q185</x:f>
        <x:v>-40.29752135465969</x:v>
      </x:c>
      <x:c r="T185" s="9" t="n">
        <x:f>Model_Data!AN185</x:f>
        <x:v>-44.40021401119434</x:v>
      </x:c>
      <x:c r="U185" s="10"/>
      <x:c r="V185" s="9" t="n">
        <x:f>Model_Data!A185</x:f>
        <x:v>31.5</x:v>
      </x:c>
      <x:c r="W185" s="9" t="n">
        <x:f>Model_Data!B185-Inputs!$C$5</x:f>
        <x:v>1.1025000000000205</x:v>
      </x:c>
      <x:c r="X185" s="10"/>
      <x:c r="Y185" s="9" t="n">
        <x:f>Model_Data!A185</x:f>
        <x:v>31.5</x:v>
      </x:c>
      <x:c r="Z185" s="9" t="n">
        <x:f>0</x:f>
        <x:v>0</x:v>
      </x:c>
      <x:c r="AA185" s="9" t="n">
        <x:f>((SQRT((Inputs!$C$52+Inputs!$C$5)^2+Inputs!$C$52^2-2*(Inputs!$C$52+Inputs!$C$5)*Inputs!$C$52*COS(SQRT((Model_Data!A185)^2+Inputs!$C$6^2)/Inputs!$C$52))-Inputs!$C$5)*1000/Inputs!$C$12)</x:f>
        <x:v>1422.1882553000517</x:v>
      </x:c>
      <x:c r="AB185" s="9" t="n">
        <x:f>Model_Data!F185</x:f>
        <x:v>1419.0985822283808</x:v>
      </x:c>
    </x:row>
    <x:row r="186">
      <x:c r="A186" s="9" t="n">
        <x:f>Model_Data!A186</x:f>
        <x:v>32</x:v>
      </x:c>
      <x:c r="B186" s="9" t="n">
        <x:f>0</x:f>
        <x:v>0</x:v>
      </x:c>
      <x:c r="C186" s="9" t="n">
        <x:f>((SQRT((Inputs!$C$52+Inputs!$C$5)^2+Inputs!$C$52^2-2*(Inputs!$C$52+Inputs!$C$5)*Inputs!$C$52*COS(SQRT((Model_Data!A186)^2+Inputs!$C$6^2)/Inputs!$C$52))-Inputs!$C$5)*1000/Inputs!$C$12)</x:f>
        <x:v>1450.017707656291</x:v>
      </x:c>
      <x:c r="D186" s="9" t="n">
        <x:f>Model_Data!F186</x:f>
        <x:v>1446.7675112688235</x:v>
      </x:c>
      <x:c r="E186" s="9" t="n">
        <x:f>Model_Data!AC186</x:f>
        <x:v>1322.0423396394713</x:v>
      </x:c>
      <x:c r="F186" s="10"/>
      <x:c r="G186" s="9" t="n">
        <x:f>Model_Data!A186</x:f>
        <x:v>32</x:v>
      </x:c>
      <x:c r="H186" s="9" t="n">
        <x:f>Model_Data!Y186</x:f>
        <x:v>222.43770342182788</x:v>
      </x:c>
      <x:c r="I186" s="9" t="n">
        <x:f>Model_Data!Y186</x:f>
        <x:v>222.43770342182788</x:v>
      </x:c>
      <x:c r="J186" s="9" t="n">
        <x:f>Model_Data!X186</x:f>
        <x:v>-1.3588316603362678</x:v>
      </x:c>
      <x:c r="K186" s="9" t="n">
        <x:f>Model_Data!A186</x:f>
        <x:v>32</x:v>
      </x:c>
      <x:c r="L186" s="9" t="n">
        <x:f>Model_Data!Y186</x:f>
        <x:v>222.43770342182788</x:v>
      </x:c>
      <x:c r="M186" s="9" t="n">
        <x:f>Model_Data!X186</x:f>
        <x:v>-1.3588316603362678</x:v>
      </x:c>
      <x:c r="N186" s="9" t="n">
        <x:f>-(Model_Data!AC186-Model_Data!F186)*Inputs!$C$12</x:f>
        <x:v>222.0108055002469</x:v>
      </x:c>
      <x:c r="O186" s="10"/>
      <x:c r="P186" s="9" t="n">
        <x:f>Model_Data!A186</x:f>
        <x:v>32</x:v>
      </x:c>
      <x:c r="Q186" s="9" t="n">
        <x:f>Model_Data!P186</x:f>
        <x:v>-272.599759519926</x:v>
      </x:c>
      <x:c r="R186" s="9" t="n">
        <x:f>Model_Data!AM186</x:f>
        <x:v>-254.59907467848097</x:v>
      </x:c>
      <x:c r="S186" s="9" t="n">
        <x:f>Model_Data!Q186</x:f>
        <x:v>-40.930894822811716</x:v>
      </x:c>
      <x:c r="T186" s="9" t="n">
        <x:f>Model_Data!AN186</x:f>
        <x:v>-38.22808929106321</x:v>
      </x:c>
      <x:c r="U186" s="10"/>
      <x:c r="V186" s="9" t="n">
        <x:f>Model_Data!A186</x:f>
        <x:v>32</x:v>
      </x:c>
      <x:c r="W186" s="9" t="n">
        <x:f>Model_Data!B186-Inputs!$C$5</x:f>
        <x:v>1.137777777777785</x:v>
      </x:c>
      <x:c r="X186" s="10"/>
      <x:c r="Y186" s="9" t="n">
        <x:f>Model_Data!A186</x:f>
        <x:v>32</x:v>
      </x:c>
      <x:c r="Z186" s="9" t="n">
        <x:f>0</x:f>
        <x:v>0</x:v>
      </x:c>
      <x:c r="AA186" s="9" t="n">
        <x:f>((SQRT((Inputs!$C$52+Inputs!$C$5)^2+Inputs!$C$52^2-2*(Inputs!$C$52+Inputs!$C$5)*Inputs!$C$52*COS(SQRT((Model_Data!A186)^2+Inputs!$C$6^2)/Inputs!$C$52))-Inputs!$C$5)*1000/Inputs!$C$12)</x:f>
        <x:v>1450.017707656291</x:v>
      </x:c>
      <x:c r="AB186" s="9" t="n">
        <x:f>Model_Data!F186</x:f>
        <x:v>1446.7675112688235</x:v>
      </x:c>
    </x:row>
    <x:row r="187">
      <x:c r="A187" s="9" t="n">
        <x:f>Model_Data!A187</x:f>
        <x:v>32.5</x:v>
      </x:c>
      <x:c r="B187" s="9" t="n">
        <x:f>0</x:f>
        <x:v>0</x:v>
      </x:c>
      <x:c r="C187" s="9" t="n">
        <x:f>((SQRT((Inputs!$C$52+Inputs!$C$5)^2+Inputs!$C$52^2-2*(Inputs!$C$52+Inputs!$C$5)*Inputs!$C$52*COS(SQRT((Model_Data!A187)^2+Inputs!$C$6^2)/Inputs!$C$52))-Inputs!$C$5)*1000/Inputs!$C$12)</x:f>
        <x:v>1478.281852017923</x:v>
      </x:c>
      <x:c r="D187" s="9" t="n">
        <x:f>Model_Data!F187</x:f>
        <x:v>1474.864727503037</x:v>
      </x:c>
      <x:c r="E187" s="9" t="n">
        <x:f>Model_Data!AC187</x:f>
        <x:v>1351.1233946981142</x:v>
      </x:c>
      <x:c r="F187" s="10"/>
      <x:c r="G187" s="9" t="n">
        <x:f>Model_Data!A187</x:f>
        <x:v>32.5</x:v>
      </x:c>
      <x:c r="H187" s="9" t="n">
        <x:f>Model_Data!Y187</x:f>
        <x:v>227.97180197677312</x:v>
      </x:c>
      <x:c r="I187" s="9" t="n">
        <x:f>Model_Data!Y187</x:f>
        <x:v>227.97180197677312</x:v>
      </x:c>
      <x:c r="J187" s="9" t="n">
        <x:f>Model_Data!X187</x:f>
        <x:v>5.846843018322446</x:v>
      </x:c>
      <x:c r="K187" s="9" t="n">
        <x:f>Model_Data!A187</x:f>
        <x:v>32.5</x:v>
      </x:c>
      <x:c r="L187" s="9" t="n">
        <x:f>Model_Data!Y187</x:f>
        <x:v>227.97180197677312</x:v>
      </x:c>
      <x:c r="M187" s="9" t="n">
        <x:f>Model_Data!X187</x:f>
        <x:v>5.846843018322446</x:v>
      </x:c>
      <x:c r="N187" s="9" t="n">
        <x:f>-(Model_Data!AC187-Model_Data!F187)*Inputs!$C$12</x:f>
        <x:v>220.25957239276272</x:v>
      </x:c>
      <x:c r="O187" s="10"/>
      <x:c r="P187" s="9" t="n">
        <x:f>Model_Data!A187</x:f>
        <x:v>32.5</x:v>
      </x:c>
      <x:c r="Q187" s="9" t="n">
        <x:f>Model_Data!P187</x:f>
        <x:v>-276.81608131206303</x:v>
      </x:c>
      <x:c r="R187" s="9" t="n">
        <x:f>Model_Data!AM187</x:f>
        <x:v>-271.14112996578115</x:v>
      </x:c>
      <x:c r="S187" s="9" t="n">
        <x:f>Model_Data!Q187</x:f>
        <x:v>-41.56397617298244</x:v>
      </x:c>
      <x:c r="T187" s="9" t="n">
        <x:f>Model_Data!AN187</x:f>
        <x:v>-40.71188137624342</x:v>
      </x:c>
      <x:c r="U187" s="10"/>
      <x:c r="V187" s="9" t="n">
        <x:f>Model_Data!A187</x:f>
        <x:v>32.5</x:v>
      </x:c>
      <x:c r="W187" s="9" t="n">
        <x:f>Model_Data!B187-Inputs!$C$5</x:f>
        <x:v>1.1736111111110858</x:v>
      </x:c>
      <x:c r="X187" s="10"/>
      <x:c r="Y187" s="9" t="n">
        <x:f>Model_Data!A187</x:f>
        <x:v>32.5</x:v>
      </x:c>
      <x:c r="Z187" s="9" t="n">
        <x:f>0</x:f>
        <x:v>0</x:v>
      </x:c>
      <x:c r="AA187" s="9" t="n">
        <x:f>((SQRT((Inputs!$C$52+Inputs!$C$5)^2+Inputs!$C$52^2-2*(Inputs!$C$52+Inputs!$C$5)*Inputs!$C$52*COS(SQRT((Model_Data!A187)^2+Inputs!$C$6^2)/Inputs!$C$52))-Inputs!$C$5)*1000/Inputs!$C$12)</x:f>
        <x:v>1478.281852017923</x:v>
      </x:c>
      <x:c r="AB187" s="9" t="n">
        <x:f>Model_Data!F187</x:f>
        <x:v>1474.864727503037</x:v>
      </x:c>
    </x:row>
    <x:row r="188">
      <x:c r="A188" s="9" t="n">
        <x:f>Model_Data!A188</x:f>
        <x:v>33</x:v>
      </x:c>
      <x:c r="B188" s="9" t="n">
        <x:f>0</x:f>
        <x:v>0</x:v>
      </x:c>
      <x:c r="C188" s="9" t="n">
        <x:f>((SQRT((Inputs!$C$52+Inputs!$C$5)^2+Inputs!$C$52^2-2*(Inputs!$C$52+Inputs!$C$5)*Inputs!$C$52*COS(SQRT((Model_Data!A188)^2+Inputs!$C$6^2)/Inputs!$C$52))-Inputs!$C$5)*1000/Inputs!$C$12)</x:f>
        <x:v>1506.9805225566647</x:v>
      </x:c>
      <x:c r="D188" s="9" t="n">
        <x:f>Model_Data!F188</x:f>
        <x:v>1503.3898868855904</x:v>
      </x:c>
      <x:c r="E188" s="9" t="n">
        <x:f>Model_Data!AC188</x:f>
        <x:v>1375.4072411425598</x:v>
      </x:c>
      <x:c r="F188" s="10"/>
      <x:c r="G188" s="9" t="n">
        <x:f>Model_Data!A188</x:f>
        <x:v>33</x:v>
      </x:c>
      <x:c r="H188" s="9" t="n">
        <x:f>Model_Data!Y188</x:f>
        <x:v>226.0841822180117</x:v>
      </x:c>
      <x:c r="I188" s="9" t="n">
        <x:f>Model_Data!Y188</x:f>
        <x:v>226.0841822180117</x:v>
      </x:c>
      <x:c r="J188" s="9" t="n">
        <x:f>Model_Data!X188</x:f>
        <x:v>-3.610290991247414</x:v>
      </x:c>
      <x:c r="K188" s="9" t="n">
        <x:f>Model_Data!A188</x:f>
        <x:v>33</x:v>
      </x:c>
      <x:c r="L188" s="9" t="n">
        <x:f>Model_Data!Y188</x:f>
        <x:v>226.0841822180117</x:v>
      </x:c>
      <x:c r="M188" s="9" t="n">
        <x:f>Model_Data!X188</x:f>
        <x:v>-3.610290991247414</x:v>
      </x:c>
      <x:c r="N188" s="9" t="n">
        <x:f>-(Model_Data!AC188-Model_Data!F188)*Inputs!$C$12</x:f>
        <x:v>227.8091094225945</x:v>
      </x:c>
      <x:c r="O188" s="10"/>
      <x:c r="P188" s="9" t="n">
        <x:f>Model_Data!A188</x:f>
        <x:v>33</x:v>
      </x:c>
      <x:c r="Q188" s="9" t="n">
        <x:f>Model_Data!P188</x:f>
        <x:v>-281.0304293043373</x:v>
      </x:c>
      <x:c r="R188" s="9" t="n">
        <x:f>Model_Data!AM188</x:f>
        <x:v>-283.8938267223057</x:v>
      </x:c>
      <x:c r="S188" s="9" t="n">
        <x:f>Model_Data!Q188</x:f>
        <x:v>-42.196761156807405</x:v>
      </x:c>
      <x:c r="T188" s="9" t="n">
        <x:f>Model_Data!AN188</x:f>
        <x:v>-42.62670070905491</x:v>
      </x:c>
      <x:c r="U188" s="10"/>
      <x:c r="V188" s="9" t="n">
        <x:f>Model_Data!A188</x:f>
        <x:v>33</x:v>
      </x:c>
      <x:c r="W188" s="9" t="n">
        <x:f>Model_Data!B188-Inputs!$C$5</x:f>
        <x:v>1.2099999999999795</x:v>
      </x:c>
      <x:c r="X188" s="10"/>
      <x:c r="Y188" s="9" t="n">
        <x:f>Model_Data!A188</x:f>
        <x:v>33</x:v>
      </x:c>
      <x:c r="Z188" s="9" t="n">
        <x:f>0</x:f>
        <x:v>0</x:v>
      </x:c>
      <x:c r="AA188" s="9" t="n">
        <x:f>((SQRT((Inputs!$C$52+Inputs!$C$5)^2+Inputs!$C$52^2-2*(Inputs!$C$52+Inputs!$C$5)*Inputs!$C$52*COS(SQRT((Model_Data!A188)^2+Inputs!$C$6^2)/Inputs!$C$52))-Inputs!$C$5)*1000/Inputs!$C$12)</x:f>
        <x:v>1506.9805225566647</x:v>
      </x:c>
      <x:c r="AB188" s="9" t="n">
        <x:f>Model_Data!F188</x:f>
        <x:v>1503.3898868855904</x:v>
      </x:c>
    </x:row>
    <x:row r="189">
      <x:c r="A189" s="9" t="n">
        <x:f>Model_Data!A189</x:f>
        <x:v>33.5</x:v>
      </x:c>
      <x:c r="B189" s="9" t="n">
        <x:f>0</x:f>
        <x:v>0</x:v>
      </x:c>
      <x:c r="C189" s="9" t="n">
        <x:f>((SQRT((Inputs!$C$52+Inputs!$C$5)^2+Inputs!$C$52^2-2*(Inputs!$C$52+Inputs!$C$5)*Inputs!$C$52*COS(SQRT((Model_Data!A189)^2+Inputs!$C$6^2)/Inputs!$C$52))-Inputs!$C$5)*1000/Inputs!$C$12)</x:f>
        <x:v>1536.1135509787923</x:v>
      </x:c>
      <x:c r="D189" s="9" t="n">
        <x:f>Model_Data!F189</x:f>
        <x:v>1532.3426404141778</x:v>
      </x:c>
      <x:c r="E189" s="9" t="n">
        <x:f>Model_Data!AC189</x:f>
        <x:v>1407.905893148992</x:v>
      </x:c>
      <x:c r="F189" s="10"/>
      <x:c r="G189" s="9" t="n">
        <x:f>Model_Data!A189</x:f>
        <x:v>33.5</x:v>
      </x:c>
      <x:c r="H189" s="9" t="n">
        <x:f>Model_Data!Y189</x:f>
        <x:v>226.23942491253771</x:v>
      </x:c>
      <x:c r="I189" s="9" t="n">
        <x:f>Model_Data!Y189</x:f>
        <x:v>226.23942491253771</x:v>
      </x:c>
      <x:c r="J189" s="9" t="n">
        <x:f>Model_Data!X189</x:f>
        <x:v>2.8193818928466783</x:v>
      </x:c>
      <x:c r="K189" s="9" t="n">
        <x:f>Model_Data!A189</x:f>
        <x:v>33.5</x:v>
      </x:c>
      <x:c r="L189" s="9" t="n">
        <x:f>Model_Data!Y189</x:f>
        <x:v>226.23942491253771</x:v>
      </x:c>
      <x:c r="M189" s="9" t="n">
        <x:f>Model_Data!X189</x:f>
        <x:v>2.8193818928466783</x:v>
      </x:c>
      <x:c r="N189" s="9" t="n">
        <x:f>-(Model_Data!AC189-Model_Data!F189)*Inputs!$C$12</x:f>
        <x:v>221.4974101320309</x:v>
      </x:c>
      <x:c r="O189" s="10"/>
      <x:c r="P189" s="9" t="n">
        <x:f>Model_Data!A189</x:f>
        <x:v>33.5</x:v>
      </x:c>
      <x:c r="Q189" s="9" t="n">
        <x:f>Model_Data!P189</x:f>
        <x:v>-285.24277529395476</x:v>
      </x:c>
      <x:c r="R189" s="9" t="n">
        <x:f>Model_Data!AM189</x:f>
        <x:v>-258.09890866003116</x:v>
      </x:c>
      <x:c r="S189" s="9" t="n">
        <x:f>Model_Data!Q189</x:f>
        <x:v>-42.82924553963285</x:v>
      </x:c>
      <x:c r="T189" s="9" t="n">
        <x:f>Model_Data!AN189</x:f>
        <x:v>-38.75358988889357</x:v>
      </x:c>
      <x:c r="U189" s="10"/>
      <x:c r="V189" s="9" t="n">
        <x:f>Model_Data!A189</x:f>
        <x:v>33.5</x:v>
      </x:c>
      <x:c r="W189" s="9" t="n">
        <x:f>Model_Data!B189-Inputs!$C$5</x:f>
        <x:v>1.2469444444444662</x:v>
      </x:c>
      <x:c r="X189" s="10"/>
      <x:c r="Y189" s="9" t="n">
        <x:f>Model_Data!A189</x:f>
        <x:v>33.5</x:v>
      </x:c>
      <x:c r="Z189" s="9" t="n">
        <x:f>0</x:f>
        <x:v>0</x:v>
      </x:c>
      <x:c r="AA189" s="9" t="n">
        <x:f>((SQRT((Inputs!$C$52+Inputs!$C$5)^2+Inputs!$C$52^2-2*(Inputs!$C$52+Inputs!$C$5)*Inputs!$C$52*COS(SQRT((Model_Data!A189)^2+Inputs!$C$6^2)/Inputs!$C$52))-Inputs!$C$5)*1000/Inputs!$C$12)</x:f>
        <x:v>1536.1135509787923</x:v>
      </x:c>
      <x:c r="AB189" s="9" t="n">
        <x:f>Model_Data!F189</x:f>
        <x:v>1532.3426404141778</x:v>
      </x:c>
    </x:row>
    <x:row r="190">
      <x:c r="A190" s="9" t="n">
        <x:f>Model_Data!A190</x:f>
        <x:v>34</x:v>
      </x:c>
      <x:c r="B190" s="9" t="n">
        <x:f>0</x:f>
        <x:v>0</x:v>
      </x:c>
      <x:c r="C190" s="9" t="n">
        <x:f>((SQRT((Inputs!$C$52+Inputs!$C$5)^2+Inputs!$C$52^2-2*(Inputs!$C$52+Inputs!$C$5)*Inputs!$C$52*COS(SQRT((Model_Data!A190)^2+Inputs!$C$6^2)/Inputs!$C$52))-Inputs!$C$5)*1000/Inputs!$C$12)</x:f>
        <x:v>1565.6807665318488</x:v>
      </x:c>
      <x:c r="D190" s="9" t="n">
        <x:f>Model_Data!F190</x:f>
        <x:v>1561.7226341407977</x:v>
      </x:c>
      <x:c r="E190" s="9" t="n">
        <x:f>Model_Data!AC190</x:f>
        <x:v>1431.800074093966</x:v>
      </x:c>
      <x:c r="F190" s="10"/>
      <x:c r="G190" s="9" t="n">
        <x:f>Model_Data!A190</x:f>
        <x:v>34</x:v>
      </x:c>
      <x:c r="H190" s="9" t="n">
        <x:f>Model_Data!Y190</x:f>
        <x:v>243.2704274883201</x:v>
      </x:c>
      <x:c r="I190" s="9" t="n">
        <x:f>Model_Data!Y190</x:f>
        <x:v>243.2704274883201</x:v>
      </x:c>
      <x:c r="J190" s="9" t="n">
        <x:f>Model_Data!X190</x:f>
        <x:v>9.90157819415245</x:v>
      </x:c>
      <x:c r="K190" s="9" t="n">
        <x:f>Model_Data!A190</x:f>
        <x:v>34</x:v>
      </x:c>
      <x:c r="L190" s="9" t="n">
        <x:f>Model_Data!Y190</x:f>
        <x:v>243.2704274883201</x:v>
      </x:c>
      <x:c r="M190" s="9" t="n">
        <x:f>Model_Data!X190</x:f>
        <x:v>9.90157819415245</x:v>
      </x:c>
      <x:c r="N190" s="9" t="n">
        <x:f>-(Model_Data!AC190-Model_Data!F190)*Inputs!$C$12</x:f>
        <x:v>231.26215688336038</x:v>
      </x:c>
      <x:c r="O190" s="10"/>
      <x:c r="P190" s="9" t="n">
        <x:f>Model_Data!A190</x:f>
        <x:v>34</x:v>
      </x:c>
      <x:c r="Q190" s="9" t="n">
        <x:f>Model_Data!P190</x:f>
        <x:v>-289.4530911666152</x:v>
      </x:c>
      <x:c r="R190" s="9" t="n">
        <x:f>Model_Data!AM190</x:f>
        <x:v>-253.7267367678396</x:v>
      </x:c>
      <x:c r="S190" s="9" t="n">
        <x:f>Model_Data!Q190</x:f>
        <x:v>-43.46142510009238</x:v>
      </x:c>
      <x:c r="T190" s="9" t="n">
        <x:f>Model_Data!AN190</x:f>
        <x:v>-38.097107622798745</x:v>
      </x:c>
      <x:c r="U190" s="10"/>
      <x:c r="V190" s="9" t="n">
        <x:f>Model_Data!A190</x:f>
        <x:v>34</x:v>
      </x:c>
      <x:c r="W190" s="9" t="n">
        <x:f>Model_Data!B190-Inputs!$C$5</x:f>
        <x:v>1.284444444444432</x:v>
      </x:c>
      <x:c r="X190" s="10"/>
      <x:c r="Y190" s="9" t="n">
        <x:f>Model_Data!A190</x:f>
        <x:v>34</x:v>
      </x:c>
      <x:c r="Z190" s="9" t="n">
        <x:f>0</x:f>
        <x:v>0</x:v>
      </x:c>
      <x:c r="AA190" s="9" t="n">
        <x:f>((SQRT((Inputs!$C$52+Inputs!$C$5)^2+Inputs!$C$52^2-2*(Inputs!$C$52+Inputs!$C$5)*Inputs!$C$52*COS(SQRT((Model_Data!A190)^2+Inputs!$C$6^2)/Inputs!$C$52))-Inputs!$C$5)*1000/Inputs!$C$12)</x:f>
        <x:v>1565.6807665318488</x:v>
      </x:c>
      <x:c r="AB190" s="9" t="n">
        <x:f>Model_Data!F190</x:f>
        <x:v>1561.7226341407977</x:v>
      </x:c>
    </x:row>
    <x:row r="191">
      <x:c r="A191" s="9" t="n">
        <x:f>Model_Data!A191</x:f>
        <x:v>34.5</x:v>
      </x:c>
      <x:c r="B191" s="9" t="n">
        <x:f>0</x:f>
        <x:v>0</x:v>
      </x:c>
      <x:c r="C191" s="9" t="n">
        <x:f>((SQRT((Inputs!$C$52+Inputs!$C$5)^2+Inputs!$C$52^2-2*(Inputs!$C$52+Inputs!$C$5)*Inputs!$C$52*COS(SQRT((Model_Data!A191)^2+Inputs!$C$6^2)/Inputs!$C$52))-Inputs!$C$5)*1000/Inputs!$C$12)</x:f>
        <x:v>1595.6819960061448</x:v>
      </x:c>
      <x:c r="D191" s="9" t="n">
        <x:f>Model_Data!F191</x:f>
        <x:v>1591.5295091914868</x:v>
      </x:c>
      <x:c r="E191" s="9" t="n">
        <x:f>Model_Data!AC191</x:f>
        <x:v>1465.4960413270337</x:v>
      </x:c>
      <x:c r="F191" s="10"/>
      <x:c r="G191" s="9" t="n">
        <x:f>Model_Data!A191</x:f>
        <x:v>34.5</x:v>
      </x:c>
      <x:c r="H191" s="9" t="n">
        <x:f>Model_Data!Y191</x:f>
        <x:v>248.8414359782273</x:v>
      </x:c>
      <x:c r="I191" s="9" t="n">
        <x:f>Model_Data!Y191</x:f>
        <x:v>248.8414359782273</x:v>
      </x:c>
      <x:c r="J191" s="9" t="n">
        <x:f>Model_Data!X191</x:f>
        <x:v>22.306190725387925</x:v>
      </x:c>
      <x:c r="K191" s="9" t="n">
        <x:f>Model_Data!A191</x:f>
        <x:v>34.5</x:v>
      </x:c>
      <x:c r="L191" s="9" t="n">
        <x:f>Model_Data!Y191</x:f>
        <x:v>248.8414359782273</x:v>
      </x:c>
      <x:c r="M191" s="9" t="n">
        <x:f>Model_Data!X191</x:f>
        <x:v>22.306190725387925</x:v>
      </x:c>
      <x:c r="N191" s="9" t="n">
        <x:f>-(Model_Data!AC191-Model_Data!F191)*Inputs!$C$12</x:f>
        <x:v>224.3395727987265</x:v>
      </x:c>
      <x:c r="O191" s="10"/>
      <x:c r="P191" s="9" t="n">
        <x:f>Model_Data!A191</x:f>
        <x:v>34.5</x:v>
      </x:c>
      <x:c r="Q191" s="9" t="n">
        <x:f>Model_Data!P191</x:f>
        <x:v>-293.66134891224647</x:v>
      </x:c>
      <x:c r="R191" s="9" t="n">
        <x:f>Model_Data!AM191</x:f>
        <x:v>-295.78985259904584</x:v>
      </x:c>
      <x:c r="S191" s="9" t="n">
        <x:f>Model_Data!Q191</x:f>
        <x:v>-44.09329563246944</x:v>
      </x:c>
      <x:c r="T191" s="9" t="n">
        <x:f>Model_Data!AN191</x:f>
        <x:v>-44.41289078063752</x:v>
      </x:c>
      <x:c r="U191" s="10"/>
      <x:c r="V191" s="9" t="n">
        <x:f>Model_Data!A191</x:f>
        <x:v>34.5</x:v>
      </x:c>
      <x:c r="W191" s="9" t="n">
        <x:f>Model_Data!B191-Inputs!$C$5</x:f>
        <x:v>1.322499999999991</x:v>
      </x:c>
      <x:c r="X191" s="10"/>
      <x:c r="Y191" s="9" t="n">
        <x:f>Model_Data!A191</x:f>
        <x:v>34.5</x:v>
      </x:c>
      <x:c r="Z191" s="9" t="n">
        <x:f>0</x:f>
        <x:v>0</x:v>
      </x:c>
      <x:c r="AA191" s="9" t="n">
        <x:f>((SQRT((Inputs!$C$52+Inputs!$C$5)^2+Inputs!$C$52^2-2*(Inputs!$C$52+Inputs!$C$5)*Inputs!$C$52*COS(SQRT((Model_Data!A191)^2+Inputs!$C$6^2)/Inputs!$C$52))-Inputs!$C$5)*1000/Inputs!$C$12)</x:f>
        <x:v>1595.6819960061448</x:v>
      </x:c>
      <x:c r="AB191" s="9" t="n">
        <x:f>Model_Data!F191</x:f>
        <x:v>1591.5295091914868</x:v>
      </x:c>
    </x:row>
    <x:row r="192">
      <x:c r="A192" s="9" t="n">
        <x:f>Model_Data!A192</x:f>
        <x:v>35</x:v>
      </x:c>
      <x:c r="B192" s="9" t="n">
        <x:f>0</x:f>
        <x:v>0</x:v>
      </x:c>
      <x:c r="C192" s="9" t="n">
        <x:f>((SQRT((Inputs!$C$52+Inputs!$C$5)^2+Inputs!$C$52^2-2*(Inputs!$C$52+Inputs!$C$5)*Inputs!$C$52*COS(SQRT((Model_Data!A192)^2+Inputs!$C$6^2)/Inputs!$C$52))-Inputs!$C$5)*1000/Inputs!$C$12)</x:f>
        <x:v>1626.1170637436685</x:v>
      </x:c>
      <x:c r="D192" s="9" t="n">
        <x:f>Model_Data!F192</x:f>
        <x:v>1621.7629017832137</x:v>
      </x:c>
      <x:c r="E192" s="9" t="n">
        <x:f>Model_Data!AC192</x:f>
        <x:v>1503.2744465409978</x:v>
      </x:c>
      <x:c r="F192" s="10"/>
      <x:c r="G192" s="9" t="n">
        <x:f>Model_Data!A192</x:f>
        <x:v>35</x:v>
      </x:c>
      <x:c r="H192" s="9" t="n">
        <x:f>Model_Data!Y192</x:f>
        <x:v>242.00890812042311</x:v>
      </x:c>
      <x:c r="I192" s="9" t="n">
        <x:f>Model_Data!Y192</x:f>
        <x:v>242.00890812042311</x:v>
      </x:c>
      <x:c r="J192" s="9" t="n">
        <x:f>Model_Data!X192</x:f>
        <x:v>28.92396994213728</x:v>
      </x:c>
      <x:c r="K192" s="9" t="n">
        <x:f>Model_Data!A192</x:f>
        <x:v>35</x:v>
      </x:c>
      <x:c r="L192" s="9" t="n">
        <x:f>Model_Data!Y192</x:f>
        <x:v>242.00890812042311</x:v>
      </x:c>
      <x:c r="M192" s="9" t="n">
        <x:f>Model_Data!X192</x:f>
        <x:v>28.92396994213728</x:v>
      </x:c>
      <x:c r="N192" s="9" t="n">
        <x:f>-(Model_Data!AC192-Model_Data!F192)*Inputs!$C$12</x:f>
        <x:v>210.90945033114426</x:v>
      </x:c>
      <x:c r="O192" s="10"/>
      <x:c r="P192" s="9" t="n">
        <x:f>Model_Data!A192</x:f>
        <x:v>35</x:v>
      </x:c>
      <x:c r="Q192" s="9" t="n">
        <x:f>Model_Data!P192</x:f>
        <x:v>-297.8675206210937</x:v>
      </x:c>
      <x:c r="R192" s="9" t="n">
        <x:f>Model_Data!AM192</x:f>
        <x:v>-307.8352331618589</x:v>
      </x:c>
      <x:c r="S192" s="9" t="n">
        <x:f>Model_Data!Q192</x:f>
        <x:v>-44.72485294611017</x:v>
      </x:c>
      <x:c r="T192" s="9" t="n">
        <x:f>Model_Data!AN192</x:f>
        <x:v>-46.2215064807596</x:v>
      </x:c>
      <x:c r="U192" s="10"/>
      <x:c r="V192" s="9" t="n">
        <x:f>Model_Data!A192</x:f>
        <x:v>35</x:v>
      </x:c>
      <x:c r="W192" s="9" t="n">
        <x:f>Model_Data!B192-Inputs!$C$5</x:f>
        <x:v>1.3611111111110858</x:v>
      </x:c>
      <x:c r="X192" s="10"/>
      <x:c r="Y192" s="9" t="n">
        <x:f>Model_Data!A192</x:f>
        <x:v>35</x:v>
      </x:c>
      <x:c r="Z192" s="9" t="n">
        <x:f>0</x:f>
        <x:v>0</x:v>
      </x:c>
      <x:c r="AA192" s="9" t="n">
        <x:f>((SQRT((Inputs!$C$52+Inputs!$C$5)^2+Inputs!$C$52^2-2*(Inputs!$C$52+Inputs!$C$5)*Inputs!$C$52*COS(SQRT((Model_Data!A192)^2+Inputs!$C$6^2)/Inputs!$C$52))-Inputs!$C$5)*1000/Inputs!$C$12)</x:f>
        <x:v>1626.1170637436685</x:v>
      </x:c>
      <x:c r="AB192" s="9" t="n">
        <x:f>Model_Data!F192</x:f>
        <x:v>1621.7629017832137</x:v>
      </x:c>
    </x:row>
    <x:row r="193">
      <x:c r="A193" s="9" t="n">
        <x:f>Model_Data!A193</x:f>
        <x:v>35.5</x:v>
      </x:c>
      <x:c r="B193" s="9" t="n">
        <x:f>0</x:f>
        <x:v>0</x:v>
      </x:c>
      <x:c r="C193" s="9" t="n">
        <x:f>((SQRT((Inputs!$C$52+Inputs!$C$5)^2+Inputs!$C$52^2-2*(Inputs!$C$52+Inputs!$C$5)*Inputs!$C$52*COS(SQRT((Model_Data!A193)^2+Inputs!$C$6^2)/Inputs!$C$52))-Inputs!$C$5)*1000/Inputs!$C$12)</x:f>
        <x:v>1656.9857916385645</x:v>
      </x:c>
      <x:c r="D193" s="9" t="n">
        <x:f>Model_Data!F193</x:f>
        <x:v>1652.4224432422736</x:v>
      </x:c>
      <x:c r="E193" s="9" t="n">
        <x:f>Model_Data!AC193</x:f>
        <x:v>1535.4627090121364</x:v>
      </x:c>
      <x:c r="F193" s="10"/>
      <x:c r="G193" s="9" t="n">
        <x:f>Model_Data!A193</x:f>
        <x:v>35.5</x:v>
      </x:c>
      <x:c r="H193" s="9" t="n">
        <x:f>Model_Data!Y193</x:f>
        <x:v>242.63788270086079</x:v>
      </x:c>
      <x:c r="I193" s="9" t="n">
        <x:f>Model_Data!Y193</x:f>
        <x:v>242.63788270086079</x:v>
      </x:c>
      <x:c r="J193" s="9" t="n">
        <x:f>Model_Data!X193</x:f>
        <x:v>32.227616256478356</x:v>
      </x:c>
      <x:c r="K193" s="9" t="n">
        <x:f>Model_Data!A193</x:f>
        <x:v>35.5</x:v>
      </x:c>
      <x:c r="L193" s="9" t="n">
        <x:f>Model_Data!Y193</x:f>
        <x:v>242.63788270086079</x:v>
      </x:c>
      <x:c r="M193" s="9" t="n">
        <x:f>Model_Data!X193</x:f>
        <x:v>32.227616256478356</x:v>
      </x:c>
      <x:c r="N193" s="9" t="n">
        <x:f>-(Model_Data!AC193-Model_Data!F193)*Inputs!$C$12</x:f>
        <x:v>208.18832692964423</x:v>
      </x:c>
      <x:c r="O193" s="10"/>
      <x:c r="P193" s="9" t="n">
        <x:f>Model_Data!A193</x:f>
        <x:v>35.5</x:v>
      </x:c>
      <x:c r="Q193" s="9" t="n">
        <x:f>Model_Data!P193</x:f>
        <x:v>-302.0715784808999</x:v>
      </x:c>
      <x:c r="R193" s="9" t="n">
        <x:f>Model_Data!AM193</x:f>
        <x:v>-286.6069943915136</x:v>
      </x:c>
      <x:c r="S193" s="9" t="n">
        <x:f>Model_Data!Q193</x:f>
        <x:v>-45.356092864999994</x:v>
      </x:c>
      <x:c r="T193" s="9" t="n">
        <x:f>Model_Data!AN193</x:f>
        <x:v>-43.03408324196901</x:v>
      </x:c>
      <x:c r="U193" s="10"/>
      <x:c r="V193" s="9" t="n">
        <x:f>Model_Data!A193</x:f>
        <x:v>35.5</x:v>
      </x:c>
      <x:c r="W193" s="9" t="n">
        <x:f>Model_Data!B193-Inputs!$C$5</x:f>
        <x:v>1.4002777777777737</x:v>
      </x:c>
      <x:c r="X193" s="10"/>
      <x:c r="Y193" s="9" t="n">
        <x:f>Model_Data!A193</x:f>
        <x:v>35.5</x:v>
      </x:c>
      <x:c r="Z193" s="9" t="n">
        <x:f>0</x:f>
        <x:v>0</x:v>
      </x:c>
      <x:c r="AA193" s="9" t="n">
        <x:f>((SQRT((Inputs!$C$52+Inputs!$C$5)^2+Inputs!$C$52^2-2*(Inputs!$C$52+Inputs!$C$5)*Inputs!$C$52*COS(SQRT((Model_Data!A193)^2+Inputs!$C$6^2)/Inputs!$C$52))-Inputs!$C$5)*1000/Inputs!$C$12)</x:f>
        <x:v>1656.9857916385645</x:v>
      </x:c>
      <x:c r="AB193" s="9" t="n">
        <x:f>Model_Data!F193</x:f>
        <x:v>1652.4224432422736</x:v>
      </x:c>
    </x:row>
    <x:row r="194">
      <x:c r="A194" s="9" t="n">
        <x:f>Model_Data!A194</x:f>
        <x:v>36</x:v>
      </x:c>
      <x:c r="B194" s="9" t="n">
        <x:f>0</x:f>
        <x:v>0</x:v>
      </x:c>
      <x:c r="C194" s="9" t="n">
        <x:f>((SQRT((Inputs!$C$52+Inputs!$C$5)^2+Inputs!$C$52^2-2*(Inputs!$C$52+Inputs!$C$5)*Inputs!$C$52*COS(SQRT((Model_Data!A194)^2+Inputs!$C$6^2)/Inputs!$C$52))-Inputs!$C$5)*1000/Inputs!$C$12)</x:f>
        <x:v>1688.2879991473199</x:v>
      </x:c>
      <x:c r="D194" s="9" t="n">
        <x:f>Model_Data!F194</x:f>
        <x:v>1683.507760020096</x:v>
      </x:c>
      <x:c r="E194" s="9" t="n">
        <x:f>Model_Data!AC194</x:f>
        <x:v>1568.8581820072843</x:v>
      </x:c>
      <x:c r="F194" s="10"/>
      <x:c r="G194" s="9" t="n">
        <x:f>Model_Data!A194</x:f>
        <x:v>36</x:v>
      </x:c>
      <x:c r="H194" s="9" t="n">
        <x:f>Model_Data!Y194</x:f>
        <x:v>251.8480330414438</x:v>
      </x:c>
      <x:c r="I194" s="9" t="n">
        <x:f>Model_Data!Y194</x:f>
        <x:v>251.8480330414438</x:v>
      </x:c>
      <x:c r="J194" s="9" t="n">
        <x:f>Model_Data!X194</x:f>
        <x:v>45.422536466318</x:v>
      </x:c>
      <x:c r="K194" s="9" t="n">
        <x:f>Model_Data!A194</x:f>
        <x:v>36</x:v>
      </x:c>
      <x:c r="L194" s="9" t="n">
        <x:f>Model_Data!Y194</x:f>
        <x:v>251.8480330414438</x:v>
      </x:c>
      <x:c r="M194" s="9" t="n">
        <x:f>Model_Data!X194</x:f>
        <x:v>45.422536466318</x:v>
      </x:c>
      <x:c r="N194" s="9" t="n">
        <x:f>-(Model_Data!AC194-Model_Data!F194)*Inputs!$C$12</x:f>
        <x:v>204.07624886280468</x:v>
      </x:c>
      <x:c r="O194" s="10"/>
      <x:c r="P194" s="9" t="n">
        <x:f>Model_Data!A194</x:f>
        <x:v>36</x:v>
      </x:c>
      <x:c r="Q194" s="9" t="n">
        <x:f>Model_Data!P194</x:f>
        <x:v>-306.2734947710851</x:v>
      </x:c>
      <x:c r="R194" s="9" t="n">
        <x:f>Model_Data!AM194</x:f>
        <x:v>-256.20808419480454</x:v>
      </x:c>
      <x:c r="S194" s="9" t="n">
        <x:f>Model_Data!Q194</x:f>
        <x:v>-45.987011226889656</x:v>
      </x:c>
      <x:c r="T194" s="9" t="n">
        <x:f>Model_Data!AN194</x:f>
        <x:v>-38.46968231153222</x:v>
      </x:c>
      <x:c r="U194" s="10"/>
      <x:c r="V194" s="9" t="n">
        <x:f>Model_Data!A194</x:f>
        <x:v>36</x:v>
      </x:c>
      <x:c r="W194" s="9" t="n">
        <x:f>Model_Data!B194-Inputs!$C$5</x:f>
        <x:v>1.4399999999999977</x:v>
      </x:c>
      <x:c r="X194" s="10"/>
      <x:c r="Y194" s="9" t="n">
        <x:f>Model_Data!A194</x:f>
        <x:v>36</x:v>
      </x:c>
      <x:c r="Z194" s="9" t="n">
        <x:f>0</x:f>
        <x:v>0</x:v>
      </x:c>
      <x:c r="AA194" s="9" t="n">
        <x:f>((SQRT((Inputs!$C$52+Inputs!$C$5)^2+Inputs!$C$52^2-2*(Inputs!$C$52+Inputs!$C$5)*Inputs!$C$52*COS(SQRT((Model_Data!A194)^2+Inputs!$C$6^2)/Inputs!$C$52))-Inputs!$C$5)*1000/Inputs!$C$12)</x:f>
        <x:v>1688.2879991473199</x:v>
      </x:c>
      <x:c r="AB194" s="9" t="n">
        <x:f>Model_Data!F194</x:f>
        <x:v>1683.507760020096</x:v>
      </x:c>
    </x:row>
    <x:row r="195">
      <x:c r="A195" s="9" t="n">
        <x:f>Model_Data!A195</x:f>
        <x:v>36.5</x:v>
      </x:c>
      <x:c r="B195" s="9" t="n">
        <x:f>0</x:f>
        <x:v>0</x:v>
      </x:c>
      <x:c r="C195" s="9" t="n">
        <x:f>((SQRT((Inputs!$C$52+Inputs!$C$5)^2+Inputs!$C$52^2-2*(Inputs!$C$52+Inputs!$C$5)*Inputs!$C$52*COS(SQRT((Model_Data!A195)^2+Inputs!$C$6^2)/Inputs!$C$52))-Inputs!$C$5)*1000/Inputs!$C$12)</x:f>
        <x:v>1720.0235032886708</x:v>
      </x:c>
      <x:c r="D195" s="9" t="n">
        <x:f>Model_Data!F195</x:f>
        <x:v>1715.0184737096579</x:v>
      </x:c>
      <x:c r="E195" s="9" t="n">
        <x:f>Model_Data!AC195</x:f>
        <x:v>1587.6450860711047</x:v>
      </x:c>
      <x:c r="F195" s="10"/>
      <x:c r="G195" s="9" t="n">
        <x:f>Model_Data!A195</x:f>
        <x:v>36.5</x:v>
      </x:c>
      <x:c r="H195" s="9" t="n">
        <x:f>Model_Data!Y195</x:f>
        <x:v>274.3131350022337</x:v>
      </x:c>
      <x:c r="I195" s="9" t="n">
        <x:f>Model_Data!Y195</x:f>
        <x:v>274.3131350022337</x:v>
      </x:c>
      <x:c r="J195" s="9" t="n">
        <x:f>Model_Data!X195</x:f>
        <x:v>44.98219479967033</x:v>
      </x:c>
      <x:c r="K195" s="9" t="n">
        <x:f>Model_Data!A195</x:f>
        <x:v>36.5</x:v>
      </x:c>
      <x:c r="L195" s="9" t="n">
        <x:f>Model_Data!Y195</x:f>
        <x:v>274.3131350022337</x:v>
      </x:c>
      <x:c r="M195" s="9" t="n">
        <x:f>Model_Data!X195</x:f>
        <x:v>44.98219479967033</x:v>
      </x:c>
      <x:c r="N195" s="9" t="n">
        <x:f>-(Model_Data!AC195-Model_Data!F195)*Inputs!$C$12</x:f>
        <x:v>226.7246299966246</x:v>
      </x:c>
      <x:c r="O195" s="10"/>
      <x:c r="P195" s="9" t="n">
        <x:f>Model_Data!A195</x:f>
        <x:v>36.5</x:v>
      </x:c>
      <x:c r="Q195" s="9" t="n">
        <x:f>Model_Data!P195</x:f>
        <x:v>-310.4732418857566</x:v>
      </x:c>
      <x:c r="R195" s="9" t="n">
        <x:f>Model_Data!AM195</x:f>
        <x:v>-270.33211644011317</x:v>
      </x:c>
      <x:c r="S195" s="9" t="n">
        <x:f>Model_Data!Q195</x:f>
        <x:v>-46.61760388675024</x:v>
      </x:c>
      <x:c r="T195" s="9" t="n">
        <x:f>Model_Data!AN195</x:f>
        <x:v>-40.59040787389087</x:v>
      </x:c>
      <x:c r="U195" s="10"/>
      <x:c r="V195" s="9" t="n">
        <x:f>Model_Data!A195</x:f>
        <x:v>36.5</x:v>
      </x:c>
      <x:c r="W195" s="9" t="n">
        <x:f>Model_Data!B195-Inputs!$C$5</x:f>
        <x:v>1.4802777777777578</x:v>
      </x:c>
      <x:c r="X195" s="10"/>
      <x:c r="Y195" s="9" t="n">
        <x:f>Model_Data!A195</x:f>
        <x:v>36.5</x:v>
      </x:c>
      <x:c r="Z195" s="9" t="n">
        <x:f>0</x:f>
        <x:v>0</x:v>
      </x:c>
      <x:c r="AA195" s="9" t="n">
        <x:f>((SQRT((Inputs!$C$52+Inputs!$C$5)^2+Inputs!$C$52^2-2*(Inputs!$C$52+Inputs!$C$5)*Inputs!$C$52*COS(SQRT((Model_Data!A195)^2+Inputs!$C$6^2)/Inputs!$C$52))-Inputs!$C$5)*1000/Inputs!$C$12)</x:f>
        <x:v>1720.0235032886708</x:v>
      </x:c>
      <x:c r="AB195" s="9" t="n">
        <x:f>Model_Data!F195</x:f>
        <x:v>1715.0184737096579</x:v>
      </x:c>
    </x:row>
    <x:row r="196">
      <x:c r="A196" s="9" t="n">
        <x:f>Model_Data!A196</x:f>
        <x:v>37</x:v>
      </x:c>
      <x:c r="B196" s="9" t="n">
        <x:f>0</x:f>
        <x:v>0</x:v>
      </x:c>
      <x:c r="C196" s="9" t="n">
        <x:f>((SQRT((Inputs!$C$52+Inputs!$C$5)^2+Inputs!$C$52^2-2*(Inputs!$C$52+Inputs!$C$5)*Inputs!$C$52*COS(SQRT((Model_Data!A196)^2+Inputs!$C$6^2)/Inputs!$C$52))-Inputs!$C$5)*1000/Inputs!$C$12)</x:f>
        <x:v>1752.1921186527331</x:v>
      </x:c>
      <x:c r="D196" s="9" t="n">
        <x:f>Model_Data!F196</x:f>
        <x:v>1746.9542010692446</x:v>
      </x:c>
      <x:c r="E196" s="9" t="n">
        <x:f>Model_Data!AC196</x:f>
        <x:v>1625.4789197829355</x:v>
      </x:c>
      <x:c r="F196" s="10"/>
      <x:c r="G196" s="9" t="n">
        <x:f>Model_Data!A196</x:f>
        <x:v>37</x:v>
      </x:c>
      <x:c r="H196" s="9" t="n">
        <x:f>Model_Data!Y196</x:f>
        <x:v>277.26991348245565</x:v>
      </x:c>
      <x:c r="I196" s="9" t="n">
        <x:f>Model_Data!Y196</x:f>
        <x:v>277.26991348245565</x:v>
      </x:c>
      <x:c r="J196" s="9" t="n">
        <x:f>Model_Data!X196</x:f>
        <x:v>58.36098804305038</x:v>
      </x:c>
      <x:c r="K196" s="9" t="n">
        <x:f>Model_Data!A196</x:f>
        <x:v>37</x:v>
      </x:c>
      <x:c r="L196" s="9" t="n">
        <x:f>Model_Data!Y196</x:f>
        <x:v>277.26991348245565</x:v>
      </x:c>
      <x:c r="M196" s="9" t="n">
        <x:f>Model_Data!X196</x:f>
        <x:v>58.36098804305038</x:v>
      </x:c>
      <x:c r="N196" s="9" t="n">
        <x:f>-(Model_Data!AC196-Model_Data!F196)*Inputs!$C$12</x:f>
        <x:v>216.2260006896303</x:v>
      </x:c>
      <x:c r="O196" s="10"/>
      <x:c r="P196" s="9" t="n">
        <x:f>Model_Data!A196</x:f>
        <x:v>37</x:v>
      </x:c>
      <x:c r="Q196" s="9" t="n">
        <x:f>Model_Data!P196</x:f>
        <x:v>-314.6707923143367</x:v>
      </x:c>
      <x:c r="R196" s="9" t="n">
        <x:f>Model_Data!AM196</x:f>
        <x:v>-304.7320025682893</x:v>
      </x:c>
      <x:c r="S196" s="9" t="n">
        <x:f>Model_Data!Q196</x:f>
        <x:v>-47.247866713864376</x:v>
      </x:c>
      <x:c r="T196" s="9" t="n">
        <x:f>Model_Data!AN196</x:f>
        <x:v>-45.75555594118459</x:v>
      </x:c>
      <x:c r="U196" s="10"/>
      <x:c r="V196" s="9" t="n">
        <x:f>Model_Data!A196</x:f>
        <x:v>37</x:v>
      </x:c>
      <x:c r="W196" s="9" t="n">
        <x:f>Model_Data!B196-Inputs!$C$5</x:f>
        <x:v>1.5211111111111109</x:v>
      </x:c>
      <x:c r="X196" s="10"/>
      <x:c r="Y196" s="9" t="n">
        <x:f>Model_Data!A196</x:f>
        <x:v>37</x:v>
      </x:c>
      <x:c r="Z196" s="9" t="n">
        <x:f>0</x:f>
        <x:v>0</x:v>
      </x:c>
      <x:c r="AA196" s="9" t="n">
        <x:f>((SQRT((Inputs!$C$52+Inputs!$C$5)^2+Inputs!$C$52^2-2*(Inputs!$C$52+Inputs!$C$5)*Inputs!$C$52*COS(SQRT((Model_Data!A196)^2+Inputs!$C$6^2)/Inputs!$C$52))-Inputs!$C$5)*1000/Inputs!$C$12)</x:f>
        <x:v>1752.1921186527331</x:v>
      </x:c>
      <x:c r="AB196" s="9" t="n">
        <x:f>Model_Data!F196</x:f>
        <x:v>1746.9542010692446</x:v>
      </x:c>
    </x:row>
    <x:row r="197">
      <x:c r="A197" s="9" t="n">
        <x:f>Model_Data!A197</x:f>
        <x:v>37.5</x:v>
      </x:c>
      <x:c r="B197" s="9" t="n">
        <x:f>0</x:f>
        <x:v>0</x:v>
      </x:c>
      <x:c r="C197" s="9" t="n">
        <x:f>((SQRT((Inputs!$C$52+Inputs!$C$5)^2+Inputs!$C$52^2-2*(Inputs!$C$52+Inputs!$C$5)*Inputs!$C$52*COS(SQRT((Model_Data!A197)^2+Inputs!$C$6^2)/Inputs!$C$52))-Inputs!$C$5)*1000/Inputs!$C$12)</x:f>
        <x:v>1784.7936574050277</x:v>
      </x:c>
      <x:c r="D197" s="9" t="n">
        <x:f>Model_Data!F197</x:f>
        <x:v>1779.3145540322525</x:v>
      </x:c>
      <x:c r="E197" s="9" t="n">
        <x:f>Model_Data!AC197</x:f>
        <x:v>1654.6867542325188</x:v>
      </x:c>
      <x:c r="F197" s="10"/>
      <x:c r="G197" s="9" t="n">
        <x:f>Model_Data!A197</x:f>
        <x:v>37.5</x:v>
      </x:c>
      <x:c r="H197" s="9" t="n">
        <x:f>Model_Data!Y197</x:f>
        <x:v>280.6842863692354</x:v>
      </x:c>
      <x:c r="I197" s="9" t="n">
        <x:f>Model_Data!Y197</x:f>
        <x:v>280.6842863692354</x:v>
      </x:c>
      <x:c r="J197" s="9" t="n">
        <x:f>Model_Data!X197</x:f>
        <x:v>56.08108474403666</x:v>
      </x:c>
      <x:c r="K197" s="9" t="n">
        <x:f>Model_Data!A197</x:f>
        <x:v>37.5</x:v>
      </x:c>
      <x:c r="L197" s="9" t="n">
        <x:f>Model_Data!Y197</x:f>
        <x:v>280.6842863692354</x:v>
      </x:c>
      <x:c r="M197" s="9" t="n">
        <x:f>Model_Data!X197</x:f>
        <x:v>56.08108474403666</x:v>
      </x:c>
      <x:c r="N197" s="9" t="n">
        <x:f>-(Model_Data!AC197-Model_Data!F197)*Inputs!$C$12</x:f>
        <x:v>221.83748364352616</x:v>
      </x:c>
      <x:c r="O197" s="10"/>
      <x:c r="P197" s="9" t="n">
        <x:f>Model_Data!A197</x:f>
        <x:v>37.5</x:v>
      </x:c>
      <x:c r="Q197" s="9" t="n">
        <x:f>Model_Data!P197</x:f>
        <x:v>-318.8661186490208</x:v>
      </x:c>
      <x:c r="R197" s="9" t="n">
        <x:f>Model_Data!AM197</x:f>
        <x:v>-310.94330885744057</x:v>
      </x:c>
      <x:c r="S197" s="9" t="n">
        <x:f>Model_Data!Q197</x:f>
        <x:v>-47.87779559294607</x:v>
      </x:c>
      <x:c r="T197" s="9" t="n">
        <x:f>Model_Data!AN197</x:f>
        <x:v>-46.688184513129215</x:v>
      </x:c>
      <x:c r="U197" s="10"/>
      <x:c r="V197" s="9" t="n">
        <x:f>Model_Data!A197</x:f>
        <x:v>37.5</x:v>
      </x:c>
      <x:c r="W197" s="9" t="n">
        <x:f>Model_Data!B197-Inputs!$C$5</x:f>
        <x:v>1.5625</x:v>
      </x:c>
      <x:c r="X197" s="10"/>
      <x:c r="Y197" s="9" t="n">
        <x:f>Model_Data!A197</x:f>
        <x:v>37.5</x:v>
      </x:c>
      <x:c r="Z197" s="9" t="n">
        <x:f>0</x:f>
        <x:v>0</x:v>
      </x:c>
      <x:c r="AA197" s="9" t="n">
        <x:f>((SQRT((Inputs!$C$52+Inputs!$C$5)^2+Inputs!$C$52^2-2*(Inputs!$C$52+Inputs!$C$5)*Inputs!$C$52*COS(SQRT((Model_Data!A197)^2+Inputs!$C$6^2)/Inputs!$C$52))-Inputs!$C$5)*1000/Inputs!$C$12)</x:f>
        <x:v>1784.7936574050277</x:v>
      </x:c>
      <x:c r="AB197" s="9" t="n">
        <x:f>Model_Data!F197</x:f>
        <x:v>1779.3145540322525</x:v>
      </x:c>
    </x:row>
    <x:row r="198">
      <x:c r="A198" s="9" t="n">
        <x:f>Model_Data!A198</x:f>
        <x:v>38</x:v>
      </x:c>
      <x:c r="B198" s="9" t="n">
        <x:f>0</x:f>
        <x:v>0</x:v>
      </x:c>
      <x:c r="C198" s="9" t="n">
        <x:f>((SQRT((Inputs!$C$52+Inputs!$C$5)^2+Inputs!$C$52^2-2*(Inputs!$C$52+Inputs!$C$5)*Inputs!$C$52*COS(SQRT((Model_Data!A198)^2+Inputs!$C$6^2)/Inputs!$C$52))-Inputs!$C$5)*1000/Inputs!$C$12)</x:f>
        <x:v>1817.8279292902807</x:v>
      </x:c>
      <x:c r="D198" s="9" t="n">
        <x:f>Model_Data!F198</x:f>
        <x:v>1812.0991397334715</x:v>
      </x:c>
      <x:c r="E198" s="9" t="n">
        <x:f>Model_Data!AC198</x:f>
        <x:v>1697.1287035508037</x:v>
      </x:c>
      <x:c r="F198" s="10"/>
      <x:c r="G198" s="9" t="n">
        <x:f>Model_Data!A198</x:f>
        <x:v>38</x:v>
      </x:c>
      <x:c r="H198" s="9" t="n">
        <x:f>Model_Data!Y198</x:f>
        <x:v>282.3717678695042</x:v>
      </x:c>
      <x:c r="I198" s="9" t="n">
        <x:f>Model_Data!Y198</x:f>
        <x:v>282.3717678695042</x:v>
      </x:c>
      <x:c r="J198" s="9" t="n">
        <x:f>Model_Data!X198</x:f>
        <x:v>74.89136844725374</x:v>
      </x:c>
      <x:c r="K198" s="9" t="n">
        <x:f>Model_Data!A198</x:f>
        <x:v>38</x:v>
      </x:c>
      <x:c r="L198" s="9" t="n">
        <x:f>Model_Data!Y198</x:f>
        <x:v>282.3717678695042</x:v>
      </x:c>
      <x:c r="M198" s="9" t="n">
        <x:f>Model_Data!X198</x:f>
        <x:v>74.89136844725374</x:v>
      </x:c>
      <x:c r="N198" s="9" t="n">
        <x:f>-(Model_Data!AC198-Model_Data!F198)*Inputs!$C$12</x:f>
        <x:v>204.6473764051486</x:v>
      </x:c>
      <x:c r="O198" s="10"/>
      <x:c r="P198" s="9" t="n">
        <x:f>Model_Data!A198</x:f>
        <x:v>38</x:v>
      </x:c>
      <x:c r="Q198" s="9" t="n">
        <x:f>Model_Data!P198</x:f>
        <x:v>-323.0591935966004</x:v>
      </x:c>
      <x:c r="R198" s="9" t="n">
        <x:f>Model_Data!AM198</x:f>
        <x:v>-274.9239634749756</x:v>
      </x:c>
      <x:c r="S198" s="9" t="n">
        <x:f>Model_Data!Q198</x:f>
        <x:v>-48.507386425915975</x:v>
      </x:c>
      <x:c r="T198" s="9" t="n">
        <x:f>Model_Data!AN198</x:f>
        <x:v>-41.27987439564199</x:v>
      </x:c>
      <x:c r="U198" s="10"/>
      <x:c r="V198" s="9" t="n">
        <x:f>Model_Data!A198</x:f>
        <x:v>38</x:v>
      </x:c>
      <x:c r="W198" s="9" t="n">
        <x:f>Model_Data!B198-Inputs!$C$5</x:f>
        <x:v>1.6044444444444252</x:v>
      </x:c>
      <x:c r="X198" s="10"/>
      <x:c r="Y198" s="9" t="n">
        <x:f>Model_Data!A198</x:f>
        <x:v>38</x:v>
      </x:c>
      <x:c r="Z198" s="9" t="n">
        <x:f>0</x:f>
        <x:v>0</x:v>
      </x:c>
      <x:c r="AA198" s="9" t="n">
        <x:f>((SQRT((Inputs!$C$52+Inputs!$C$5)^2+Inputs!$C$52^2-2*(Inputs!$C$52+Inputs!$C$5)*Inputs!$C$52*COS(SQRT((Model_Data!A198)^2+Inputs!$C$6^2)/Inputs!$C$52))-Inputs!$C$5)*1000/Inputs!$C$12)</x:f>
        <x:v>1817.8279292902807</x:v>
      </x:c>
      <x:c r="AB198" s="9" t="n">
        <x:f>Model_Data!F198</x:f>
        <x:v>1812.0991397334715</x:v>
      </x:c>
    </x:row>
    <x:row r="199">
      <x:c r="A199" s="9" t="n">
        <x:f>Model_Data!A199</x:f>
        <x:v>38.5</x:v>
      </x:c>
      <x:c r="B199" s="9" t="n">
        <x:f>0</x:f>
        <x:v>0</x:v>
      </x:c>
      <x:c r="C199" s="9" t="n">
        <x:f>((SQRT((Inputs!$C$52+Inputs!$C$5)^2+Inputs!$C$52^2-2*(Inputs!$C$52+Inputs!$C$5)*Inputs!$C$52*COS(SQRT((Model_Data!A199)^2+Inputs!$C$6^2)/Inputs!$C$52))-Inputs!$C$5)*1000/Inputs!$C$12)</x:f>
        <x:v>1851.2947416406298</x:v>
      </x:c>
      <x:c r="D199" s="9" t="n">
        <x:f>Model_Data!F199</x:f>
        <x:v>1845.3075605229446</x:v>
      </x:c>
      <x:c r="E199" s="9" t="n">
        <x:f>Model_Data!AC199</x:f>
        <x:v>1717.9066332410525</x:v>
      </x:c>
      <x:c r="F199" s="10"/>
      <x:c r="G199" s="9" t="n">
        <x:f>Model_Data!A199</x:f>
        <x:v>38.5</x:v>
      </x:c>
      <x:c r="H199" s="9" t="n">
        <x:f>Model_Data!Y199</x:f>
        <x:v>311.18191933727104</x:v>
      </x:c>
      <x:c r="I199" s="9" t="n">
        <x:f>Model_Data!Y199</x:f>
        <x:v>311.18191933727104</x:v>
      </x:c>
      <x:c r="J199" s="9" t="n">
        <x:f>Model_Data!X199</x:f>
        <x:v>81.22943665181958</x:v>
      </x:c>
      <x:c r="K199" s="9" t="n">
        <x:f>Model_Data!A199</x:f>
        <x:v>38.5</x:v>
      </x:c>
      <x:c r="L199" s="9" t="n">
        <x:f>Model_Data!Y199</x:f>
        <x:v>311.18191933727104</x:v>
      </x:c>
      <x:c r="M199" s="9" t="n">
        <x:f>Model_Data!X199</x:f>
        <x:v>81.22943665181958</x:v>
      </x:c>
      <x:c r="N199" s="9" t="n">
        <x:f>-(Model_Data!AC199-Model_Data!F199)*Inputs!$C$12</x:f>
        <x:v>226.77365056176797</x:v>
      </x:c>
      <x:c r="O199" s="10"/>
      <x:c r="P199" s="9" t="n">
        <x:f>Model_Data!A199</x:f>
        <x:v>38.5</x:v>
      </x:c>
      <x:c r="Q199" s="9" t="n">
        <x:f>Model_Data!P199</x:f>
        <x:v>-327.2499899624563</x:v>
      </x:c>
      <x:c r="R199" s="9" t="n">
        <x:f>Model_Data!AM199</x:f>
        <x:v>-295.00116253339</x:v>
      </x:c>
      <x:c r="S199" s="9" t="n">
        <x:f>Model_Data!Q199</x:f>
        <x:v>-49.13663512949795</x:v>
      </x:c>
      <x:c r="T199" s="9" t="n">
        <x:f>Model_Data!AN199</x:f>
        <x:v>-44.29446884885736</x:v>
      </x:c>
      <x:c r="U199" s="10"/>
      <x:c r="V199" s="9" t="n">
        <x:f>Model_Data!A199</x:f>
        <x:v>38.5</x:v>
      </x:c>
      <x:c r="W199" s="9" t="n">
        <x:f>Model_Data!B199-Inputs!$C$5</x:f>
        <x:v>1.6469444444444434</x:v>
      </x:c>
      <x:c r="X199" s="10"/>
      <x:c r="Y199" s="9" t="n">
        <x:f>Model_Data!A199</x:f>
        <x:v>38.5</x:v>
      </x:c>
      <x:c r="Z199" s="9" t="n">
        <x:f>0</x:f>
        <x:v>0</x:v>
      </x:c>
      <x:c r="AA199" s="9" t="n">
        <x:f>((SQRT((Inputs!$C$52+Inputs!$C$5)^2+Inputs!$C$52^2-2*(Inputs!$C$52+Inputs!$C$5)*Inputs!$C$52*COS(SQRT((Model_Data!A199)^2+Inputs!$C$6^2)/Inputs!$C$52))-Inputs!$C$5)*1000/Inputs!$C$12)</x:f>
        <x:v>1851.2947416406298</x:v>
      </x:c>
      <x:c r="AB199" s="9" t="n">
        <x:f>Model_Data!F199</x:f>
        <x:v>1845.3075605229446</x:v>
      </x:c>
    </x:row>
    <x:row r="200">
      <x:c r="A200" s="9" t="n">
        <x:f>Model_Data!A200</x:f>
        <x:v>39</x:v>
      </x:c>
      <x:c r="B200" s="9" t="n">
        <x:f>0</x:f>
        <x:v>0</x:v>
      </x:c>
      <x:c r="C200" s="9" t="n">
        <x:f>((SQRT((Inputs!$C$52+Inputs!$C$5)^2+Inputs!$C$52^2-2*(Inputs!$C$52+Inputs!$C$5)*Inputs!$C$52*COS(SQRT((Model_Data!A200)^2+Inputs!$C$6^2)/Inputs!$C$52))-Inputs!$C$5)*1000/Inputs!$C$12)</x:f>
        <x:v>1885.1938993782433</x:v>
      </x:c>
      <x:c r="D200" s="9" t="n">
        <x:f>Model_Data!F200</x:f>
        <x:v>1878.9394139868214</x:v>
      </x:c>
      <x:c r="E200" s="9" t="n">
        <x:f>Model_Data!AC200</x:f>
        <x:v>1757.064950521521</x:v>
      </x:c>
      <x:c r="F200" s="10"/>
      <x:c r="G200" s="9" t="n">
        <x:f>Model_Data!A200</x:f>
        <x:v>39</x:v>
      </x:c>
      <x:c r="H200" s="9" t="n">
        <x:f>Model_Data!Y200</x:f>
        <x:v>302.8435496777789</x:v>
      </x:c>
      <x:c r="I200" s="9" t="n">
        <x:f>Model_Data!Y200</x:f>
        <x:v>302.8435496777789</x:v>
      </x:c>
      <x:c r="J200" s="9" t="n">
        <x:f>Model_Data!X200</x:f>
        <x:v>82.75771702731363</x:v>
      </x:c>
      <x:c r="K200" s="9" t="n">
        <x:f>Model_Data!A200</x:f>
        <x:v>39</x:v>
      </x:c>
      <x:c r="L200" s="9" t="n">
        <x:f>Model_Data!Y200</x:f>
        <x:v>302.8435496777789</x:v>
      </x:c>
      <x:c r="M200" s="9" t="n">
        <x:f>Model_Data!X200</x:f>
        <x:v>82.75771702731363</x:v>
      </x:c>
      <x:c r="N200" s="9" t="n">
        <x:f>-(Model_Data!AC200-Model_Data!F200)*Inputs!$C$12</x:f>
        <x:v>216.93654496823459</x:v>
      </x:c>
      <x:c r="O200" s="10"/>
      <x:c r="P200" s="9" t="n">
        <x:f>Model_Data!A200</x:f>
        <x:v>39</x:v>
      </x:c>
      <x:c r="Q200" s="9" t="n">
        <x:f>Model_Data!P200</x:f>
        <x:v>-331.4384806597445</x:v>
      </x:c>
      <x:c r="R200" s="9" t="n">
        <x:f>Model_Data!AM200</x:f>
        <x:v>-351.0190914843406</x:v>
      </x:c>
      <x:c r="S200" s="9" t="n">
        <x:f>Model_Data!Q200</x:f>
        <x:v>-49.76553763659828</x:v>
      </x:c>
      <x:c r="T200" s="9" t="n">
        <x:f>Model_Data!AN200</x:f>
        <x:v>-52.705569291943036</x:v>
      </x:c>
      <x:c r="U200" s="10"/>
      <x:c r="V200" s="9" t="n">
        <x:f>Model_Data!A200</x:f>
        <x:v>39</x:v>
      </x:c>
      <x:c r="W200" s="9" t="n">
        <x:f>Model_Data!B200-Inputs!$C$5</x:f>
        <x:v>1.6899999999999977</x:v>
      </x:c>
      <x:c r="X200" s="10"/>
      <x:c r="Y200" s="9" t="n">
        <x:f>Model_Data!A200</x:f>
        <x:v>39</x:v>
      </x:c>
      <x:c r="Z200" s="9" t="n">
        <x:f>0</x:f>
        <x:v>0</x:v>
      </x:c>
      <x:c r="AA200" s="9" t="n">
        <x:f>((SQRT((Inputs!$C$52+Inputs!$C$5)^2+Inputs!$C$52^2-2*(Inputs!$C$52+Inputs!$C$5)*Inputs!$C$52*COS(SQRT((Model_Data!A200)^2+Inputs!$C$6^2)/Inputs!$C$52))-Inputs!$C$5)*1000/Inputs!$C$12)</x:f>
        <x:v>1885.1938993782433</x:v>
      </x:c>
      <x:c r="AB200" s="9" t="n">
        <x:f>Model_Data!F200</x:f>
        <x:v>1878.9394139868214</x:v>
      </x:c>
    </x:row>
    <x:row r="201">
      <x:c r="A201" s="9" t="n">
        <x:f>Model_Data!A201</x:f>
        <x:v>39.5</x:v>
      </x:c>
      <x:c r="B201" s="9" t="n">
        <x:f>0</x:f>
        <x:v>0</x:v>
      </x:c>
      <x:c r="C201" s="9" t="n">
        <x:f>((SQRT((Inputs!$C$52+Inputs!$C$5)^2+Inputs!$C$52^2-2*(Inputs!$C$52+Inputs!$C$5)*Inputs!$C$52*COS(SQRT((Model_Data!A201)^2+Inputs!$C$6^2)/Inputs!$C$52))-Inputs!$C$5)*1000/Inputs!$C$12)</x:f>
        <x:v>1919.5252050223141</x:v>
      </x:c>
      <x:c r="D201" s="9" t="n">
        <x:f>Model_Data!F201</x:f>
        <x:v>1912.9942929643466</x:v>
      </x:c>
      <x:c r="E201" s="9" t="n">
        <x:f>Model_Data!AC201</x:f>
        <x:v>1789.7063769262995</x:v>
      </x:c>
      <x:c r="F201" s="10"/>
      <x:c r="G201" s="9" t="n">
        <x:f>Model_Data!A201</x:f>
        <x:v>39.5</x:v>
      </x:c>
      <x:c r="H201" s="9" t="n">
        <x:f>Model_Data!Y201</x:f>
        <x:v>298.92940490783735</x:v>
      </x:c>
      <x:c r="I201" s="9" t="n">
        <x:f>Model_Data!Y201</x:f>
        <x:v>298.92940490783735</x:v>
      </x:c>
      <x:c r="J201" s="9" t="n">
        <x:f>Model_Data!X201</x:f>
        <x:v>76.31271490051972</x:v>
      </x:c>
      <x:c r="K201" s="9" t="n">
        <x:f>Model_Data!A201</x:f>
        <x:v>39.5</x:v>
      </x:c>
      <x:c r="L201" s="9" t="n">
        <x:f>Model_Data!Y201</x:f>
        <x:v>298.92940490783735</x:v>
      </x:c>
      <x:c r="M201" s="9" t="n">
        <x:f>Model_Data!X201</x:f>
        <x:v>76.31271490051972</x:v>
      </x:c>
      <x:c r="N201" s="9" t="n">
        <x:f>-(Model_Data!AC201-Model_Data!F201)*Inputs!$C$12</x:f>
        <x:v>219.45249054772387</x:v>
      </x:c>
      <x:c r="O201" s="10"/>
      <x:c r="P201" s="9" t="n">
        <x:f>Model_Data!A201</x:f>
        <x:v>39.5</x:v>
      </x:c>
      <x:c r="Q201" s="9" t="n">
        <x:f>Model_Data!P201</x:f>
        <x:v>-335.62463871039654</x:v>
      </x:c>
      <x:c r="R201" s="9" t="n">
        <x:f>Model_Data!AM201</x:f>
        <x:v>-332.6760334270148</x:v>
      </x:c>
      <x:c r="S201" s="9" t="n">
        <x:f>Model_Data!Q201</x:f>
        <x:v>-50.39408989645594</x:v>
      </x:c>
      <x:c r="T201" s="9" t="n">
        <x:f>Model_Data!AN201</x:f>
        <x:v>-49.951356370422644</x:v>
      </x:c>
      <x:c r="U201" s="10"/>
      <x:c r="V201" s="9" t="n">
        <x:f>Model_Data!A201</x:f>
        <x:v>39.5</x:v>
      </x:c>
      <x:c r="W201" s="9" t="n">
        <x:f>Model_Data!B201-Inputs!$C$5</x:f>
        <x:v>1.7336111111110881</x:v>
      </x:c>
      <x:c r="X201" s="10"/>
      <x:c r="Y201" s="9" t="n">
        <x:f>Model_Data!A201</x:f>
        <x:v>39.5</x:v>
      </x:c>
      <x:c r="Z201" s="9" t="n">
        <x:f>0</x:f>
        <x:v>0</x:v>
      </x:c>
      <x:c r="AA201" s="9" t="n">
        <x:f>((SQRT((Inputs!$C$52+Inputs!$C$5)^2+Inputs!$C$52^2-2*(Inputs!$C$52+Inputs!$C$5)*Inputs!$C$52*COS(SQRT((Model_Data!A201)^2+Inputs!$C$6^2)/Inputs!$C$52))-Inputs!$C$5)*1000/Inputs!$C$12)</x:f>
        <x:v>1919.5252050223141</x:v>
      </x:c>
      <x:c r="AB201" s="9" t="n">
        <x:f>Model_Data!F201</x:f>
        <x:v>1912.9942929643466</x:v>
      </x:c>
    </x:row>
    <x:row r="202">
      <x:c r="A202" s="9" t="n">
        <x:f>Model_Data!A202</x:f>
        <x:v>40</x:v>
      </x:c>
      <x:c r="B202" s="9" t="n">
        <x:f>0</x:f>
        <x:v>0</x:v>
      </x:c>
      <x:c r="C202" s="9" t="n">
        <x:f>((SQRT((Inputs!$C$52+Inputs!$C$5)^2+Inputs!$C$52^2-2*(Inputs!$C$52+Inputs!$C$5)*Inputs!$C$52*COS(SQRT((Model_Data!A202)^2+Inputs!$C$6^2)/Inputs!$C$52))-Inputs!$C$5)*1000/Inputs!$C$12)</x:f>
        <x:v>1954.2884586951907</x:v>
      </x:c>
      <x:c r="D202" s="9" t="n">
        <x:f>Model_Data!F202</x:f>
        <x:v>1947.4717855689696</x:v>
      </x:c>
      <x:c r="E202" s="9" t="n">
        <x:f>Model_Data!AC202</x:f>
        <x:v>1815.2970383237368</x:v>
      </x:c>
      <x:c r="F202" s="10"/>
      <x:c r="G202" s="9" t="n">
        <x:f>Model_Data!A202</x:f>
        <x:v>40</x:v>
      </x:c>
      <x:c r="H202" s="9" t="n">
        <x:f>Model_Data!Y202</x:f>
        <x:v>304.82117281231683</x:v>
      </x:c>
      <x:c r="I202" s="9" t="n">
        <x:f>Model_Data!Y202</x:f>
        <x:v>304.82117281231683</x:v>
      </x:c>
      <x:c r="J202" s="9" t="n">
        <x:f>Model_Data!X202</x:f>
        <x:v>66.26609020115302</x:v>
      </x:c>
      <x:c r="K202" s="9" t="n">
        <x:f>Model_Data!A202</x:f>
        <x:v>40</x:v>
      </x:c>
      <x:c r="L202" s="9" t="n">
        <x:f>Model_Data!Y202</x:f>
        <x:v>304.82117281231683</x:v>
      </x:c>
      <x:c r="M202" s="9" t="n">
        <x:f>Model_Data!X202</x:f>
        <x:v>66.26609020115302</x:v>
      </x:c>
      <x:c r="N202" s="9" t="n">
        <x:f>-(Model_Data!AC202-Model_Data!F202)*Inputs!$C$12</x:f>
        <x:v>235.27105009651433</x:v>
      </x:c>
      <x:c r="O202" s="10"/>
      <x:c r="P202" s="9" t="n">
        <x:f>Model_Data!A202</x:f>
        <x:v>40</x:v>
      </x:c>
      <x:c r="Q202" s="9" t="n">
        <x:f>Model_Data!P202</x:f>
        <x:v>-339.80843724993974</x:v>
      </x:c>
      <x:c r="R202" s="9" t="n">
        <x:f>Model_Data!AM202</x:f>
        <x:v>-337.1917719139674</x:v>
      </x:c>
      <x:c r="S202" s="9" t="n">
        <x:f>Model_Data!Q202</x:f>
        <x:v>-51.02228787536633</x:v>
      </x:c>
      <x:c r="T202" s="9" t="n">
        <x:f>Model_Data!AN202</x:f>
        <x:v>-50.62939518227739</x:v>
      </x:c>
      <x:c r="U202" s="10"/>
      <x:c r="V202" s="9" t="n">
        <x:f>Model_Data!A202</x:f>
        <x:v>40</x:v>
      </x:c>
      <x:c r="W202" s="9" t="n">
        <x:f>Model_Data!B202-Inputs!$C$5</x:f>
        <x:v>1.7777777777777715</x:v>
      </x:c>
      <x:c r="X202" s="10"/>
      <x:c r="Y202" s="9" t="n">
        <x:f>Model_Data!A202</x:f>
        <x:v>40</x:v>
      </x:c>
      <x:c r="Z202" s="9" t="n">
        <x:f>0</x:f>
        <x:v>0</x:v>
      </x:c>
      <x:c r="AA202" s="9" t="n">
        <x:f>((SQRT((Inputs!$C$52+Inputs!$C$5)^2+Inputs!$C$52^2-2*(Inputs!$C$52+Inputs!$C$5)*Inputs!$C$52*COS(SQRT((Model_Data!A202)^2+Inputs!$C$6^2)/Inputs!$C$52))-Inputs!$C$5)*1000/Inputs!$C$12)</x:f>
        <x:v>1954.2884586951907</x:v>
      </x:c>
      <x:c r="AB202" s="9" t="n">
        <x:f>Model_Data!F202</x:f>
        <x:v>1947.4717855689696</x:v>
      </x:c>
    </x:row>
    <x:row r="203">
      <x:c r="A203" s="9" t="n">
        <x:f>Model_Data!A203</x:f>
        <x:v>40.5</x:v>
      </x:c>
      <x:c r="B203" s="9" t="n">
        <x:f>0</x:f>
        <x:v>0</x:v>
      </x:c>
      <x:c r="C203" s="9" t="n">
        <x:f>((SQRT((Inputs!$C$52+Inputs!$C$5)^2+Inputs!$C$52^2-2*(Inputs!$C$52+Inputs!$C$5)*Inputs!$C$52*COS(SQRT((Model_Data!A203)^2+Inputs!$C$6^2)/Inputs!$C$52))-Inputs!$C$5)*1000/Inputs!$C$12)</x:f>
        <x:v>1989.483458127327</x:v>
      </x:c>
      <x:c r="D203" s="9" t="n">
        <x:f>Model_Data!F203</x:f>
        <x:v>1982.3714752072171</x:v>
      </x:c>
      <x:c r="E203" s="9" t="n">
        <x:f>Model_Data!AC203</x:f>
        <x:v>1849.0858481752039</x:v>
      </x:c>
      <x:c r="F203" s="10"/>
      <x:c r="G203" s="9" t="n">
        <x:f>Model_Data!A203</x:f>
        <x:v>40.5</x:v>
      </x:c>
      <x:c r="H203" s="9" t="n">
        <x:f>Model_Data!Y203</x:f>
        <x:v>300.6975060152245</x:v>
      </x:c>
      <x:c r="I203" s="9" t="n">
        <x:f>Model_Data!Y203</x:f>
        <x:v>300.6975060152245</x:v>
      </x:c>
      <x:c r="J203" s="9" t="n">
        <x:f>Model_Data!X203</x:f>
        <x:v>60.152205166209214</x:v>
      </x:c>
      <x:c r="K203" s="9" t="n">
        <x:f>Model_Data!A203</x:f>
        <x:v>40.5</x:v>
      </x:c>
      <x:c r="L203" s="9" t="n">
        <x:f>Model_Data!Y203</x:f>
        <x:v>300.6975060152245</x:v>
      </x:c>
      <x:c r="M203" s="9" t="n">
        <x:f>Model_Data!X203</x:f>
        <x:v>60.152205166209214</x:v>
      </x:c>
      <x:c r="N203" s="9" t="n">
        <x:f>-(Model_Data!AC203-Model_Data!F203)*Inputs!$C$12</x:f>
        <x:v>237.24841611698363</x:v>
      </x:c>
      <x:c r="O203" s="10"/>
      <x:c r="P203" s="9" t="n">
        <x:f>Model_Data!A203</x:f>
        <x:v>40.5</x:v>
      </x:c>
      <x:c r="Q203" s="9" t="n">
        <x:f>Model_Data!P203</x:f>
        <x:v>-343.98984952458704</x:v>
      </x:c>
      <x:c r="R203" s="9" t="n">
        <x:f>Model_Data!AM203</x:f>
        <x:v>-388.8944572384389</x:v>
      </x:c>
      <x:c r="S203" s="9" t="n">
        <x:f>Model_Data!Q203</x:f>
        <x:v>-51.65012755624431</x:v>
      </x:c>
      <x:c r="T203" s="9" t="n">
        <x:f>Model_Data!AN203</x:f>
        <x:v>-58.392561146912755</x:v>
      </x:c>
      <x:c r="U203" s="10"/>
      <x:c r="V203" s="9" t="n">
        <x:f>Model_Data!A203</x:f>
        <x:v>40.5</x:v>
      </x:c>
      <x:c r="W203" s="9" t="n">
        <x:f>Model_Data!B203-Inputs!$C$5</x:f>
        <x:v>1.822499999999991</x:v>
      </x:c>
      <x:c r="X203" s="10"/>
      <x:c r="Y203" s="9" t="n">
        <x:f>Model_Data!A203</x:f>
        <x:v>40.5</x:v>
      </x:c>
      <x:c r="Z203" s="9" t="n">
        <x:f>0</x:f>
        <x:v>0</x:v>
      </x:c>
      <x:c r="AA203" s="9" t="n">
        <x:f>((SQRT((Inputs!$C$52+Inputs!$C$5)^2+Inputs!$C$52^2-2*(Inputs!$C$52+Inputs!$C$5)*Inputs!$C$52*COS(SQRT((Model_Data!A203)^2+Inputs!$C$6^2)/Inputs!$C$52))-Inputs!$C$5)*1000/Inputs!$C$12)</x:f>
        <x:v>1989.483458127327</x:v>
      </x:c>
      <x:c r="AB203" s="9" t="n">
        <x:f>Model_Data!F203</x:f>
        <x:v>1982.3714752072171</x:v>
      </x:c>
    </x:row>
    <x:row r="204">
      <x:c r="A204" s="9" t="n">
        <x:f>Model_Data!A204</x:f>
        <x:v>41</x:v>
      </x:c>
      <x:c r="B204" s="9" t="n">
        <x:f>0</x:f>
        <x:v>0</x:v>
      </x:c>
      <x:c r="C204" s="9" t="n">
        <x:f>((SQRT((Inputs!$C$52+Inputs!$C$5)^2+Inputs!$C$52^2-2*(Inputs!$C$52+Inputs!$C$5)*Inputs!$C$52*COS(SQRT((Model_Data!A204)^2+Inputs!$C$6^2)/Inputs!$C$52))-Inputs!$C$5)*1000/Inputs!$C$12)</x:f>
        <x:v>2025.1099986616898</x:v>
      </x:c>
      <x:c r="D204" s="9" t="n">
        <x:f>Model_Data!F204</x:f>
        <x:v>2017.6929405986523</x:v>
      </x:c>
      <x:c r="E204" s="9" t="n">
        <x:f>Model_Data!AC204</x:f>
        <x:v>1893.6129285270972</x:v>
      </x:c>
      <x:c r="F204" s="10"/>
      <x:c r="G204" s="9" t="n">
        <x:f>Model_Data!A204</x:f>
        <x:v>41</x:v>
      </x:c>
      <x:c r="H204" s="9" t="n">
        <x:f>Model_Data!Y204</x:f>
        <x:v>276.55710773836364</x:v>
      </x:c>
      <x:c r="I204" s="9" t="n">
        <x:f>Model_Data!Y204</x:f>
        <x:v>276.55710773836364</x:v>
      </x:c>
      <x:c r="J204" s="9" t="n">
        <x:f>Model_Data!X204</x:f>
        <x:v>52.60933898915909</x:v>
      </x:c>
      <x:c r="K204" s="9" t="n">
        <x:f>Model_Data!A204</x:f>
        <x:v>41</x:v>
      </x:c>
      <x:c r="L204" s="9" t="n">
        <x:f>Model_Data!Y204</x:f>
        <x:v>276.55710773836364</x:v>
      </x:c>
      <x:c r="M204" s="9" t="n">
        <x:f>Model_Data!X204</x:f>
        <x:v>52.60933898915909</x:v>
      </x:c>
      <x:c r="N204" s="9" t="n">
        <x:f>-(Model_Data!AC204-Model_Data!F204)*Inputs!$C$12</x:f>
        <x:v>220.86242148736804</x:v>
      </x:c>
      <x:c r="O204" s="10"/>
      <x:c r="P204" s="9" t="n">
        <x:f>Model_Data!A204</x:f>
        <x:v>41</x:v>
      </x:c>
      <x:c r="Q204" s="9" t="n">
        <x:f>Model_Data!P204</x:f>
        <x:v>-348.16884888314235</x:v>
      </x:c>
      <x:c r="R204" s="9" t="n">
        <x:f>Model_Data!AM204</x:f>
        <x:v>-398.15439784842965</x:v>
      </x:c>
      <x:c r="S204" s="9" t="n">
        <x:f>Model_Data!Q204</x:f>
        <x:v>-52.27760493740877</x:v>
      </x:c>
      <x:c r="T204" s="9" t="n">
        <x:f>Model_Data!AN204</x:f>
        <x:v>-59.78294261988434</x:v>
      </x:c>
      <x:c r="U204" s="10"/>
      <x:c r="V204" s="9" t="n">
        <x:f>Model_Data!A204</x:f>
        <x:v>41</x:v>
      </x:c>
      <x:c r="W204" s="9" t="n">
        <x:f>Model_Data!B204-Inputs!$C$5</x:f>
        <x:v>1.8677777777778033</x:v>
      </x:c>
      <x:c r="X204" s="10"/>
      <x:c r="Y204" s="9" t="n">
        <x:f>Model_Data!A204</x:f>
        <x:v>41</x:v>
      </x:c>
      <x:c r="Z204" s="9" t="n">
        <x:f>0</x:f>
        <x:v>0</x:v>
      </x:c>
      <x:c r="AA204" s="9" t="n">
        <x:f>((SQRT((Inputs!$C$52+Inputs!$C$5)^2+Inputs!$C$52^2-2*(Inputs!$C$52+Inputs!$C$5)*Inputs!$C$52*COS(SQRT((Model_Data!A204)^2+Inputs!$C$6^2)/Inputs!$C$52))-Inputs!$C$5)*1000/Inputs!$C$12)</x:f>
        <x:v>2025.1099986616898</x:v>
      </x:c>
      <x:c r="AB204" s="9" t="n">
        <x:f>Model_Data!F204</x:f>
        <x:v>2017.6929405986523</x:v>
      </x:c>
    </x:row>
    <x:row r="205">
      <x:c r="A205" s="9" t="n">
        <x:f>Model_Data!A205</x:f>
        <x:v>41.5</x:v>
      </x:c>
      <x:c r="B205" s="9" t="n">
        <x:f>0</x:f>
        <x:v>0</x:v>
      </x:c>
      <x:c r="C205" s="9" t="n">
        <x:f>((SQRT((Inputs!$C$52+Inputs!$C$5)^2+Inputs!$C$52^2-2*(Inputs!$C$52+Inputs!$C$5)*Inputs!$C$52*COS(SQRT((Model_Data!A205)^2+Inputs!$C$6^2)/Inputs!$C$52))-Inputs!$C$5)*1000/Inputs!$C$12)</x:f>
        <x:v>2061.1678732608475</x:v>
      </x:c>
      <x:c r="D205" s="9" t="n">
        <x:f>Model_Data!F205</x:f>
        <x:v>2053.4357557919698</x:v>
      </x:c>
      <x:c r="E205" s="9" t="n">
        <x:f>Model_Data!AC205</x:f>
        <x:v>1936.7061483302066</x:v>
      </x:c>
      <x:c r="F205" s="10"/>
      <x:c r="G205" s="9" t="n">
        <x:f>Model_Data!A205</x:f>
        <x:v>41.5</x:v>
      </x:c>
      <x:c r="H205" s="9" t="n">
        <x:f>Model_Data!Y205</x:f>
        <x:v>269.21554101681534</x:v>
      </x:c>
      <x:c r="I205" s="9" t="n">
        <x:f>Model_Data!Y205</x:f>
        <x:v>269.21554101681534</x:v>
      </x:c>
      <x:c r="J205" s="9" t="n">
        <x:f>Model_Data!X205</x:f>
        <x:v>58.38095189793533</x:v>
      </x:c>
      <x:c r="K205" s="9" t="n">
        <x:f>Model_Data!A205</x:f>
        <x:v>41.5</x:v>
      </x:c>
      <x:c r="L205" s="9" t="n">
        <x:f>Model_Data!Y205</x:f>
        <x:v>269.21554101681534</x:v>
      </x:c>
      <x:c r="M205" s="9" t="n">
        <x:f>Model_Data!X205</x:f>
        <x:v>58.38095189793533</x:v>
      </x:c>
      <x:c r="N205" s="9" t="n">
        <x:f>-(Model_Data!AC205-Model_Data!F205)*Inputs!$C$12</x:f>
        <x:v>207.77870128193845</x:v>
      </x:c>
      <x:c r="O205" s="10"/>
      <x:c r="P205" s="9" t="n">
        <x:f>Model_Data!A205</x:f>
        <x:v>41.5</x:v>
      </x:c>
      <x:c r="Q205" s="9" t="n">
        <x:f>Model_Data!P205</x:f>
        <x:v>-352.3454087967366</x:v>
      </x:c>
      <x:c r="R205" s="9" t="n">
        <x:f>Model_Data!AM205</x:f>
        <x:v>-361.1079984811113</x:v>
      </x:c>
      <x:c r="S205" s="9" t="n">
        <x:f>Model_Data!Q205</x:f>
        <x:v>-52.90471603554604</x:v>
      </x:c>
      <x:c r="T205" s="9" t="n">
        <x:f>Model_Data!AN205</x:f>
        <x:v>-54.22042019235906</x:v>
      </x:c>
      <x:c r="U205" s="10"/>
      <x:c r="V205" s="9" t="n">
        <x:f>Model_Data!A205</x:f>
        <x:v>41.5</x:v>
      </x:c>
      <x:c r="W205" s="9" t="n">
        <x:f>Model_Data!B205-Inputs!$C$5</x:f>
        <x:v>1.913611111111095</x:v>
      </x:c>
      <x:c r="X205" s="10"/>
      <x:c r="Y205" s="9" t="n">
        <x:f>Model_Data!A205</x:f>
        <x:v>41.5</x:v>
      </x:c>
      <x:c r="Z205" s="9" t="n">
        <x:f>0</x:f>
        <x:v>0</x:v>
      </x:c>
      <x:c r="AA205" s="9" t="n">
        <x:f>((SQRT((Inputs!$C$52+Inputs!$C$5)^2+Inputs!$C$52^2-2*(Inputs!$C$52+Inputs!$C$5)*Inputs!$C$52*COS(SQRT((Model_Data!A205)^2+Inputs!$C$6^2)/Inputs!$C$52))-Inputs!$C$5)*1000/Inputs!$C$12)</x:f>
        <x:v>2061.1678732608475</x:v>
      </x:c>
      <x:c r="AB205" s="9" t="n">
        <x:f>Model_Data!F205</x:f>
        <x:v>2053.4357557919698</x:v>
      </x:c>
    </x:row>
    <x:row r="206">
      <x:c r="A206" s="9" t="n">
        <x:f>Model_Data!A206</x:f>
        <x:v>42</x:v>
      </x:c>
      <x:c r="B206" s="9" t="n">
        <x:f>0</x:f>
        <x:v>0</x:v>
      </x:c>
      <x:c r="C206" s="9" t="n">
        <x:f>((SQRT((Inputs!$C$52+Inputs!$C$5)^2+Inputs!$C$52^2-2*(Inputs!$C$52+Inputs!$C$5)*Inputs!$C$52*COS(SQRT((Model_Data!A206)^2+Inputs!$C$6^2)/Inputs!$C$52))-Inputs!$C$5)*1000/Inputs!$C$12)</x:f>
        <x:v>2097.656872513326</x:v>
      </x:c>
      <x:c r="D206" s="9" t="n">
        <x:f>Model_Data!F206</x:f>
        <x:v>2089.5994901917893</x:v>
      </x:c>
      <x:c r="E206" s="9" t="n">
        <x:f>Model_Data!AC206</x:f>
        <x:v>1958.434377938433</x:v>
      </x:c>
      <x:c r="F206" s="10"/>
      <x:c r="G206" s="9" t="n">
        <x:f>Model_Data!A206</x:f>
        <x:v>42</x:v>
      </x:c>
      <x:c r="H206" s="9" t="n">
        <x:f>Model_Data!Y206</x:f>
        <x:v>271.1262021129023</x:v>
      </x:c>
      <x:c r="I206" s="9" t="n">
        <x:f>Model_Data!Y206</x:f>
        <x:v>271.1262021129023</x:v>
      </x:c>
      <x:c r="J206" s="9" t="n">
        <x:f>Model_Data!X206</x:f>
        <x:v>34.52124211278962</x:v>
      </x:c>
      <x:c r="K206" s="9" t="n">
        <x:f>Model_Data!A206</x:f>
        <x:v>42</x:v>
      </x:c>
      <x:c r="L206" s="9" t="n">
        <x:f>Model_Data!Y206</x:f>
        <x:v>271.1262021129023</x:v>
      </x:c>
      <x:c r="M206" s="9" t="n">
        <x:f>Model_Data!X206</x:f>
        <x:v>34.52124211278962</x:v>
      </x:c>
      <x:c r="N206" s="9" t="n">
        <x:f>-(Model_Data!AC206-Model_Data!F206)*Inputs!$C$12</x:f>
        <x:v>233.47389981097413</x:v>
      </x:c>
      <x:c r="O206" s="10"/>
      <x:c r="P206" s="9" t="n">
        <x:f>Model_Data!A206</x:f>
        <x:v>42</x:v>
      </x:c>
      <x:c r="Q206" s="9" t="n">
        <x:f>Model_Data!P206</x:f>
        <x:v>-356.5195028526432</x:v>
      </x:c>
      <x:c r="R206" s="9" t="n">
        <x:f>Model_Data!AM206</x:f>
        <x:v>-371.61471890167377</x:v>
      </x:c>
      <x:c r="S206" s="9" t="n">
        <x:f>Model_Data!Q206</x:f>
        <x:v>-53.531456884781264</x:v>
      </x:c>
      <x:c r="T206" s="9" t="n">
        <x:f>Model_Data!AN206</x:f>
        <x:v>-55.79800584109216</x:v>
      </x:c>
      <x:c r="U206" s="10"/>
      <x:c r="V206" s="9" t="n">
        <x:f>Model_Data!A206</x:f>
        <x:v>42</x:v>
      </x:c>
      <x:c r="W206" s="9" t="n">
        <x:f>Model_Data!B206-Inputs!$C$5</x:f>
        <x:v>1.9599999999999795</x:v>
      </x:c>
      <x:c r="X206" s="10"/>
      <x:c r="Y206" s="9" t="n">
        <x:f>Model_Data!A206</x:f>
        <x:v>42</x:v>
      </x:c>
      <x:c r="Z206" s="9" t="n">
        <x:f>0</x:f>
        <x:v>0</x:v>
      </x:c>
      <x:c r="AA206" s="9" t="n">
        <x:f>((SQRT((Inputs!$C$52+Inputs!$C$5)^2+Inputs!$C$52^2-2*(Inputs!$C$52+Inputs!$C$5)*Inputs!$C$52*COS(SQRT((Model_Data!A206)^2+Inputs!$C$6^2)/Inputs!$C$52))-Inputs!$C$5)*1000/Inputs!$C$12)</x:f>
        <x:v>2097.656872513326</x:v>
      </x:c>
      <x:c r="AB206" s="9" t="n">
        <x:f>Model_Data!F206</x:f>
        <x:v>2089.5994901917893</x:v>
      </x:c>
    </x:row>
    <x:row r="207">
      <x:c r="A207" s="9" t="n">
        <x:f>Model_Data!A207</x:f>
        <x:v>42.5</x:v>
      </x:c>
      <x:c r="B207" s="9" t="n">
        <x:f>0</x:f>
        <x:v>0</x:v>
      </x:c>
      <x:c r="C207" s="9" t="n">
        <x:f>((SQRT((Inputs!$C$52+Inputs!$C$5)^2+Inputs!$C$52^2-2*(Inputs!$C$52+Inputs!$C$5)*Inputs!$C$52*COS(SQRT((Model_Data!A207)^2+Inputs!$C$6^2)/Inputs!$C$52))-Inputs!$C$5)*1000/Inputs!$C$12)</x:f>
        <x:v>2134.576784639611</x:v>
      </x:c>
      <x:c r="D207" s="9" t="n">
        <x:f>Model_Data!F207</x:f>
        <x:v>2126.18370857261</x:v>
      </x:c>
      <x:c r="E207" s="9" t="n">
        <x:f>Model_Data!AC207</x:f>
        <x:v>2004.5691766690359</x:v>
      </x:c>
      <x:c r="F207" s="10"/>
      <x:c r="G207" s="9" t="n">
        <x:f>Model_Data!A207</x:f>
        <x:v>42.5</x:v>
      </x:c>
      <x:c r="H207" s="9" t="n">
        <x:f>Model_Data!Y207</x:f>
        <x:v>259.7768551367322</x:v>
      </x:c>
      <x:c r="I207" s="9" t="n">
        <x:f>Model_Data!Y207</x:f>
        <x:v>259.7768551367322</x:v>
      </x:c>
      <x:c r="J207" s="9" t="n">
        <x:f>Model_Data!X207</x:f>
        <x:v>40.25127636090155</x:v>
      </x:c>
      <x:c r="K207" s="9" t="n">
        <x:f>Model_Data!A207</x:f>
        <x:v>42.5</x:v>
      </x:c>
      <x:c r="L207" s="9" t="n">
        <x:f>Model_Data!Y207</x:f>
        <x:v>259.7768551367322</x:v>
      </x:c>
      <x:c r="M207" s="9" t="n">
        <x:f>Model_Data!X207</x:f>
        <x:v>40.25127636090155</x:v>
      </x:c>
      <x:c r="N207" s="9" t="n">
        <x:f>-(Model_Data!AC207-Model_Data!F207)*Inputs!$C$12</x:f>
        <x:v>216.47386678836224</x:v>
      </x:c>
      <x:c r="O207" s="10"/>
      <x:c r="P207" s="9" t="n">
        <x:f>Model_Data!A207</x:f>
        <x:v>42.5</x:v>
      </x:c>
      <x:c r="Q207" s="9" t="n">
        <x:f>Model_Data!P207</x:f>
        <x:v>-360.6911047401809</x:v>
      </x:c>
      <x:c r="R207" s="9" t="n">
        <x:f>Model_Data!AM207</x:f>
        <x:v>-398.58972229558276</x:v>
      </x:c>
      <x:c r="S207" s="9" t="n">
        <x:f>Model_Data!Q207</x:f>
        <x:v>-54.1578235345617</x:v>
      </x:c>
      <x:c r="T207" s="9" t="n">
        <x:f>Model_Data!AN207</x:f>
        <x:v>-59.848306650988405</x:v>
      </x:c>
      <x:c r="U207" s="10"/>
      <x:c r="V207" s="9" t="n">
        <x:f>Model_Data!A207</x:f>
        <x:v>42.5</x:v>
      </x:c>
      <x:c r="W207" s="9" t="n">
        <x:f>Model_Data!B207-Inputs!$C$5</x:f>
        <x:v>2.006944444444457</x:v>
      </x:c>
      <x:c r="X207" s="10"/>
      <x:c r="Y207" s="9" t="n">
        <x:f>Model_Data!A207</x:f>
        <x:v>42.5</x:v>
      </x:c>
      <x:c r="Z207" s="9" t="n">
        <x:f>0</x:f>
        <x:v>0</x:v>
      </x:c>
      <x:c r="AA207" s="9" t="n">
        <x:f>((SQRT((Inputs!$C$52+Inputs!$C$5)^2+Inputs!$C$52^2-2*(Inputs!$C$52+Inputs!$C$5)*Inputs!$C$52*COS(SQRT((Model_Data!A207)^2+Inputs!$C$6^2)/Inputs!$C$52))-Inputs!$C$5)*1000/Inputs!$C$12)</x:f>
        <x:v>2134.576784639611</x:v>
      </x:c>
      <x:c r="AB207" s="9" t="n">
        <x:f>Model_Data!F207</x:f>
        <x:v>2126.18370857261</x:v>
      </x:c>
    </x:row>
    <x:row r="208">
      <x:c r="A208" s="9" t="n">
        <x:f>Model_Data!A208</x:f>
        <x:v>43</x:v>
      </x:c>
      <x:c r="B208" s="9" t="n">
        <x:f>0</x:f>
        <x:v>0</x:v>
      </x:c>
      <x:c r="C208" s="9" t="n">
        <x:f>((SQRT((Inputs!$C$52+Inputs!$C$5)^2+Inputs!$C$52^2-2*(Inputs!$C$52+Inputs!$C$5)*Inputs!$C$52*COS(SQRT((Model_Data!A208)^2+Inputs!$C$6^2)/Inputs!$C$52))-Inputs!$C$5)*1000/Inputs!$C$12)</x:f>
        <x:v>2171.9273954940345</x:v>
      </x:c>
      <x:c r="D208" s="9" t="n">
        <x:f>Model_Data!F208</x:f>
        <x:v>2163.1879711008464</x:v>
      </x:c>
      <x:c r="E208" s="9" t="n">
        <x:f>Model_Data!AC208</x:f>
        <x:v>2044.6595852299038</x:v>
      </x:c>
      <x:c r="F208" s="10"/>
      <x:c r="G208" s="9" t="n">
        <x:f>Model_Data!A208</x:f>
        <x:v>43</x:v>
      </x:c>
      <x:c r="H208" s="9" t="n">
        <x:f>Model_Data!Y208</x:f>
        <x:v>247.2629698422237</x:v>
      </x:c>
      <x:c r="I208" s="9" t="n">
        <x:f>Model_Data!Y208</x:f>
        <x:v>247.2629698422237</x:v>
      </x:c>
      <x:c r="J208" s="9" t="n">
        <x:f>Model_Data!X208</x:f>
        <x:v>33.32797910139238</x:v>
      </x:c>
      <x:c r="K208" s="9" t="n">
        <x:f>Model_Data!A208</x:f>
        <x:v>43</x:v>
      </x:c>
      <x:c r="L208" s="9" t="n">
        <x:f>Model_Data!Y208</x:f>
        <x:v>247.2629698422237</x:v>
      </x:c>
      <x:c r="M208" s="9" t="n">
        <x:f>Model_Data!X208</x:f>
        <x:v>33.32797910139238</x:v>
      </x:c>
      <x:c r="N208" s="9" t="n">
        <x:f>-(Model_Data!AC208-Model_Data!F208)*Inputs!$C$12</x:f>
        <x:v>210.98052685027793</x:v>
      </x:c>
      <x:c r="O208" s="10"/>
      <x:c r="P208" s="9" t="n">
        <x:f>Model_Data!A208</x:f>
        <x:v>43</x:v>
      </x:c>
      <x:c r="Q208" s="9" t="n">
        <x:f>Model_Data!P208</x:f>
        <x:v>-364.8601882793628</x:v>
      </x:c>
      <x:c r="R208" s="9" t="n">
        <x:f>Model_Data!AM208</x:f>
        <x:v>-419.4335216990112</x:v>
      </x:c>
      <x:c r="S208" s="9" t="n">
        <x:f>Model_Data!Q208</x:f>
        <x:v>-54.78381205395838</x:v>
      </x:c>
      <x:c r="T208" s="9" t="n">
        <x:f>Model_Data!AN208</x:f>
        <x:v>-62.978006261112796</x:v>
      </x:c>
      <x:c r="U208" s="10"/>
      <x:c r="V208" s="9" t="n">
        <x:f>Model_Data!A208</x:f>
        <x:v>43</x:v>
      </x:c>
      <x:c r="W208" s="9" t="n">
        <x:f>Model_Data!B208-Inputs!$C$5</x:f>
        <x:v>2.0544444444444707</x:v>
      </x:c>
      <x:c r="X208" s="10"/>
      <x:c r="Y208" s="9" t="n">
        <x:f>Model_Data!A208</x:f>
        <x:v>43</x:v>
      </x:c>
      <x:c r="Z208" s="9" t="n">
        <x:f>0</x:f>
        <x:v>0</x:v>
      </x:c>
      <x:c r="AA208" s="9" t="n">
        <x:f>((SQRT((Inputs!$C$52+Inputs!$C$5)^2+Inputs!$C$52^2-2*(Inputs!$C$52+Inputs!$C$5)*Inputs!$C$52*COS(SQRT((Model_Data!A208)^2+Inputs!$C$6^2)/Inputs!$C$52))-Inputs!$C$5)*1000/Inputs!$C$12)</x:f>
        <x:v>2171.9273954940345</x:v>
      </x:c>
      <x:c r="AB208" s="9" t="n">
        <x:f>Model_Data!F208</x:f>
        <x:v>2163.1879711008464</x:v>
      </x:c>
    </x:row>
    <x:row r="209">
      <x:c r="A209" s="9" t="n">
        <x:f>Model_Data!A209</x:f>
        <x:v>43.5</x:v>
      </x:c>
      <x:c r="B209" s="9" t="n">
        <x:f>0</x:f>
        <x:v>0</x:v>
      </x:c>
      <x:c r="C209" s="9" t="n">
        <x:f>((SQRT((Inputs!$C$52+Inputs!$C$5)^2+Inputs!$C$52^2-2*(Inputs!$C$52+Inputs!$C$5)*Inputs!$C$52*COS(SQRT((Model_Data!A209)^2+Inputs!$C$6^2)/Inputs!$C$52))-Inputs!$C$5)*1000/Inputs!$C$12)</x:f>
        <x:v>2209.708488578056</x:v>
      </x:c>
      <x:c r="D209" s="9" t="n">
        <x:f>Model_Data!F209</x:f>
        <x:v>2200.611833358587</x:v>
      </x:c>
      <x:c r="E209" s="9" t="n">
        <x:f>Model_Data!AC209</x:f>
        <x:v>2087.075956150498</x:v>
      </x:c>
      <x:c r="F209" s="10"/>
      <x:c r="G209" s="9" t="n">
        <x:f>Model_Data!A209</x:f>
        <x:v>43.5</x:v>
      </x:c>
      <x:c r="H209" s="9" t="n">
        <x:f>Model_Data!Y209</x:f>
        <x:v>225.35528260314678</x:v>
      </x:c>
      <x:c r="I209" s="9" t="n">
        <x:f>Model_Data!Y209</x:f>
        <x:v>225.35528260314678</x:v>
      </x:c>
      <x:c r="J209" s="9" t="n">
        <x:f>Model_Data!X209</x:f>
        <x:v>20.522948331606614</x:v>
      </x:c>
      <x:c r="K209" s="9" t="n">
        <x:f>Model_Data!A209</x:f>
        <x:v>43.5</x:v>
      </x:c>
      <x:c r="L209" s="9" t="n">
        <x:f>Model_Data!Y209</x:f>
        <x:v>225.35528260314678</x:v>
      </x:c>
      <x:c r="M209" s="9" t="n">
        <x:f>Model_Data!X209</x:f>
        <x:v>20.522948331606614</x:v>
      </x:c>
      <x:c r="N209" s="9" t="n">
        <x:f>-(Model_Data!AC209-Model_Data!F209)*Inputs!$C$12</x:f>
        <x:v>202.09386143039842</x:v>
      </x:c>
      <x:c r="O209" s="10"/>
      <x:c r="P209" s="9" t="n">
        <x:f>Model_Data!A209</x:f>
        <x:v>43.5</x:v>
      </x:c>
      <x:c r="Q209" s="9" t="n">
        <x:f>Model_Data!P209</x:f>
        <x:v>-369.0267273985228</x:v>
      </x:c>
      <x:c r="R209" s="9" t="n">
        <x:f>Model_Data!AM209</x:f>
        <x:v>-429.9051877553211</x:v>
      </x:c>
      <x:c r="S209" s="9" t="n">
        <x:f>Model_Data!Q209</x:f>
        <x:v>-55.40941852830673</x:v>
      </x:c>
      <x:c r="T209" s="9" t="n">
        <x:f>Model_Data!AN209</x:f>
        <x:v>-64.55032849178995</x:v>
      </x:c>
      <x:c r="U209" s="10"/>
      <x:c r="V209" s="9" t="n">
        <x:f>Model_Data!A209</x:f>
        <x:v>43.5</x:v>
      </x:c>
      <x:c r="W209" s="9" t="n">
        <x:f>Model_Data!B209-Inputs!$C$5</x:f>
        <x:v>2.1025000000000205</x:v>
      </x:c>
      <x:c r="X209" s="10"/>
      <x:c r="Y209" s="9" t="n">
        <x:f>Model_Data!A209</x:f>
        <x:v>43.5</x:v>
      </x:c>
      <x:c r="Z209" s="9" t="n">
        <x:f>0</x:f>
        <x:v>0</x:v>
      </x:c>
      <x:c r="AA209" s="9" t="n">
        <x:f>((SQRT((Inputs!$C$52+Inputs!$C$5)^2+Inputs!$C$52^2-2*(Inputs!$C$52+Inputs!$C$5)*Inputs!$C$52*COS(SQRT((Model_Data!A209)^2+Inputs!$C$6^2)/Inputs!$C$52))-Inputs!$C$5)*1000/Inputs!$C$12)</x:f>
        <x:v>2209.708488578056</x:v>
      </x:c>
      <x:c r="AB209" s="9" t="n">
        <x:f>Model_Data!F209</x:f>
        <x:v>2200.611833358587</x:v>
      </x:c>
    </x:row>
    <x:row r="210">
      <x:c r="A210" s="9" t="n">
        <x:f>Model_Data!A210</x:f>
        <x:v>44</x:v>
      </x:c>
      <x:c r="B210" s="9" t="n">
        <x:f>0</x:f>
        <x:v>0</x:v>
      </x:c>
      <x:c r="C210" s="9" t="n">
        <x:f>((SQRT((Inputs!$C$52+Inputs!$C$5)^2+Inputs!$C$52^2-2*(Inputs!$C$52+Inputs!$C$5)*Inputs!$C$52*COS(SQRT((Model_Data!A210)^2+Inputs!$C$6^2)/Inputs!$C$52))-Inputs!$C$5)*1000/Inputs!$C$12)</x:f>
        <x:v>2247.9198450390527</x:v>
      </x:c>
      <x:c r="D210" s="9" t="n">
        <x:f>Model_Data!F210</x:f>
        <x:v>2238.4548463578362</x:v>
      </x:c>
      <x:c r="E210" s="9" t="n">
        <x:f>Model_Data!AC210</x:f>
        <x:v>2126.5404819811456</x:v>
      </x:c>
      <x:c r="F210" s="10"/>
      <x:c r="G210" s="9" t="n">
        <x:f>Model_Data!A210</x:f>
        <x:v>44</x:v>
      </x:c>
      <x:c r="H210" s="9" t="n">
        <x:f>Model_Data!Y210</x:f>
        <x:v>208.84015984832814</x:v>
      </x:c>
      <x:c r="I210" s="9" t="n">
        <x:f>Model_Data!Y210</x:f>
        <x:v>208.84015984832814</x:v>
      </x:c>
      <x:c r="J210" s="9" t="n">
        <x:f>Model_Data!X210</x:f>
        <x:v>7.051899638170276</x:v>
      </x:c>
      <x:c r="K210" s="9" t="n">
        <x:f>Model_Data!A210</x:f>
        <x:v>44</x:v>
      </x:c>
      <x:c r="L210" s="9" t="n">
        <x:f>Model_Data!Y210</x:f>
        <x:v>208.84015984832814</x:v>
      </x:c>
      <x:c r="M210" s="9" t="n">
        <x:f>Model_Data!X210</x:f>
        <x:v>7.051899638170276</x:v>
      </x:c>
      <x:c r="N210" s="9" t="n">
        <x:f>-(Model_Data!AC210-Model_Data!F210)*Inputs!$C$12</x:f>
        <x:v>199.2075685905093</x:v>
      </x:c>
      <x:c r="O210" s="10"/>
      <x:c r="P210" s="9" t="n">
        <x:f>Model_Data!A210</x:f>
        <x:v>44</x:v>
      </x:c>
      <x:c r="Q210" s="9" t="n">
        <x:f>Model_Data!P210</x:f>
        <x:v>-373.1906961457753</x:v>
      </x:c>
      <x:c r="R210" s="9" t="n">
        <x:f>Model_Data!AM210</x:f>
        <x:v>-446.6345676146375</x:v>
      </x:c>
      <x:c r="S210" s="9" t="n">
        <x:f>Model_Data!Q210</x:f>
        <x:v>-56.034639060927226</x:v>
      </x:c>
      <x:c r="T210" s="9" t="n">
        <x:f>Model_Data!AN210</x:f>
        <x:v>-67.06224738958521</x:v>
      </x:c>
      <x:c r="U210" s="10"/>
      <x:c r="V210" s="9" t="n">
        <x:f>Model_Data!A210</x:f>
        <x:v>44</x:v>
      </x:c>
      <x:c r="W210" s="9" t="n">
        <x:f>Model_Data!B210-Inputs!$C$5</x:f>
        <x:v>2.1511111111111063</x:v>
      </x:c>
      <x:c r="X210" s="10"/>
      <x:c r="Y210" s="9" t="n">
        <x:f>Model_Data!A210</x:f>
        <x:v>44</x:v>
      </x:c>
      <x:c r="Z210" s="9" t="n">
        <x:f>0</x:f>
        <x:v>0</x:v>
      </x:c>
      <x:c r="AA210" s="9" t="n">
        <x:f>((SQRT((Inputs!$C$52+Inputs!$C$5)^2+Inputs!$C$52^2-2*(Inputs!$C$52+Inputs!$C$5)*Inputs!$C$52*COS(SQRT((Model_Data!A210)^2+Inputs!$C$6^2)/Inputs!$C$52))-Inputs!$C$5)*1000/Inputs!$C$12)</x:f>
        <x:v>2247.9198450390527</x:v>
      </x:c>
      <x:c r="AB210" s="9" t="n">
        <x:f>Model_Data!F210</x:f>
        <x:v>2238.4548463578362</x:v>
      </x:c>
    </x:row>
    <x:row r="211">
      <x:c r="A211" s="9" t="n">
        <x:f>Model_Data!A211</x:f>
        <x:v>44.5</x:v>
      </x:c>
      <x:c r="B211" s="9" t="n">
        <x:f>0</x:f>
        <x:v>0</x:v>
      </x:c>
      <x:c r="C211" s="9" t="n">
        <x:f>((SQRT((Inputs!$C$52+Inputs!$C$5)^2+Inputs!$C$52^2-2*(Inputs!$C$52+Inputs!$C$5)*Inputs!$C$52*COS(SQRT((Model_Data!A211)^2+Inputs!$C$6^2)/Inputs!$C$52))-Inputs!$C$5)*1000/Inputs!$C$12)</x:f>
        <x:v>2286.561243682292</x:v>
      </x:c>
      <x:c r="D211" s="9" t="n">
        <x:f>Model_Data!F211</x:f>
        <x:v>2276.7165565683313</x:v>
      </x:c>
      <x:c r="E211" s="9" t="n">
        <x:f>Model_Data!AC211</x:f>
        <x:v>2175.594024993667</x:v>
      </x:c>
      <x:c r="F211" s="10"/>
      <x:c r="G211" s="9" t="n">
        <x:f>Model_Data!A211</x:f>
        <x:v>44.5</x:v>
      </x:c>
      <x:c r="H211" s="9" t="n">
        <x:f>Model_Data!Y211</x:f>
        <x:v>178.96296340227542</x:v>
      </x:c>
      <x:c r="I211" s="9" t="n">
        <x:f>Model_Data!Y211</x:f>
        <x:v>178.96296340227542</x:v>
      </x:c>
      <x:c r="J211" s="9" t="n">
        <x:f>Model_Data!X211</x:f>
        <x:v>-3.283716108943903</x:v>
      </x:c>
      <x:c r="K211" s="9" t="n">
        <x:f>Model_Data!A211</x:f>
        <x:v>44.5</x:v>
      </x:c>
      <x:c r="L211" s="9" t="n">
        <x:f>Model_Data!Y211</x:f>
        <x:v>178.96296340227542</x:v>
      </x:c>
      <x:c r="M211" s="9" t="n">
        <x:f>Model_Data!X211</x:f>
        <x:v>-3.283716108943903</x:v>
      </x:c>
      <x:c r="N211" s="9" t="n">
        <x:f>-(Model_Data!AC211-Model_Data!F211)*Inputs!$C$12</x:f>
        <x:v>179.9981062029023</x:v>
      </x:c>
      <x:c r="O211" s="10"/>
      <x:c r="P211" s="9" t="n">
        <x:f>Model_Data!A211</x:f>
        <x:v>44.5</x:v>
      </x:c>
      <x:c r="Q211" s="9" t="n">
        <x:f>Model_Data!P211</x:f>
        <x:v>-377.3520686901975</x:v>
      </x:c>
      <x:c r="R211" s="9" t="n">
        <x:f>Model_Data!AM211</x:f>
        <x:v>-446.31989555336986</x:v>
      </x:c>
      <x:c r="S211" s="9" t="n">
        <x:f>Model_Data!Q211</x:f>
        <x:v>-56.65946977330293</x:v>
      </x:c>
      <x:c r="T211" s="9" t="n">
        <x:f>Model_Data!AN211</x:f>
        <x:v>-67.01499933233782</x:v>
      </x:c>
      <x:c r="U211" s="10"/>
      <x:c r="V211" s="9" t="n">
        <x:f>Model_Data!A211</x:f>
        <x:v>44.5</x:v>
      </x:c>
      <x:c r="W211" s="9" t="n">
        <x:f>Model_Data!B211-Inputs!$C$5</x:f>
        <x:v>2.200277777777785</x:v>
      </x:c>
      <x:c r="X211" s="10"/>
      <x:c r="Y211" s="9" t="n">
        <x:f>Model_Data!A211</x:f>
        <x:v>44.5</x:v>
      </x:c>
      <x:c r="Z211" s="9" t="n">
        <x:f>0</x:f>
        <x:v>0</x:v>
      </x:c>
      <x:c r="AA211" s="9" t="n">
        <x:f>((SQRT((Inputs!$C$52+Inputs!$C$5)^2+Inputs!$C$52^2-2*(Inputs!$C$52+Inputs!$C$5)*Inputs!$C$52*COS(SQRT((Model_Data!A211)^2+Inputs!$C$6^2)/Inputs!$C$52))-Inputs!$C$5)*1000/Inputs!$C$12)</x:f>
        <x:v>2286.561243682292</x:v>
      </x:c>
      <x:c r="AB211" s="9" t="n">
        <x:f>Model_Data!F211</x:f>
        <x:v>2276.7165565683313</x:v>
      </x:c>
    </x:row>
    <x:row r="212">
      <x:c r="A212" s="9" t="n">
        <x:f>Model_Data!A212</x:f>
        <x:v>45</x:v>
      </x:c>
      <x:c r="B212" s="9" t="n">
        <x:f>0</x:f>
        <x:v>0</x:v>
      </x:c>
      <x:c r="C212" s="9" t="n">
        <x:f>((SQRT((Inputs!$C$52+Inputs!$C$5)^2+Inputs!$C$52^2-2*(Inputs!$C$52+Inputs!$C$5)*Inputs!$C$52*COS(SQRT((Model_Data!A212)^2+Inputs!$C$6^2)/Inputs!$C$52))-Inputs!$C$5)*1000/Inputs!$C$12)</x:f>
        <x:v>2325.6324609706467</x:v>
      </x:c>
      <x:c r="D212" s="9" t="n">
        <x:f>Model_Data!F212</x:f>
        <x:v>2315.3965059322627</x:v>
      </x:c>
      <x:c r="E212" s="9" t="n">
        <x:f>Model_Data!AC212</x:f>
        <x:v>2221.0702225572986</x:v>
      </x:c>
      <x:c r="F212" s="10"/>
      <x:c r="G212" s="9" t="n">
        <x:f>Model_Data!A212</x:f>
        <x:v>45</x:v>
      </x:c>
      <x:c r="H212" s="9" t="n">
        <x:f>Model_Data!Y212</x:f>
        <x:v>165.26573251393552</x:v>
      </x:c>
      <x:c r="I212" s="9" t="n">
        <x:f>Model_Data!Y212</x:f>
        <x:v>165.26573251393552</x:v>
      </x:c>
      <x:c r="J212" s="9" t="n">
        <x:f>Model_Data!X212</x:f>
        <x:v>-4.746207968267804</x:v>
      </x:c>
      <x:c r="K212" s="9" t="n">
        <x:f>Model_Data!A212</x:f>
        <x:v>45</x:v>
      </x:c>
      <x:c r="L212" s="9" t="n">
        <x:f>Model_Data!Y212</x:f>
        <x:v>165.26573251393552</x:v>
      </x:c>
      <x:c r="M212" s="9" t="n">
        <x:f>Model_Data!X212</x:f>
        <x:v>-4.746207968267804</x:v>
      </x:c>
      <x:c r="N212" s="9" t="n">
        <x:f>-(Model_Data!AC212-Model_Data!F212)*Inputs!$C$12</x:f>
        <x:v>167.90078440743605</x:v>
      </x:c>
      <x:c r="O212" s="10"/>
      <x:c r="P212" s="9" t="n">
        <x:f>Model_Data!A212</x:f>
        <x:v>45</x:v>
      </x:c>
      <x:c r="Q212" s="9" t="n">
        <x:f>Model_Data!P212</x:f>
        <x:v>-381.5108193193737</x:v>
      </x:c>
      <x:c r="R212" s="9" t="n">
        <x:f>Model_Data!AM212</x:f>
        <x:v>-397.70995031030907</x:v>
      </x:c>
      <x:c r="S212" s="9" t="n">
        <x:f>Model_Data!Q212</x:f>
        <x:v>-57.28390680471077</x:v>
      </x:c>
      <x:c r="T212" s="9" t="n">
        <x:f>Model_Data!AN212</x:f>
        <x:v>-59.716208755301665</x:v>
      </x:c>
      <x:c r="U212" s="10"/>
      <x:c r="V212" s="9" t="n">
        <x:f>Model_Data!A212</x:f>
        <x:v>45</x:v>
      </x:c>
      <x:c r="W212" s="9" t="n">
        <x:f>Model_Data!B212-Inputs!$C$5</x:f>
        <x:v>2.25</x:v>
      </x:c>
      <x:c r="X212" s="10"/>
      <x:c r="Y212" s="9" t="n">
        <x:f>Model_Data!A212</x:f>
        <x:v>45</x:v>
      </x:c>
      <x:c r="Z212" s="9" t="n">
        <x:f>0</x:f>
        <x:v>0</x:v>
      </x:c>
      <x:c r="AA212" s="9" t="n">
        <x:f>((SQRT((Inputs!$C$52+Inputs!$C$5)^2+Inputs!$C$52^2-2*(Inputs!$C$52+Inputs!$C$5)*Inputs!$C$52*COS(SQRT((Model_Data!A212)^2+Inputs!$C$6^2)/Inputs!$C$52))-Inputs!$C$5)*1000/Inputs!$C$12)</x:f>
        <x:v>2325.6324609706467</x:v>
      </x:c>
      <x:c r="AB212" s="9" t="n">
        <x:f>Model_Data!F212</x:f>
        <x:v>2315.3965059322627</x:v>
      </x:c>
    </x:row>
    <x:row r="213">
      <x:c r="A213" s="9" t="n">
        <x:f>Model_Data!A213</x:f>
        <x:v>45.5</x:v>
      </x:c>
      <x:c r="B213" s="9" t="n">
        <x:f>0</x:f>
        <x:v>0</x:v>
      </x:c>
      <x:c r="C213" s="9" t="n">
        <x:f>((SQRT((Inputs!$C$52+Inputs!$C$5)^2+Inputs!$C$52^2-2*(Inputs!$C$52+Inputs!$C$5)*Inputs!$C$52*COS(SQRT((Model_Data!A213)^2+Inputs!$C$6^2)/Inputs!$C$52))-Inputs!$C$5)*1000/Inputs!$C$12)</x:f>
        <x:v>2365.133271037878</x:v>
      </x:c>
      <x:c r="D213" s="9" t="n">
        <x:f>Model_Data!F213</x:f>
        <x:v>2354.494231891164</x:v>
      </x:c>
      <x:c r="E213" s="9" t="n">
        <x:f>Model_Data!AC213</x:f>
        <x:v>2258.120799507168</x:v>
      </x:c>
      <x:c r="F213" s="10"/>
      <x:c r="G213" s="9" t="n">
        <x:f>Model_Data!A213</x:f>
        <x:v>45.5</x:v>
      </x:c>
      <x:c r="H213" s="9" t="n">
        <x:f>Model_Data!Y213</x:f>
        <x:v>168.78187987738474</x:v>
      </x:c>
      <x:c r="I213" s="9" t="n">
        <x:f>Model_Data!Y213</x:f>
        <x:v>168.78187987738474</x:v>
      </x:c>
      <x:c r="J213" s="9" t="n">
        <x:f>Model_Data!X213</x:f>
        <x:v>-4.954776418919145</x:v>
      </x:c>
      <x:c r="K213" s="9" t="n">
        <x:f>Model_Data!A213</x:f>
        <x:v>45.5</x:v>
      </x:c>
      <x:c r="L213" s="9" t="n">
        <x:f>Model_Data!Y213</x:f>
        <x:v>168.78187987738474</x:v>
      </x:c>
      <x:c r="M213" s="9" t="n">
        <x:f>Model_Data!X213</x:f>
        <x:v>-4.954776418919145</x:v>
      </x:c>
      <x:c r="N213" s="9" t="n">
        <x:f>-(Model_Data!AC213-Model_Data!F213)*Inputs!$C$12</x:f>
        <x:v>171.54470964351253</x:v>
      </x:c>
      <x:c r="O213" s="10"/>
      <x:c r="P213" s="9" t="n">
        <x:f>Model_Data!A213</x:f>
        <x:v>45.5</x:v>
      </x:c>
      <x:c r="Q213" s="9" t="n">
        <x:f>Model_Data!P213</x:f>
        <x:v>-385.6669224382131</x:v>
      </x:c>
      <x:c r="R213" s="9" t="n">
        <x:f>Model_Data!AM213</x:f>
        <x:v>-414.2659457460468</x:v>
      </x:c>
      <x:c r="S213" s="9" t="n">
        <x:f>Model_Data!Q213</x:f>
        <x:v>-57.90794631204401</x:v>
      </x:c>
      <x:c r="T213" s="9" t="n">
        <x:f>Model_Data!AN213</x:f>
        <x:v>-62.202093955862885</x:v>
      </x:c>
      <x:c r="U213" s="10"/>
      <x:c r="V213" s="9" t="n">
        <x:f>Model_Data!A213</x:f>
        <x:v>45.5</x:v>
      </x:c>
      <x:c r="W213" s="9" t="n">
        <x:f>Model_Data!B213-Inputs!$C$5</x:f>
        <x:v>2.300277777777751</x:v>
      </x:c>
      <x:c r="X213" s="10"/>
      <x:c r="Y213" s="9" t="n">
        <x:f>Model_Data!A213</x:f>
        <x:v>45.5</x:v>
      </x:c>
      <x:c r="Z213" s="9" t="n">
        <x:f>0</x:f>
        <x:v>0</x:v>
      </x:c>
      <x:c r="AA213" s="9" t="n">
        <x:f>((SQRT((Inputs!$C$52+Inputs!$C$5)^2+Inputs!$C$52^2-2*(Inputs!$C$52+Inputs!$C$5)*Inputs!$C$52*COS(SQRT((Model_Data!A213)^2+Inputs!$C$6^2)/Inputs!$C$52))-Inputs!$C$5)*1000/Inputs!$C$12)</x:f>
        <x:v>2365.133271037878</x:v>
      </x:c>
      <x:c r="AB213" s="9" t="n">
        <x:f>Model_Data!F213</x:f>
        <x:v>2354.494231891164</x:v>
      </x:c>
    </x:row>
    <x:row r="214">
      <x:c r="A214" s="9" t="n">
        <x:f>Model_Data!A214</x:f>
        <x:v>46</x:v>
      </x:c>
      <x:c r="B214" s="9" t="n">
        <x:f>0</x:f>
        <x:v>0</x:v>
      </x:c>
      <x:c r="C214" s="9" t="n">
        <x:f>((SQRT((Inputs!$C$52+Inputs!$C$5)^2+Inputs!$C$52^2-2*(Inputs!$C$52+Inputs!$C$5)*Inputs!$C$52*COS(SQRT((Model_Data!A214)^2+Inputs!$C$6^2)/Inputs!$C$52))-Inputs!$C$5)*1000/Inputs!$C$12)</x:f>
        <x:v>2405.063445691157</x:v>
      </x:c>
      <x:c r="D214" s="9" t="n">
        <x:f>Model_Data!F214</x:f>
        <x:v>2394.0092674001216</x:v>
      </x:c>
      <x:c r="E214" s="9" t="n">
        <x:f>Model_Data!AC214</x:f>
        <x:v>2312.3641104130807</x:v>
      </x:c>
      <x:c r="F214" s="10"/>
      <x:c r="G214" s="9" t="n">
        <x:f>Model_Data!A214</x:f>
        <x:v>46</x:v>
      </x:c>
      <x:c r="H214" s="9" t="n">
        <x:f>Model_Data!Y214</x:f>
        <x:v>147.2236511039814</x:v>
      </x:c>
      <x:c r="I214" s="9" t="n">
        <x:f>Model_Data!Y214</x:f>
        <x:v>147.2236511039814</x:v>
      </x:c>
      <x:c r="J214" s="9" t="n">
        <x:f>Model_Data!X214</x:f>
        <x:v>-0.04819256513620118</x:v>
      </x:c>
      <x:c r="K214" s="9" t="n">
        <x:f>Model_Data!A214</x:f>
        <x:v>46</x:v>
      </x:c>
      <x:c r="L214" s="9" t="n">
        <x:f>Model_Data!Y214</x:f>
        <x:v>147.2236511039814</x:v>
      </x:c>
      <x:c r="M214" s="9" t="n">
        <x:f>Model_Data!X214</x:f>
        <x:v>-0.04819256513620118</x:v>
      </x:c>
      <x:c r="N214" s="9" t="n">
        <x:f>-(Model_Data!AC214-Model_Data!F214)*Inputs!$C$12</x:f>
        <x:v>145.32837943693298</x:v>
      </x:c>
      <x:c r="O214" s="10"/>
      <x:c r="P214" s="9" t="n">
        <x:f>Model_Data!A214</x:f>
        <x:v>46</x:v>
      </x:c>
      <x:c r="Q214" s="9" t="n">
        <x:f>Model_Data!P214</x:f>
        <x:v>-389.8203525829558</x:v>
      </x:c>
      <x:c r="R214" s="9" t="n">
        <x:f>Model_Data!AM214</x:f>
        <x:v>-458.6307151440451</x:v>
      </x:c>
      <x:c r="S214" s="9" t="n">
        <x:f>Model_Data!Q214</x:f>
        <x:v>-58.531584471915295</x:v>
      </x:c>
      <x:c r="T214" s="9" t="n">
        <x:f>Model_Data!AN214</x:f>
        <x:v>-68.86347074234912</x:v>
      </x:c>
      <x:c r="U214" s="10"/>
      <x:c r="V214" s="9" t="n">
        <x:f>Model_Data!A214</x:f>
        <x:v>46</x:v>
      </x:c>
      <x:c r="W214" s="9" t="n">
        <x:f>Model_Data!B214-Inputs!$C$5</x:f>
        <x:v>2.351111111111095</x:v>
      </x:c>
      <x:c r="X214" s="10"/>
      <x:c r="Y214" s="9" t="n">
        <x:f>Model_Data!A214</x:f>
        <x:v>46</x:v>
      </x:c>
      <x:c r="Z214" s="9" t="n">
        <x:f>0</x:f>
        <x:v>0</x:v>
      </x:c>
      <x:c r="AA214" s="9" t="n">
        <x:f>((SQRT((Inputs!$C$52+Inputs!$C$5)^2+Inputs!$C$52^2-2*(Inputs!$C$52+Inputs!$C$5)*Inputs!$C$52*COS(SQRT((Model_Data!A214)^2+Inputs!$C$6^2)/Inputs!$C$52))-Inputs!$C$5)*1000/Inputs!$C$12)</x:f>
        <x:v>2405.063445691157</x:v>
      </x:c>
      <x:c r="AB214" s="9" t="n">
        <x:f>Model_Data!F214</x:f>
        <x:v>2394.0092674001216</x:v>
      </x:c>
    </x:row>
    <x:row r="215">
      <x:c r="A215" s="9" t="n">
        <x:f>Model_Data!A215</x:f>
        <x:v>46.5</x:v>
      </x:c>
      <x:c r="B215" s="9" t="n">
        <x:f>0</x:f>
        <x:v>0</x:v>
      </x:c>
      <x:c r="C215" s="9" t="n">
        <x:f>((SQRT((Inputs!$C$52+Inputs!$C$5)^2+Inputs!$C$52^2-2*(Inputs!$C$52+Inputs!$C$5)*Inputs!$C$52*COS(SQRT((Model_Data!A215)^2+Inputs!$C$6^2)/Inputs!$C$52))-Inputs!$C$5)*1000/Inputs!$C$12)</x:f>
        <x:v>2445.4227544159553</x:v>
      </x:c>
      <x:c r="D215" s="9" t="n">
        <x:f>Model_Data!F215</x:f>
        <x:v>2433.941140959773</x:v>
      </x:c>
      <x:c r="E215" s="9" t="n">
        <x:f>Model_Data!AC215</x:f>
        <x:v>2357.5887684713825</x:v>
      </x:c>
      <x:c r="F215" s="10"/>
      <x:c r="G215" s="9" t="n">
        <x:f>Model_Data!A215</x:f>
        <x:v>46.5</x:v>
      </x:c>
      <x:c r="H215" s="9" t="n">
        <x:f>Model_Data!Y215</x:f>
        <x:v>125.26409736726505</x:v>
      </x:c>
      <x:c r="I215" s="9" t="n">
        <x:f>Model_Data!Y215</x:f>
        <x:v>125.26409736726505</x:v>
      </x:c>
      <x:c r="J215" s="9" t="n">
        <x:f>Model_Data!X215</x:f>
        <x:v>-12.32376640540756</x:v>
      </x:c>
      <x:c r="K215" s="9" t="n">
        <x:f>Model_Data!A215</x:f>
        <x:v>46.5</x:v>
      </x:c>
      <x:c r="L215" s="9" t="n">
        <x:f>Model_Data!Y215</x:f>
        <x:v>125.26409736726505</x:v>
      </x:c>
      <x:c r="M215" s="9" t="n">
        <x:f>Model_Data!X215</x:f>
        <x:v>-12.32376640540756</x:v>
      </x:c>
      <x:c r="N215" s="9" t="n">
        <x:f>-(Model_Data!AC215-Model_Data!F215)*Inputs!$C$12</x:f>
        <x:v>135.90722302933474</x:v>
      </x:c>
      <x:c r="O215" s="10"/>
      <x:c r="P215" s="9" t="n">
        <x:f>Model_Data!A215</x:f>
        <x:v>46.5</x:v>
      </x:c>
      <x:c r="Q215" s="9" t="n">
        <x:f>Model_Data!P215</x:f>
        <x:v>-393.9710844109868</x:v>
      </x:c>
      <x:c r="R215" s="9" t="n">
        <x:f>Model_Data!AM215</x:f>
        <x:v>-438.4974537015296</x:v>
      </x:c>
      <x:c r="S215" s="9" t="n">
        <x:f>Model_Data!Q215</x:f>
        <x:v>-59.15481747912715</x:v>
      </x:c>
      <x:c r="T215" s="9" t="n">
        <x:f>Model_Data!AN215</x:f>
        <x:v>-65.84045851374319</x:v>
      </x:c>
      <x:c r="U215" s="10"/>
      <x:c r="V215" s="9" t="n">
        <x:f>Model_Data!A215</x:f>
        <x:v>46.5</x:v>
      </x:c>
      <x:c r="W215" s="9" t="n">
        <x:f>Model_Data!B215-Inputs!$C$5</x:f>
        <x:v>2.402499999999975</x:v>
      </x:c>
      <x:c r="X215" s="10"/>
      <x:c r="Y215" s="9" t="n">
        <x:f>Model_Data!A215</x:f>
        <x:v>46.5</x:v>
      </x:c>
      <x:c r="Z215" s="9" t="n">
        <x:f>0</x:f>
        <x:v>0</x:v>
      </x:c>
      <x:c r="AA215" s="9" t="n">
        <x:f>((SQRT((Inputs!$C$52+Inputs!$C$5)^2+Inputs!$C$52^2-2*(Inputs!$C$52+Inputs!$C$5)*Inputs!$C$52*COS(SQRT((Model_Data!A215)^2+Inputs!$C$6^2)/Inputs!$C$52))-Inputs!$C$5)*1000/Inputs!$C$12)</x:f>
        <x:v>2445.4227544159553</x:v>
      </x:c>
      <x:c r="AB215" s="9" t="n">
        <x:f>Model_Data!F215</x:f>
        <x:v>2433.941140959773</x:v>
      </x:c>
    </x:row>
    <x:row r="216">
      <x:c r="A216" s="9" t="n">
        <x:f>Model_Data!A216</x:f>
        <x:v>47</x:v>
      </x:c>
      <x:c r="B216" s="9" t="n">
        <x:f>0</x:f>
        <x:v>0</x:v>
      </x:c>
      <x:c r="C216" s="9" t="n">
        <x:f>((SQRT((Inputs!$C$52+Inputs!$C$5)^2+Inputs!$C$52^2-2*(Inputs!$C$52+Inputs!$C$5)*Inputs!$C$52*COS(SQRT((Model_Data!A216)^2+Inputs!$C$6^2)/Inputs!$C$52))-Inputs!$C$5)*1000/Inputs!$C$12)</x:f>
        <x:v>2486.2109643863873</x:v>
      </x:c>
      <x:c r="D216" s="9" t="n">
        <x:f>Model_Data!F216</x:f>
        <x:v>2474.289376626815</x:v>
      </x:c>
      <x:c r="E216" s="9" t="n">
        <x:f>Model_Data!AC216</x:f>
        <x:v>2411.4655156005692</x:v>
      </x:c>
      <x:c r="F216" s="10"/>
      <x:c r="G216" s="9" t="n">
        <x:f>Model_Data!A216</x:f>
        <x:v>47</x:v>
      </x:c>
      <x:c r="H216" s="9" t="n">
        <x:f>Model_Data!Y216</x:f>
        <x:v>119.07484471636309</x:v>
      </x:c>
      <x:c r="I216" s="9" t="n">
        <x:f>Model_Data!Y216</x:f>
        <x:v>119.07484471636309</x:v>
      </x:c>
      <x:c r="J216" s="9" t="n">
        <x:f>Model_Data!X216</x:f>
        <x:v>5.624733438492097</x:v>
      </x:c>
      <x:c r="K216" s="9" t="n">
        <x:f>Model_Data!A216</x:f>
        <x:v>47</x:v>
      </x:c>
      <x:c r="L216" s="9" t="n">
        <x:f>Model_Data!Y216</x:f>
        <x:v>119.07484471636309</x:v>
      </x:c>
      <x:c r="M216" s="9" t="n">
        <x:f>Model_Data!X216</x:f>
        <x:v>5.624733438492097</x:v>
      </x:c>
      <x:c r="N216" s="9" t="n">
        <x:f>-(Model_Data!AC216-Model_Data!F216)*Inputs!$C$12</x:f>
        <x:v>111.82647262671716</x:v>
      </x:c>
      <x:c r="O216" s="10"/>
      <x:c r="P216" s="9" t="n">
        <x:f>Model_Data!A216</x:f>
        <x:v>47</x:v>
      </x:c>
      <x:c r="Q216" s="9" t="n">
        <x:f>Model_Data!P216</x:f>
        <x:v>-398.1190926891031</x:v>
      </x:c>
      <x:c r="R216" s="9" t="n">
        <x:f>Model_Data!AM216</x:f>
        <x:v>-425.83713410422206</x:v>
      </x:c>
      <x:c r="S216" s="9" t="n">
        <x:f>Model_Data!Q216</x:f>
        <x:v>-59.77764154491039</x:v>
      </x:c>
      <x:c r="T216" s="9" t="n">
        <x:f>Model_Data!AN216</x:f>
        <x:v>-63.93950962525857</x:v>
      </x:c>
      <x:c r="U216" s="10"/>
      <x:c r="V216" s="9" t="n">
        <x:f>Model_Data!A216</x:f>
        <x:v>47</x:v>
      </x:c>
      <x:c r="W216" s="9" t="n">
        <x:f>Model_Data!B216-Inputs!$C$5</x:f>
        <x:v>2.454444444444448</x:v>
      </x:c>
      <x:c r="X216" s="10"/>
      <x:c r="Y216" s="9" t="n">
        <x:f>Model_Data!A216</x:f>
        <x:v>47</x:v>
      </x:c>
      <x:c r="Z216" s="9" t="n">
        <x:f>0</x:f>
        <x:v>0</x:v>
      </x:c>
      <x:c r="AA216" s="9" t="n">
        <x:f>((SQRT((Inputs!$C$52+Inputs!$C$5)^2+Inputs!$C$52^2-2*(Inputs!$C$52+Inputs!$C$5)*Inputs!$C$52*COS(SQRT((Model_Data!A216)^2+Inputs!$C$6^2)/Inputs!$C$52))-Inputs!$C$5)*1000/Inputs!$C$12)</x:f>
        <x:v>2486.2109643863873</x:v>
      </x:c>
      <x:c r="AB216" s="9" t="n">
        <x:f>Model_Data!F216</x:f>
        <x:v>2474.289376626815</x:v>
      </x:c>
    </x:row>
    <x:row r="217">
      <x:c r="A217" s="9" t="n">
        <x:f>Model_Data!A217</x:f>
        <x:v>47.5</x:v>
      </x:c>
      <x:c r="B217" s="9" t="n">
        <x:f>0</x:f>
        <x:v>0</x:v>
      </x:c>
      <x:c r="C217" s="9" t="n">
        <x:f>((SQRT((Inputs!$C$52+Inputs!$C$5)^2+Inputs!$C$52^2-2*(Inputs!$C$52+Inputs!$C$5)*Inputs!$C$52*COS(SQRT((Model_Data!A217)^2+Inputs!$C$6^2)/Inputs!$C$52))-Inputs!$C$5)*1000/Inputs!$C$12)</x:f>
        <x:v>2527.427840468437</x:v>
      </x:c>
      <x:c r="D217" s="9" t="n">
        <x:f>Model_Data!F217</x:f>
        <x:v>2515.0534940419116</x:v>
      </x:c>
      <x:c r="E217" s="9" t="n">
        <x:f>Model_Data!AC217</x:f>
        <x:v>2458.0119989601626</x:v>
      </x:c>
      <x:c r="F217" s="10"/>
      <x:c r="G217" s="9" t="n">
        <x:f>Model_Data!A217</x:f>
        <x:v>47.5</x:v>
      </x:c>
      <x:c r="H217" s="9" t="n">
        <x:f>Model_Data!Y217</x:f>
        <x:v>107.75271022723112</x:v>
      </x:c>
      <x:c r="I217" s="9" t="n">
        <x:f>Model_Data!Y217</x:f>
        <x:v>107.75271022723112</x:v>
      </x:c>
      <x:c r="J217" s="9" t="n">
        <x:f>Model_Data!X217</x:f>
        <x:v>4.725819493947935</x:v>
      </x:c>
      <x:c r="K217" s="9" t="n">
        <x:f>Model_Data!A217</x:f>
        <x:v>47.5</x:v>
      </x:c>
      <x:c r="L217" s="9" t="n">
        <x:f>Model_Data!Y217</x:f>
        <x:v>107.75271022723112</x:v>
      </x:c>
      <x:c r="M217" s="9" t="n">
        <x:f>Model_Data!X217</x:f>
        <x:v>4.725819493947935</x:v>
      </x:c>
      <x:c r="N217" s="9" t="n">
        <x:f>-(Model_Data!AC217-Model_Data!F217)*Inputs!$C$12</x:f>
        <x:v>101.53386124551315</x:v>
      </x:c>
      <x:c r="O217" s="10"/>
      <x:c r="P217" s="9" t="n">
        <x:f>Model_Data!A217</x:f>
        <x:v>47.5</x:v>
      </x:c>
      <x:c r="Q217" s="9" t="n">
        <x:f>Model_Data!P217</x:f>
        <x:v>-402.26435232361837</x:v>
      </x:c>
      <x:c r="R217" s="9" t="n">
        <x:f>Model_Data!AM217</x:f>
        <x:v>-393.00673283623837</x:v>
      </x:c>
      <x:c r="S217" s="9" t="n">
        <x:f>Model_Data!Q217</x:f>
        <x:v>-60.400052901444205</x:v>
      </x:c>
      <x:c r="T217" s="9" t="n">
        <x:f>Model_Data!AN217</x:f>
        <x:v>-59.01001994538114</x:v>
      </x:c>
      <x:c r="U217" s="10"/>
      <x:c r="V217" s="9" t="n">
        <x:f>Model_Data!A217</x:f>
        <x:v>47.5</x:v>
      </x:c>
      <x:c r="W217" s="9" t="n">
        <x:f>Model_Data!B217-Inputs!$C$5</x:f>
        <x:v>2.506944444444457</x:v>
      </x:c>
      <x:c r="X217" s="10"/>
      <x:c r="Y217" s="9" t="n">
        <x:f>Model_Data!A217</x:f>
        <x:v>47.5</x:v>
      </x:c>
      <x:c r="Z217" s="9" t="n">
        <x:f>0</x:f>
        <x:v>0</x:v>
      </x:c>
      <x:c r="AA217" s="9" t="n">
        <x:f>((SQRT((Inputs!$C$52+Inputs!$C$5)^2+Inputs!$C$52^2-2*(Inputs!$C$52+Inputs!$C$5)*Inputs!$C$52*COS(SQRT((Model_Data!A217)^2+Inputs!$C$6^2)/Inputs!$C$52))-Inputs!$C$5)*1000/Inputs!$C$12)</x:f>
        <x:v>2527.427840468437</x:v>
      </x:c>
      <x:c r="AB217" s="9" t="n">
        <x:f>Model_Data!F217</x:f>
        <x:v>2515.0534940419116</x:v>
      </x:c>
    </x:row>
    <x:row r="218">
      <x:c r="A218" s="9" t="n">
        <x:f>Model_Data!A218</x:f>
        <x:v>48</x:v>
      </x:c>
      <x:c r="B218" s="9" t="n">
        <x:f>0</x:f>
        <x:v>0</x:v>
      </x:c>
      <x:c r="C218" s="9" t="n">
        <x:f>((SQRT((Inputs!$C$52+Inputs!$C$5)^2+Inputs!$C$52^2-2*(Inputs!$C$52+Inputs!$C$5)*Inputs!$C$52*COS(SQRT((Model_Data!A218)^2+Inputs!$C$6^2)/Inputs!$C$52))-Inputs!$C$5)*1000/Inputs!$C$12)</x:f>
        <x:v>2569.073145227782</x:v>
      </x:c>
      <x:c r="D218" s="9" t="n">
        <x:f>Model_Data!F218</x:f>
        <x:v>2556.233008450807</x:v>
      </x:c>
      <x:c r="E218" s="9" t="n">
        <x:f>Model_Data!AC218</x:f>
        <x:v>2481.8992258812787</x:v>
      </x:c>
      <x:c r="F218" s="10"/>
      <x:c r="G218" s="9" t="n">
        <x:f>Model_Data!A218</x:f>
        <x:v>48</x:v>
      </x:c>
      <x:c r="H218" s="9" t="n">
        <x:f>Model_Data!Y218</x:f>
        <x:v>124.99715373468393</x:v>
      </x:c>
      <x:c r="I218" s="9" t="n">
        <x:f>Model_Data!Y218</x:f>
        <x:v>124.99715373468393</x:v>
      </x:c>
      <x:c r="J218" s="9" t="n">
        <x:f>Model_Data!X218</x:f>
        <x:v>-9.076914728959792</x:v>
      </x:c>
      <x:c r="K218" s="9" t="n">
        <x:f>Model_Data!A218</x:f>
        <x:v>48</x:v>
      </x:c>
      <x:c r="L218" s="9" t="n">
        <x:f>Model_Data!Y218</x:f>
        <x:v>124.99715373468393</x:v>
      </x:c>
      <x:c r="M218" s="9" t="n">
        <x:f>Model_Data!X218</x:f>
        <x:v>-9.076914728959792</x:v>
      </x:c>
      <x:c r="N218" s="9" t="n">
        <x:f>-(Model_Data!AC218-Model_Data!F218)*Inputs!$C$12</x:f>
        <x:v>132.31413297376068</x:v>
      </x:c>
      <x:c r="O218" s="10"/>
      <x:c r="P218" s="9" t="n">
        <x:f>Model_Data!A218</x:f>
        <x:v>48</x:v>
      </x:c>
      <x:c r="Q218" s="9" t="n">
        <x:f>Model_Data!P218</x:f>
        <x:v>-406.40683834462834</x:v>
      </x:c>
      <x:c r="R218" s="9" t="n">
        <x:f>Model_Data!AM218</x:f>
        <x:v>-396.2138094164402</x:v>
      </x:c>
      <x:c r="S218" s="9" t="n">
        <x:f>Model_Data!Q218</x:f>
        <x:v>-61.02204779949375</x:v>
      </x:c>
      <x:c r="T218" s="9" t="n">
        <x:f>Model_Data!AN218</x:f>
        <x:v>-59.491562975441475</x:v>
      </x:c>
      <x:c r="U218" s="10"/>
      <x:c r="V218" s="9" t="n">
        <x:f>Model_Data!A218</x:f>
        <x:v>48</x:v>
      </x:c>
      <x:c r="W218" s="9" t="n">
        <x:f>Model_Data!B218-Inputs!$C$5</x:f>
        <x:v>2.5600000000000023</x:v>
      </x:c>
      <x:c r="X218" s="10"/>
      <x:c r="Y218" s="9" t="n">
        <x:f>Model_Data!A218</x:f>
        <x:v>48</x:v>
      </x:c>
      <x:c r="Z218" s="9" t="n">
        <x:f>0</x:f>
        <x:v>0</x:v>
      </x:c>
      <x:c r="AA218" s="9" t="n">
        <x:f>((SQRT((Inputs!$C$52+Inputs!$C$5)^2+Inputs!$C$52^2-2*(Inputs!$C$52+Inputs!$C$5)*Inputs!$C$52*COS(SQRT((Model_Data!A218)^2+Inputs!$C$6^2)/Inputs!$C$52))-Inputs!$C$5)*1000/Inputs!$C$12)</x:f>
        <x:v>2569.073145227782</x:v>
      </x:c>
      <x:c r="AB218" s="9" t="n">
        <x:f>Model_Data!F218</x:f>
        <x:v>2556.233008450807</x:v>
      </x:c>
    </x:row>
    <x:row r="219">
      <x:c r="A219" s="9" t="n">
        <x:f>Model_Data!A219</x:f>
        <x:v>48.5</x:v>
      </x:c>
      <x:c r="B219" s="9" t="n">
        <x:f>0</x:f>
        <x:v>0</x:v>
      </x:c>
      <x:c r="C219" s="9" t="n">
        <x:f>((SQRT((Inputs!$C$52+Inputs!$C$5)^2+Inputs!$C$52^2-2*(Inputs!$C$52+Inputs!$C$5)*Inputs!$C$52*COS(SQRT((Model_Data!A219)^2+Inputs!$C$6^2)/Inputs!$C$52))-Inputs!$C$5)*1000/Inputs!$C$12)</x:f>
        <x:v>2611.146638936885</x:v>
      </x:c>
      <x:c r="D219" s="9" t="n">
        <x:f>Model_Data!F219</x:f>
        <x:v>2597.8274307266115</x:v>
      </x:c>
      <x:c r="E219" s="9" t="n">
        <x:f>Model_Data!AC219</x:f>
        <x:v>2533.405410159417</x:v>
      </x:c>
      <x:c r="F219" s="10"/>
      <x:c r="G219" s="9" t="n">
        <x:f>Model_Data!A219</x:f>
        <x:v>48.5</x:v>
      </x:c>
      <x:c r="H219" s="9" t="n">
        <x:f>Model_Data!Y219</x:f>
        <x:v>114.2648488799635</x:v>
      </x:c>
      <x:c r="I219" s="9" t="n">
        <x:f>Model_Data!Y219</x:f>
        <x:v>114.2648488799635</x:v>
      </x:c>
      <x:c r="J219" s="9" t="n">
        <x:f>Model_Data!X219</x:f>
        <x:v>-2.0408727900443155</x:v>
      </x:c>
      <x:c r="K219" s="9" t="n">
        <x:f>Model_Data!A219</x:f>
        <x:v>48.5</x:v>
      </x:c>
      <x:c r="L219" s="9" t="n">
        <x:f>Model_Data!Y219</x:f>
        <x:v>114.2648488799635</x:v>
      </x:c>
      <x:c r="M219" s="9" t="n">
        <x:f>Model_Data!X219</x:f>
        <x:v>-2.0408727900443155</x:v>
      </x:c>
      <x:c r="N219" s="9" t="n">
        <x:f>-(Model_Data!AC219-Model_Data!F219)*Inputs!$C$12</x:f>
        <x:v>114.67119660960626</x:v>
      </x:c>
      <x:c r="O219" s="10"/>
      <x:c r="P219" s="9" t="n">
        <x:f>Model_Data!A219</x:f>
        <x:v>48.5</x:v>
      </x:c>
      <x:c r="Q219" s="9" t="n">
        <x:f>Model_Data!P219</x:f>
        <x:v>-410.54652591110425</x:v>
      </x:c>
      <x:c r="R219" s="9" t="n">
        <x:f>Model_Data!AM219</x:f>
        <x:v>-435.0026550449911</x:v>
      </x:c>
      <x:c r="S219" s="9" t="n">
        <x:f>Model_Data!Q219</x:f>
        <x:v>-61.64362250917482</x:v>
      </x:c>
      <x:c r="T219" s="9" t="n">
        <x:f>Model_Data!AN219</x:f>
        <x:v>-65.31571397071939</x:v>
      </x:c>
      <x:c r="U219" s="10"/>
      <x:c r="V219" s="9" t="n">
        <x:f>Model_Data!A219</x:f>
        <x:v>48.5</x:v>
      </x:c>
      <x:c r="W219" s="9" t="n">
        <x:f>Model_Data!B219-Inputs!$C$5</x:f>
        <x:v>2.6136111111110836</x:v>
      </x:c>
      <x:c r="X219" s="10"/>
      <x:c r="Y219" s="9" t="n">
        <x:f>Model_Data!A219</x:f>
        <x:v>48.5</x:v>
      </x:c>
      <x:c r="Z219" s="9" t="n">
        <x:f>0</x:f>
        <x:v>0</x:v>
      </x:c>
      <x:c r="AA219" s="9" t="n">
        <x:f>((SQRT((Inputs!$C$52+Inputs!$C$5)^2+Inputs!$C$52^2-2*(Inputs!$C$52+Inputs!$C$5)*Inputs!$C$52*COS(SQRT((Model_Data!A219)^2+Inputs!$C$6^2)/Inputs!$C$52))-Inputs!$C$5)*1000/Inputs!$C$12)</x:f>
        <x:v>2611.146638936885</x:v>
      </x:c>
      <x:c r="AB219" s="9" t="n">
        <x:f>Model_Data!F219</x:f>
        <x:v>2597.8274307266115</x:v>
      </x:c>
    </x:row>
    <x:row r="220">
      <x:c r="A220" s="9" t="n">
        <x:f>Model_Data!A220</x:f>
        <x:v>49</x:v>
      </x:c>
      <x:c r="B220" s="9" t="n">
        <x:f>0</x:f>
        <x:v>0</x:v>
      </x:c>
      <x:c r="C220" s="9" t="n">
        <x:f>((SQRT((Inputs!$C$52+Inputs!$C$5)^2+Inputs!$C$52^2-2*(Inputs!$C$52+Inputs!$C$5)*Inputs!$C$52*COS(SQRT((Model_Data!A220)^2+Inputs!$C$6^2)/Inputs!$C$52))-Inputs!$C$5)*1000/Inputs!$C$12)</x:f>
        <x:v>2653.6480795811526</x:v>
      </x:c>
      <x:c r="D220" s="9" t="n">
        <x:f>Model_Data!F220</x:f>
        <x:v>2639.8362673927654</x:v>
      </x:c>
      <x:c r="E220" s="9" t="n">
        <x:f>Model_Data!AC220</x:f>
        <x:v>2585.04912675488</x:v>
      </x:c>
      <x:c r="F220" s="10"/>
      <x:c r="G220" s="9" t="n">
        <x:f>Model_Data!A220</x:f>
        <x:v>49</x:v>
      </x:c>
      <x:c r="H220" s="9" t="n">
        <x:f>Model_Data!Y220</x:f>
        <x:v>109.54402369059221</x:v>
      </x:c>
      <x:c r="I220" s="9" t="n">
        <x:f>Model_Data!Y220</x:f>
        <x:v>109.54402369059221</x:v>
      </x:c>
      <x:c r="J220" s="9" t="n">
        <x:f>Model_Data!X220</x:f>
        <x:v>10.43102720072224</x:v>
      </x:c>
      <x:c r="K220" s="9" t="n">
        <x:f>Model_Data!A220</x:f>
        <x:v>49</x:v>
      </x:c>
      <x:c r="L220" s="9" t="n">
        <x:f>Model_Data!Y220</x:f>
        <x:v>109.54402369059221</x:v>
      </x:c>
      <x:c r="M220" s="9" t="n">
        <x:f>Model_Data!X220</x:f>
        <x:v>10.43102720072224</x:v>
      </x:c>
      <x:c r="N220" s="9" t="n">
        <x:f>-(Model_Data!AC220-Model_Data!F220)*Inputs!$C$12</x:f>
        <x:v>97.52111033543599</x:v>
      </x:c>
      <x:c r="O220" s="10"/>
      <x:c r="P220" s="9" t="n">
        <x:f>Model_Data!A220</x:f>
        <x:v>49</x:v>
      </x:c>
      <x:c r="Q220" s="9" t="n">
        <x:f>Model_Data!P220</x:f>
        <x:v>-414.6833903003426</x:v>
      </x:c>
      <x:c r="R220" s="9" t="n">
        <x:f>Model_Data!AM220</x:f>
        <x:v>-412.3174071446556</x:v>
      </x:c>
      <x:c r="S220" s="9" t="n">
        <x:f>Model_Data!Q220</x:f>
        <x:v>-62.26477331836976</x:v>
      </x:c>
      <x:c r="T220" s="9" t="n">
        <x:f>Model_Data!AN220</x:f>
        <x:v>-61.90952059229063</x:v>
      </x:c>
      <x:c r="U220" s="10"/>
      <x:c r="V220" s="9" t="n">
        <x:f>Model_Data!A220</x:f>
        <x:v>49</x:v>
      </x:c>
      <x:c r="W220" s="9" t="n">
        <x:f>Model_Data!B220-Inputs!$C$5</x:f>
        <x:v>2.667777777777758</x:v>
      </x:c>
      <x:c r="X220" s="10"/>
      <x:c r="Y220" s="9" t="n">
        <x:f>Model_Data!A220</x:f>
        <x:v>49</x:v>
      </x:c>
      <x:c r="Z220" s="9" t="n">
        <x:f>0</x:f>
        <x:v>0</x:v>
      </x:c>
      <x:c r="AA220" s="9" t="n">
        <x:f>((SQRT((Inputs!$C$52+Inputs!$C$5)^2+Inputs!$C$52^2-2*(Inputs!$C$52+Inputs!$C$5)*Inputs!$C$52*COS(SQRT((Model_Data!A220)^2+Inputs!$C$6^2)/Inputs!$C$52))-Inputs!$C$5)*1000/Inputs!$C$12)</x:f>
        <x:v>2653.6480795811526</x:v>
      </x:c>
      <x:c r="AB220" s="9" t="n">
        <x:f>Model_Data!F220</x:f>
        <x:v>2639.8362673927654</x:v>
      </x:c>
    </x:row>
    <x:row r="221">
      <x:c r="A221" s="9" t="n">
        <x:f>Model_Data!A221</x:f>
        <x:v>49.5</x:v>
      </x:c>
      <x:c r="B221" s="9" t="n">
        <x:f>0</x:f>
        <x:v>0</x:v>
      </x:c>
      <x:c r="C221" s="9" t="n">
        <x:f>((SQRT((Inputs!$C$52+Inputs!$C$5)^2+Inputs!$C$52^2-2*(Inputs!$C$52+Inputs!$C$5)*Inputs!$C$52*COS(SQRT((Model_Data!A221)^2+Inputs!$C$6^2)/Inputs!$C$52))-Inputs!$C$5)*1000/Inputs!$C$12)</x:f>
        <x:v>2696.577222862134</x:v>
      </x:c>
      <x:c r="D221" s="9" t="n">
        <x:f>Model_Data!F221</x:f>
        <x:v>2682.2590206416526</x:v>
      </x:c>
      <x:c r="E221" s="9" t="n">
        <x:f>Model_Data!AC221</x:f>
        <x:v>2616.8775635060647</x:v>
      </x:c>
      <x:c r="F221" s="10"/>
      <x:c r="G221" s="9" t="n">
        <x:f>Model_Data!A221</x:f>
        <x:v>49.5</x:v>
      </x:c>
      <x:c r="H221" s="9" t="n">
        <x:f>Model_Data!Y221</x:f>
        <x:v>115.81874031490976</x:v>
      </x:c>
      <x:c r="I221" s="9" t="n">
        <x:f>Model_Data!Y221</x:f>
        <x:v>115.81874031490976</x:v>
      </x:c>
      <x:c r="J221" s="9" t="n">
        <x:f>Model_Data!X221</x:f>
        <x:v>-2.2699304094542576</x:v>
      </x:c>
      <x:c r="K221" s="9" t="n">
        <x:f>Model_Data!A221</x:f>
        <x:v>49.5</x:v>
      </x:c>
      <x:c r="L221" s="9" t="n">
        <x:f>Model_Data!Y221</x:f>
        <x:v>115.81874031490976</x:v>
      </x:c>
      <x:c r="M221" s="9" t="n">
        <x:f>Model_Data!X221</x:f>
        <x:v>-2.2699304094542576</x:v>
      </x:c>
      <x:c r="N221" s="9" t="n">
        <x:f>-(Model_Data!AC221-Model_Data!F221)*Inputs!$C$12</x:f>
        <x:v>116.37899370134643</x:v>
      </x:c>
      <x:c r="O221" s="10"/>
      <x:c r="P221" s="9" t="n">
        <x:f>Model_Data!A221</x:f>
        <x:v>49.5</x:v>
      </x:c>
      <x:c r="Q221" s="9" t="n">
        <x:f>Model_Data!P221</x:f>
        <x:v>-418.81740692178937</x:v>
      </x:c>
      <x:c r="R221" s="9" t="n">
        <x:f>Model_Data!AM221</x:f>
        <x:v>-409.9288273368984</x:v>
      </x:c>
      <x:c r="S221" s="9" t="n">
        <x:f>Model_Data!Q221</x:f>
        <x:v>-62.88549653480322</x:v>
      </x:c>
      <x:c r="T221" s="9" t="n">
        <x:f>Model_Data!AN221</x:f>
        <x:v>-61.550874975510276</x:v>
      </x:c>
      <x:c r="U221" s="10"/>
      <x:c r="V221" s="9" t="n">
        <x:f>Model_Data!A221</x:f>
        <x:v>49.5</x:v>
      </x:c>
      <x:c r="W221" s="9" t="n">
        <x:f>Model_Data!B221-Inputs!$C$5</x:f>
        <x:v>2.722500000000025</x:v>
      </x:c>
      <x:c r="X221" s="10"/>
      <x:c r="Y221" s="9" t="n">
        <x:f>Model_Data!A221</x:f>
        <x:v>49.5</x:v>
      </x:c>
      <x:c r="Z221" s="9" t="n">
        <x:f>0</x:f>
        <x:v>0</x:v>
      </x:c>
      <x:c r="AA221" s="9" t="n">
        <x:f>((SQRT((Inputs!$C$52+Inputs!$C$5)^2+Inputs!$C$52^2-2*(Inputs!$C$52+Inputs!$C$5)*Inputs!$C$52*COS(SQRT((Model_Data!A221)^2+Inputs!$C$6^2)/Inputs!$C$52))-Inputs!$C$5)*1000/Inputs!$C$12)</x:f>
        <x:v>2696.577222862134</x:v>
      </x:c>
      <x:c r="AB221" s="9" t="n">
        <x:f>Model_Data!F221</x:f>
        <x:v>2682.2590206416526</x:v>
      </x:c>
    </x:row>
    <x:row r="222">
      <x:c r="A222" s="9" t="n">
        <x:f>Model_Data!A222</x:f>
        <x:v>50</x:v>
      </x:c>
      <x:c r="B222" s="9" t="n">
        <x:f>0</x:f>
        <x:v>0</x:v>
      </x:c>
      <x:c r="C222" s="9" t="n">
        <x:f>((SQRT((Inputs!$C$52+Inputs!$C$5)^2+Inputs!$C$52^2-2*(Inputs!$C$52+Inputs!$C$5)*Inputs!$C$52*COS(SQRT((Model_Data!A222)^2+Inputs!$C$6^2)/Inputs!$C$52))-Inputs!$C$5)*1000/Inputs!$C$12)</x:f>
        <x:v>2739.9338222122688</x:v>
      </x:c>
      <x:c r="D222" s="9" t="n">
        <x:f>Model_Data!F222</x:f>
        <x:v>2725.0951883624866</x:v>
      </x:c>
      <x:c r="E222" s="9" t="n">
        <x:f>Model_Data!AC222</x:f>
        <x:v>2665.918271846108</x:v>
      </x:c>
      <x:c r="F222" s="10"/>
      <x:c r="G222" s="9" t="n">
        <x:f>Model_Data!A222</x:f>
        <x:v>50</x:v>
      </x:c>
      <x:c r="H222" s="9" t="n">
        <x:f>Model_Data!Y222</x:f>
        <x:v>115.23525161719914</x:v>
      </x:c>
      <x:c r="I222" s="9" t="n">
        <x:f>Model_Data!Y222</x:f>
        <x:v>115.23525161719914</x:v>
      </x:c>
      <x:c r="J222" s="9" t="n">
        <x:f>Model_Data!X222</x:f>
        <x:v>8.17258837755962</x:v>
      </x:c>
      <x:c r="K222" s="9" t="n">
        <x:f>Model_Data!A222</x:f>
        <x:v>50</x:v>
      </x:c>
      <x:c r="L222" s="9" t="n">
        <x:f>Model_Data!Y222</x:f>
        <x:v>115.23525161719914</x:v>
      </x:c>
      <x:c r="M222" s="9" t="n">
        <x:f>Model_Data!X222</x:f>
        <x:v>8.17258837755962</x:v>
      </x:c>
      <x:c r="N222" s="9" t="n">
        <x:f>-(Model_Data!AC222-Model_Data!F222)*Inputs!$C$12</x:f>
        <x:v>105.33491139915408</x:v>
      </x:c>
      <x:c r="O222" s="10"/>
      <x:c r="P222" s="9" t="n">
        <x:f>Model_Data!A222</x:f>
        <x:v>50</x:v>
      </x:c>
      <x:c r="Q222" s="9" t="n">
        <x:f>Model_Data!P222</x:f>
        <x:v>-422.9485513214968</x:v>
      </x:c>
      <x:c r="R222" s="9" t="n">
        <x:f>Model_Data!AM222</x:f>
        <x:v>-389.68272555466683</x:v>
      </x:c>
      <x:c r="S222" s="9" t="n">
        <x:f>Model_Data!Q222</x:f>
        <x:v>-63.50578848671123</x:v>
      </x:c>
      <x:c r="T222" s="9" t="n">
        <x:f>Model_Data!AN222</x:f>
        <x:v>-58.51091975295298</x:v>
      </x:c>
      <x:c r="U222" s="10"/>
      <x:c r="V222" s="9" t="n">
        <x:f>Model_Data!A222</x:f>
        <x:v>50</x:v>
      </x:c>
      <x:c r="W222" s="9" t="n">
        <x:f>Model_Data!B222-Inputs!$C$5</x:f>
        <x:v>2.7777777777777715</x:v>
      </x:c>
      <x:c r="X222" s="10"/>
      <x:c r="Y222" s="9" t="n">
        <x:f>Model_Data!A222</x:f>
        <x:v>50</x:v>
      </x:c>
      <x:c r="Z222" s="9" t="n">
        <x:f>0</x:f>
        <x:v>0</x:v>
      </x:c>
      <x:c r="AA222" s="9" t="n">
        <x:f>((SQRT((Inputs!$C$52+Inputs!$C$5)^2+Inputs!$C$52^2-2*(Inputs!$C$52+Inputs!$C$5)*Inputs!$C$52*COS(SQRT((Model_Data!A222)^2+Inputs!$C$6^2)/Inputs!$C$52))-Inputs!$C$5)*1000/Inputs!$C$12)</x:f>
        <x:v>2739.9338222122688</x:v>
      </x:c>
      <x:c r="AB222" s="9" t="n">
        <x:f>Model_Data!F222</x:f>
        <x:v>2725.0951883624866</x:v>
      </x:c>
    </x:row>
    <x:row r="223">
      <x:c r="A223" s="9" t="n">
        <x:f>Model_Data!A223</x:f>
        <x:v>50.5</x:v>
      </x:c>
      <x:c r="B223" s="9" t="n">
        <x:f>0</x:f>
        <x:v>0</x:v>
      </x:c>
      <x:c r="C223" s="9" t="n">
        <x:f>((SQRT((Inputs!$C$52+Inputs!$C$5)^2+Inputs!$C$52^2-2*(Inputs!$C$52+Inputs!$C$5)*Inputs!$C$52*COS(SQRT((Model_Data!A223)^2+Inputs!$C$6^2)/Inputs!$C$52))-Inputs!$C$5)*1000/Inputs!$C$12)</x:f>
        <x:v>2783.717628794319</x:v>
      </x:c>
      <x:c r="D223" s="9" t="n">
        <x:f>Model_Data!F223</x:f>
        <x:v>2768.3442641612314</x:v>
      </x:c>
      <x:c r="E223" s="9" t="n">
        <x:f>Model_Data!AC223</x:f>
        <x:v>2696.5887627519924</x:v>
      </x:c>
      <x:c r="F223" s="10"/>
      <x:c r="G223" s="9" t="n">
        <x:f>Model_Data!A223</x:f>
        <x:v>50.5</x:v>
      </x:c>
      <x:c r="H223" s="9" t="n">
        <x:f>Model_Data!Y223</x:f>
        <x:v>136.98620076238512</x:v>
      </x:c>
      <x:c r="I223" s="9" t="n">
        <x:f>Model_Data!Y223</x:f>
        <x:v>136.98620076238512</x:v>
      </x:c>
      <x:c r="J223" s="9" t="n">
        <x:f>Model_Data!X223</x:f>
        <x:v>7.175411887622014</x:v>
      </x:c>
      <x:c r="K223" s="9" t="n">
        <x:f>Model_Data!A223</x:f>
        <x:v>50.5</x:v>
      </x:c>
      <x:c r="L223" s="9" t="n">
        <x:f>Model_Data!Y223</x:f>
        <x:v>136.98620076238512</x:v>
      </x:c>
      <x:c r="M223" s="9" t="n">
        <x:f>Model_Data!X223</x:f>
        <x:v>7.175411887622014</x:v>
      </x:c>
      <x:c r="N223" s="9" t="n">
        <x:f>-(Model_Data!AC223-Model_Data!F223)*Inputs!$C$12</x:f>
        <x:v>127.72479250844553</x:v>
      </x:c>
      <x:c r="O223" s="10"/>
      <x:c r="P223" s="9" t="n">
        <x:f>Model_Data!A223</x:f>
        <x:v>50.5</x:v>
      </x:c>
      <x:c r="Q223" s="9" t="n">
        <x:f>Model_Data!P223</x:f>
        <x:v>-427.0767991610228</x:v>
      </x:c>
      <x:c r="R223" s="9" t="n">
        <x:f>Model_Data!AM223</x:f>
        <x:v>-392.7478406424598</x:v>
      </x:c>
      <x:c r="S223" s="9" t="n">
        <x:f>Model_Data!Q223</x:f>
        <x:v>-64.1256455196731</x:v>
      </x:c>
      <x:c r="T223" s="9" t="n">
        <x:f>Model_Data!AN223</x:f>
        <x:v>-58.971147243612585</x:v>
      </x:c>
      <x:c r="U223" s="10"/>
      <x:c r="V223" s="9" t="n">
        <x:f>Model_Data!A223</x:f>
        <x:v>50.5</x:v>
      </x:c>
      <x:c r="W223" s="9" t="n">
        <x:f>Model_Data!B223-Inputs!$C$5</x:f>
        <x:v>2.833611111111111</x:v>
      </x:c>
      <x:c r="X223" s="10"/>
      <x:c r="Y223" s="9" t="n">
        <x:f>Model_Data!A223</x:f>
        <x:v>50.5</x:v>
      </x:c>
      <x:c r="Z223" s="9" t="n">
        <x:f>0</x:f>
        <x:v>0</x:v>
      </x:c>
      <x:c r="AA223" s="9" t="n">
        <x:f>((SQRT((Inputs!$C$52+Inputs!$C$5)^2+Inputs!$C$52^2-2*(Inputs!$C$52+Inputs!$C$5)*Inputs!$C$52*COS(SQRT((Model_Data!A223)^2+Inputs!$C$6^2)/Inputs!$C$52))-Inputs!$C$5)*1000/Inputs!$C$12)</x:f>
        <x:v>2783.717628794319</x:v>
      </x:c>
      <x:c r="AB223" s="9" t="n">
        <x:f>Model_Data!F223</x:f>
        <x:v>2768.3442641612314</x:v>
      </x:c>
    </x:row>
    <x:row r="224">
      <x:c r="A224" s="9" t="n">
        <x:f>Model_Data!A224</x:f>
        <x:v>51</x:v>
      </x:c>
      <x:c r="B224" s="9" t="n">
        <x:f>0</x:f>
        <x:v>0</x:v>
      </x:c>
      <x:c r="C224" s="9" t="n">
        <x:f>((SQRT((Inputs!$C$52+Inputs!$C$5)^2+Inputs!$C$52^2-2*(Inputs!$C$52+Inputs!$C$5)*Inputs!$C$52*COS(SQRT((Model_Data!A224)^2+Inputs!$C$6^2)/Inputs!$C$52))-Inputs!$C$5)*1000/Inputs!$C$12)</x:f>
        <x:v>2827.928391510338</x:v>
      </x:c>
      <x:c r="D224" s="9" t="n">
        <x:f>Model_Data!F224</x:f>
        <x:v>2812.005737381264</x:v>
      </x:c>
      <x:c r="E224" s="9" t="n">
        <x:f>Model_Data!AC224</x:f>
        <x:v>2742.6586243969336</x:v>
      </x:c>
      <x:c r="F224" s="10"/>
      <x:c r="G224" s="9" t="n">
        <x:f>Model_Data!A224</x:f>
        <x:v>51</x:v>
      </x:c>
      <x:c r="H224" s="9" t="n">
        <x:f>Model_Data!Y224</x:f>
        <x:v>137.08289632779307</x:v>
      </x:c>
      <x:c r="I224" s="9" t="n">
        <x:f>Model_Data!Y224</x:f>
        <x:v>137.08289632779307</x:v>
      </x:c>
      <x:c r="J224" s="9" t="n">
        <x:f>Model_Data!X224</x:f>
        <x:v>11.525237738664625</x:v>
      </x:c>
      <x:c r="K224" s="9" t="n">
        <x:f>Model_Data!A224</x:f>
        <x:v>51</x:v>
      </x:c>
      <x:c r="L224" s="9" t="n">
        <x:f>Model_Data!Y224</x:f>
        <x:v>137.08289632779307</x:v>
      </x:c>
      <x:c r="M224" s="9" t="n">
        <x:f>Model_Data!X224</x:f>
        <x:v>11.525237738664625</x:v>
      </x:c>
      <x:c r="N224" s="9" t="n">
        <x:f>-(Model_Data!AC224-Model_Data!F224)*Inputs!$C$12</x:f>
        <x:v>123.43786111210844</x:v>
      </x:c>
      <x:c r="O224" s="10"/>
      <x:c r="P224" s="9" t="n">
        <x:f>Model_Data!A224</x:f>
        <x:v>51</x:v>
      </x:c>
      <x:c r="Q224" s="9" t="n">
        <x:f>Model_Data!P224</x:f>
        <x:v>-431.2021262460803</x:v>
      </x:c>
      <x:c r="R224" s="9" t="n">
        <x:f>Model_Data!AM224</x:f>
        <x:v>-395.66337661017315</x:v>
      </x:c>
      <x:c r="S224" s="9" t="n">
        <x:f>Model_Data!Q224</x:f>
        <x:v>-64.74506400091296</x:v>
      </x:c>
      <x:c r="T224" s="9" t="n">
        <x:f>Model_Data!AN224</x:f>
        <x:v>-59.40891540693291</x:v>
      </x:c>
      <x:c r="U224" s="10"/>
      <x:c r="V224" s="9" t="n">
        <x:f>Model_Data!A224</x:f>
        <x:v>51</x:v>
      </x:c>
      <x:c r="W224" s="9" t="n">
        <x:f>Model_Data!B224-Inputs!$C$5</x:f>
        <x:v>2.8899999999999864</x:v>
      </x:c>
      <x:c r="X224" s="10"/>
      <x:c r="Y224" s="9" t="n">
        <x:f>Model_Data!A224</x:f>
        <x:v>51</x:v>
      </x:c>
      <x:c r="Z224" s="9" t="n">
        <x:f>0</x:f>
        <x:v>0</x:v>
      </x:c>
      <x:c r="AA224" s="9" t="n">
        <x:f>((SQRT((Inputs!$C$52+Inputs!$C$5)^2+Inputs!$C$52^2-2*(Inputs!$C$52+Inputs!$C$5)*Inputs!$C$52*COS(SQRT((Model_Data!A224)^2+Inputs!$C$6^2)/Inputs!$C$52))-Inputs!$C$5)*1000/Inputs!$C$12)</x:f>
        <x:v>2827.928391510338</x:v>
      </x:c>
      <x:c r="AB224" s="9" t="n">
        <x:f>Model_Data!F224</x:f>
        <x:v>2812.005737381264</x:v>
      </x:c>
    </x:row>
    <x:row r="225">
      <x:c r="A225" s="9" t="n">
        <x:f>Model_Data!A225</x:f>
        <x:v>51.5</x:v>
      </x:c>
      <x:c r="B225" s="9" t="n">
        <x:f>0</x:f>
        <x:v>0</x:v>
      </x:c>
      <x:c r="C225" s="9" t="n">
        <x:f>((SQRT((Inputs!$C$52+Inputs!$C$5)^2+Inputs!$C$52^2-2*(Inputs!$C$52+Inputs!$C$5)*Inputs!$C$52*COS(SQRT((Model_Data!A225)^2+Inputs!$C$6^2)/Inputs!$C$52))-Inputs!$C$5)*1000/Inputs!$C$12)</x:f>
        <x:v>2872.5658570103246</x:v>
      </x:c>
      <x:c r="D225" s="9" t="n">
        <x:f>Model_Data!F225</x:f>
        <x:v>2856.0790931333977</x:v>
      </x:c>
      <x:c r="E225" s="9" t="n">
        <x:f>Model_Data!AC225</x:f>
        <x:v>2765.2572563634326</x:v>
      </x:c>
      <x:c r="F225" s="10"/>
      <x:c r="G225" s="9" t="n">
        <x:f>Model_Data!A225</x:f>
        <x:v>51.5</x:v>
      </x:c>
      <x:c r="H225" s="9" t="n">
        <x:f>Model_Data!Y225</x:f>
        <x:v>159.61831316527434</x:v>
      </x:c>
      <x:c r="I225" s="9" t="n">
        <x:f>Model_Data!Y225</x:f>
        <x:v>159.61831316527434</x:v>
      </x:c>
      <x:c r="J225" s="9" t="n">
        <x:f>Model_Data!X225</x:f>
        <x:v>-4.550946531934956</x:v>
      </x:c>
      <x:c r="K225" s="9" t="n">
        <x:f>Model_Data!A225</x:f>
        <x:v>51.5</x:v>
      </x:c>
      <x:c r="L225" s="9" t="n">
        <x:f>Model_Data!Y225</x:f>
        <x:v>159.61831316527434</x:v>
      </x:c>
      <x:c r="M225" s="9" t="n">
        <x:f>Model_Data!X225</x:f>
        <x:v>-4.550946531934956</x:v>
      </x:c>
      <x:c r="N225" s="9" t="n">
        <x:f>-(Model_Data!AC225-Model_Data!F225)*Inputs!$C$12</x:f>
        <x:v>161.6628694505379</x:v>
      </x:c>
      <x:c r="O225" s="10"/>
      <x:c r="P225" s="9" t="n">
        <x:f>Model_Data!A225</x:f>
        <x:v>51.5</x:v>
      </x:c>
      <x:c r="Q225" s="9" t="n">
        <x:f>Model_Data!P225</x:f>
        <x:v>-435.32450851025715</x:v>
      </x:c>
      <x:c r="R225" s="9" t="n">
        <x:f>Model_Data!AM225</x:f>
        <x:v>-388.336184705895</x:v>
      </x:c>
      <x:c r="S225" s="9" t="n">
        <x:f>Model_Data!Q225</x:f>
        <x:v>-65.36404031685544</x:v>
      </x:c>
      <x:c r="T225" s="9" t="n">
        <x:f>Model_Data!AN225</x:f>
        <x:v>-58.308736442326584</x:v>
      </x:c>
      <x:c r="U225" s="10"/>
      <x:c r="V225" s="9" t="n">
        <x:f>Model_Data!A225</x:f>
        <x:v>51.5</x:v>
      </x:c>
      <x:c r="W225" s="9" t="n">
        <x:f>Model_Data!B225-Inputs!$C$5</x:f>
        <x:v>2.946944444444455</x:v>
      </x:c>
      <x:c r="X225" s="10"/>
      <x:c r="Y225" s="9" t="n">
        <x:f>Model_Data!A225</x:f>
        <x:v>51.5</x:v>
      </x:c>
      <x:c r="Z225" s="9" t="n">
        <x:f>0</x:f>
        <x:v>0</x:v>
      </x:c>
      <x:c r="AA225" s="9" t="n">
        <x:f>((SQRT((Inputs!$C$52+Inputs!$C$5)^2+Inputs!$C$52^2-2*(Inputs!$C$52+Inputs!$C$5)*Inputs!$C$52*COS(SQRT((Model_Data!A225)^2+Inputs!$C$6^2)/Inputs!$C$52))-Inputs!$C$5)*1000/Inputs!$C$12)</x:f>
        <x:v>2872.5658570103246</x:v>
      </x:c>
      <x:c r="AB225" s="9" t="n">
        <x:f>Model_Data!F225</x:f>
        <x:v>2856.0790931333977</x:v>
      </x:c>
    </x:row>
    <x:row r="226">
      <x:c r="A226" s="9" t="n">
        <x:f>Model_Data!A226</x:f>
        <x:v>52</x:v>
      </x:c>
      <x:c r="B226" s="9" t="n">
        <x:f>0</x:f>
        <x:v>0</x:v>
      </x:c>
      <x:c r="C226" s="9" t="n">
        <x:f>((SQRT((Inputs!$C$52+Inputs!$C$5)^2+Inputs!$C$52^2-2*(Inputs!$C$52+Inputs!$C$5)*Inputs!$C$52*COS(SQRT((Model_Data!A226)^2+Inputs!$C$6^2)/Inputs!$C$52))-Inputs!$C$5)*1000/Inputs!$C$12)</x:f>
        <x:v>2917.629769696665</x:v>
      </x:c>
      <x:c r="D226" s="9" t="n">
        <x:f>Model_Data!F226</x:f>
        <x:v>2900.5638123107237</x:v>
      </x:c>
      <x:c r="E226" s="9" t="n">
        <x:f>Model_Data!AC226</x:f>
        <x:v>2803.8324919454967</x:v>
      </x:c>
      <x:c r="F226" s="10"/>
      <x:c r="G226" s="9" t="n">
        <x:f>Model_Data!A226</x:f>
        <x:v>52</x:v>
      </x:c>
      <x:c r="H226" s="9" t="n">
        <x:f>Model_Data!Y226</x:f>
        <x:v>166.9931224443313</x:v>
      </x:c>
      <x:c r="I226" s="9" t="n">
        <x:f>Model_Data!Y226</x:f>
        <x:v>166.9931224443313</x:v>
      </x:c>
      <x:c r="J226" s="9" t="n">
        <x:f>Model_Data!X226</x:f>
        <x:v>-7.85094902162108</x:v>
      </x:c>
      <x:c r="K226" s="9" t="n">
        <x:f>Model_Data!A226</x:f>
        <x:v>52</x:v>
      </x:c>
      <x:c r="L226" s="9" t="n">
        <x:f>Model_Data!Y226</x:f>
        <x:v>166.9931224443313</x:v>
      </x:c>
      <x:c r="M226" s="9" t="n">
        <x:f>Model_Data!X226</x:f>
        <x:v>-7.85094902162108</x:v>
      </x:c>
      <x:c r="N226" s="9" t="n">
        <x:f>-(Model_Data!AC226-Model_Data!F226)*Inputs!$C$12</x:f>
        <x:v>172.1817502501041</x:v>
      </x:c>
      <x:c r="O226" s="10"/>
      <x:c r="P226" s="9" t="n">
        <x:f>Model_Data!A226</x:f>
        <x:v>52</x:v>
      </x:c>
      <x:c r="Q226" s="9" t="n">
        <x:f>Model_Data!P226</x:f>
        <x:v>-439.4439220161985</x:v>
      </x:c>
      <x:c r="R226" s="9" t="n">
        <x:f>Model_Data!AM226</x:f>
        <x:v>-432.5621530304488</x:v>
      </x:c>
      <x:c r="S226" s="9" t="n">
        <x:f>Model_Data!Q226</x:f>
        <x:v>-65.98257087330308</x:v>
      </x:c>
      <x:c r="T226" s="9" t="n">
        <x:f>Model_Data!AN226</x:f>
        <x:v>-64.94927222679412</x:v>
      </x:c>
      <x:c r="U226" s="10"/>
      <x:c r="V226" s="9" t="n">
        <x:f>Model_Data!A226</x:f>
        <x:v>52</x:v>
      </x:c>
      <x:c r="W226" s="9" t="n">
        <x:f>Model_Data!B226-Inputs!$C$5</x:f>
        <x:v>3.0044444444444594</x:v>
      </x:c>
      <x:c r="X226" s="10"/>
      <x:c r="Y226" s="9" t="n">
        <x:f>Model_Data!A226</x:f>
        <x:v>52</x:v>
      </x:c>
      <x:c r="Z226" s="9" t="n">
        <x:f>0</x:f>
        <x:v>0</x:v>
      </x:c>
      <x:c r="AA226" s="9" t="n">
        <x:f>((SQRT((Inputs!$C$52+Inputs!$C$5)^2+Inputs!$C$52^2-2*(Inputs!$C$52+Inputs!$C$5)*Inputs!$C$52*COS(SQRT((Model_Data!A226)^2+Inputs!$C$6^2)/Inputs!$C$52))-Inputs!$C$5)*1000/Inputs!$C$12)</x:f>
        <x:v>2917.629769696665</x:v>
      </x:c>
      <x:c r="AB226" s="9" t="n">
        <x:f>Model_Data!F226</x:f>
        <x:v>2900.5638123107237</x:v>
      </x:c>
    </x:row>
    <x:row r="227">
      <x:c r="A227" s="9" t="n">
        <x:f>Model_Data!A227</x:f>
        <x:v>52.5</x:v>
      </x:c>
      <x:c r="B227" s="9" t="n">
        <x:f>0</x:f>
        <x:v>0</x:v>
      </x:c>
      <x:c r="C227" s="9" t="n">
        <x:f>((SQRT((Inputs!$C$52+Inputs!$C$5)^2+Inputs!$C$52^2-2*(Inputs!$C$52+Inputs!$C$5)*Inputs!$C$52*COS(SQRT((Model_Data!A227)^2+Inputs!$C$6^2)/Inputs!$C$52))-Inputs!$C$5)*1000/Inputs!$C$12)</x:f>
        <x:v>2963.1198717330712</x:v>
      </x:c>
      <x:c r="D227" s="9" t="n">
        <x:f>Model_Data!F227</x:f>
        <x:v>2945.459371619116</x:v>
      </x:c>
      <x:c r="E227" s="9" t="n">
        <x:f>Model_Data!AC227</x:f>
        <x:v>2858.479213415326</x:v>
      </x:c>
      <x:c r="F227" s="10"/>
      <x:c r="G227" s="9" t="n">
        <x:f>Model_Data!A227</x:f>
        <x:v>52.5</x:v>
      </x:c>
      <x:c r="H227" s="9" t="n">
        <x:f>Model_Data!Y227</x:f>
        <x:v>164.06842387185546</x:v>
      </x:c>
      <x:c r="I227" s="9" t="n">
        <x:f>Model_Data!Y227</x:f>
        <x:v>164.06842387185546</x:v>
      </x:c>
      <x:c r="J227" s="9" t="n">
        <x:f>Model_Data!X227</x:f>
        <x:v>6.588346931916092</x:v>
      </x:c>
      <x:c r="K227" s="9" t="n">
        <x:f>Model_Data!A227</x:f>
        <x:v>52.5</x:v>
      </x:c>
      <x:c r="L227" s="9" t="n">
        <x:f>Model_Data!Y227</x:f>
        <x:v>164.06842387185546</x:v>
      </x:c>
      <x:c r="M227" s="9" t="n">
        <x:f>Model_Data!X227</x:f>
        <x:v>6.588346931916092</x:v>
      </x:c>
      <x:c r="N227" s="9" t="n">
        <x:f>-(Model_Data!AC227-Model_Data!F227)*Inputs!$C$12</x:f>
        <x:v>154.82468160274678</x:v>
      </x:c>
      <x:c r="O227" s="10"/>
      <x:c r="P227" s="9" t="n">
        <x:f>Model_Data!A227</x:f>
        <x:v>52.5</x:v>
      </x:c>
      <x:c r="Q227" s="9" t="n">
        <x:f>Model_Data!P227</x:f>
        <x:v>-443.56034297125007</x:v>
      </x:c>
      <x:c r="R227" s="9" t="n">
        <x:f>Model_Data!AM227</x:f>
        <x:v>-417.6767255714367</x:v>
      </x:c>
      <x:c r="S227" s="9" t="n">
        <x:f>Model_Data!Q227</x:f>
        <x:v>-66.6006520977853</x:v>
      </x:c>
      <x:c r="T227" s="9" t="n">
        <x:f>Model_Data!AN227</x:f>
        <x:v>-62.71422305877428</x:v>
      </x:c>
      <x:c r="U227" s="10"/>
      <x:c r="V227" s="9" t="n">
        <x:f>Model_Data!A227</x:f>
        <x:v>52.5</x:v>
      </x:c>
      <x:c r="W227" s="9" t="n">
        <x:f>Model_Data!B227-Inputs!$C$5</x:f>
        <x:v>3.0625</x:v>
      </x:c>
      <x:c r="X227" s="10"/>
      <x:c r="Y227" s="9" t="n">
        <x:f>Model_Data!A227</x:f>
        <x:v>52.5</x:v>
      </x:c>
      <x:c r="Z227" s="9" t="n">
        <x:f>0</x:f>
        <x:v>0</x:v>
      </x:c>
      <x:c r="AA227" s="9" t="n">
        <x:f>((SQRT((Inputs!$C$52+Inputs!$C$5)^2+Inputs!$C$52^2-2*(Inputs!$C$52+Inputs!$C$5)*Inputs!$C$52*COS(SQRT((Model_Data!A227)^2+Inputs!$C$6^2)/Inputs!$C$52))-Inputs!$C$5)*1000/Inputs!$C$12)</x:f>
        <x:v>2963.1198717330712</x:v>
      </x:c>
      <x:c r="AB227" s="9" t="n">
        <x:f>Model_Data!F227</x:f>
        <x:v>2945.459371619116</x:v>
      </x:c>
    </x:row>
    <x:row r="228">
      <x:c r="A228" s="9" t="n">
        <x:f>Model_Data!A228</x:f>
        <x:v>53</x:v>
      </x:c>
      <x:c r="B228" s="9" t="n">
        <x:f>0</x:f>
        <x:v>0</x:v>
      </x:c>
      <x:c r="C228" s="9" t="n">
        <x:f>((SQRT((Inputs!$C$52+Inputs!$C$5)^2+Inputs!$C$52^2-2*(Inputs!$C$52+Inputs!$C$5)*Inputs!$C$52*COS(SQRT((Model_Data!A228)^2+Inputs!$C$6^2)/Inputs!$C$52))-Inputs!$C$5)*1000/Inputs!$C$12)</x:f>
        <x:v>3009.035903051642</x:v>
      </x:c>
      <x:c r="D228" s="9" t="n">
        <x:f>Model_Data!F228</x:f>
        <x:v>2990.7652435974414</x:v>
      </x:c>
      <x:c r="E228" s="9" t="n">
        <x:f>Model_Data!AC228</x:f>
        <x:v>2891.8890269892154</x:v>
      </x:c>
      <x:c r="F228" s="10"/>
      <x:c r="G228" s="9" t="n">
        <x:f>Model_Data!A228</x:f>
        <x:v>53</x:v>
      </x:c>
      <x:c r="H228" s="9" t="n">
        <x:f>Model_Data!Y228</x:f>
        <x:v>183.5232809151917</x:v>
      </x:c>
      <x:c r="I228" s="9" t="n">
        <x:f>Model_Data!Y228</x:f>
        <x:v>183.5232809151917</x:v>
      </x:c>
      <x:c r="J228" s="9" t="n">
        <x:f>Model_Data!X228</x:f>
        <x:v>4.508396540761183</x:v>
      </x:c>
      <x:c r="K228" s="9" t="n">
        <x:f>Model_Data!A228</x:f>
        <x:v>53</x:v>
      </x:c>
      <x:c r="L228" s="9" t="n">
        <x:f>Model_Data!Y228</x:f>
        <x:v>183.5232809151917</x:v>
      </x:c>
      <x:c r="M228" s="9" t="n">
        <x:f>Model_Data!X228</x:f>
        <x:v>4.508396540761183</x:v>
      </x:c>
      <x:c r="N228" s="9" t="n">
        <x:f>-(Model_Data!AC228-Model_Data!F228)*Inputs!$C$12</x:f>
        <x:v>175.99966556264238</x:v>
      </x:c>
      <x:c r="O228" s="10"/>
      <x:c r="P228" s="9" t="n">
        <x:f>Model_Data!A228</x:f>
        <x:v>53</x:v>
      </x:c>
      <x:c r="Q228" s="9" t="n">
        <x:f>Model_Data!P228</x:f>
        <x:v>-447.67374769307935</x:v>
      </x:c>
      <x:c r="R228" s="9" t="n">
        <x:f>Model_Data!AM228</x:f>
        <x:v>-421.09802518143624</x:v>
      </x:c>
      <x:c r="S228" s="9" t="n">
        <x:f>Model_Data!Q228</x:f>
        <x:v>-67.2182804343963</x:v>
      </x:c>
      <x:c r="T228" s="9" t="n">
        <x:f>Model_Data!AN228</x:f>
        <x:v>-63.227931708924366</x:v>
      </x:c>
      <x:c r="U228" s="10"/>
      <x:c r="V228" s="9" t="n">
        <x:f>Model_Data!A228</x:f>
        <x:v>53</x:v>
      </x:c>
      <x:c r="W228" s="9" t="n">
        <x:f>Model_Data!B228-Inputs!$C$5</x:f>
        <x:v>3.1211111111111336</x:v>
      </x:c>
      <x:c r="X228" s="10"/>
      <x:c r="Y228" s="9" t="n">
        <x:f>Model_Data!A228</x:f>
        <x:v>53</x:v>
      </x:c>
      <x:c r="Z228" s="9" t="n">
        <x:f>0</x:f>
        <x:v>0</x:v>
      </x:c>
      <x:c r="AA228" s="9" t="n">
        <x:f>((SQRT((Inputs!$C$52+Inputs!$C$5)^2+Inputs!$C$52^2-2*(Inputs!$C$52+Inputs!$C$5)*Inputs!$C$52*COS(SQRT((Model_Data!A228)^2+Inputs!$C$6^2)/Inputs!$C$52))-Inputs!$C$5)*1000/Inputs!$C$12)</x:f>
        <x:v>3009.035903051642</x:v>
      </x:c>
      <x:c r="AB228" s="9" t="n">
        <x:f>Model_Data!F228</x:f>
        <x:v>2990.7652435974414</x:v>
      </x:c>
    </x:row>
    <x:row r="229">
      <x:c r="A229" s="9" t="n">
        <x:f>Model_Data!A229</x:f>
        <x:v>53.5</x:v>
      </x:c>
      <x:c r="B229" s="9" t="n">
        <x:f>0</x:f>
        <x:v>0</x:v>
      </x:c>
      <x:c r="C229" s="9" t="n">
        <x:f>((SQRT((Inputs!$C$52+Inputs!$C$5)^2+Inputs!$C$52^2-2*(Inputs!$C$52+Inputs!$C$5)*Inputs!$C$52*COS(SQRT((Model_Data!A229)^2+Inputs!$C$6^2)/Inputs!$C$52))-Inputs!$C$5)*1000/Inputs!$C$12)</x:f>
        <x:v>3055.3776013572988</x:v>
      </x:c>
      <x:c r="D229" s="9" t="n">
        <x:f>Model_Data!F229</x:f>
        <x:v>3036.480896636179</x:v>
      </x:c>
      <x:c r="E229" s="9" t="n">
        <x:f>Model_Data!AC229</x:f>
        <x:v>2936.3961150667737</x:v>
      </x:c>
      <x:c r="F229" s="10"/>
      <x:c r="G229" s="9" t="n">
        <x:f>Model_Data!A229</x:f>
        <x:v>53.5</x:v>
      </x:c>
      <x:c r="H229" s="9" t="n">
        <x:f>Model_Data!Y229</x:f>
        <x:v>181.04186719105834</x:v>
      </x:c>
      <x:c r="I229" s="9" t="n">
        <x:f>Model_Data!Y229</x:f>
        <x:v>181.04186719105834</x:v>
      </x:c>
      <x:c r="J229" s="9" t="n">
        <x:f>Model_Data!X229</x:f>
        <x:v>-0.1280560890739677</x:v>
      </x:c>
      <x:c r="K229" s="9" t="n">
        <x:f>Model_Data!A229</x:f>
        <x:v>53.5</x:v>
      </x:c>
      <x:c r="L229" s="9" t="n">
        <x:f>Model_Data!Y229</x:f>
        <x:v>181.04186719105834</x:v>
      </x:c>
      <x:c r="M229" s="9" t="n">
        <x:f>Model_Data!X229</x:f>
        <x:v>-0.1280560890739677</x:v>
      </x:c>
      <x:c r="N229" s="9" t="n">
        <x:f>-(Model_Data!AC229-Model_Data!F229)*Inputs!$C$12</x:f>
        <x:v>178.15091119354108</x:v>
      </x:c>
      <x:c r="O229" s="10"/>
      <x:c r="P229" s="9" t="n">
        <x:f>Model_Data!A229</x:f>
        <x:v>53.5</x:v>
      </x:c>
      <x:c r="Q229" s="9" t="n">
        <x:f>Model_Data!P229</x:f>
        <x:v>-451.7841126563326</x:v>
      </x:c>
      <x:c r="R229" s="9" t="n">
        <x:f>Model_Data!AM229</x:f>
        <x:v>-455.0459523180507</x:v>
      </x:c>
      <x:c r="S229" s="9" t="n">
        <x:f>Model_Data!Q229</x:f>
        <x:v>-67.8354523508007</x:v>
      </x:c>
      <x:c r="T229" s="9" t="n">
        <x:f>Model_Data!AN229</x:f>
        <x:v>-68.32521806577338</x:v>
      </x:c>
      <x:c r="U229" s="10"/>
      <x:c r="V229" s="9" t="n">
        <x:f>Model_Data!A229</x:f>
        <x:v>53.5</x:v>
      </x:c>
      <x:c r="W229" s="9" t="n">
        <x:f>Model_Data!B229-Inputs!$C$5</x:f>
        <x:v>3.1802777777778033</x:v>
      </x:c>
      <x:c r="X229" s="10"/>
      <x:c r="Y229" s="9" t="n">
        <x:f>Model_Data!A229</x:f>
        <x:v>53.5</x:v>
      </x:c>
      <x:c r="Z229" s="9" t="n">
        <x:f>0</x:f>
        <x:v>0</x:v>
      </x:c>
      <x:c r="AA229" s="9" t="n">
        <x:f>((SQRT((Inputs!$C$52+Inputs!$C$5)^2+Inputs!$C$52^2-2*(Inputs!$C$52+Inputs!$C$5)*Inputs!$C$52*COS(SQRT((Model_Data!A229)^2+Inputs!$C$6^2)/Inputs!$C$52))-Inputs!$C$5)*1000/Inputs!$C$12)</x:f>
        <x:v>3055.3776013572988</x:v>
      </x:c>
      <x:c r="AB229" s="9" t="n">
        <x:f>Model_Data!F229</x:f>
        <x:v>3036.480896636179</x:v>
      </x:c>
    </x:row>
    <x:row r="230">
      <x:c r="A230" s="9" t="n">
        <x:f>Model_Data!A230</x:f>
        <x:v>54</x:v>
      </x:c>
      <x:c r="B230" s="9" t="n">
        <x:f>0</x:f>
        <x:v>0</x:v>
      </x:c>
      <x:c r="C230" s="9" t="n">
        <x:f>((SQRT((Inputs!$C$52+Inputs!$C$5)^2+Inputs!$C$52^2-2*(Inputs!$C$52+Inputs!$C$5)*Inputs!$C$52*COS(SQRT((Model_Data!A230)^2+Inputs!$C$6^2)/Inputs!$C$52))-Inputs!$C$5)*1000/Inputs!$C$12)</x:f>
        <x:v>3102.1447021381323</x:v>
      </x:c>
      <x:c r="D230" s="9" t="n">
        <x:f>Model_Data!F230</x:f>
        <x:v>3082.60579501392</x:v>
      </x:c>
      <x:c r="E230" s="9" t="n">
        <x:f>Model_Data!AC230</x:f>
        <x:v>2977.9303735869566</x:v>
      </x:c>
      <x:c r="F230" s="10"/>
      <x:c r="G230" s="9" t="n">
        <x:f>Model_Data!A230</x:f>
        <x:v>54</x:v>
      </x:c>
      <x:c r="H230" s="9" t="n">
        <x:f>Model_Data!Y230</x:f>
        <x:v>181.54184215615243</x:v>
      </x:c>
      <x:c r="I230" s="9" t="n">
        <x:f>Model_Data!Y230</x:f>
        <x:v>181.54184215615243</x:v>
      </x:c>
      <x:c r="J230" s="9" t="n">
        <x:f>Model_Data!X230</x:f>
        <x:v>-7.852837825142384</x:v>
      </x:c>
      <x:c r="K230" s="9" t="n">
        <x:f>Model_Data!A230</x:f>
        <x:v>54</x:v>
      </x:c>
      <x:c r="L230" s="9" t="n">
        <x:f>Model_Data!Y230</x:f>
        <x:v>181.54184215615243</x:v>
      </x:c>
      <x:c r="M230" s="9" t="n">
        <x:f>Model_Data!X230</x:f>
        <x:v>-7.852837825142384</x:v>
      </x:c>
      <x:c r="N230" s="9" t="n">
        <x:f>-(Model_Data!AC230-Model_Data!F230)*Inputs!$C$12</x:f>
        <x:v>186.32225013999516</x:v>
      </x:c>
      <x:c r="O230" s="10"/>
      <x:c r="P230" s="9" t="n">
        <x:f>Model_Data!A230</x:f>
        <x:v>54</x:v>
      </x:c>
      <x:c r="Q230" s="9" t="n">
        <x:f>Model_Data!P230</x:f>
        <x:v>-455.89141447326256</x:v>
      </x:c>
      <x:c r="R230" s="9" t="n">
        <x:f>Model_Data!AM230</x:f>
        <x:v>-462.8956826819376</x:v>
      </x:c>
      <x:c r="S230" s="9" t="n">
        <x:f>Model_Data!Q230</x:f>
        <x:v>-68.45216433532471</x:v>
      </x:c>
      <x:c r="T230" s="9" t="n">
        <x:f>Model_Data!AN230</x:f>
        <x:v>-69.50385625854919</x:v>
      </x:c>
      <x:c r="U230" s="10"/>
      <x:c r="V230" s="9" t="n">
        <x:f>Model_Data!A230</x:f>
        <x:v>54</x:v>
      </x:c>
      <x:c r="W230" s="9" t="n">
        <x:f>Model_Data!B230-Inputs!$C$5</x:f>
        <x:v>3.240000000000009</x:v>
      </x:c>
      <x:c r="X230" s="10"/>
      <x:c r="Y230" s="9" t="n">
        <x:f>Model_Data!A230</x:f>
        <x:v>54</x:v>
      </x:c>
      <x:c r="Z230" s="9" t="n">
        <x:f>0</x:f>
        <x:v>0</x:v>
      </x:c>
      <x:c r="AA230" s="9" t="n">
        <x:f>((SQRT((Inputs!$C$52+Inputs!$C$5)^2+Inputs!$C$52^2-2*(Inputs!$C$52+Inputs!$C$5)*Inputs!$C$52*COS(SQRT((Model_Data!A230)^2+Inputs!$C$6^2)/Inputs!$C$52))-Inputs!$C$5)*1000/Inputs!$C$12)</x:f>
        <x:v>3102.1447021381323</x:v>
      </x:c>
      <x:c r="AB230" s="9" t="n">
        <x:f>Model_Data!F230</x:f>
        <x:v>3082.60579501392</x:v>
      </x:c>
    </x:row>
    <x:row r="231">
      <x:c r="A231" s="9" t="n">
        <x:f>Model_Data!A231</x:f>
        <x:v>54.5</x:v>
      </x:c>
      <x:c r="B231" s="9" t="n">
        <x:f>0</x:f>
        <x:v>0</x:v>
      </x:c>
      <x:c r="C231" s="9" t="n">
        <x:f>((SQRT((Inputs!$C$52+Inputs!$C$5)^2+Inputs!$C$52^2-2*(Inputs!$C$52+Inputs!$C$5)*Inputs!$C$52*COS(SQRT((Model_Data!A231)^2+Inputs!$C$6^2)/Inputs!$C$52))-Inputs!$C$5)*1000/Inputs!$C$12)</x:f>
        <x:v>3149.336938669558</x:v>
      </x:c>
      <x:c r="D231" s="9" t="n">
        <x:f>Model_Data!F231</x:f>
        <x:v>3129.139398909123</x:v>
      </x:c>
      <x:c r="E231" s="9" t="n">
        <x:f>Model_Data!AC231</x:f>
        <x:v>3025.4702328946814</x:v>
      </x:c>
      <x:c r="F231" s="10"/>
      <x:c r="G231" s="9" t="n">
        <x:f>Model_Data!A231</x:f>
        <x:v>54.5</x:v>
      </x:c>
      <x:c r="H231" s="9" t="n">
        <x:f>Model_Data!Y231</x:f>
        <x:v>176.67952286630316</x:v>
      </x:c>
      <x:c r="I231" s="9" t="n">
        <x:f>Model_Data!Y231</x:f>
        <x:v>176.67952286630316</x:v>
      </x:c>
      <x:c r="J231" s="9" t="n">
        <x:f>Model_Data!X231</x:f>
        <x:v>-10.88592803052483</x:v>
      </x:c>
      <x:c r="K231" s="9" t="n">
        <x:f>Model_Data!A231</x:f>
        <x:v>54.5</x:v>
      </x:c>
      <x:c r="L231" s="9" t="n">
        <x:f>Model_Data!Y231</x:f>
        <x:v>176.67952286630316</x:v>
      </x:c>
      <x:c r="M231" s="9" t="n">
        <x:f>Model_Data!X231</x:f>
        <x:v>-10.88592803052483</x:v>
      </x:c>
      <x:c r="N231" s="9" t="n">
        <x:f>-(Model_Data!AC231-Model_Data!F231)*Inputs!$C$12</x:f>
        <x:v>184.53111550570594</x:v>
      </x:c>
      <x:c r="O231" s="10"/>
      <x:c r="P231" s="9" t="n">
        <x:f>Model_Data!A231</x:f>
        <x:v>54.5</x:v>
      </x:c>
      <x:c r="Q231" s="9" t="n">
        <x:f>Model_Data!P231</x:f>
        <x:v>-459.9956298745383</x:v>
      </x:c>
      <x:c r="R231" s="9" t="n">
        <x:f>Model_Data!AM231</x:f>
        <x:v>-449.1931834153547</x:v>
      </x:c>
      <x:c r="S231" s="9" t="n">
        <x:f>Model_Data!Q231</x:f>
        <x:v>-69.06841289407483</x:v>
      </x:c>
      <x:c r="T231" s="9" t="n">
        <x:f>Model_Data!AN231</x:f>
        <x:v>-67.44642393623946</x:v>
      </x:c>
      <x:c r="U231" s="10"/>
      <x:c r="V231" s="9" t="n">
        <x:f>Model_Data!A231</x:f>
        <x:v>54.5</x:v>
      </x:c>
      <x:c r="W231" s="9" t="n">
        <x:f>Model_Data!B231-Inputs!$C$5</x:f>
        <x:v>3.300277777777751</x:v>
      </x:c>
      <x:c r="X231" s="10"/>
      <x:c r="Y231" s="9" t="n">
        <x:f>Model_Data!A231</x:f>
        <x:v>54.5</x:v>
      </x:c>
      <x:c r="Z231" s="9" t="n">
        <x:f>0</x:f>
        <x:v>0</x:v>
      </x:c>
      <x:c r="AA231" s="9" t="n">
        <x:f>((SQRT((Inputs!$C$52+Inputs!$C$5)^2+Inputs!$C$52^2-2*(Inputs!$C$52+Inputs!$C$5)*Inputs!$C$52*COS(SQRT((Model_Data!A231)^2+Inputs!$C$6^2)/Inputs!$C$52))-Inputs!$C$5)*1000/Inputs!$C$12)</x:f>
        <x:v>3149.336938669558</x:v>
      </x:c>
      <x:c r="AB231" s="9" t="n">
        <x:f>Model_Data!F231</x:f>
        <x:v>3129.139398909123</x:v>
      </x:c>
    </x:row>
    <x:row r="232">
      <x:c r="A232" s="9" t="n">
        <x:f>Model_Data!A232</x:f>
        <x:v>55</x:v>
      </x:c>
      <x:c r="B232" s="9" t="n">
        <x:f>0</x:f>
        <x:v>0</x:v>
      </x:c>
      <x:c r="C232" s="9" t="n">
        <x:f>((SQRT((Inputs!$C$52+Inputs!$C$5)^2+Inputs!$C$52^2-2*(Inputs!$C$52+Inputs!$C$5)*Inputs!$C$52*COS(SQRT((Model_Data!A232)^2+Inputs!$C$6^2)/Inputs!$C$52))-Inputs!$C$5)*1000/Inputs!$C$12)</x:f>
        <x:v>3196.954042025839</x:v>
      </x:c>
      <x:c r="D232" s="9" t="n">
        <x:f>Model_Data!F232</x:f>
        <x:v>3176.081164429937</x:v>
      </x:c>
      <x:c r="E232" s="9" t="n">
        <x:f>Model_Data!AC232</x:f>
        <x:v>3070.485603094565</x:v>
      </x:c>
      <x:c r="F232" s="10"/>
      <x:c r="G232" s="9" t="n">
        <x:f>Model_Data!A232</x:f>
        <x:v>55</x:v>
      </x:c>
      <x:c r="H232" s="9" t="n">
        <x:f>Model_Data!Y232</x:f>
        <x:v>188.50605986389118</x:v>
      </x:c>
      <x:c r="I232" s="9" t="n">
        <x:f>Model_Data!Y232</x:f>
        <x:v>188.50605986389118</x:v>
      </x:c>
      <x:c r="J232" s="9" t="n">
        <x:f>Model_Data!X232</x:f>
        <x:v>-2.7391578251359494</x:v>
      </x:c>
      <x:c r="K232" s="9" t="n">
        <x:f>Model_Data!A232</x:f>
        <x:v>55</x:v>
      </x:c>
      <x:c r="L232" s="9" t="n">
        <x:f>Model_Data!Y232</x:f>
        <x:v>188.50605986389118</x:v>
      </x:c>
      <x:c r="M232" s="9" t="n">
        <x:f>Model_Data!X232</x:f>
        <x:v>-2.7391578251359494</x:v>
      </x:c>
      <x:c r="N232" s="9" t="n">
        <x:f>-(Model_Data!AC232-Model_Data!F232)*Inputs!$C$12</x:f>
        <x:v>187.96009917696247</x:v>
      </x:c>
      <x:c r="O232" s="10"/>
      <x:c r="P232" s="9" t="n">
        <x:f>Model_Data!A232</x:f>
        <x:v>55</x:v>
      </x:c>
      <x:c r="Q232" s="9" t="n">
        <x:f>Model_Data!P232</x:f>
        <x:v>-464.0967357390764</x:v>
      </x:c>
      <x:c r="R232" s="9" t="n">
        <x:f>Model_Data!AM232</x:f>
        <x:v>-455.00982441772067</x:v>
      </x:c>
      <x:c r="S232" s="9" t="n">
        <x:f>Model_Data!Q232</x:f>
        <x:v>-69.68419455541688</x:v>
      </x:c>
      <x:c r="T232" s="9" t="n">
        <x:f>Model_Data!AN232</x:f>
        <x:v>-68.31979345611423</x:v>
      </x:c>
      <x:c r="U232" s="10"/>
      <x:c r="V232" s="9" t="n">
        <x:f>Model_Data!A232</x:f>
        <x:v>55</x:v>
      </x:c>
      <x:c r="W232" s="9" t="n">
        <x:f>Model_Data!B232-Inputs!$C$5</x:f>
        <x:v>3.361111111111086</x:v>
      </x:c>
      <x:c r="X232" s="10"/>
      <x:c r="Y232" s="9" t="n">
        <x:f>Model_Data!A232</x:f>
        <x:v>55</x:v>
      </x:c>
      <x:c r="Z232" s="9" t="n">
        <x:f>0</x:f>
        <x:v>0</x:v>
      </x:c>
      <x:c r="AA232" s="9" t="n">
        <x:f>((SQRT((Inputs!$C$52+Inputs!$C$5)^2+Inputs!$C$52^2-2*(Inputs!$C$52+Inputs!$C$5)*Inputs!$C$52*COS(SQRT((Model_Data!A232)^2+Inputs!$C$6^2)/Inputs!$C$52))-Inputs!$C$5)*1000/Inputs!$C$12)</x:f>
        <x:v>3196.954042025839</x:v>
      </x:c>
      <x:c r="AB232" s="9" t="n">
        <x:f>Model_Data!F232</x:f>
        <x:v>3176.081164429937</x:v>
      </x:c>
    </x:row>
    <x:row r="233">
      <x:c r="A233" s="9" t="n">
        <x:f>Model_Data!A233</x:f>
        <x:v>55.5</x:v>
      </x:c>
      <x:c r="B233" s="9" t="n">
        <x:f>0</x:f>
        <x:v>0</x:v>
      </x:c>
      <x:c r="C233" s="9" t="n">
        <x:f>((SQRT((Inputs!$C$52+Inputs!$C$5)^2+Inputs!$C$52^2-2*(Inputs!$C$52+Inputs!$C$5)*Inputs!$C$52*COS(SQRT((Model_Data!A233)^2+Inputs!$C$6^2)/Inputs!$C$52))-Inputs!$C$5)*1000/Inputs!$C$12)</x:f>
        <x:v>3244.995741083732</x:v>
      </x:c>
      <x:c r="D233" s="9" t="n">
        <x:f>Model_Data!F233</x:f>
        <x:v>3223.4305436364602</x:v>
      </x:c>
      <x:c r="E233" s="9" t="n">
        <x:f>Model_Data!AC233</x:f>
        <x:v>3119.0133518780485</x:v>
      </x:c>
      <x:c r="F233" s="10"/>
      <x:c r="G233" s="9" t="n">
        <x:f>Model_Data!A233</x:f>
        <x:v>55.5</x:v>
      </x:c>
      <x:c r="H233" s="9" t="n">
        <x:f>Model_Data!Y233</x:f>
        <x:v>182.5522692746181</x:v>
      </x:c>
      <x:c r="I233" s="9" t="n">
        <x:f>Model_Data!Y233</x:f>
        <x:v>182.5522692746181</x:v>
      </x:c>
      <x:c r="J233" s="9" t="n">
        <x:f>Model_Data!X233</x:f>
        <x:v>-6.538094280084824</x:v>
      </x:c>
      <x:c r="K233" s="9" t="n">
        <x:f>Model_Data!A233</x:f>
        <x:v>55.5</x:v>
      </x:c>
      <x:c r="L233" s="9" t="n">
        <x:f>Model_Data!Y233</x:f>
        <x:v>182.5522692746181</x:v>
      </x:c>
      <x:c r="M233" s="9" t="n">
        <x:f>Model_Data!X233</x:f>
        <x:v>-6.538094280084824</x:v>
      </x:c>
      <x:c r="N233" s="9" t="n">
        <x:f>-(Model_Data!AC233-Model_Data!F233)*Inputs!$C$12</x:f>
        <x:v>185.86260132997285</x:v>
      </x:c>
      <x:c r="O233" s="10"/>
      <x:c r="P233" s="9" t="n">
        <x:f>Model_Data!A233</x:f>
        <x:v>55.5</x:v>
      </x:c>
      <x:c r="Q233" s="9" t="n">
        <x:f>Model_Data!P233</x:f>
        <x:v>-468.1947090801259</x:v>
      </x:c>
      <x:c r="R233" s="9" t="n">
        <x:f>Model_Data!AM233</x:f>
        <x:v>-470.8662445768823</x:v>
      </x:c>
      <x:c r="S233" s="9" t="n">
        <x:f>Model_Data!Q233</x:f>
        <x:v>-70.29950586788678</x:v>
      </x:c>
      <x:c r="T233" s="9" t="n">
        <x:f>Model_Data!AN233</x:f>
        <x:v>-70.70063732385621</x:v>
      </x:c>
      <x:c r="U233" s="10"/>
      <x:c r="V233" s="9" t="n">
        <x:f>Model_Data!A233</x:f>
        <x:v>55.5</x:v>
      </x:c>
      <x:c r="W233" s="9" t="n">
        <x:f>Model_Data!B233-Inputs!$C$5</x:f>
        <x:v>3.4225000000000136</x:v>
      </x:c>
      <x:c r="X233" s="10"/>
      <x:c r="Y233" s="9" t="n">
        <x:f>Model_Data!A233</x:f>
        <x:v>55.5</x:v>
      </x:c>
      <x:c r="Z233" s="9" t="n">
        <x:f>0</x:f>
        <x:v>0</x:v>
      </x:c>
      <x:c r="AA233" s="9" t="n">
        <x:f>((SQRT((Inputs!$C$52+Inputs!$C$5)^2+Inputs!$C$52^2-2*(Inputs!$C$52+Inputs!$C$5)*Inputs!$C$52*COS(SQRT((Model_Data!A233)^2+Inputs!$C$6^2)/Inputs!$C$52))-Inputs!$C$5)*1000/Inputs!$C$12)</x:f>
        <x:v>3244.995741083732</x:v>
      </x:c>
      <x:c r="AB233" s="9" t="n">
        <x:f>Model_Data!F233</x:f>
        <x:v>3223.4305436364602</x:v>
      </x:c>
    </x:row>
    <x:row r="234">
      <x:c r="A234" s="9" t="n">
        <x:f>Model_Data!A234</x:f>
        <x:v>56</x:v>
      </x:c>
      <x:c r="B234" s="9" t="n">
        <x:f>0</x:f>
        <x:v>0</x:v>
      </x:c>
      <x:c r="C234" s="9" t="n">
        <x:f>((SQRT((Inputs!$C$52+Inputs!$C$5)^2+Inputs!$C$52^2-2*(Inputs!$C$52+Inputs!$C$5)*Inputs!$C$52*COS(SQRT((Model_Data!A234)^2+Inputs!$C$6^2)/Inputs!$C$52))-Inputs!$C$5)*1000/Inputs!$C$12)</x:f>
        <x:v>3293.461762529603</x:v>
      </x:c>
      <x:c r="D234" s="9" t="n">
        <x:f>Model_Data!F234</x:f>
        <x:v>3271.186984565748</x:v>
      </x:c>
      <x:c r="E234" s="9" t="n">
        <x:f>Model_Data!AC234</x:f>
        <x:v>3165.620399260125</x:v>
      </x:c>
      <x:c r="F234" s="10"/>
      <x:c r="G234" s="9" t="n">
        <x:f>Model_Data!A234</x:f>
        <x:v>56</x:v>
      </x:c>
      <x:c r="H234" s="9" t="n">
        <x:f>Model_Data!Y234</x:f>
        <x:v>186.90390563143987</x:v>
      </x:c>
      <x:c r="I234" s="9" t="n">
        <x:f>Model_Data!Y234</x:f>
        <x:v>186.90390563143987</x:v>
      </x:c>
      <x:c r="J234" s="9" t="n">
        <x:f>Model_Data!X234</x:f>
        <x:v>-4.357290177669684</x:v>
      </x:c>
      <x:c r="K234" s="9" t="n">
        <x:f>Model_Data!A234</x:f>
        <x:v>56</x:v>
      </x:c>
      <x:c r="L234" s="9" t="n">
        <x:f>Model_Data!Y234</x:f>
        <x:v>186.90390563143987</x:v>
      </x:c>
      <x:c r="M234" s="9" t="n">
        <x:f>Model_Data!X234</x:f>
        <x:v>-4.357290177669684</x:v>
      </x:c>
      <x:c r="N234" s="9" t="n">
        <x:f>-(Model_Data!AC234-Model_Data!F234)*Inputs!$C$12</x:f>
        <x:v>187.90852184400893</x:v>
      </x:c>
      <x:c r="O234" s="10"/>
      <x:c r="P234" s="9" t="n">
        <x:f>Model_Data!A234</x:f>
        <x:v>56</x:v>
      </x:c>
      <x:c r="Q234" s="9" t="n">
        <x:f>Model_Data!P234</x:f>
        <x:v>-472.2895270569097</x:v>
      </x:c>
      <x:c r="R234" s="9" t="n">
        <x:f>Model_Data!AM234</x:f>
        <x:v>-460.6295562019113</x:v>
      </x:c>
      <x:c r="S234" s="9" t="n">
        <x:f>Model_Data!Q234</x:f>
        <x:v>-70.9143434019384</x:v>
      </x:c>
      <x:c r="T234" s="9" t="n">
        <x:f>Model_Data!AN234</x:f>
        <x:v>-69.16359702731403</x:v>
      </x:c>
      <x:c r="U234" s="10"/>
      <x:c r="V234" s="9" t="n">
        <x:f>Model_Data!A234</x:f>
        <x:v>56</x:v>
      </x:c>
      <x:c r="W234" s="9" t="n">
        <x:f>Model_Data!B234-Inputs!$C$5</x:f>
        <x:v>3.4844444444444207</x:v>
      </x:c>
      <x:c r="X234" s="10"/>
      <x:c r="Y234" s="9" t="n">
        <x:f>Model_Data!A234</x:f>
        <x:v>56</x:v>
      </x:c>
      <x:c r="Z234" s="9" t="n">
        <x:f>0</x:f>
        <x:v>0</x:v>
      </x:c>
      <x:c r="AA234" s="9" t="n">
        <x:f>((SQRT((Inputs!$C$52+Inputs!$C$5)^2+Inputs!$C$52^2-2*(Inputs!$C$52+Inputs!$C$5)*Inputs!$C$52*COS(SQRT((Model_Data!A234)^2+Inputs!$C$6^2)/Inputs!$C$52))-Inputs!$C$5)*1000/Inputs!$C$12)</x:f>
        <x:v>3293.461762529603</x:v>
      </x:c>
      <x:c r="AB234" s="9" t="n">
        <x:f>Model_Data!F234</x:f>
        <x:v>3271.186984565748</x:v>
      </x:c>
    </x:row>
    <x:row r="235">
      <x:c r="A235" s="9" t="n">
        <x:f>Model_Data!A235</x:f>
        <x:v>56.5</x:v>
      </x:c>
      <x:c r="B235" s="9" t="n">
        <x:f>0</x:f>
        <x:v>0</x:v>
      </x:c>
      <x:c r="C235" s="9" t="n">
        <x:f>((SQRT((Inputs!$C$52+Inputs!$C$5)^2+Inputs!$C$52^2-2*(Inputs!$C$52+Inputs!$C$5)*Inputs!$C$52*COS(SQRT((Model_Data!A235)^2+Inputs!$C$6^2)/Inputs!$C$52))-Inputs!$C$5)*1000/Inputs!$C$12)</x:f>
        <x:v>3342.3518308690136</x:v>
      </x:c>
      <x:c r="D235" s="9" t="n">
        <x:f>Model_Data!F235</x:f>
        <x:v>3319.3499312578997</x:v>
      </x:c>
      <x:c r="E235" s="9" t="n">
        <x:f>Model_Data!AC235</x:f>
        <x:v>3226.7114178873894</x:v>
      </x:c>
      <x:c r="F235" s="10"/>
      <x:c r="G235" s="9" t="n">
        <x:f>Model_Data!A235</x:f>
        <x:v>56.5</x:v>
      </x:c>
      <x:c r="H235" s="9" t="n">
        <x:f>Model_Data!Y235</x:f>
        <x:v>190.07062484954076</x:v>
      </x:c>
      <x:c r="I235" s="9" t="n">
        <x:f>Model_Data!Y235</x:f>
        <x:v>190.07062484954076</x:v>
      </x:c>
      <x:c r="J235" s="9" t="n">
        <x:f>Model_Data!X235</x:f>
        <x:v>21.715435034758002</x:v>
      </x:c>
      <x:c r="K235" s="9" t="n">
        <x:f>Model_Data!A235</x:f>
        <x:v>56.5</x:v>
      </x:c>
      <x:c r="L235" s="9" t="n">
        <x:f>Model_Data!Y235</x:f>
        <x:v>190.07062484954076</x:v>
      </x:c>
      <x:c r="M235" s="9" t="n">
        <x:f>Model_Data!X235</x:f>
        <x:v>21.715435034758002</x:v>
      </x:c>
      <x:c r="N235" s="9" t="n">
        <x:f>-(Model_Data!AC235-Model_Data!F235)*Inputs!$C$12</x:f>
        <x:v>164.8965537995083</x:v>
      </x:c>
      <x:c r="O235" s="10"/>
      <x:c r="P235" s="9" t="n">
        <x:f>Model_Data!A235</x:f>
        <x:v>56.5</x:v>
      </x:c>
      <x:c r="Q235" s="9" t="n">
        <x:f>Model_Data!P235</x:f>
        <x:v>-476.38116695534336</x:v>
      </x:c>
      <x:c r="R235" s="9" t="n">
        <x:f>Model_Data!AM235</x:f>
        <x:v>-454.89450199102066</x:v>
      </x:c>
      <x:c r="S235" s="9" t="n">
        <x:f>Model_Data!Q235</x:f>
        <x:v>-71.52870374704855</x:v>
      </x:c>
      <x:c r="T235" s="9" t="n">
        <x:f>Model_Data!AN235</x:f>
        <x:v>-68.30247777642954</x:v>
      </x:c>
      <x:c r="U235" s="10"/>
      <x:c r="V235" s="9" t="n">
        <x:f>Model_Data!A235</x:f>
        <x:v>56.5</x:v>
      </x:c>
      <x:c r="W235" s="9" t="n">
        <x:f>Model_Data!B235-Inputs!$C$5</x:f>
        <x:v>3.5469444444444207</x:v>
      </x:c>
      <x:c r="X235" s="10"/>
      <x:c r="Y235" s="9" t="n">
        <x:f>Model_Data!A235</x:f>
        <x:v>56.5</x:v>
      </x:c>
      <x:c r="Z235" s="9" t="n">
        <x:f>0</x:f>
        <x:v>0</x:v>
      </x:c>
      <x:c r="AA235" s="9" t="n">
        <x:f>((SQRT((Inputs!$C$52+Inputs!$C$5)^2+Inputs!$C$52^2-2*(Inputs!$C$52+Inputs!$C$5)*Inputs!$C$52*COS(SQRT((Model_Data!A235)^2+Inputs!$C$6^2)/Inputs!$C$52))-Inputs!$C$5)*1000/Inputs!$C$12)</x:f>
        <x:v>3342.3518308690136</x:v>
      </x:c>
      <x:c r="AB235" s="9" t="n">
        <x:f>Model_Data!F235</x:f>
        <x:v>3319.3499312578997</x:v>
      </x:c>
    </x:row>
    <x:row r="236">
      <x:c r="A236" s="9" t="n">
        <x:f>Model_Data!A236</x:f>
        <x:v>57</x:v>
      </x:c>
      <x:c r="B236" s="9" t="n">
        <x:f>0</x:f>
        <x:v>0</x:v>
      </x:c>
      <x:c r="C236" s="9" t="n">
        <x:f>((SQRT((Inputs!$C$52+Inputs!$C$5)^2+Inputs!$C$52^2-2*(Inputs!$C$52+Inputs!$C$5)*Inputs!$C$52*COS(SQRT((Model_Data!A236)^2+Inputs!$C$6^2)/Inputs!$C$52))-Inputs!$C$5)*1000/Inputs!$C$12)</x:f>
        <x:v>3391.6656684345407</x:v>
      </x:c>
      <x:c r="D236" s="9" t="n">
        <x:f>Model_Data!F236</x:f>
        <x:v>3367.918823774454</x:v>
      </x:c>
      <x:c r="E236" s="9" t="n">
        <x:f>Model_Data!AC236</x:f>
        <x:v>3267.600381912345</x:v>
      </x:c>
      <x:c r="F236" s="10"/>
      <x:c r="G236" s="9" t="n">
        <x:f>Model_Data!A236</x:f>
        <x:v>57</x:v>
      </x:c>
      <x:c r="H236" s="9" t="n">
        <x:f>Model_Data!Y236</x:f>
        <x:v>200.68454527158707</x:v>
      </x:c>
      <x:c r="I236" s="9" t="n">
        <x:f>Model_Data!Y236</x:f>
        <x:v>200.68454527158707</x:v>
      </x:c>
      <x:c r="J236" s="9" t="n">
        <x:f>Model_Data!X236</x:f>
        <x:v>18.4135707545088</x:v>
      </x:c>
      <x:c r="K236" s="9" t="n">
        <x:f>Model_Data!A236</x:f>
        <x:v>57</x:v>
      </x:c>
      <x:c r="L236" s="9" t="n">
        <x:f>Model_Data!Y236</x:f>
        <x:v>200.68454527158707</x:v>
      </x:c>
      <x:c r="M236" s="9" t="n">
        <x:f>Model_Data!X236</x:f>
        <x:v>18.4135707545088</x:v>
      </x:c>
      <x:c r="N236" s="9" t="n">
        <x:f>-(Model_Data!AC236-Model_Data!F236)*Inputs!$C$12</x:f>
        <x:v>178.56682651455404</x:v>
      </x:c>
      <x:c r="O236" s="10"/>
      <x:c r="P236" s="9" t="n">
        <x:f>Model_Data!A236</x:f>
        <x:v>57</x:v>
      </x:c>
      <x:c r="Q236" s="9" t="n">
        <x:f>Model_Data!P236</x:f>
        <x:v>-480.4696062107723</x:v>
      </x:c>
      <x:c r="R236" s="9" t="n">
        <x:f>Model_Data!AM236</x:f>
        <x:v>-499.14395786781824</x:v>
      </x:c>
      <x:c r="S236" s="9" t="n">
        <x:f>Model_Data!Q236</x:f>
        <x:v>-72.14258351513098</x:v>
      </x:c>
      <x:c r="T236" s="9" t="n">
        <x:f>Model_Data!AN236</x:f>
        <x:v>-74.94654022039313</x:v>
      </x:c>
      <x:c r="U236" s="10"/>
      <x:c r="V236" s="9" t="n">
        <x:f>Model_Data!A236</x:f>
        <x:v>57</x:v>
      </x:c>
      <x:c r="W236" s="9" t="n">
        <x:f>Model_Data!B236-Inputs!$C$5</x:f>
        <x:v>3.6100000000000136</x:v>
      </x:c>
      <x:c r="X236" s="10"/>
      <x:c r="Y236" s="9" t="n">
        <x:f>Model_Data!A236</x:f>
        <x:v>57</x:v>
      </x:c>
      <x:c r="Z236" s="9" t="n">
        <x:f>0</x:f>
        <x:v>0</x:v>
      </x:c>
      <x:c r="AA236" s="9" t="n">
        <x:f>((SQRT((Inputs!$C$52+Inputs!$C$5)^2+Inputs!$C$52^2-2*(Inputs!$C$52+Inputs!$C$5)*Inputs!$C$52*COS(SQRT((Model_Data!A236)^2+Inputs!$C$6^2)/Inputs!$C$52))-Inputs!$C$5)*1000/Inputs!$C$12)</x:f>
        <x:v>3391.6656684345407</x:v>
      </x:c>
      <x:c r="AB236" s="9" t="n">
        <x:f>Model_Data!F236</x:f>
        <x:v>3367.918823774454</x:v>
      </x:c>
    </x:row>
    <x:row r="237">
      <x:c r="A237" s="9" t="n">
        <x:f>Model_Data!A237</x:f>
        <x:v>57.5</x:v>
      </x:c>
      <x:c r="B237" s="9" t="n">
        <x:f>0</x:f>
        <x:v>0</x:v>
      </x:c>
      <x:c r="C237" s="9" t="n">
        <x:f>((SQRT((Inputs!$C$52+Inputs!$C$5)^2+Inputs!$C$52^2-2*(Inputs!$C$52+Inputs!$C$5)*Inputs!$C$52*COS(SQRT((Model_Data!A237)^2+Inputs!$C$6^2)/Inputs!$C$52))-Inputs!$C$5)*1000/Inputs!$C$12)</x:f>
        <x:v>3441.4029953902796</x:v>
      </x:c>
      <x:c r="D237" s="9" t="n">
        <x:f>Model_Data!F237</x:f>
        <x:v>3416.8930982326565</x:v>
      </x:c>
      <x:c r="E237" s="9" t="n">
        <x:f>Model_Data!AC237</x:f>
        <x:v>3333.2011078812866</x:v>
      </x:c>
      <x:c r="F237" s="10"/>
      <x:c r="G237" s="9" t="n">
        <x:f>Model_Data!A237</x:f>
        <x:v>57.5</x:v>
      </x:c>
      <x:c r="H237" s="9" t="n">
        <x:f>Model_Data!Y237</x:f>
        <x:v>178.2777126906697</x:v>
      </x:c>
      <x:c r="I237" s="9" t="n">
        <x:f>Model_Data!Y237</x:f>
        <x:v>178.2777126906697</x:v>
      </x:c>
      <x:c r="J237" s="9" t="n">
        <x:f>Model_Data!X237</x:f>
        <x:v>25.968776223167485</x:v>
      </x:c>
      <x:c r="K237" s="9" t="n">
        <x:f>Model_Data!A237</x:f>
        <x:v>57.5</x:v>
      </x:c>
      <x:c r="L237" s="9" t="n">
        <x:f>Model_Data!Y237</x:f>
        <x:v>178.2777126906697</x:v>
      </x:c>
      <x:c r="M237" s="9" t="n">
        <x:f>Model_Data!X237</x:f>
        <x:v>25.968776223167485</x:v>
      </x:c>
      <x:c r="N237" s="9" t="n">
        <x:f>-(Model_Data!AC237-Model_Data!F237)*Inputs!$C$12</x:f>
        <x:v>148.9717428254384</x:v>
      </x:c>
      <x:c r="O237" s="10"/>
      <x:c r="P237" s="9" t="n">
        <x:f>Model_Data!A237</x:f>
        <x:v>57.5</x:v>
      </x:c>
      <x:c r="Q237" s="9" t="n">
        <x:f>Model_Data!P237</x:f>
        <x:v>-484.554822402788</x:v>
      </x:c>
      <x:c r="R237" s="9" t="n">
        <x:f>Model_Data!AM237</x:f>
        <x:v>-494.387775107225</x:v>
      </x:c>
      <x:c r="S237" s="9" t="n">
        <x:f>Model_Data!Q237</x:f>
        <x:v>-72.75597933975796</x:v>
      </x:c>
      <x:c r="T237" s="9" t="n">
        <x:f>Model_Data!AN237</x:f>
        <x:v>-74.2323986647485</x:v>
      </x:c>
      <x:c r="U237" s="10"/>
      <x:c r="V237" s="9" t="n">
        <x:f>Model_Data!A237</x:f>
        <x:v>57.5</x:v>
      </x:c>
      <x:c r="W237" s="9" t="n">
        <x:f>Model_Data!B237-Inputs!$C$5</x:f>
        <x:v>3.673611111111086</x:v>
      </x:c>
      <x:c r="X237" s="10"/>
      <x:c r="Y237" s="9" t="n">
        <x:f>Model_Data!A237</x:f>
        <x:v>57.5</x:v>
      </x:c>
      <x:c r="Z237" s="9" t="n">
        <x:f>0</x:f>
        <x:v>0</x:v>
      </x:c>
      <x:c r="AA237" s="9" t="n">
        <x:f>((SQRT((Inputs!$C$52+Inputs!$C$5)^2+Inputs!$C$52^2-2*(Inputs!$C$52+Inputs!$C$5)*Inputs!$C$52*COS(SQRT((Model_Data!A237)^2+Inputs!$C$6^2)/Inputs!$C$52))-Inputs!$C$5)*1000/Inputs!$C$12)</x:f>
        <x:v>3441.4029953902796</x:v>
      </x:c>
      <x:c r="AB237" s="9" t="n">
        <x:f>Model_Data!F237</x:f>
        <x:v>3416.8930982326565</x:v>
      </x:c>
    </x:row>
    <x:row r="238">
      <x:c r="A238" s="9" t="n">
        <x:f>Model_Data!A238</x:f>
        <x:v>58</x:v>
      </x:c>
      <x:c r="B238" s="9" t="n">
        <x:f>0</x:f>
        <x:v>0</x:v>
      </x:c>
      <x:c r="C238" s="9" t="n">
        <x:f>((SQRT((Inputs!$C$52+Inputs!$C$5)^2+Inputs!$C$52^2-2*(Inputs!$C$52+Inputs!$C$5)*Inputs!$C$52*COS(SQRT((Model_Data!A238)^2+Inputs!$C$6^2)/Inputs!$C$52))-Inputs!$C$5)*1000/Inputs!$C$12)</x:f>
        <x:v>3491.563529741107</x:v>
      </x:c>
      <x:c r="D238" s="9" t="n">
        <x:f>Model_Data!F238</x:f>
        <x:v>3466.2721868216477</x:v>
      </x:c>
      <x:c r="E238" s="9" t="n">
        <x:f>Model_Data!AC238</x:f>
        <x:v>3375.954984734284</x:v>
      </x:c>
      <x:c r="F238" s="10"/>
      <x:c r="G238" s="9" t="n">
        <x:f>Model_Data!A238</x:f>
        <x:v>58</x:v>
      </x:c>
      <x:c r="H238" s="9" t="n">
        <x:f>Model_Data!Y238</x:f>
        <x:v>194.52778179385766</x:v>
      </x:c>
      <x:c r="I238" s="9" t="n">
        <x:f>Model_Data!Y238</x:f>
        <x:v>194.52778179385766</x:v>
      </x:c>
      <x:c r="J238" s="9" t="n">
        <x:f>Model_Data!X238</x:f>
        <x:v>30.070182113253747</x:v>
      </x:c>
      <x:c r="K238" s="9" t="n">
        <x:f>Model_Data!A238</x:f>
        <x:v>58</x:v>
      </x:c>
      <x:c r="L238" s="9" t="n">
        <x:f>Model_Data!Y238</x:f>
        <x:v>194.52778179385766</x:v>
      </x:c>
      <x:c r="M238" s="9" t="n">
        <x:f>Model_Data!X238</x:f>
        <x:v>30.070182113253747</x:v>
      </x:c>
      <x:c r="N238" s="9" t="n">
        <x:f>-(Model_Data!AC238-Model_Data!F238)*Inputs!$C$12</x:f>
        <x:v>160.76461971550705</x:v>
      </x:c>
      <x:c r="O238" s="10"/>
      <x:c r="P238" s="9" t="n">
        <x:f>Model_Data!A238</x:f>
        <x:v>58</x:v>
      </x:c>
      <x:c r="Q238" s="9" t="n">
        <x:f>Model_Data!P238</x:f>
        <x:v>-488.63679323794713</x:v>
      </x:c>
      <x:c r="R238" s="9" t="n">
        <x:f>Model_Data!AM238</x:f>
        <x:v>-473.0108753379682</x:v>
      </x:c>
      <x:c r="S238" s="9" t="n">
        <x:f>Model_Data!Q238</x:f>
        <x:v>-73.36888787356564</x:v>
      </x:c>
      <x:c r="T238" s="9" t="n">
        <x:f>Model_Data!AN238</x:f>
        <x:v>-71.02265395464988</x:v>
      </x:c>
      <x:c r="U238" s="10"/>
      <x:c r="V238" s="9" t="n">
        <x:f>Model_Data!A238</x:f>
        <x:v>58</x:v>
      </x:c>
      <x:c r="W238" s="9" t="n">
        <x:f>Model_Data!B238-Inputs!$C$5</x:f>
        <x:v>3.737777777777751</x:v>
      </x:c>
      <x:c r="X238" s="10"/>
      <x:c r="Y238" s="9" t="n">
        <x:f>Model_Data!A238</x:f>
        <x:v>58</x:v>
      </x:c>
      <x:c r="Z238" s="9" t="n">
        <x:f>0</x:f>
        <x:v>0</x:v>
      </x:c>
      <x:c r="AA238" s="9" t="n">
        <x:f>((SQRT((Inputs!$C$52+Inputs!$C$5)^2+Inputs!$C$52^2-2*(Inputs!$C$52+Inputs!$C$5)*Inputs!$C$52*COS(SQRT((Model_Data!A238)^2+Inputs!$C$6^2)/Inputs!$C$52))-Inputs!$C$5)*1000/Inputs!$C$12)</x:f>
        <x:v>3491.563529741107</x:v>
      </x:c>
      <x:c r="AB238" s="9" t="n">
        <x:f>Model_Data!F238</x:f>
        <x:v>3466.2721868216477</x:v>
      </x:c>
    </x:row>
    <x:row r="239">
      <x:c r="A239" s="9" t="n">
        <x:f>Model_Data!A239</x:f>
        <x:v>58.5</x:v>
      </x:c>
      <x:c r="B239" s="9" t="n">
        <x:f>0</x:f>
        <x:v>0</x:v>
      </x:c>
      <x:c r="C239" s="9" t="n">
        <x:f>((SQRT((Inputs!$C$52+Inputs!$C$5)^2+Inputs!$C$52^2-2*(Inputs!$C$52+Inputs!$C$5)*Inputs!$C$52*COS(SQRT((Model_Data!A239)^2+Inputs!$C$6^2)/Inputs!$C$52))-Inputs!$C$5)*1000/Inputs!$C$12)</x:f>
        <x:v>3542.1469873423243</x:v>
      </x:c>
      <x:c r="D239" s="9" t="n">
        <x:f>Model_Data!F239</x:f>
        <x:v>3516.055517830855</x:v>
      </x:c>
      <x:c r="E239" s="9" t="n">
        <x:f>Model_Data!AC239</x:f>
        <x:v>3428.256967146573</x:v>
      </x:c>
      <x:c r="F239" s="10"/>
      <x:c r="G239" s="9" t="n">
        <x:f>Model_Data!A239</x:f>
        <x:v>58.5</x:v>
      </x:c>
      <x:c r="H239" s="9" t="n">
        <x:f>Model_Data!Y239</x:f>
        <x:v>188.33221875951745</x:v>
      </x:c>
      <x:c r="I239" s="9" t="n">
        <x:f>Model_Data!Y239</x:f>
        <x:v>188.33221875951745</x:v>
      </x:c>
      <x:c r="J239" s="9" t="n">
        <x:f>Model_Data!X239</x:f>
        <x:v>28.425297518081656</x:v>
      </x:c>
      <x:c r="K239" s="9" t="n">
        <x:f>Model_Data!A239</x:f>
        <x:v>58.5</x:v>
      </x:c>
      <x:c r="L239" s="9" t="n">
        <x:f>Model_Data!Y239</x:f>
        <x:v>188.33221875951745</x:v>
      </x:c>
      <x:c r="M239" s="9" t="n">
        <x:f>Model_Data!X239</x:f>
        <x:v>28.425297518081656</x:v>
      </x:c>
      <x:c r="N239" s="9" t="n">
        <x:f>-(Model_Data!AC239-Model_Data!F239)*Inputs!$C$12</x:f>
        <x:v>156.2814202180219</x:v>
      </x:c>
      <x:c r="O239" s="10"/>
      <x:c r="P239" s="9" t="n">
        <x:f>Model_Data!A239</x:f>
        <x:v>58.5</x:v>
      </x:c>
      <x:c r="Q239" s="9" t="n">
        <x:f>Model_Data!P239</x:f>
        <x:v>-492.71549658133154</x:v>
      </x:c>
      <x:c r="R239" s="9" t="n">
        <x:f>Model_Data!AM239</x:f>
        <x:v>-494.11679295681097</x:v>
      </x:c>
      <x:c r="S239" s="9" t="n">
        <x:f>Model_Data!Q239</x:f>
        <x:v>-73.98130579299273</x:v>
      </x:c>
      <x:c r="T239" s="9" t="n">
        <x:f>Model_Data!AN239</x:f>
        <x:v>-74.19171065417582</x:v>
      </x:c>
      <x:c r="U239" s="10"/>
      <x:c r="V239" s="9" t="n">
        <x:f>Model_Data!A239</x:f>
        <x:v>58.5</x:v>
      </x:c>
      <x:c r="W239" s="9" t="n">
        <x:f>Model_Data!B239-Inputs!$C$5</x:f>
        <x:v>3.802500000000009</x:v>
      </x:c>
      <x:c r="X239" s="10"/>
      <x:c r="Y239" s="9" t="n">
        <x:f>Model_Data!A239</x:f>
        <x:v>58.5</x:v>
      </x:c>
      <x:c r="Z239" s="9" t="n">
        <x:f>0</x:f>
        <x:v>0</x:v>
      </x:c>
      <x:c r="AA239" s="9" t="n">
        <x:f>((SQRT((Inputs!$C$52+Inputs!$C$5)^2+Inputs!$C$52^2-2*(Inputs!$C$52+Inputs!$C$5)*Inputs!$C$52*COS(SQRT((Model_Data!A239)^2+Inputs!$C$6^2)/Inputs!$C$52))-Inputs!$C$5)*1000/Inputs!$C$12)</x:f>
        <x:v>3542.1469873423243</x:v>
      </x:c>
      <x:c r="AB239" s="9" t="n">
        <x:f>Model_Data!F239</x:f>
        <x:v>3516.055517830855</x:v>
      </x:c>
    </x:row>
    <x:row r="240">
      <x:c r="A240" s="9" t="n">
        <x:f>Model_Data!A240</x:f>
        <x:v>59</x:v>
      </x:c>
      <x:c r="B240" s="9" t="n">
        <x:f>0</x:f>
        <x:v>0</x:v>
      </x:c>
      <x:c r="C240" s="9" t="n">
        <x:f>((SQRT((Inputs!$C$52+Inputs!$C$5)^2+Inputs!$C$52^2-2*(Inputs!$C$52+Inputs!$C$5)*Inputs!$C$52*COS(SQRT((Model_Data!A240)^2+Inputs!$C$6^2)/Inputs!$C$52))-Inputs!$C$5)*1000/Inputs!$C$12)</x:f>
        <x:v>3593.153081902788</x:v>
      </x:c>
      <x:c r="D240" s="9" t="n">
        <x:f>Model_Data!F240</x:f>
        <x:v>3566.242515677423</x:v>
      </x:c>
      <x:c r="E240" s="9" t="n">
        <x:f>Model_Data!AC240</x:f>
        <x:v>3473.9548884925343</x:v>
      </x:c>
      <x:c r="F240" s="10"/>
      <x:c r="G240" s="9" t="n">
        <x:f>Model_Data!A240</x:f>
        <x:v>59</x:v>
      </x:c>
      <x:c r="H240" s="9" t="n">
        <x:f>Model_Data!Y240</x:f>
        <x:v>193.74067782731254</x:v>
      </x:c>
      <x:c r="I240" s="9" t="n">
        <x:f>Model_Data!Y240</x:f>
        <x:v>193.74067782731254</x:v>
      </x:c>
      <x:c r="J240" s="9" t="n">
        <x:f>Model_Data!X240</x:f>
        <x:v>25.687015205000044</x:v>
      </x:c>
      <x:c r="K240" s="9" t="n">
        <x:f>Model_Data!A240</x:f>
        <x:v>59</x:v>
      </x:c>
      <x:c r="L240" s="9" t="n">
        <x:f>Model_Data!Y240</x:f>
        <x:v>193.74067782731254</x:v>
      </x:c>
      <x:c r="M240" s="9" t="n">
        <x:f>Model_Data!X240</x:f>
        <x:v>25.687015205000044</x:v>
      </x:c>
      <x:c r="N240" s="9" t="n">
        <x:f>-(Model_Data!AC240-Model_Data!F240)*Inputs!$C$12</x:f>
        <x:v>164.27197638910172</x:v>
      </x:c>
      <x:c r="O240" s="10"/>
      <x:c r="P240" s="9" t="n">
        <x:f>Model_Data!A240</x:f>
        <x:v>59</x:v>
      </x:c>
      <x:c r="Q240" s="9" t="n">
        <x:f>Model_Data!P240</x:f>
        <x:v>-496.7909104278988</x:v>
      </x:c>
      <x:c r="R240" s="9" t="n">
        <x:f>Model_Data!AM240</x:f>
        <x:v>-527.305412295209</x:v>
      </x:c>
      <x:c r="S240" s="9" t="n">
        <x:f>Model_Data!Q240</x:f>
        <x:v>-74.59322979397881</x:v>
      </x:c>
      <x:c r="T240" s="9" t="n">
        <x:f>Model_Data!AN240</x:f>
        <x:v>-79.17498683111246</x:v>
      </x:c>
      <x:c r="U240" s="10"/>
      <x:c r="V240" s="9" t="n">
        <x:f>Model_Data!A240</x:f>
        <x:v>59</x:v>
      </x:c>
      <x:c r="W240" s="9" t="n">
        <x:f>Model_Data!B240-Inputs!$C$5</x:f>
        <x:v>3.8677777777778033</x:v>
      </x:c>
      <x:c r="X240" s="10"/>
      <x:c r="Y240" s="9" t="n">
        <x:f>Model_Data!A240</x:f>
        <x:v>59</x:v>
      </x:c>
      <x:c r="Z240" s="9" t="n">
        <x:f>0</x:f>
        <x:v>0</x:v>
      </x:c>
      <x:c r="AA240" s="9" t="n">
        <x:f>((SQRT((Inputs!$C$52+Inputs!$C$5)^2+Inputs!$C$52^2-2*(Inputs!$C$52+Inputs!$C$5)*Inputs!$C$52*COS(SQRT((Model_Data!A240)^2+Inputs!$C$6^2)/Inputs!$C$52))-Inputs!$C$5)*1000/Inputs!$C$12)</x:f>
        <x:v>3593.153081902788</x:v>
      </x:c>
      <x:c r="AB240" s="9" t="n">
        <x:f>Model_Data!F240</x:f>
        <x:v>3566.242515677423</x:v>
      </x:c>
    </x:row>
    <x:row r="241">
      <x:c r="A241" s="9" t="n">
        <x:f>Model_Data!A241</x:f>
        <x:v>59.5</x:v>
      </x:c>
      <x:c r="B241" s="9" t="n">
        <x:f>0</x:f>
        <x:v>0</x:v>
      </x:c>
      <x:c r="C241" s="9" t="n">
        <x:f>((SQRT((Inputs!$C$52+Inputs!$C$5)^2+Inputs!$C$52^2-2*(Inputs!$C$52+Inputs!$C$5)*Inputs!$C$52*COS(SQRT((Model_Data!A241)^2+Inputs!$C$6^2)/Inputs!$C$52))-Inputs!$C$5)*1000/Inputs!$C$12)</x:f>
        <x:v>3644.581524995093</x:v>
      </x:c>
      <x:c r="D241" s="9" t="n">
        <x:f>Model_Data!F241</x:f>
        <x:v>3616.8326009242887</x:v>
      </x:c>
      <x:c r="E241" s="9" t="n">
        <x:f>Model_Data!AC241</x:f>
        <x:v>3549.4429509300744</x:v>
      </x:c>
      <x:c r="F241" s="10"/>
      <x:c r="G241" s="9" t="n">
        <x:f>Model_Data!A241</x:f>
        <x:v>59.5</x:v>
      </x:c>
      <x:c r="H241" s="9" t="n">
        <x:f>Model_Data!Y241</x:f>
        <x:v>168.97901642333537</x:v>
      </x:c>
      <x:c r="I241" s="9" t="n">
        <x:f>Model_Data!Y241</x:f>
        <x:v>168.97901642333537</x:v>
      </x:c>
      <x:c r="J241" s="9" t="n">
        <x:f>Model_Data!X241</x:f>
        <x:v>45.681577079364786</x:v>
      </x:c>
      <x:c r="K241" s="9" t="n">
        <x:f>Model_Data!A241</x:f>
        <x:v>59.5</x:v>
      </x:c>
      <x:c r="L241" s="9" t="n">
        <x:f>Model_Data!Y241</x:f>
        <x:v>168.97901642333537</x:v>
      </x:c>
      <x:c r="M241" s="9" t="n">
        <x:f>Model_Data!X241</x:f>
        <x:v>45.681577079364786</x:v>
      </x:c>
      <x:c r="N241" s="9" t="n">
        <x:f>-(Model_Data!AC241-Model_Data!F241)*Inputs!$C$12</x:f>
        <x:v>119.9535769897015</x:v>
      </x:c>
      <x:c r="O241" s="10"/>
      <x:c r="P241" s="9" t="n">
        <x:f>Model_Data!A241</x:f>
        <x:v>59.5</x:v>
      </x:c>
      <x:c r="Q241" s="9" t="n">
        <x:f>Model_Data!P241</x:f>
        <x:v>-500.86301291985365</x:v>
      </x:c>
      <x:c r="R241" s="9" t="n">
        <x:f>Model_Data!AM241</x:f>
        <x:v>-523.5958188716722</x:v>
      </x:c>
      <x:c r="S241" s="9" t="n">
        <x:f>Model_Data!Q241</x:f>
        <x:v>-75.20465659457263</x:v>
      </x:c>
      <x:c r="T241" s="9" t="n">
        <x:f>Model_Data!AN241</x:f>
        <x:v>-78.61799082157242</x:v>
      </x:c>
      <x:c r="U241" s="10"/>
      <x:c r="V241" s="9" t="n">
        <x:f>Model_Data!A241</x:f>
        <x:v>59.5</x:v>
      </x:c>
      <x:c r="W241" s="9" t="n">
        <x:f>Model_Data!B241-Inputs!$C$5</x:f>
        <x:v>3.9336111111111336</x:v>
      </x:c>
      <x:c r="X241" s="10"/>
      <x:c r="Y241" s="9" t="n">
        <x:f>Model_Data!A241</x:f>
        <x:v>59.5</x:v>
      </x:c>
      <x:c r="Z241" s="9" t="n">
        <x:f>0</x:f>
        <x:v>0</x:v>
      </x:c>
      <x:c r="AA241" s="9" t="n">
        <x:f>((SQRT((Inputs!$C$52+Inputs!$C$5)^2+Inputs!$C$52^2-2*(Inputs!$C$52+Inputs!$C$5)*Inputs!$C$52*COS(SQRT((Model_Data!A241)^2+Inputs!$C$6^2)/Inputs!$C$52))-Inputs!$C$5)*1000/Inputs!$C$12)</x:f>
        <x:v>3644.581524995093</x:v>
      </x:c>
      <x:c r="AB241" s="9" t="n">
        <x:f>Model_Data!F241</x:f>
        <x:v>3616.8326009242887</x:v>
      </x:c>
    </x:row>
    <x:row r="242">
      <x:c r="A242" s="9" t="n">
        <x:f>Model_Data!A242</x:f>
        <x:v>60</x:v>
      </x:c>
      <x:c r="B242" s="9" t="n">
        <x:f>0</x:f>
        <x:v>0</x:v>
      </x:c>
      <x:c r="C242" s="9" t="n">
        <x:f>((SQRT((Inputs!$C$52+Inputs!$C$5)^2+Inputs!$C$52^2-2*(Inputs!$C$52+Inputs!$C$5)*Inputs!$C$52*COS(SQRT((Model_Data!A242)^2+Inputs!$C$6^2)/Inputs!$C$52))-Inputs!$C$5)*1000/Inputs!$C$12)</x:f>
        <x:v>3696.432026065829</x:v>
      </x:c>
      <x:c r="D242" s="9" t="n">
        <x:f>Model_Data!F242</x:f>
        <x:v>3667.825190313778</x:v>
      </x:c>
      <x:c r="E242" s="9" t="n">
        <x:f>Model_Data!AC242</x:f>
        <x:v>3587.006731344652</x:v>
      </x:c>
      <x:c r="F242" s="10"/>
      <x:c r="G242" s="9" t="n">
        <x:f>Model_Data!A242</x:f>
        <x:v>60</x:v>
      </x:c>
      <x:c r="H242" s="9" t="n">
        <x:f>Model_Data!Y242</x:f>
        <x:v>179.34901119414707</x:v>
      </x:c>
      <x:c r="I242" s="9" t="n">
        <x:f>Model_Data!Y242</x:f>
        <x:v>179.34901119414707</x:v>
      </x:c>
      <x:c r="J242" s="9" t="n">
        <x:f>Model_Data!X242</x:f>
        <x:v>31.89413090916895</x:v>
      </x:c>
      <x:c r="K242" s="9" t="n">
        <x:f>Model_Data!A242</x:f>
        <x:v>60</x:v>
      </x:c>
      <x:c r="L242" s="9" t="n">
        <x:f>Model_Data!Y242</x:f>
        <x:v>179.34901119414707</x:v>
      </x:c>
      <x:c r="M242" s="9" t="n">
        <x:f>Model_Data!X242</x:f>
        <x:v>31.89413090916895</x:v>
      </x:c>
      <x:c r="N242" s="9" t="n">
        <x:f>-(Model_Data!AC242-Model_Data!F242)*Inputs!$C$12</x:f>
        <x:v>143.85685696504413</x:v>
      </x:c>
      <x:c r="O242" s="10"/>
      <x:c r="P242" s="9" t="n">
        <x:f>Model_Data!A242</x:f>
        <x:v>60</x:v>
      </x:c>
      <x:c r="Q242" s="9" t="n">
        <x:f>Model_Data!P242</x:f>
        <x:v>-502.89823360690207</x:v>
      </x:c>
      <x:c r="R242" s="9" t="n">
        <x:f>Model_Data!AM242</x:f>
        <x:v>-470.52756543034775</x:v>
      </x:c>
      <x:c r="S242" s="9" t="n">
        <x:f>Model_Data!Q242</x:f>
        <x:v>-75.51024528632163</x:v>
      </x:c>
      <x:c r="T242" s="9" t="n">
        <x:f>Model_Data!AN242</x:f>
        <x:v>-70.64978459915132</x:v>
      </x:c>
      <x:c r="U242" s="10"/>
      <x:c r="V242" s="9" t="n">
        <x:f>Model_Data!A242</x:f>
        <x:v>60</x:v>
      </x:c>
      <x:c r="W242" s="9" t="n">
        <x:f>Model_Data!B242-Inputs!$C$5</x:f>
        <x:v>4</x:v>
      </x:c>
      <x:c r="X242" s="10"/>
      <x:c r="Y242" s="9" t="n">
        <x:f>Model_Data!A242</x:f>
        <x:v>60</x:v>
      </x:c>
      <x:c r="Z242" s="9" t="n">
        <x:f>0</x:f>
        <x:v>0</x:v>
      </x:c>
      <x:c r="AA242" s="9" t="n">
        <x:f>((SQRT((Inputs!$C$52+Inputs!$C$5)^2+Inputs!$C$52^2-2*(Inputs!$C$52+Inputs!$C$5)*Inputs!$C$52*COS(SQRT((Model_Data!A242)^2+Inputs!$C$6^2)/Inputs!$C$52))-Inputs!$C$5)*1000/Inputs!$C$12)</x:f>
        <x:v>3696.432026065829</x:v>
      </x:c>
      <x:c r="AB242" s="9"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5"/>
  <x:cols>
    <x:col min="1" max="1" width="12" customWidth="1"/>
    <x:col min="2" max="2" width="24" customWidth="1"/>
    <x:col min="3" max="4" width="30" customWidth="1"/>
    <x:col min="5" max="5" width="32" customWidth="1"/>
    <x:col min="6" max="6" width="4" customWidth="1"/>
    <x:col min="7" max="7" width="12" customWidth="1"/>
    <x:col min="8" max="8" width="30" customWidth="1"/>
    <x:col min="9" max="10" width="34" customWidth="1"/>
    <x:col min="11" max="11" width="36" customWidth="1"/>
    <x:col min="12" max="12" width="4" customWidth="1"/>
    <x:col min="13" max="13" width="12" customWidth="1"/>
    <x:col min="14" max="14" width="30" customWidth="1"/>
    <x:col min="15" max="16" width="34" customWidth="1"/>
    <x:col min="17" max="17" width="36" customWidth="1"/>
    <x:col min="18" max="18" width="4" customWidth="1"/>
    <x:col min="19" max="19" width="12" customWidth="1"/>
    <x:col min="20" max="20" width="24" customWidth="1"/>
    <x:col min="21" max="22" width="30" customWidth="1"/>
    <x:col min="23" max="23" width="32" customWidth="1"/>
    <x:col min="25" max="25" width="12" customWidth="1"/>
    <x:col min="26" max="26" width="24" customWidth="1"/>
    <x:col min="27" max="28" width="30" customWidth="1"/>
    <x:col min="29" max="29" width="32" customWidth="1"/>
    <x:col min="31" max="31" width="12" customWidth="1"/>
    <x:col min="32" max="32" width="30" customWidth="1"/>
    <x:col min="33" max="34" width="34" customWidth="1"/>
    <x:col min="35" max="35" width="36" customWidth="1"/>
    <x:col min="37" max="37" width="12" customWidth="1"/>
    <x:col min="38" max="38" width="30" customWidth="1"/>
    <x:col min="39" max="40" width="34" customWidth="1"/>
    <x:col min="41" max="41" width="36" customWidth="1"/>
    <x:col min="43" max="43" width="12" customWidth="1"/>
    <x:col min="44" max="44" width="24" customWidth="1"/>
    <x:col min="45" max="45" width="32" customWidth="1"/>
    <x:col min="46" max="47" width="36" customWidth="1"/>
    <x:col min="48" max="48" width="38" customWidth="1"/>
    <x:col min="50" max="50" width="12" customWidth="1"/>
    <x:col min="51" max="51" width="28" customWidth="1"/>
    <x:col min="52" max="52" width="24" customWidth="1"/>
    <x:col min="53" max="54" width="30" customWidth="1"/>
    <x:col min="55" max="55" width="32" customWidth="1"/>
    <x:col min="57" max="57" width="12" customWidth="1"/>
    <x:col min="58" max="58" width="28" customWidth="1"/>
    <x:col min="59" max="59" width="30" customWidth="1"/>
    <x:col min="60" max="61" width="34" customWidth="1"/>
    <x:col min="62" max="62" width="36" customWidth="1"/>
  </x:cols>
  <x:sheetData>
    <x:row r="1" ht="26.25">
      <x:c r="A1" s="2" t="s">
        <x:v>297</x:v>
      </x:c>
      <x:c r="B1" s="2" t="s">
        <x:v>298</x:v>
      </x:c>
      <x:c r="C1" s="2" t="s">
        <x:v>299</x:v>
      </x:c>
      <x:c r="D1" s="2" t="s">
        <x:v>300</x:v>
      </x:c>
      <x:c r="E1" s="2" t="s">
        <x:v>301</x:v>
      </x:c>
      <x:c r="G1" s="2" t="s">
        <x:v>297</x:v>
      </x:c>
      <x:c r="H1" s="2" t="s">
        <x:v>302</x:v>
      </x:c>
      <x:c r="I1" s="2" t="s">
        <x:v>303</x:v>
      </x:c>
      <x:c r="J1" s="2" t="s">
        <x:v>304</x:v>
      </x:c>
      <x:c r="K1" s="2" t="s">
        <x:v>305</x:v>
      </x:c>
      <x:c r="M1" s="2" t="s">
        <x:v>297</x:v>
      </x:c>
      <x:c r="N1" s="2" t="s">
        <x:v>306</x:v>
      </x:c>
      <x:c r="O1" s="2" t="s">
        <x:v>307</x:v>
      </x:c>
      <x:c r="P1" s="2" t="s">
        <x:v>308</x:v>
      </x:c>
      <x:c r="Q1" s="2" t="s">
        <x:v>309</x:v>
      </x:c>
      <x:c r="S1" s="2" t="s">
        <x:v>297</x:v>
      </x:c>
      <x:c r="T1" s="2" t="s">
        <x:v>310</x:v>
      </x:c>
      <x:c r="U1" s="2" t="s">
        <x:v>311</x:v>
      </x:c>
      <x:c r="V1" s="2" t="s">
        <x:v>312</x:v>
      </x:c>
      <x:c r="W1" s="2" t="s">
        <x:v>313</x:v>
      </x:c>
      <x:c r="Y1" s="2" t="s">
        <x:v>297</x:v>
      </x:c>
      <x:c r="Z1" s="2" t="s">
        <x:v>314</x:v>
      </x:c>
      <x:c r="AA1" s="2" t="s">
        <x:v>315</x:v>
      </x:c>
      <x:c r="AB1" s="2" t="s">
        <x:v>316</x:v>
      </x:c>
      <x:c r="AC1" s="2" t="s">
        <x:v>317</x:v>
      </x:c>
      <x:c r="AE1" s="2" t="s">
        <x:v>297</x:v>
      </x:c>
      <x:c r="AF1" s="2" t="s">
        <x:v>318</x:v>
      </x:c>
      <x:c r="AG1" s="2" t="s">
        <x:v>319</x:v>
      </x:c>
      <x:c r="AH1" s="2" t="s">
        <x:v>320</x:v>
      </x:c>
      <x:c r="AI1" s="2" t="s">
        <x:v>321</x:v>
      </x:c>
      <x:c r="AK1" s="2" t="s">
        <x:v>297</x:v>
      </x:c>
      <x:c r="AL1" s="2" t="s">
        <x:v>322</x:v>
      </x:c>
      <x:c r="AM1" s="2" t="s">
        <x:v>323</x:v>
      </x:c>
      <x:c r="AN1" s="2" t="s">
        <x:v>324</x:v>
      </x:c>
      <x:c r="AO1" s="2" t="s">
        <x:v>325</x:v>
      </x:c>
      <x:c r="AQ1" s="2" t="s">
        <x:v>297</x:v>
      </x:c>
      <x:c r="AR1" s="2" t="s">
        <x:v>326</x:v>
      </x:c>
      <x:c r="AS1" s="2" t="s">
        <x:v>327</x:v>
      </x:c>
      <x:c r="AT1" s="2" t="s">
        <x:v>328</x:v>
      </x:c>
      <x:c r="AU1" s="2" t="s">
        <x:v>329</x:v>
      </x:c>
      <x:c r="AV1" s="2" t="s">
        <x:v>330</x:v>
      </x:c>
      <x:c r="AX1" s="2" t="s">
        <x:v>297</x:v>
      </x:c>
      <x:c r="AY1" s="2" t="s">
        <x:v>331</x:v>
      </x:c>
      <x:c r="AZ1" s="2" t="s">
        <x:v>298</x:v>
      </x:c>
      <x:c r="BA1" s="2" t="s">
        <x:v>299</x:v>
      </x:c>
      <x:c r="BB1" s="2" t="s">
        <x:v>300</x:v>
      </x:c>
      <x:c r="BC1" s="2" t="s">
        <x:v>301</x:v>
      </x:c>
      <x:c r="BE1" s="2" t="s">
        <x:v>297</x:v>
      </x:c>
      <x:c r="BF1" s="2" t="s">
        <x:v>332</x:v>
      </x:c>
      <x:c r="BG1" s="2" t="s">
        <x:v>302</x:v>
      </x:c>
      <x:c r="BH1" s="2" t="s">
        <x:v>303</x:v>
      </x:c>
      <x:c r="BI1" s="2" t="s">
        <x:v>304</x:v>
      </x:c>
      <x:c r="BJ1" s="2" t="s">
        <x:v>305</x:v>
      </x:c>
    </x:row>
    <x:row r="2">
      <x:c r="A2" s="9" t="n">
        <x:f>ROUND(-1+0*2/240,3)</x:f>
        <x:v>-1</x:v>
      </x:c>
      <x:c r="B2" s="9" t="n">
        <x:f>IF(OR(Inputs!$F$6=TRUE,Inputs!$F$6="TRUE",Inputs!$F$6=1),(Inputs!$H$6+Inputs!$L$6*(((Inputs!$I$6+(((A2)+1)/2)*(Inputs!$J$6-Inputs!$I$6)))/Inputs!$K$6)^2),NA())</x:f>
        <x:v>404</x:v>
      </x:c>
      <x:c r="C2" s="9" t="n">
        <x:f>IF(OR(Inputs!$F$7=TRUE,Inputs!$F$7="TRUE",Inputs!$F$7=1),(Inputs!$H$7+Inputs!$L$7*(((Inputs!$I$7+(((A2)+1)/2)*(Inputs!$J$7-Inputs!$I$7)))/Inputs!$K$7)^2),NA())</x:f>
        <x:v>400</x:v>
      </x:c>
      <x:c r="D2" s="9" t="n">
        <x:f>IF(OR(Inputs!$F$8=TRUE,Inputs!$F$8="TRUE",Inputs!$F$8=1),(Inputs!$H$8+Inputs!$L$8*(((Inputs!$I$8+(((A2)+1)/2)*(Inputs!$J$8-Inputs!$I$8)))/Inputs!$K$8)^2),NA())</x:f>
        <x:v>1000</x:v>
      </x:c>
      <x:c r="E2" s="9" t="n">
        <x:f>IF(OR(Inputs!$F$9=TRUE,Inputs!$F$9="TRUE",Inputs!$F$9=1),(Inputs!$H$9+Inputs!$L$9*(((Inputs!$I$9+(((A2)+1)/2)*(Inputs!$J$9-Inputs!$I$9)))/Inputs!$K$9)^2),NA())</x:f>
        <x:v>1000</x:v>
      </x:c>
      <x:c r="F2" s="10"/>
      <x:c r="G2" s="9" t="n">
        <x:f t="shared" ref="G2:G65" si="0">A2</x:f>
        <x:v>-1</x:v>
      </x:c>
      <x:c r="H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10"/>
      <x:c r="M2" s="9" t="n">
        <x:f t="shared" ref="M2:M65" si="1">A2</x:f>
        <x:v>-1</x:v>
      </x:c>
      <x:c r="N2" s="9"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9"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9"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9"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10"/>
      <x:c r="S2" s="9" t="n">
        <x:f t="shared" ref="S2:S65" si="2">A2</x:f>
        <x:v>-1</x:v>
      </x:c>
      <x:c r="T2" s="9" t="n">
        <x:f>(Inputs!$I$6+(((A2)+1)/2)*(Inputs!$J$6-Inputs!$I$6))</x:f>
        <x:v>-60</x:v>
      </x:c>
      <x:c r="U2" s="9" t="n">
        <x:f>(Inputs!$I$7+(((A2)+1)/2)*(Inputs!$J$7-Inputs!$I$7))</x:f>
        <x:v>-400</x:v>
      </x:c>
      <x:c r="V2" s="9" t="n">
        <x:f>(Inputs!$I$8+(((A2)+1)/2)*(Inputs!$J$8-Inputs!$I$8))</x:f>
        <x:v>-800</x:v>
      </x:c>
      <x:c r="W2" s="9" t="n">
        <x:f>(Inputs!$I$9+(((A2)+1)/2)*(Inputs!$J$9-Inputs!$I$9))</x:f>
        <x:v>-800</x:v>
      </x:c>
      <x:c r="X2" s="10"/>
      <x:c r="Y2" s="9" t="n">
        <x:f t="shared" ref="Y2:Y65" si="3">A2</x:f>
        <x:v>-1</x:v>
      </x:c>
      <x:c r="Z2" s="9" t="n">
        <x:f>(Inputs!$H$6+Inputs!$L$6*(((Inputs!$I$6+(((A2)+1)/2)*(Inputs!$J$6-Inputs!$I$6)))/Inputs!$K$6)^2)</x:f>
        <x:v>404</x:v>
      </x:c>
      <x:c r="AA2" s="9" t="n">
        <x:f>(Inputs!$H$7+Inputs!$L$7*(((Inputs!$I$7+(((A2)+1)/2)*(Inputs!$J$7-Inputs!$I$7)))/Inputs!$K$7)^2)</x:f>
        <x:v>400</x:v>
      </x:c>
      <x:c r="AB2" s="9" t="n">
        <x:f>(Inputs!$H$8+Inputs!$L$8*(((Inputs!$I$8+(((A2)+1)/2)*(Inputs!$J$8-Inputs!$I$8)))/Inputs!$K$8)^2)</x:f>
        <x:v>1000</x:v>
      </x:c>
      <x:c r="AC2" s="9" t="n">
        <x:f>(Inputs!$H$9+Inputs!$L$9*(((Inputs!$I$9+(((A2)+1)/2)*(Inputs!$J$9-Inputs!$I$9)))/Inputs!$K$9)^2)</x:f>
        <x:v>1000</x:v>
      </x:c>
      <x:c r="AD2" s="10"/>
      <x:c r="AE2" s="9" t="n">
        <x:f t="shared" ref="AE2:AE65" si="4">A2</x:f>
        <x:v>-1</x:v>
      </x:c>
      <x:c r="AF2" s="9"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9"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9"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9"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10"/>
      <x:c r="AK2" s="9" t="n">
        <x:f t="shared" ref="AK2:AK65" si="5">A2</x:f>
        <x:v>-1</x:v>
      </x:c>
      <x:c r="AL2" s="9"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9"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9"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9"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10"/>
      <x:c r="AQ2" s="9" t="n">
        <x:f t="shared" ref="AQ2:AQ65" si="6">A2</x:f>
        <x:v>-1</x:v>
      </x:c>
      <x:c r="AR2" s="9" t="n">
        <x:f>0</x:f>
        <x:v>0</x:v>
      </x:c>
      <x:c r="AS2" s="9"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x:f>
        <x:v>119.42638570504096</x:v>
      </x:c>
      <x:c r="AT2" s="9"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x:f>
        <x:v>102.57205251432374</x:v>
      </x:c>
      <x:c r="AU2" s="9"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x:f>
        <x:v>138.02549272579066</x:v>
      </x:c>
      <x:c r="AV2" s="9"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x:f>
        <x:v>138.02549272579066</x:v>
      </x:c>
      <x:c r="AW2" s="10"/>
      <x:c r="AX2" s="9" t="n">
        <x:f t="shared" ref="AX2:AX65" si="7">A2</x:f>
        <x:v>-1</x:v>
      </x:c>
      <x:c r="AY2" s="9" t="n">
        <x:f>0</x:f>
        <x:v>0</x:v>
      </x:c>
      <x:c r="AZ2" s="9" t="n">
        <x:f>IF(OR(Inputs!$F$6=TRUE,Inputs!$F$6="TRUE",Inputs!$F$6=1),(Inputs!$H$6+Inputs!$L$6*(((Inputs!$I$6+(((A2)+1)/2)*(Inputs!$J$6-Inputs!$I$6)))/Inputs!$K$6)^2),NA())</x:f>
        <x:v>404</x:v>
      </x:c>
      <x:c r="BA2" s="9" t="n">
        <x:f>IF(OR(Inputs!$F$7=TRUE,Inputs!$F$7="TRUE",Inputs!$F$7=1),(Inputs!$H$7+Inputs!$L$7*(((Inputs!$I$7+(((A2)+1)/2)*(Inputs!$J$7-Inputs!$I$7)))/Inputs!$K$7)^2),NA())</x:f>
        <x:v>400</x:v>
      </x:c>
      <x:c r="BB2" s="9" t="n">
        <x:f>IF(OR(Inputs!$F$8=TRUE,Inputs!$F$8="TRUE",Inputs!$F$8=1),(Inputs!$H$8+Inputs!$L$8*(((Inputs!$I$8+(((A2)+1)/2)*(Inputs!$J$8-Inputs!$I$8)))/Inputs!$K$8)^2),NA())</x:f>
        <x:v>1000</x:v>
      </x:c>
      <x:c r="BC2" s="9" t="n">
        <x:f>IF(OR(Inputs!$F$9=TRUE,Inputs!$F$9="TRUE",Inputs!$F$9=1),(Inputs!$H$9+Inputs!$L$9*(((Inputs!$I$9+(((A2)+1)/2)*(Inputs!$J$9-Inputs!$I$9)))/Inputs!$K$9)^2),NA())</x:f>
        <x:v>1000</x:v>
      </x:c>
      <x:c r="BD2" s="10"/>
      <x:c r="BE2" s="9" t="n">
        <x:f t="shared" ref="BE2:BE65" si="8">A2</x:f>
        <x:v>-1</x:v>
      </x:c>
      <x:c r="BF2" s="9" t="n">
        <x:f>0</x:f>
        <x:v>0</x:v>
      </x:c>
      <x:c r="BG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9" t="n">
        <x:f>ROUND(-1+1*2/240,3)</x:f>
        <x:v>-0.992</x:v>
      </x:c>
      <x:c r="B3" s="9" t="n">
        <x:f>IF(OR(Inputs!$F$6=TRUE,Inputs!$F$6="TRUE",Inputs!$F$6=1),(Inputs!$H$6+Inputs!$L$6*(((Inputs!$I$6+(((A3)+1)/2)*(Inputs!$J$6-Inputs!$I$6)))/Inputs!$K$6)^2),NA())</x:f>
        <x:v>403.936256</x:v>
      </x:c>
      <x:c r="C3" s="9" t="n">
        <x:f>IF(OR(Inputs!$F$7=TRUE,Inputs!$F$7="TRUE",Inputs!$F$7=1),(Inputs!$H$7+Inputs!$L$7*(((Inputs!$I$7+(((A3)+1)/2)*(Inputs!$J$7-Inputs!$I$7)))/Inputs!$K$7)^2),NA())</x:f>
        <x:v>394.18336</x:v>
      </x:c>
      <x:c r="D3" s="9" t="n">
        <x:f>IF(OR(Inputs!$F$8=TRUE,Inputs!$F$8="TRUE",Inputs!$F$8=1),(Inputs!$H$8+Inputs!$L$8*(((Inputs!$I$8+(((A3)+1)/2)*(Inputs!$J$8-Inputs!$I$8)))/Inputs!$K$8)^2),NA())</x:f>
        <x:v>984.62176</x:v>
      </x:c>
      <x:c r="E3" s="9" t="n">
        <x:f>IF(OR(Inputs!$F$9=TRUE,Inputs!$F$9="TRUE",Inputs!$F$9=1),(Inputs!$H$9+Inputs!$L$9*(((Inputs!$I$9+(((A3)+1)/2)*(Inputs!$J$9-Inputs!$I$9)))/Inputs!$K$9)^2),NA())</x:f>
        <x:v>984.4623999999999</x:v>
      </x:c>
      <x:c r="F3" s="10"/>
      <x:c r="G3" s="9">
        <x:f t="shared" si="0"/>
        <x:v>-0.99199999999999999</x:v>
      </x:c>
      <x:c r="H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10"/>
      <x:c r="M3" s="9">
        <x:f t="shared" si="1"/>
        <x:v>-0.99199999999999999</x:v>
      </x:c>
      <x:c r="N3" s="9"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9"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9"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9"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10"/>
      <x:c r="S3" s="9">
        <x:f t="shared" si="2"/>
        <x:v>-0.99199999999999999</x:v>
      </x:c>
      <x:c r="T3" s="9" t="n">
        <x:f>(Inputs!$I$6+(((A3)+1)/2)*(Inputs!$J$6-Inputs!$I$6))</x:f>
        <x:v>-59.519999999999996</x:v>
      </x:c>
      <x:c r="U3" s="9" t="n">
        <x:f>(Inputs!$I$7+(((A3)+1)/2)*(Inputs!$J$7-Inputs!$I$7))</x:f>
        <x:v>-396.8</x:v>
      </x:c>
      <x:c r="V3" s="9" t="n">
        <x:f>(Inputs!$I$8+(((A3)+1)/2)*(Inputs!$J$8-Inputs!$I$8))</x:f>
        <x:v>-793.6</x:v>
      </x:c>
      <x:c r="W3" s="9" t="n">
        <x:f>(Inputs!$I$9+(((A3)+1)/2)*(Inputs!$J$9-Inputs!$I$9))</x:f>
        <x:v>-793.6</x:v>
      </x:c>
      <x:c r="X3" s="10"/>
      <x:c r="Y3" s="9">
        <x:f t="shared" si="3"/>
        <x:v>-0.99199999999999999</x:v>
      </x:c>
      <x:c r="Z3" s="9" t="n">
        <x:f>(Inputs!$H$6+Inputs!$L$6*(((Inputs!$I$6+(((A3)+1)/2)*(Inputs!$J$6-Inputs!$I$6)))/Inputs!$K$6)^2)</x:f>
        <x:v>403.936256</x:v>
      </x:c>
      <x:c r="AA3" s="9" t="n">
        <x:f>(Inputs!$H$7+Inputs!$L$7*(((Inputs!$I$7+(((A3)+1)/2)*(Inputs!$J$7-Inputs!$I$7)))/Inputs!$K$7)^2)</x:f>
        <x:v>394.18336</x:v>
      </x:c>
      <x:c r="AB3" s="9" t="n">
        <x:f>(Inputs!$H$8+Inputs!$L$8*(((Inputs!$I$8+(((A3)+1)/2)*(Inputs!$J$8-Inputs!$I$8)))/Inputs!$K$8)^2)</x:f>
        <x:v>984.62176</x:v>
      </x:c>
      <x:c r="AC3" s="9" t="n">
        <x:f>(Inputs!$H$9+Inputs!$L$9*(((Inputs!$I$9+(((A3)+1)/2)*(Inputs!$J$9-Inputs!$I$9)))/Inputs!$K$9)^2)</x:f>
        <x:v>984.4623999999999</x:v>
      </x:c>
      <x:c r="AD3" s="10"/>
      <x:c r="AE3" s="9">
        <x:f t="shared" si="4"/>
        <x:v>-0.99199999999999999</x:v>
      </x:c>
      <x:c r="AF3" s="9"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9"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9"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9"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10"/>
      <x:c r="AK3" s="9">
        <x:f t="shared" si="5"/>
        <x:v>-0.99199999999999999</x:v>
      </x:c>
      <x:c r="AL3" s="9"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9"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9"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9"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10"/>
      <x:c r="AQ3" s="9">
        <x:f t="shared" si="6"/>
        <x:v>-0.99199999999999999</x:v>
      </x:c>
      <x:c r="AR3" s="9" t="n">
        <x:f>0</x:f>
        <x:v>0</x:v>
      </x:c>
      <x:c r="AS3" s="9"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x:f>
        <x:v>121.3302635911948</x:v>
      </x:c>
      <x:c r="AT3" s="9"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x:f>
        <x:v>171.18494655332523</x:v>
      </x:c>
      <x:c r="AU3" s="9"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x:f>
        <x:v>85.31373629330612</x:v>
      </x:c>
      <x:c r="AV3" s="9"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x:f>
        <x:v>85.31373629330612</x:v>
      </x:c>
      <x:c r="AW3" s="10"/>
      <x:c r="AX3" s="9">
        <x:f t="shared" si="7"/>
        <x:v>-0.99199999999999999</x:v>
      </x:c>
      <x:c r="AY3" s="9" t="n">
        <x:f>0</x:f>
        <x:v>0</x:v>
      </x:c>
      <x:c r="AZ3" s="9" t="n">
        <x:f>IF(OR(Inputs!$F$6=TRUE,Inputs!$F$6="TRUE",Inputs!$F$6=1),(Inputs!$H$6+Inputs!$L$6*(((Inputs!$I$6+(((A3)+1)/2)*(Inputs!$J$6-Inputs!$I$6)))/Inputs!$K$6)^2),NA())</x:f>
        <x:v>403.936256</x:v>
      </x:c>
      <x:c r="BA3" s="9" t="n">
        <x:f>IF(OR(Inputs!$F$7=TRUE,Inputs!$F$7="TRUE",Inputs!$F$7=1),(Inputs!$H$7+Inputs!$L$7*(((Inputs!$I$7+(((A3)+1)/2)*(Inputs!$J$7-Inputs!$I$7)))/Inputs!$K$7)^2),NA())</x:f>
        <x:v>394.18336</x:v>
      </x:c>
      <x:c r="BB3" s="9" t="n">
        <x:f>IF(OR(Inputs!$F$8=TRUE,Inputs!$F$8="TRUE",Inputs!$F$8=1),(Inputs!$H$8+Inputs!$L$8*(((Inputs!$I$8+(((A3)+1)/2)*(Inputs!$J$8-Inputs!$I$8)))/Inputs!$K$8)^2),NA())</x:f>
        <x:v>984.62176</x:v>
      </x:c>
      <x:c r="BC3" s="9" t="n">
        <x:f>IF(OR(Inputs!$F$9=TRUE,Inputs!$F$9="TRUE",Inputs!$F$9=1),(Inputs!$H$9+Inputs!$L$9*(((Inputs!$I$9+(((A3)+1)/2)*(Inputs!$J$9-Inputs!$I$9)))/Inputs!$K$9)^2),NA())</x:f>
        <x:v>984.4623999999999</x:v>
      </x:c>
      <x:c r="BD3" s="10"/>
      <x:c r="BE3" s="9">
        <x:f t="shared" si="8"/>
        <x:v>-0.99199999999999999</x:v>
      </x:c>
      <x:c r="BF3" s="9" t="n">
        <x:f>0</x:f>
        <x:v>0</x:v>
      </x:c>
      <x:c r="BG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9" t="n">
        <x:f>ROUND(-1+2*2/240,3)</x:f>
        <x:v>-0.983</x:v>
      </x:c>
      <x:c r="B4" s="9" t="n">
        <x:f>IF(OR(Inputs!$F$6=TRUE,Inputs!$F$6="TRUE",Inputs!$F$6=1),(Inputs!$H$6+Inputs!$L$6*(((Inputs!$I$6+(((A4)+1)/2)*(Inputs!$J$6-Inputs!$I$6)))/Inputs!$K$6)^2),NA())</x:f>
        <x:v>403.865156</x:v>
      </x:c>
      <x:c r="C4" s="9" t="n">
        <x:f>IF(OR(Inputs!$F$7=TRUE,Inputs!$F$7="TRUE",Inputs!$F$7=1),(Inputs!$H$7+Inputs!$L$7*(((Inputs!$I$7+(((A4)+1)/2)*(Inputs!$J$7-Inputs!$I$7)))/Inputs!$K$7)^2),NA())</x:f>
        <x:v>387.69548499999996</x:v>
      </x:c>
      <x:c r="D4" s="9" t="n">
        <x:f>IF(OR(Inputs!$F$8=TRUE,Inputs!$F$8="TRUE",Inputs!$F$8=1),(Inputs!$H$8+Inputs!$L$8*(((Inputs!$I$8+(((A4)+1)/2)*(Inputs!$J$8-Inputs!$I$8)))/Inputs!$K$8)^2),NA())</x:f>
        <x:v>967.468885</x:v>
      </x:c>
      <x:c r="E4" s="9" t="n">
        <x:f>IF(OR(Inputs!$F$9=TRUE,Inputs!$F$9="TRUE",Inputs!$F$9=1),(Inputs!$H$9+Inputs!$L$9*(((Inputs!$I$9+(((A4)+1)/2)*(Inputs!$J$9-Inputs!$I$9)))/Inputs!$K$9)^2),NA())</x:f>
        <x:v>967.131775</x:v>
      </x:c>
      <x:c r="F4" s="10"/>
      <x:c r="G4" s="9">
        <x:f t="shared" si="0"/>
        <x:v>-0.98299999999999998</x:v>
      </x:c>
      <x:c r="H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10"/>
      <x:c r="M4" s="9">
        <x:f t="shared" si="1"/>
        <x:v>-0.98299999999999998</x:v>
      </x:c>
      <x:c r="N4" s="9"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9"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9"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9"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10"/>
      <x:c r="S4" s="9">
        <x:f t="shared" si="2"/>
        <x:v>-0.98299999999999998</x:v>
      </x:c>
      <x:c r="T4" s="9" t="n">
        <x:f>(Inputs!$I$6+(((A4)+1)/2)*(Inputs!$J$6-Inputs!$I$6))</x:f>
        <x:v>-58.98</x:v>
      </x:c>
      <x:c r="U4" s="9" t="n">
        <x:f>(Inputs!$I$7+(((A4)+1)/2)*(Inputs!$J$7-Inputs!$I$7))</x:f>
        <x:v>-393.2</x:v>
      </x:c>
      <x:c r="V4" s="9" t="n">
        <x:f>(Inputs!$I$8+(((A4)+1)/2)*(Inputs!$J$8-Inputs!$I$8))</x:f>
        <x:v>-786.4</x:v>
      </x:c>
      <x:c r="W4" s="9" t="n">
        <x:f>(Inputs!$I$9+(((A4)+1)/2)*(Inputs!$J$9-Inputs!$I$9))</x:f>
        <x:v>-786.4</x:v>
      </x:c>
      <x:c r="X4" s="10"/>
      <x:c r="Y4" s="9">
        <x:f t="shared" si="3"/>
        <x:v>-0.98299999999999998</x:v>
      </x:c>
      <x:c r="Z4" s="9" t="n">
        <x:f>(Inputs!$H$6+Inputs!$L$6*(((Inputs!$I$6+(((A4)+1)/2)*(Inputs!$J$6-Inputs!$I$6)))/Inputs!$K$6)^2)</x:f>
        <x:v>403.865156</x:v>
      </x:c>
      <x:c r="AA4" s="9" t="n">
        <x:f>(Inputs!$H$7+Inputs!$L$7*(((Inputs!$I$7+(((A4)+1)/2)*(Inputs!$J$7-Inputs!$I$7)))/Inputs!$K$7)^2)</x:f>
        <x:v>387.69548499999996</x:v>
      </x:c>
      <x:c r="AB4" s="9" t="n">
        <x:f>(Inputs!$H$8+Inputs!$L$8*(((Inputs!$I$8+(((A4)+1)/2)*(Inputs!$J$8-Inputs!$I$8)))/Inputs!$K$8)^2)</x:f>
        <x:v>967.468885</x:v>
      </x:c>
      <x:c r="AC4" s="9" t="n">
        <x:f>(Inputs!$H$9+Inputs!$L$9*(((Inputs!$I$9+(((A4)+1)/2)*(Inputs!$J$9-Inputs!$I$9)))/Inputs!$K$9)^2)</x:f>
        <x:v>967.131775</x:v>
      </x:c>
      <x:c r="AD4" s="10"/>
      <x:c r="AE4" s="9">
        <x:f t="shared" si="4"/>
        <x:v>-0.98299999999999998</x:v>
      </x:c>
      <x:c r="AF4" s="9"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9"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9"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9"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10"/>
      <x:c r="AK4" s="9">
        <x:f t="shared" si="5"/>
        <x:v>-0.98299999999999998</x:v>
      </x:c>
      <x:c r="AL4" s="9"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9"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9"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9"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10"/>
      <x:c r="AQ4" s="9">
        <x:f t="shared" si="6"/>
        <x:v>-0.98299999999999998</x:v>
      </x:c>
      <x:c r="AR4" s="9" t="n">
        <x:f>0</x:f>
        <x:v>0</x:v>
      </x:c>
      <x:c r="AS4" s="9"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x:f>
        <x:v>115.22295693608717</x:v>
      </x:c>
      <x:c r="AT4" s="9"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x:f>
        <x:v>223.6690547209138</x:v>
      </x:c>
      <x:c r="AU4" s="9"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x:f>
        <x:v>197.26633368734042</x:v>
      </x:c>
      <x:c r="AV4" s="9"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x:f>
        <x:v>197.26633368734042</x:v>
      </x:c>
      <x:c r="AW4" s="10"/>
      <x:c r="AX4" s="9">
        <x:f t="shared" si="7"/>
        <x:v>-0.98299999999999998</x:v>
      </x:c>
      <x:c r="AY4" s="9" t="n">
        <x:f>0</x:f>
        <x:v>0</x:v>
      </x:c>
      <x:c r="AZ4" s="9" t="n">
        <x:f>IF(OR(Inputs!$F$6=TRUE,Inputs!$F$6="TRUE",Inputs!$F$6=1),(Inputs!$H$6+Inputs!$L$6*(((Inputs!$I$6+(((A4)+1)/2)*(Inputs!$J$6-Inputs!$I$6)))/Inputs!$K$6)^2),NA())</x:f>
        <x:v>403.865156</x:v>
      </x:c>
      <x:c r="BA4" s="9" t="n">
        <x:f>IF(OR(Inputs!$F$7=TRUE,Inputs!$F$7="TRUE",Inputs!$F$7=1),(Inputs!$H$7+Inputs!$L$7*(((Inputs!$I$7+(((A4)+1)/2)*(Inputs!$J$7-Inputs!$I$7)))/Inputs!$K$7)^2),NA())</x:f>
        <x:v>387.69548499999996</x:v>
      </x:c>
      <x:c r="BB4" s="9" t="n">
        <x:f>IF(OR(Inputs!$F$8=TRUE,Inputs!$F$8="TRUE",Inputs!$F$8=1),(Inputs!$H$8+Inputs!$L$8*(((Inputs!$I$8+(((A4)+1)/2)*(Inputs!$J$8-Inputs!$I$8)))/Inputs!$K$8)^2),NA())</x:f>
        <x:v>967.468885</x:v>
      </x:c>
      <x:c r="BC4" s="9" t="n">
        <x:f>IF(OR(Inputs!$F$9=TRUE,Inputs!$F$9="TRUE",Inputs!$F$9=1),(Inputs!$H$9+Inputs!$L$9*(((Inputs!$I$9+(((A4)+1)/2)*(Inputs!$J$9-Inputs!$I$9)))/Inputs!$K$9)^2),NA())</x:f>
        <x:v>967.131775</x:v>
      </x:c>
      <x:c r="BD4" s="10"/>
      <x:c r="BE4" s="9">
        <x:f t="shared" si="8"/>
        <x:v>-0.98299999999999998</x:v>
      </x:c>
      <x:c r="BF4" s="9" t="n">
        <x:f>0</x:f>
        <x:v>0</x:v>
      </x:c>
      <x:c r="BG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9" t="n">
        <x:f>ROUND(-1+3*2/240,3)</x:f>
        <x:v>-0.975</x:v>
      </x:c>
      <x:c r="B5" s="9" t="n">
        <x:f>IF(OR(Inputs!$F$6=TRUE,Inputs!$F$6="TRUE",Inputs!$F$6=1),(Inputs!$H$6+Inputs!$L$6*(((Inputs!$I$6+(((A5)+1)/2)*(Inputs!$J$6-Inputs!$I$6)))/Inputs!$K$6)^2),NA())</x:f>
        <x:v>403.8025</x:v>
      </x:c>
      <x:c r="C5" s="9" t="n">
        <x:f>IF(OR(Inputs!$F$7=TRUE,Inputs!$F$7="TRUE",Inputs!$F$7=1),(Inputs!$H$7+Inputs!$L$7*(((Inputs!$I$7+(((A5)+1)/2)*(Inputs!$J$7-Inputs!$I$7)))/Inputs!$K$7)^2),NA())</x:f>
        <x:v>381.978125</x:v>
      </x:c>
      <x:c r="D5" s="9" t="n">
        <x:f>IF(OR(Inputs!$F$8=TRUE,Inputs!$F$8="TRUE",Inputs!$F$8=1),(Inputs!$H$8+Inputs!$L$8*(((Inputs!$I$8+(((A5)+1)/2)*(Inputs!$J$8-Inputs!$I$8)))/Inputs!$K$8)^2),NA())</x:f>
        <x:v>952.353125</x:v>
      </x:c>
      <x:c r="E5" s="9" t="n">
        <x:f>IF(OR(Inputs!$F$9=TRUE,Inputs!$F$9="TRUE",Inputs!$F$9=1),(Inputs!$H$9+Inputs!$L$9*(((Inputs!$I$9+(((A5)+1)/2)*(Inputs!$J$9-Inputs!$I$9)))/Inputs!$K$9)^2),NA())</x:f>
        <x:v>951.859375</x:v>
      </x:c>
      <x:c r="F5" s="10"/>
      <x:c r="G5" s="9">
        <x:f t="shared" si="0"/>
        <x:v>-0.97499999999999998</x:v>
      </x:c>
      <x:c r="H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10"/>
      <x:c r="M5" s="9">
        <x:f t="shared" si="1"/>
        <x:v>-0.97499999999999998</x:v>
      </x:c>
      <x:c r="N5" s="9"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9"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9"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9"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10"/>
      <x:c r="S5" s="9">
        <x:f t="shared" si="2"/>
        <x:v>-0.97499999999999998</x:v>
      </x:c>
      <x:c r="T5" s="9" t="n">
        <x:f>(Inputs!$I$6+(((A5)+1)/2)*(Inputs!$J$6-Inputs!$I$6))</x:f>
        <x:v>-58.5</x:v>
      </x:c>
      <x:c r="U5" s="9" t="n">
        <x:f>(Inputs!$I$7+(((A5)+1)/2)*(Inputs!$J$7-Inputs!$I$7))</x:f>
        <x:v>-390</x:v>
      </x:c>
      <x:c r="V5" s="9" t="n">
        <x:f>(Inputs!$I$8+(((A5)+1)/2)*(Inputs!$J$8-Inputs!$I$8))</x:f>
        <x:v>-780</x:v>
      </x:c>
      <x:c r="W5" s="9" t="n">
        <x:f>(Inputs!$I$9+(((A5)+1)/2)*(Inputs!$J$9-Inputs!$I$9))</x:f>
        <x:v>-780</x:v>
      </x:c>
      <x:c r="X5" s="10"/>
      <x:c r="Y5" s="9">
        <x:f t="shared" si="3"/>
        <x:v>-0.97499999999999998</x:v>
      </x:c>
      <x:c r="Z5" s="9" t="n">
        <x:f>(Inputs!$H$6+Inputs!$L$6*(((Inputs!$I$6+(((A5)+1)/2)*(Inputs!$J$6-Inputs!$I$6)))/Inputs!$K$6)^2)</x:f>
        <x:v>403.8025</x:v>
      </x:c>
      <x:c r="AA5" s="9" t="n">
        <x:f>(Inputs!$H$7+Inputs!$L$7*(((Inputs!$I$7+(((A5)+1)/2)*(Inputs!$J$7-Inputs!$I$7)))/Inputs!$K$7)^2)</x:f>
        <x:v>381.978125</x:v>
      </x:c>
      <x:c r="AB5" s="9" t="n">
        <x:f>(Inputs!$H$8+Inputs!$L$8*(((Inputs!$I$8+(((A5)+1)/2)*(Inputs!$J$8-Inputs!$I$8)))/Inputs!$K$8)^2)</x:f>
        <x:v>952.353125</x:v>
      </x:c>
      <x:c r="AC5" s="9" t="n">
        <x:f>(Inputs!$H$9+Inputs!$L$9*(((Inputs!$I$9+(((A5)+1)/2)*(Inputs!$J$9-Inputs!$I$9)))/Inputs!$K$9)^2)</x:f>
        <x:v>951.859375</x:v>
      </x:c>
      <x:c r="AD5" s="10"/>
      <x:c r="AE5" s="9">
        <x:f t="shared" si="4"/>
        <x:v>-0.97499999999999998</x:v>
      </x:c>
      <x:c r="AF5" s="9"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9"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9"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9"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10"/>
      <x:c r="AK5" s="9">
        <x:f t="shared" si="5"/>
        <x:v>-0.97499999999999998</x:v>
      </x:c>
      <x:c r="AL5" s="9"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9"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9"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9"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10"/>
      <x:c r="AQ5" s="9">
        <x:f t="shared" si="6"/>
        <x:v>-0.97499999999999998</x:v>
      </x:c>
      <x:c r="AR5" s="9" t="n">
        <x:f>0</x:f>
        <x:v>0</x:v>
      </x:c>
      <x:c r="AS5" s="9"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x:f>
        <x:v>134.3858310571132</x:v>
      </x:c>
      <x:c r="AT5" s="9"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x:f>
        <x:v>193.71930081622654</x:v>
      </x:c>
      <x:c r="AU5" s="9"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x:f>
        <x:v>50.34954914201879</x:v>
      </x:c>
      <x:c r="AV5" s="9"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x:f>
        <x:v>50.34954914201879</x:v>
      </x:c>
      <x:c r="AW5" s="10"/>
      <x:c r="AX5" s="9">
        <x:f t="shared" si="7"/>
        <x:v>-0.97499999999999998</x:v>
      </x:c>
      <x:c r="AY5" s="9" t="n">
        <x:f>0</x:f>
        <x:v>0</x:v>
      </x:c>
      <x:c r="AZ5" s="9" t="n">
        <x:f>IF(OR(Inputs!$F$6=TRUE,Inputs!$F$6="TRUE",Inputs!$F$6=1),(Inputs!$H$6+Inputs!$L$6*(((Inputs!$I$6+(((A5)+1)/2)*(Inputs!$J$6-Inputs!$I$6)))/Inputs!$K$6)^2),NA())</x:f>
        <x:v>403.8025</x:v>
      </x:c>
      <x:c r="BA5" s="9" t="n">
        <x:f>IF(OR(Inputs!$F$7=TRUE,Inputs!$F$7="TRUE",Inputs!$F$7=1),(Inputs!$H$7+Inputs!$L$7*(((Inputs!$I$7+(((A5)+1)/2)*(Inputs!$J$7-Inputs!$I$7)))/Inputs!$K$7)^2),NA())</x:f>
        <x:v>381.978125</x:v>
      </x:c>
      <x:c r="BB5" s="9" t="n">
        <x:f>IF(OR(Inputs!$F$8=TRUE,Inputs!$F$8="TRUE",Inputs!$F$8=1),(Inputs!$H$8+Inputs!$L$8*(((Inputs!$I$8+(((A5)+1)/2)*(Inputs!$J$8-Inputs!$I$8)))/Inputs!$K$8)^2),NA())</x:f>
        <x:v>952.353125</x:v>
      </x:c>
      <x:c r="BC5" s="9" t="n">
        <x:f>IF(OR(Inputs!$F$9=TRUE,Inputs!$F$9="TRUE",Inputs!$F$9=1),(Inputs!$H$9+Inputs!$L$9*(((Inputs!$I$9+(((A5)+1)/2)*(Inputs!$J$9-Inputs!$I$9)))/Inputs!$K$9)^2),NA())</x:f>
        <x:v>951.859375</x:v>
      </x:c>
      <x:c r="BD5" s="10"/>
      <x:c r="BE5" s="9">
        <x:f t="shared" si="8"/>
        <x:v>-0.97499999999999998</x:v>
      </x:c>
      <x:c r="BF5" s="9" t="n">
        <x:f>0</x:f>
        <x:v>0</x:v>
      </x:c>
      <x:c r="BG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9" t="n">
        <x:f>ROUND(-1+4*2/240,3)</x:f>
        <x:v>-0.967</x:v>
      </x:c>
      <x:c r="B6" s="9" t="n">
        <x:f>IF(OR(Inputs!$F$6=TRUE,Inputs!$F$6="TRUE",Inputs!$F$6=1),(Inputs!$H$6+Inputs!$L$6*(((Inputs!$I$6+(((A6)+1)/2)*(Inputs!$J$6-Inputs!$I$6)))/Inputs!$K$6)^2),NA())</x:f>
        <x:v>403.740356</x:v>
      </x:c>
      <x:c r="C6" s="9" t="n">
        <x:f>IF(OR(Inputs!$F$7=TRUE,Inputs!$F$7="TRUE",Inputs!$F$7=1),(Inputs!$H$7+Inputs!$L$7*(((Inputs!$I$7+(((A6)+1)/2)*(Inputs!$J$7-Inputs!$I$7)))/Inputs!$K$7)^2),NA())</x:f>
        <x:v>376.30748500000004</x:v>
      </x:c>
      <x:c r="D6" s="9" t="n">
        <x:f>IF(OR(Inputs!$F$8=TRUE,Inputs!$F$8="TRUE",Inputs!$F$8=1),(Inputs!$H$8+Inputs!$L$8*(((Inputs!$I$8+(((A6)+1)/2)*(Inputs!$J$8-Inputs!$I$8)))/Inputs!$K$8)^2),NA())</x:f>
        <x:v>937.3608850000002</x:v>
      </x:c>
      <x:c r="E6" s="9" t="n">
        <x:f>IF(OR(Inputs!$F$9=TRUE,Inputs!$F$9="TRUE",Inputs!$F$9=1),(Inputs!$H$9+Inputs!$L$9*(((Inputs!$I$9+(((A6)+1)/2)*(Inputs!$J$9-Inputs!$I$9)))/Inputs!$K$9)^2),NA())</x:f>
        <x:v>936.7117750000002</x:v>
      </x:c>
      <x:c r="F6" s="10"/>
      <x:c r="G6" s="9">
        <x:f t="shared" si="0"/>
        <x:v>-0.96699999999999997</x:v>
      </x:c>
      <x:c r="H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10"/>
      <x:c r="M6" s="9">
        <x:f t="shared" si="1"/>
        <x:v>-0.96699999999999997</x:v>
      </x:c>
      <x:c r="N6" s="9"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9"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9"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9"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10"/>
      <x:c r="S6" s="9">
        <x:f t="shared" si="2"/>
        <x:v>-0.96699999999999997</x:v>
      </x:c>
      <x:c r="T6" s="9" t="n">
        <x:f>(Inputs!$I$6+(((A6)+1)/2)*(Inputs!$J$6-Inputs!$I$6))</x:f>
        <x:v>-58.019999999999996</x:v>
      </x:c>
      <x:c r="U6" s="9" t="n">
        <x:f>(Inputs!$I$7+(((A6)+1)/2)*(Inputs!$J$7-Inputs!$I$7))</x:f>
        <x:v>-386.8</x:v>
      </x:c>
      <x:c r="V6" s="9" t="n">
        <x:f>(Inputs!$I$8+(((A6)+1)/2)*(Inputs!$J$8-Inputs!$I$8))</x:f>
        <x:v>-773.6</x:v>
      </x:c>
      <x:c r="W6" s="9" t="n">
        <x:f>(Inputs!$I$9+(((A6)+1)/2)*(Inputs!$J$9-Inputs!$I$9))</x:f>
        <x:v>-773.6</x:v>
      </x:c>
      <x:c r="X6" s="10"/>
      <x:c r="Y6" s="9">
        <x:f t="shared" si="3"/>
        <x:v>-0.96699999999999997</x:v>
      </x:c>
      <x:c r="Z6" s="9" t="n">
        <x:f>(Inputs!$H$6+Inputs!$L$6*(((Inputs!$I$6+(((A6)+1)/2)*(Inputs!$J$6-Inputs!$I$6)))/Inputs!$K$6)^2)</x:f>
        <x:v>403.740356</x:v>
      </x:c>
      <x:c r="AA6" s="9" t="n">
        <x:f>(Inputs!$H$7+Inputs!$L$7*(((Inputs!$I$7+(((A6)+1)/2)*(Inputs!$J$7-Inputs!$I$7)))/Inputs!$K$7)^2)</x:f>
        <x:v>376.30748500000004</x:v>
      </x:c>
      <x:c r="AB6" s="9" t="n">
        <x:f>(Inputs!$H$8+Inputs!$L$8*(((Inputs!$I$8+(((A6)+1)/2)*(Inputs!$J$8-Inputs!$I$8)))/Inputs!$K$8)^2)</x:f>
        <x:v>937.3608850000002</x:v>
      </x:c>
      <x:c r="AC6" s="9" t="n">
        <x:f>(Inputs!$H$9+Inputs!$L$9*(((Inputs!$I$9+(((A6)+1)/2)*(Inputs!$J$9-Inputs!$I$9)))/Inputs!$K$9)^2)</x:f>
        <x:v>936.7117750000002</x:v>
      </x:c>
      <x:c r="AD6" s="10"/>
      <x:c r="AE6" s="9">
        <x:f t="shared" si="4"/>
        <x:v>-0.96699999999999997</x:v>
      </x:c>
      <x:c r="AF6" s="9"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9"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9"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9"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10"/>
      <x:c r="AK6" s="9">
        <x:f t="shared" si="5"/>
        <x:v>-0.96699999999999997</x:v>
      </x:c>
      <x:c r="AL6" s="9"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9"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9"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9"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10"/>
      <x:c r="AQ6" s="9">
        <x:f t="shared" si="6"/>
        <x:v>-0.96699999999999997</x:v>
      </x:c>
      <x:c r="AR6" s="9" t="n">
        <x:f>0</x:f>
        <x:v>0</x:v>
      </x:c>
      <x:c r="AS6" s="9"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x:f>
        <x:v>119.11723027453934</x:v>
      </x:c>
      <x:c r="AT6" s="9"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x:f>
        <x:v>130.05484305926754</x:v>
      </x:c>
      <x:c r="AU6" s="9"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x:f>
        <x:v>148.96140786508633</x:v>
      </x:c>
      <x:c r="AV6" s="9"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x:f>
        <x:v>148.96140786508633</x:v>
      </x:c>
      <x:c r="AW6" s="10"/>
      <x:c r="AX6" s="9">
        <x:f t="shared" si="7"/>
        <x:v>-0.96699999999999997</x:v>
      </x:c>
      <x:c r="AY6" s="9" t="n">
        <x:f>0</x:f>
        <x:v>0</x:v>
      </x:c>
      <x:c r="AZ6" s="9" t="n">
        <x:f>IF(OR(Inputs!$F$6=TRUE,Inputs!$F$6="TRUE",Inputs!$F$6=1),(Inputs!$H$6+Inputs!$L$6*(((Inputs!$I$6+(((A6)+1)/2)*(Inputs!$J$6-Inputs!$I$6)))/Inputs!$K$6)^2),NA())</x:f>
        <x:v>403.740356</x:v>
      </x:c>
      <x:c r="BA6" s="9" t="n">
        <x:f>IF(OR(Inputs!$F$7=TRUE,Inputs!$F$7="TRUE",Inputs!$F$7=1),(Inputs!$H$7+Inputs!$L$7*(((Inputs!$I$7+(((A6)+1)/2)*(Inputs!$J$7-Inputs!$I$7)))/Inputs!$K$7)^2),NA())</x:f>
        <x:v>376.30748500000004</x:v>
      </x:c>
      <x:c r="BB6" s="9" t="n">
        <x:f>IF(OR(Inputs!$F$8=TRUE,Inputs!$F$8="TRUE",Inputs!$F$8=1),(Inputs!$H$8+Inputs!$L$8*(((Inputs!$I$8+(((A6)+1)/2)*(Inputs!$J$8-Inputs!$I$8)))/Inputs!$K$8)^2),NA())</x:f>
        <x:v>937.3608850000002</x:v>
      </x:c>
      <x:c r="BC6" s="9" t="n">
        <x:f>IF(OR(Inputs!$F$9=TRUE,Inputs!$F$9="TRUE",Inputs!$F$9=1),(Inputs!$H$9+Inputs!$L$9*(((Inputs!$I$9+(((A6)+1)/2)*(Inputs!$J$9-Inputs!$I$9)))/Inputs!$K$9)^2),NA())</x:f>
        <x:v>936.7117750000002</x:v>
      </x:c>
      <x:c r="BD6" s="10"/>
      <x:c r="BE6" s="9">
        <x:f t="shared" si="8"/>
        <x:v>-0.96699999999999997</x:v>
      </x:c>
      <x:c r="BF6" s="9" t="n">
        <x:f>0</x:f>
        <x:v>0</x:v>
      </x:c>
      <x:c r="BG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9" t="n">
        <x:f>ROUND(-1+5*2/240,3)</x:f>
        <x:v>-0.958</x:v>
      </x:c>
      <x:c r="B7" s="9" t="n">
        <x:f>IF(OR(Inputs!$F$6=TRUE,Inputs!$F$6="TRUE",Inputs!$F$6=1),(Inputs!$H$6+Inputs!$L$6*(((Inputs!$I$6+(((A7)+1)/2)*(Inputs!$J$6-Inputs!$I$6)))/Inputs!$K$6)^2),NA())</x:f>
        <x:v>403.671056</x:v>
      </x:c>
      <x:c r="C7" s="9" t="n">
        <x:f>IF(OR(Inputs!$F$7=TRUE,Inputs!$F$7="TRUE",Inputs!$F$7=1),(Inputs!$H$7+Inputs!$L$7*(((Inputs!$I$7+(((A7)+1)/2)*(Inputs!$J$7-Inputs!$I$7)))/Inputs!$K$7)^2),NA())</x:f>
        <x:v>369.98386</x:v>
      </x:c>
      <x:c r="D7" s="9" t="n">
        <x:f>IF(OR(Inputs!$F$8=TRUE,Inputs!$F$8="TRUE",Inputs!$F$8=1),(Inputs!$H$8+Inputs!$L$8*(((Inputs!$I$8+(((A7)+1)/2)*(Inputs!$J$8-Inputs!$I$8)))/Inputs!$K$8)^2),NA())</x:f>
        <x:v>920.64226</x:v>
      </x:c>
      <x:c r="E7" s="9" t="n">
        <x:f>IF(OR(Inputs!$F$9=TRUE,Inputs!$F$9="TRUE",Inputs!$F$9=1),(Inputs!$H$9+Inputs!$L$9*(((Inputs!$I$9+(((A7)+1)/2)*(Inputs!$J$9-Inputs!$I$9)))/Inputs!$K$9)^2),NA())</x:f>
        <x:v>919.8199</x:v>
      </x:c>
      <x:c r="F7" s="10"/>
      <x:c r="G7" s="9">
        <x:f t="shared" si="0"/>
        <x:v>-0.95799999999999996</x:v>
      </x:c>
      <x:c r="H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10"/>
      <x:c r="M7" s="9">
        <x:f t="shared" si="1"/>
        <x:v>-0.95799999999999996</x:v>
      </x:c>
      <x:c r="N7" s="9"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9"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9"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9"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10"/>
      <x:c r="S7" s="9">
        <x:f t="shared" si="2"/>
        <x:v>-0.95799999999999996</x:v>
      </x:c>
      <x:c r="T7" s="9" t="n">
        <x:f>(Inputs!$I$6+(((A7)+1)/2)*(Inputs!$J$6-Inputs!$I$6))</x:f>
        <x:v>-57.48</x:v>
      </x:c>
      <x:c r="U7" s="9" t="n">
        <x:f>(Inputs!$I$7+(((A7)+1)/2)*(Inputs!$J$7-Inputs!$I$7))</x:f>
        <x:v>-383.2</x:v>
      </x:c>
      <x:c r="V7" s="9" t="n">
        <x:f>(Inputs!$I$8+(((A7)+1)/2)*(Inputs!$J$8-Inputs!$I$8))</x:f>
        <x:v>-766.4</x:v>
      </x:c>
      <x:c r="W7" s="9" t="n">
        <x:f>(Inputs!$I$9+(((A7)+1)/2)*(Inputs!$J$9-Inputs!$I$9))</x:f>
        <x:v>-766.4</x:v>
      </x:c>
      <x:c r="X7" s="10"/>
      <x:c r="Y7" s="9">
        <x:f t="shared" si="3"/>
        <x:v>-0.95799999999999996</x:v>
      </x:c>
      <x:c r="Z7" s="9" t="n">
        <x:f>(Inputs!$H$6+Inputs!$L$6*(((Inputs!$I$6+(((A7)+1)/2)*(Inputs!$J$6-Inputs!$I$6)))/Inputs!$K$6)^2)</x:f>
        <x:v>403.671056</x:v>
      </x:c>
      <x:c r="AA7" s="9" t="n">
        <x:f>(Inputs!$H$7+Inputs!$L$7*(((Inputs!$I$7+(((A7)+1)/2)*(Inputs!$J$7-Inputs!$I$7)))/Inputs!$K$7)^2)</x:f>
        <x:v>369.98386</x:v>
      </x:c>
      <x:c r="AB7" s="9" t="n">
        <x:f>(Inputs!$H$8+Inputs!$L$8*(((Inputs!$I$8+(((A7)+1)/2)*(Inputs!$J$8-Inputs!$I$8)))/Inputs!$K$8)^2)</x:f>
        <x:v>920.64226</x:v>
      </x:c>
      <x:c r="AC7" s="9" t="n">
        <x:f>(Inputs!$H$9+Inputs!$L$9*(((Inputs!$I$9+(((A7)+1)/2)*(Inputs!$J$9-Inputs!$I$9)))/Inputs!$K$9)^2)</x:f>
        <x:v>919.8199</x:v>
      </x:c>
      <x:c r="AD7" s="10"/>
      <x:c r="AE7" s="9">
        <x:f t="shared" si="4"/>
        <x:v>-0.95799999999999996</x:v>
      </x:c>
      <x:c r="AF7" s="9"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9"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9"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9"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10"/>
      <x:c r="AK7" s="9">
        <x:f t="shared" si="5"/>
        <x:v>-0.95799999999999996</x:v>
      </x:c>
      <x:c r="AL7" s="9"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9"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9"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9"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10"/>
      <x:c r="AQ7" s="9">
        <x:f t="shared" si="6"/>
        <x:v>-0.95799999999999996</x:v>
      </x:c>
      <x:c r="AR7" s="9" t="n">
        <x:f>0</x:f>
        <x:v>0</x:v>
      </x:c>
      <x:c r="AS7" s="9"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x:f>
        <x:v>132.60677657897617</x:v>
      </x:c>
      <x:c r="AT7" s="9"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x:f>
        <x:v>94.29278060316868</x:v>
      </x:c>
      <x:c r="AU7" s="9"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x:f>
        <x:v>174.07668311878467</x:v>
      </x:c>
      <x:c r="AV7" s="9"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x:f>
        <x:v>174.07668311878467</x:v>
      </x:c>
      <x:c r="AW7" s="10"/>
      <x:c r="AX7" s="9">
        <x:f t="shared" si="7"/>
        <x:v>-0.95799999999999996</x:v>
      </x:c>
      <x:c r="AY7" s="9" t="n">
        <x:f>0</x:f>
        <x:v>0</x:v>
      </x:c>
      <x:c r="AZ7" s="9" t="n">
        <x:f>IF(OR(Inputs!$F$6=TRUE,Inputs!$F$6="TRUE",Inputs!$F$6=1),(Inputs!$H$6+Inputs!$L$6*(((Inputs!$I$6+(((A7)+1)/2)*(Inputs!$J$6-Inputs!$I$6)))/Inputs!$K$6)^2),NA())</x:f>
        <x:v>403.671056</x:v>
      </x:c>
      <x:c r="BA7" s="9" t="n">
        <x:f>IF(OR(Inputs!$F$7=TRUE,Inputs!$F$7="TRUE",Inputs!$F$7=1),(Inputs!$H$7+Inputs!$L$7*(((Inputs!$I$7+(((A7)+1)/2)*(Inputs!$J$7-Inputs!$I$7)))/Inputs!$K$7)^2),NA())</x:f>
        <x:v>369.98386</x:v>
      </x:c>
      <x:c r="BB7" s="9" t="n">
        <x:f>IF(OR(Inputs!$F$8=TRUE,Inputs!$F$8="TRUE",Inputs!$F$8=1),(Inputs!$H$8+Inputs!$L$8*(((Inputs!$I$8+(((A7)+1)/2)*(Inputs!$J$8-Inputs!$I$8)))/Inputs!$K$8)^2),NA())</x:f>
        <x:v>920.64226</x:v>
      </x:c>
      <x:c r="BC7" s="9" t="n">
        <x:f>IF(OR(Inputs!$F$9=TRUE,Inputs!$F$9="TRUE",Inputs!$F$9=1),(Inputs!$H$9+Inputs!$L$9*(((Inputs!$I$9+(((A7)+1)/2)*(Inputs!$J$9-Inputs!$I$9)))/Inputs!$K$9)^2),NA())</x:f>
        <x:v>919.8199</x:v>
      </x:c>
      <x:c r="BD7" s="10"/>
      <x:c r="BE7" s="9">
        <x:f t="shared" si="8"/>
        <x:v>-0.95799999999999996</x:v>
      </x:c>
      <x:c r="BF7" s="9" t="n">
        <x:f>0</x:f>
        <x:v>0</x:v>
      </x:c>
      <x:c r="BG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9" t="n">
        <x:f>ROUND(-1+6*2/240,3)</x:f>
        <x:v>-0.95</x:v>
      </x:c>
      <x:c r="B8" s="9" t="n">
        <x:f>IF(OR(Inputs!$F$6=TRUE,Inputs!$F$6="TRUE",Inputs!$F$6=1),(Inputs!$H$6+Inputs!$L$6*(((Inputs!$I$6+(((A8)+1)/2)*(Inputs!$J$6-Inputs!$I$6)))/Inputs!$K$6)^2),NA())</x:f>
        <x:v>403.61</x:v>
      </x:c>
      <x:c r="C8" s="9" t="n">
        <x:f>IF(OR(Inputs!$F$7=TRUE,Inputs!$F$7="TRUE",Inputs!$F$7=1),(Inputs!$H$7+Inputs!$L$7*(((Inputs!$I$7+(((A8)+1)/2)*(Inputs!$J$7-Inputs!$I$7)))/Inputs!$K$7)^2),NA())</x:f>
        <x:v>364.41249999999997</x:v>
      </x:c>
      <x:c r="D8" s="9" t="n">
        <x:f>IF(OR(Inputs!$F$8=TRUE,Inputs!$F$8="TRUE",Inputs!$F$8=1),(Inputs!$H$8+Inputs!$L$8*(((Inputs!$I$8+(((A8)+1)/2)*(Inputs!$J$8-Inputs!$I$8)))/Inputs!$K$8)^2),NA())</x:f>
        <x:v>905.9125</x:v>
      </x:c>
      <x:c r="E8" s="9" t="n">
        <x:f>IF(OR(Inputs!$F$9=TRUE,Inputs!$F$9="TRUE",Inputs!$F$9=1),(Inputs!$H$9+Inputs!$L$9*(((Inputs!$I$9+(((A8)+1)/2)*(Inputs!$J$9-Inputs!$I$9)))/Inputs!$K$9)^2),NA())</x:f>
        <x:v>904.9375</x:v>
      </x:c>
      <x:c r="F8" s="10"/>
      <x:c r="G8" s="9">
        <x:f t="shared" si="0"/>
        <x:v>-0.95</x:v>
      </x:c>
      <x:c r="H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10"/>
      <x:c r="M8" s="9">
        <x:f t="shared" si="1"/>
        <x:v>-0.95</x:v>
      </x:c>
      <x:c r="N8" s="9"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9"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9"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9"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10"/>
      <x:c r="S8" s="9">
        <x:f t="shared" si="2"/>
        <x:v>-0.95</x:v>
      </x:c>
      <x:c r="T8" s="9" t="n">
        <x:f>(Inputs!$I$6+(((A8)+1)/2)*(Inputs!$J$6-Inputs!$I$6))</x:f>
        <x:v>-57</x:v>
      </x:c>
      <x:c r="U8" s="9" t="n">
        <x:f>(Inputs!$I$7+(((A8)+1)/2)*(Inputs!$J$7-Inputs!$I$7))</x:f>
        <x:v>-380</x:v>
      </x:c>
      <x:c r="V8" s="9" t="n">
        <x:f>(Inputs!$I$8+(((A8)+1)/2)*(Inputs!$J$8-Inputs!$I$8))</x:f>
        <x:v>-760</x:v>
      </x:c>
      <x:c r="W8" s="9" t="n">
        <x:f>(Inputs!$I$9+(((A8)+1)/2)*(Inputs!$J$9-Inputs!$I$9))</x:f>
        <x:v>-760</x:v>
      </x:c>
      <x:c r="X8" s="10"/>
      <x:c r="Y8" s="9">
        <x:f t="shared" si="3"/>
        <x:v>-0.95</x:v>
      </x:c>
      <x:c r="Z8" s="9" t="n">
        <x:f>(Inputs!$H$6+Inputs!$L$6*(((Inputs!$I$6+(((A8)+1)/2)*(Inputs!$J$6-Inputs!$I$6)))/Inputs!$K$6)^2)</x:f>
        <x:v>403.61</x:v>
      </x:c>
      <x:c r="AA8" s="9" t="n">
        <x:f>(Inputs!$H$7+Inputs!$L$7*(((Inputs!$I$7+(((A8)+1)/2)*(Inputs!$J$7-Inputs!$I$7)))/Inputs!$K$7)^2)</x:f>
        <x:v>364.41249999999997</x:v>
      </x:c>
      <x:c r="AB8" s="9" t="n">
        <x:f>(Inputs!$H$8+Inputs!$L$8*(((Inputs!$I$8+(((A8)+1)/2)*(Inputs!$J$8-Inputs!$I$8)))/Inputs!$K$8)^2)</x:f>
        <x:v>905.9125</x:v>
      </x:c>
      <x:c r="AC8" s="9" t="n">
        <x:f>(Inputs!$H$9+Inputs!$L$9*(((Inputs!$I$9+(((A8)+1)/2)*(Inputs!$J$9-Inputs!$I$9)))/Inputs!$K$9)^2)</x:f>
        <x:v>904.9375</x:v>
      </x:c>
      <x:c r="AD8" s="10"/>
      <x:c r="AE8" s="9">
        <x:f t="shared" si="4"/>
        <x:v>-0.95</x:v>
      </x:c>
      <x:c r="AF8" s="9"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9"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9"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9"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10"/>
      <x:c r="AK8" s="9">
        <x:f t="shared" si="5"/>
        <x:v>-0.95</x:v>
      </x:c>
      <x:c r="AL8" s="9"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9"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9"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9"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10"/>
      <x:c r="AQ8" s="9">
        <x:f t="shared" si="6"/>
        <x:v>-0.95</x:v>
      </x:c>
      <x:c r="AR8" s="9" t="n">
        <x:f>0</x:f>
        <x:v>0</x:v>
      </x:c>
      <x:c r="AS8" s="9"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x:f>
        <x:v>137.46604725484156</x:v>
      </x:c>
      <x:c r="AT8" s="9"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x:f>
        <x:v>124.30714013426088</x:v>
      </x:c>
      <x:c r="AU8" s="9"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x:f>
        <x:v>85.69268740529942</x:v>
      </x:c>
      <x:c r="AV8" s="9"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x:f>
        <x:v>85.69268740529942</x:v>
      </x:c>
      <x:c r="AW8" s="10"/>
      <x:c r="AX8" s="9">
        <x:f t="shared" si="7"/>
        <x:v>-0.95</x:v>
      </x:c>
      <x:c r="AY8" s="9" t="n">
        <x:f>0</x:f>
        <x:v>0</x:v>
      </x:c>
      <x:c r="AZ8" s="9" t="n">
        <x:f>IF(OR(Inputs!$F$6=TRUE,Inputs!$F$6="TRUE",Inputs!$F$6=1),(Inputs!$H$6+Inputs!$L$6*(((Inputs!$I$6+(((A8)+1)/2)*(Inputs!$J$6-Inputs!$I$6)))/Inputs!$K$6)^2),NA())</x:f>
        <x:v>403.61</x:v>
      </x:c>
      <x:c r="BA8" s="9" t="n">
        <x:f>IF(OR(Inputs!$F$7=TRUE,Inputs!$F$7="TRUE",Inputs!$F$7=1),(Inputs!$H$7+Inputs!$L$7*(((Inputs!$I$7+(((A8)+1)/2)*(Inputs!$J$7-Inputs!$I$7)))/Inputs!$K$7)^2),NA())</x:f>
        <x:v>364.41249999999997</x:v>
      </x:c>
      <x:c r="BB8" s="9" t="n">
        <x:f>IF(OR(Inputs!$F$8=TRUE,Inputs!$F$8="TRUE",Inputs!$F$8=1),(Inputs!$H$8+Inputs!$L$8*(((Inputs!$I$8+(((A8)+1)/2)*(Inputs!$J$8-Inputs!$I$8)))/Inputs!$K$8)^2),NA())</x:f>
        <x:v>905.9125</x:v>
      </x:c>
      <x:c r="BC8" s="9" t="n">
        <x:f>IF(OR(Inputs!$F$9=TRUE,Inputs!$F$9="TRUE",Inputs!$F$9=1),(Inputs!$H$9+Inputs!$L$9*(((Inputs!$I$9+(((A8)+1)/2)*(Inputs!$J$9-Inputs!$I$9)))/Inputs!$K$9)^2),NA())</x:f>
        <x:v>904.9375</x:v>
      </x:c>
      <x:c r="BD8" s="10"/>
      <x:c r="BE8" s="9">
        <x:f t="shared" si="8"/>
        <x:v>-0.95</x:v>
      </x:c>
      <x:c r="BF8" s="9" t="n">
        <x:f>0</x:f>
        <x:v>0</x:v>
      </x:c>
      <x:c r="BG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9" t="n">
        <x:f>ROUND(-1+7*2/240,3)</x:f>
        <x:v>-0.942</x:v>
      </x:c>
      <x:c r="B9" s="9" t="n">
        <x:f>IF(OR(Inputs!$F$6=TRUE,Inputs!$F$6="TRUE",Inputs!$F$6=1),(Inputs!$H$6+Inputs!$L$6*(((Inputs!$I$6+(((A9)+1)/2)*(Inputs!$J$6-Inputs!$I$6)))/Inputs!$K$6)^2),NA())</x:f>
        <x:v>403.549456</x:v>
      </x:c>
      <x:c r="C9" s="9" t="n">
        <x:f>IF(OR(Inputs!$F$7=TRUE,Inputs!$F$7="TRUE",Inputs!$F$7=1),(Inputs!$H$7+Inputs!$L$7*(((Inputs!$I$7+(((A9)+1)/2)*(Inputs!$J$7-Inputs!$I$7)))/Inputs!$K$7)^2),NA())</x:f>
        <x:v>358.8878599999999</x:v>
      </x:c>
      <x:c r="D9" s="9" t="n">
        <x:f>IF(OR(Inputs!$F$8=TRUE,Inputs!$F$8="TRUE",Inputs!$F$8=1),(Inputs!$H$8+Inputs!$L$8*(((Inputs!$I$8+(((A9)+1)/2)*(Inputs!$J$8-Inputs!$I$8)))/Inputs!$K$8)^2),NA())</x:f>
        <x:v>891.3062599999997</x:v>
      </x:c>
      <x:c r="E9" s="9" t="n">
        <x:f>IF(OR(Inputs!$F$9=TRUE,Inputs!$F$9="TRUE",Inputs!$F$9=1),(Inputs!$H$9+Inputs!$L$9*(((Inputs!$I$9+(((A9)+1)/2)*(Inputs!$J$9-Inputs!$I$9)))/Inputs!$K$9)^2),NA())</x:f>
        <x:v>890.1798999999997</x:v>
      </x:c>
      <x:c r="F9" s="10"/>
      <x:c r="G9" s="9">
        <x:f t="shared" si="0"/>
        <x:v>-0.94199999999999995</x:v>
      </x:c>
      <x:c r="H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10"/>
      <x:c r="M9" s="9">
        <x:f t="shared" si="1"/>
        <x:v>-0.94199999999999995</x:v>
      </x:c>
      <x:c r="N9" s="9"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9"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9"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9"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10"/>
      <x:c r="S9" s="9">
        <x:f t="shared" si="2"/>
        <x:v>-0.94199999999999995</x:v>
      </x:c>
      <x:c r="T9" s="9" t="n">
        <x:f>(Inputs!$I$6+(((A9)+1)/2)*(Inputs!$J$6-Inputs!$I$6))</x:f>
        <x:v>-56.519999999999996</x:v>
      </x:c>
      <x:c r="U9" s="9" t="n">
        <x:f>(Inputs!$I$7+(((A9)+1)/2)*(Inputs!$J$7-Inputs!$I$7))</x:f>
        <x:v>-376.79999999999995</x:v>
      </x:c>
      <x:c r="V9" s="9" t="n">
        <x:f>(Inputs!$I$8+(((A9)+1)/2)*(Inputs!$J$8-Inputs!$I$8))</x:f>
        <x:v>-753.5999999999999</x:v>
      </x:c>
      <x:c r="W9" s="9" t="n">
        <x:f>(Inputs!$I$9+(((A9)+1)/2)*(Inputs!$J$9-Inputs!$I$9))</x:f>
        <x:v>-753.5999999999999</x:v>
      </x:c>
      <x:c r="X9" s="10"/>
      <x:c r="Y9" s="9">
        <x:f t="shared" si="3"/>
        <x:v>-0.94199999999999995</x:v>
      </x:c>
      <x:c r="Z9" s="9" t="n">
        <x:f>(Inputs!$H$6+Inputs!$L$6*(((Inputs!$I$6+(((A9)+1)/2)*(Inputs!$J$6-Inputs!$I$6)))/Inputs!$K$6)^2)</x:f>
        <x:v>403.549456</x:v>
      </x:c>
      <x:c r="AA9" s="9" t="n">
        <x:f>(Inputs!$H$7+Inputs!$L$7*(((Inputs!$I$7+(((A9)+1)/2)*(Inputs!$J$7-Inputs!$I$7)))/Inputs!$K$7)^2)</x:f>
        <x:v>358.8878599999999</x:v>
      </x:c>
      <x:c r="AB9" s="9" t="n">
        <x:f>(Inputs!$H$8+Inputs!$L$8*(((Inputs!$I$8+(((A9)+1)/2)*(Inputs!$J$8-Inputs!$I$8)))/Inputs!$K$8)^2)</x:f>
        <x:v>891.3062599999997</x:v>
      </x:c>
      <x:c r="AC9" s="9" t="n">
        <x:f>(Inputs!$H$9+Inputs!$L$9*(((Inputs!$I$9+(((A9)+1)/2)*(Inputs!$J$9-Inputs!$I$9)))/Inputs!$K$9)^2)</x:f>
        <x:v>890.1798999999997</x:v>
      </x:c>
      <x:c r="AD9" s="10"/>
      <x:c r="AE9" s="9">
        <x:f t="shared" si="4"/>
        <x:v>-0.94199999999999995</x:v>
      </x:c>
      <x:c r="AF9" s="9"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9"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9"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9"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10"/>
      <x:c r="AK9" s="9">
        <x:f t="shared" si="5"/>
        <x:v>-0.94199999999999995</x:v>
      </x:c>
      <x:c r="AL9" s="9"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9"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9"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9"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10"/>
      <x:c r="AQ9" s="9">
        <x:f t="shared" si="6"/>
        <x:v>-0.94199999999999995</x:v>
      </x:c>
      <x:c r="AR9" s="9" t="n">
        <x:f>0</x:f>
        <x:v>0</x:v>
      </x:c>
      <x:c r="AS9" s="9"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x:f>
        <x:v>140.9527367401792</x:v>
      </x:c>
      <x:c r="AT9" s="9"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x:f>
        <x:v>157.2456749770218</x:v>
      </x:c>
      <x:c r="AU9" s="9"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x:f>
        <x:v>217.91719518190024</x:v>
      </x:c>
      <x:c r="AV9" s="9"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x:f>
        <x:v>217.91719518190024</x:v>
      </x:c>
      <x:c r="AW9" s="10"/>
      <x:c r="AX9" s="9">
        <x:f t="shared" si="7"/>
        <x:v>-0.94199999999999995</x:v>
      </x:c>
      <x:c r="AY9" s="9" t="n">
        <x:f>0</x:f>
        <x:v>0</x:v>
      </x:c>
      <x:c r="AZ9" s="9" t="n">
        <x:f>IF(OR(Inputs!$F$6=TRUE,Inputs!$F$6="TRUE",Inputs!$F$6=1),(Inputs!$H$6+Inputs!$L$6*(((Inputs!$I$6+(((A9)+1)/2)*(Inputs!$J$6-Inputs!$I$6)))/Inputs!$K$6)^2),NA())</x:f>
        <x:v>403.549456</x:v>
      </x:c>
      <x:c r="BA9" s="9" t="n">
        <x:f>IF(OR(Inputs!$F$7=TRUE,Inputs!$F$7="TRUE",Inputs!$F$7=1),(Inputs!$H$7+Inputs!$L$7*(((Inputs!$I$7+(((A9)+1)/2)*(Inputs!$J$7-Inputs!$I$7)))/Inputs!$K$7)^2),NA())</x:f>
        <x:v>358.8878599999999</x:v>
      </x:c>
      <x:c r="BB9" s="9" t="n">
        <x:f>IF(OR(Inputs!$F$8=TRUE,Inputs!$F$8="TRUE",Inputs!$F$8=1),(Inputs!$H$8+Inputs!$L$8*(((Inputs!$I$8+(((A9)+1)/2)*(Inputs!$J$8-Inputs!$I$8)))/Inputs!$K$8)^2),NA())</x:f>
        <x:v>891.3062599999997</x:v>
      </x:c>
      <x:c r="BC9" s="9" t="n">
        <x:f>IF(OR(Inputs!$F$9=TRUE,Inputs!$F$9="TRUE",Inputs!$F$9=1),(Inputs!$H$9+Inputs!$L$9*(((Inputs!$I$9+(((A9)+1)/2)*(Inputs!$J$9-Inputs!$I$9)))/Inputs!$K$9)^2),NA())</x:f>
        <x:v>890.1798999999997</x:v>
      </x:c>
      <x:c r="BD9" s="10"/>
      <x:c r="BE9" s="9">
        <x:f t="shared" si="8"/>
        <x:v>-0.94199999999999995</x:v>
      </x:c>
      <x:c r="BF9" s="9" t="n">
        <x:f>0</x:f>
        <x:v>0</x:v>
      </x:c>
      <x:c r="BG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9" t="n">
        <x:f>ROUND(-1+8*2/240,3)</x:f>
        <x:v>-0.933</x:v>
      </x:c>
      <x:c r="B10" s="9" t="n">
        <x:f>IF(OR(Inputs!$F$6=TRUE,Inputs!$F$6="TRUE",Inputs!$F$6=1),(Inputs!$H$6+Inputs!$L$6*(((Inputs!$I$6+(((A10)+1)/2)*(Inputs!$J$6-Inputs!$I$6)))/Inputs!$K$6)^2),NA())</x:f>
        <x:v>403.481956</x:v>
      </x:c>
      <x:c r="C10" s="9" t="n">
        <x:f>IF(OR(Inputs!$F$7=TRUE,Inputs!$F$7="TRUE",Inputs!$F$7=1),(Inputs!$H$7+Inputs!$L$7*(((Inputs!$I$7+(((A10)+1)/2)*(Inputs!$J$7-Inputs!$I$7)))/Inputs!$K$7)^2),NA())</x:f>
        <x:v>352.7284850000001</x:v>
      </x:c>
      <x:c r="D10" s="9" t="n">
        <x:f>IF(OR(Inputs!$F$8=TRUE,Inputs!$F$8="TRUE",Inputs!$F$8=1),(Inputs!$H$8+Inputs!$L$8*(((Inputs!$I$8+(((A10)+1)/2)*(Inputs!$J$8-Inputs!$I$8)))/Inputs!$K$8)^2),NA())</x:f>
        <x:v>875.0218850000002</x:v>
      </x:c>
      <x:c r="E10" s="9" t="n">
        <x:f>IF(OR(Inputs!$F$9=TRUE,Inputs!$F$9="TRUE",Inputs!$F$9=1),(Inputs!$H$9+Inputs!$L$9*(((Inputs!$I$9+(((A10)+1)/2)*(Inputs!$J$9-Inputs!$I$9)))/Inputs!$K$9)^2),NA())</x:f>
        <x:v>873.7267750000003</x:v>
      </x:c>
      <x:c r="F10" s="10"/>
      <x:c r="G10" s="9">
        <x:f t="shared" si="0"/>
        <x:v>-0.93300000000000005</x:v>
      </x:c>
      <x:c r="H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10"/>
      <x:c r="M10" s="9">
        <x:f t="shared" si="1"/>
        <x:v>-0.93300000000000005</x:v>
      </x:c>
      <x:c r="N10" s="9"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9"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9"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9"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10"/>
      <x:c r="S10" s="9">
        <x:f t="shared" si="2"/>
        <x:v>-0.93300000000000005</x:v>
      </x:c>
      <x:c r="T10" s="9" t="n">
        <x:f>(Inputs!$I$6+(((A10)+1)/2)*(Inputs!$J$6-Inputs!$I$6))</x:f>
        <x:v>-55.980000000000004</x:v>
      </x:c>
      <x:c r="U10" s="9" t="n">
        <x:f>(Inputs!$I$7+(((A10)+1)/2)*(Inputs!$J$7-Inputs!$I$7))</x:f>
        <x:v>-373.20000000000005</x:v>
      </x:c>
      <x:c r="V10" s="9" t="n">
        <x:f>(Inputs!$I$8+(((A10)+1)/2)*(Inputs!$J$8-Inputs!$I$8))</x:f>
        <x:v>-746.4000000000001</x:v>
      </x:c>
      <x:c r="W10" s="9" t="n">
        <x:f>(Inputs!$I$9+(((A10)+1)/2)*(Inputs!$J$9-Inputs!$I$9))</x:f>
        <x:v>-746.4000000000001</x:v>
      </x:c>
      <x:c r="X10" s="10"/>
      <x:c r="Y10" s="9">
        <x:f t="shared" si="3"/>
        <x:v>-0.93300000000000005</x:v>
      </x:c>
      <x:c r="Z10" s="9" t="n">
        <x:f>(Inputs!$H$6+Inputs!$L$6*(((Inputs!$I$6+(((A10)+1)/2)*(Inputs!$J$6-Inputs!$I$6)))/Inputs!$K$6)^2)</x:f>
        <x:v>403.481956</x:v>
      </x:c>
      <x:c r="AA10" s="9" t="n">
        <x:f>(Inputs!$H$7+Inputs!$L$7*(((Inputs!$I$7+(((A10)+1)/2)*(Inputs!$J$7-Inputs!$I$7)))/Inputs!$K$7)^2)</x:f>
        <x:v>352.7284850000001</x:v>
      </x:c>
      <x:c r="AB10" s="9" t="n">
        <x:f>(Inputs!$H$8+Inputs!$L$8*(((Inputs!$I$8+(((A10)+1)/2)*(Inputs!$J$8-Inputs!$I$8)))/Inputs!$K$8)^2)</x:f>
        <x:v>875.0218850000002</x:v>
      </x:c>
      <x:c r="AC10" s="9" t="n">
        <x:f>(Inputs!$H$9+Inputs!$L$9*(((Inputs!$I$9+(((A10)+1)/2)*(Inputs!$J$9-Inputs!$I$9)))/Inputs!$K$9)^2)</x:f>
        <x:v>873.7267750000003</x:v>
      </x:c>
      <x:c r="AD10" s="10"/>
      <x:c r="AE10" s="9">
        <x:f t="shared" si="4"/>
        <x:v>-0.93300000000000005</x:v>
      </x:c>
      <x:c r="AF10" s="9"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9"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9"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9"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10"/>
      <x:c r="AK10" s="9">
        <x:f t="shared" si="5"/>
        <x:v>-0.93300000000000005</x:v>
      </x:c>
      <x:c r="AL10" s="9"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9"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9"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9"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10"/>
      <x:c r="AQ10" s="9">
        <x:f t="shared" si="6"/>
        <x:v>-0.93300000000000005</x:v>
      </x:c>
      <x:c r="AR10" s="9" t="n">
        <x:f>0</x:f>
        <x:v>0</x:v>
      </x:c>
      <x:c r="AS10" s="9"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x:f>
        <x:v>158.71734786163717</x:v>
      </x:c>
      <x:c r="AT10" s="9"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x:f>
        <x:v>159.02725882386267</x:v>
      </x:c>
      <x:c r="AU10" s="9"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x:f>
        <x:v>118.83044536264866</x:v>
      </x:c>
      <x:c r="AV10" s="9"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x:f>
        <x:v>118.83044536264866</x:v>
      </x:c>
      <x:c r="AW10" s="10"/>
      <x:c r="AX10" s="9">
        <x:f t="shared" si="7"/>
        <x:v>-0.93300000000000005</x:v>
      </x:c>
      <x:c r="AY10" s="9" t="n">
        <x:f>0</x:f>
        <x:v>0</x:v>
      </x:c>
      <x:c r="AZ10" s="9" t="n">
        <x:f>IF(OR(Inputs!$F$6=TRUE,Inputs!$F$6="TRUE",Inputs!$F$6=1),(Inputs!$H$6+Inputs!$L$6*(((Inputs!$I$6+(((A10)+1)/2)*(Inputs!$J$6-Inputs!$I$6)))/Inputs!$K$6)^2),NA())</x:f>
        <x:v>403.481956</x:v>
      </x:c>
      <x:c r="BA10" s="9" t="n">
        <x:f>IF(OR(Inputs!$F$7=TRUE,Inputs!$F$7="TRUE",Inputs!$F$7=1),(Inputs!$H$7+Inputs!$L$7*(((Inputs!$I$7+(((A10)+1)/2)*(Inputs!$J$7-Inputs!$I$7)))/Inputs!$K$7)^2),NA())</x:f>
        <x:v>352.7284850000001</x:v>
      </x:c>
      <x:c r="BB10" s="9" t="n">
        <x:f>IF(OR(Inputs!$F$8=TRUE,Inputs!$F$8="TRUE",Inputs!$F$8=1),(Inputs!$H$8+Inputs!$L$8*(((Inputs!$I$8+(((A10)+1)/2)*(Inputs!$J$8-Inputs!$I$8)))/Inputs!$K$8)^2),NA())</x:f>
        <x:v>875.0218850000002</x:v>
      </x:c>
      <x:c r="BC10" s="9" t="n">
        <x:f>IF(OR(Inputs!$F$9=TRUE,Inputs!$F$9="TRUE",Inputs!$F$9=1),(Inputs!$H$9+Inputs!$L$9*(((Inputs!$I$9+(((A10)+1)/2)*(Inputs!$J$9-Inputs!$I$9)))/Inputs!$K$9)^2),NA())</x:f>
        <x:v>873.7267750000003</x:v>
      </x:c>
      <x:c r="BD10" s="10"/>
      <x:c r="BE10" s="9">
        <x:f t="shared" si="8"/>
        <x:v>-0.93300000000000005</x:v>
      </x:c>
      <x:c r="BF10" s="9" t="n">
        <x:f>0</x:f>
        <x:v>0</x:v>
      </x:c>
      <x:c r="BG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9" t="n">
        <x:f>ROUND(-1+9*2/240,3)</x:f>
        <x:v>-0.925</x:v>
      </x:c>
      <x:c r="B11" s="9" t="n">
        <x:f>IF(OR(Inputs!$F$6=TRUE,Inputs!$F$6="TRUE",Inputs!$F$6=1),(Inputs!$H$6+Inputs!$L$6*(((Inputs!$I$6+(((A11)+1)/2)*(Inputs!$J$6-Inputs!$I$6)))/Inputs!$K$6)^2),NA())</x:f>
        <x:v>403.4225</x:v>
      </x:c>
      <x:c r="C11" s="9" t="n">
        <x:f>IF(OR(Inputs!$F$7=TRUE,Inputs!$F$7="TRUE",Inputs!$F$7=1),(Inputs!$H$7+Inputs!$L$7*(((Inputs!$I$7+(((A11)+1)/2)*(Inputs!$J$7-Inputs!$I$7)))/Inputs!$K$7)^2),NA())</x:f>
        <x:v>347.303125</x:v>
      </x:c>
      <x:c r="D11" s="9" t="n">
        <x:f>IF(OR(Inputs!$F$8=TRUE,Inputs!$F$8="TRUE",Inputs!$F$8=1),(Inputs!$H$8+Inputs!$L$8*(((Inputs!$I$8+(((A11)+1)/2)*(Inputs!$J$8-Inputs!$I$8)))/Inputs!$K$8)^2),NA())</x:f>
        <x:v>860.678125</x:v>
      </x:c>
      <x:c r="E11" s="9" t="n">
        <x:f>IF(OR(Inputs!$F$9=TRUE,Inputs!$F$9="TRUE",Inputs!$F$9=1),(Inputs!$H$9+Inputs!$L$9*(((Inputs!$I$9+(((A11)+1)/2)*(Inputs!$J$9-Inputs!$I$9)))/Inputs!$K$9)^2),NA())</x:f>
        <x:v>859.2343750000001</x:v>
      </x:c>
      <x:c r="F11" s="10"/>
      <x:c r="G11" s="9">
        <x:f t="shared" si="0"/>
        <x:v>-0.92500000000000004</x:v>
      </x:c>
      <x:c r="H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10"/>
      <x:c r="M11" s="9">
        <x:f t="shared" si="1"/>
        <x:v>-0.92500000000000004</x:v>
      </x:c>
      <x:c r="N11" s="9"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9"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9"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9"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10"/>
      <x:c r="S11" s="9">
        <x:f t="shared" si="2"/>
        <x:v>-0.92500000000000004</x:v>
      </x:c>
      <x:c r="T11" s="9" t="n">
        <x:f>(Inputs!$I$6+(((A11)+1)/2)*(Inputs!$J$6-Inputs!$I$6))</x:f>
        <x:v>-55.5</x:v>
      </x:c>
      <x:c r="U11" s="9" t="n">
        <x:f>(Inputs!$I$7+(((A11)+1)/2)*(Inputs!$J$7-Inputs!$I$7))</x:f>
        <x:v>-370</x:v>
      </x:c>
      <x:c r="V11" s="9" t="n">
        <x:f>(Inputs!$I$8+(((A11)+1)/2)*(Inputs!$J$8-Inputs!$I$8))</x:f>
        <x:v>-740</x:v>
      </x:c>
      <x:c r="W11" s="9" t="n">
        <x:f>(Inputs!$I$9+(((A11)+1)/2)*(Inputs!$J$9-Inputs!$I$9))</x:f>
        <x:v>-740</x:v>
      </x:c>
      <x:c r="X11" s="10"/>
      <x:c r="Y11" s="9">
        <x:f t="shared" si="3"/>
        <x:v>-0.92500000000000004</x:v>
      </x:c>
      <x:c r="Z11" s="9" t="n">
        <x:f>(Inputs!$H$6+Inputs!$L$6*(((Inputs!$I$6+(((A11)+1)/2)*(Inputs!$J$6-Inputs!$I$6)))/Inputs!$K$6)^2)</x:f>
        <x:v>403.4225</x:v>
      </x:c>
      <x:c r="AA11" s="9" t="n">
        <x:f>(Inputs!$H$7+Inputs!$L$7*(((Inputs!$I$7+(((A11)+1)/2)*(Inputs!$J$7-Inputs!$I$7)))/Inputs!$K$7)^2)</x:f>
        <x:v>347.303125</x:v>
      </x:c>
      <x:c r="AB11" s="9" t="n">
        <x:f>(Inputs!$H$8+Inputs!$L$8*(((Inputs!$I$8+(((A11)+1)/2)*(Inputs!$J$8-Inputs!$I$8)))/Inputs!$K$8)^2)</x:f>
        <x:v>860.678125</x:v>
      </x:c>
      <x:c r="AC11" s="9" t="n">
        <x:f>(Inputs!$H$9+Inputs!$L$9*(((Inputs!$I$9+(((A11)+1)/2)*(Inputs!$J$9-Inputs!$I$9)))/Inputs!$K$9)^2)</x:f>
        <x:v>859.2343750000001</x:v>
      </x:c>
      <x:c r="AD11" s="10"/>
      <x:c r="AE11" s="9">
        <x:f t="shared" si="4"/>
        <x:v>-0.92500000000000004</x:v>
      </x:c>
      <x:c r="AF11" s="9"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9"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9"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9"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10"/>
      <x:c r="AK11" s="9">
        <x:f t="shared" si="5"/>
        <x:v>-0.92500000000000004</x:v>
      </x:c>
      <x:c r="AL11" s="9"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9"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9"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9"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10"/>
      <x:c r="AQ11" s="9">
        <x:f t="shared" si="6"/>
        <x:v>-0.92500000000000004</x:v>
      </x:c>
      <x:c r="AR11" s="9" t="n">
        <x:f>0</x:f>
        <x:v>0</x:v>
      </x:c>
      <x:c r="AS11" s="9"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x:f>
        <x:v>160.57943103446084</x:v>
      </x:c>
      <x:c r="AT11" s="9"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x:f>
        <x:v>162.55768607297833</x:v>
      </x:c>
      <x:c r="AU11" s="9"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x:f>
        <x:v>152.39288583943994</x:v>
      </x:c>
      <x:c r="AV11" s="9"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x:f>
        <x:v>152.39288583943994</x:v>
      </x:c>
      <x:c r="AW11" s="10"/>
      <x:c r="AX11" s="9">
        <x:f t="shared" si="7"/>
        <x:v>-0.92500000000000004</x:v>
      </x:c>
      <x:c r="AY11" s="9" t="n">
        <x:f>0</x:f>
        <x:v>0</x:v>
      </x:c>
      <x:c r="AZ11" s="9" t="n">
        <x:f>IF(OR(Inputs!$F$6=TRUE,Inputs!$F$6="TRUE",Inputs!$F$6=1),(Inputs!$H$6+Inputs!$L$6*(((Inputs!$I$6+(((A11)+1)/2)*(Inputs!$J$6-Inputs!$I$6)))/Inputs!$K$6)^2),NA())</x:f>
        <x:v>403.4225</x:v>
      </x:c>
      <x:c r="BA11" s="9" t="n">
        <x:f>IF(OR(Inputs!$F$7=TRUE,Inputs!$F$7="TRUE",Inputs!$F$7=1),(Inputs!$H$7+Inputs!$L$7*(((Inputs!$I$7+(((A11)+1)/2)*(Inputs!$J$7-Inputs!$I$7)))/Inputs!$K$7)^2),NA())</x:f>
        <x:v>347.303125</x:v>
      </x:c>
      <x:c r="BB11" s="9" t="n">
        <x:f>IF(OR(Inputs!$F$8=TRUE,Inputs!$F$8="TRUE",Inputs!$F$8=1),(Inputs!$H$8+Inputs!$L$8*(((Inputs!$I$8+(((A11)+1)/2)*(Inputs!$J$8-Inputs!$I$8)))/Inputs!$K$8)^2),NA())</x:f>
        <x:v>860.678125</x:v>
      </x:c>
      <x:c r="BC11" s="9" t="n">
        <x:f>IF(OR(Inputs!$F$9=TRUE,Inputs!$F$9="TRUE",Inputs!$F$9=1),(Inputs!$H$9+Inputs!$L$9*(((Inputs!$I$9+(((A11)+1)/2)*(Inputs!$J$9-Inputs!$I$9)))/Inputs!$K$9)^2),NA())</x:f>
        <x:v>859.2343750000001</x:v>
      </x:c>
      <x:c r="BD11" s="10"/>
      <x:c r="BE11" s="9">
        <x:f t="shared" si="8"/>
        <x:v>-0.92500000000000004</x:v>
      </x:c>
      <x:c r="BF11" s="9" t="n">
        <x:f>0</x:f>
        <x:v>0</x:v>
      </x:c>
      <x:c r="BG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9" t="n">
        <x:f>ROUND(-1+10*2/240,3)</x:f>
        <x:v>-0.917</x:v>
      </x:c>
      <x:c r="B12" s="9" t="n">
        <x:f>IF(OR(Inputs!$F$6=TRUE,Inputs!$F$6="TRUE",Inputs!$F$6=1),(Inputs!$H$6+Inputs!$L$6*(((Inputs!$I$6+(((A12)+1)/2)*(Inputs!$J$6-Inputs!$I$6)))/Inputs!$K$6)^2),NA())</x:f>
        <x:v>403.363556</x:v>
      </x:c>
      <x:c r="C12" s="9" t="n">
        <x:f>IF(OR(Inputs!$F$7=TRUE,Inputs!$F$7="TRUE",Inputs!$F$7=1),(Inputs!$H$7+Inputs!$L$7*(((Inputs!$I$7+(((A12)+1)/2)*(Inputs!$J$7-Inputs!$I$7)))/Inputs!$K$7)^2),NA())</x:f>
        <x:v>341.92448500000006</x:v>
      </x:c>
      <x:c r="D12" s="9" t="n">
        <x:f>IF(OR(Inputs!$F$8=TRUE,Inputs!$F$8="TRUE",Inputs!$F$8=1),(Inputs!$H$8+Inputs!$L$8*(((Inputs!$I$8+(((A12)+1)/2)*(Inputs!$J$8-Inputs!$I$8)))/Inputs!$K$8)^2),NA())</x:f>
        <x:v>846.4578850000001</x:v>
      </x:c>
      <x:c r="E12" s="9" t="n">
        <x:f>IF(OR(Inputs!$F$9=TRUE,Inputs!$F$9="TRUE",Inputs!$F$9=1),(Inputs!$H$9+Inputs!$L$9*(((Inputs!$I$9+(((A12)+1)/2)*(Inputs!$J$9-Inputs!$I$9)))/Inputs!$K$9)^2),NA())</x:f>
        <x:v>844.8667750000001</x:v>
      </x:c>
      <x:c r="F12" s="10"/>
      <x:c r="G12" s="9">
        <x:f t="shared" si="0"/>
        <x:v>-0.91700000000000004</x:v>
      </x:c>
      <x:c r="H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10"/>
      <x:c r="M12" s="9">
        <x:f t="shared" si="1"/>
        <x:v>-0.91700000000000004</x:v>
      </x:c>
      <x:c r="N12" s="9"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9"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9"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9"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10"/>
      <x:c r="S12" s="9">
        <x:f t="shared" si="2"/>
        <x:v>-0.91700000000000004</x:v>
      </x:c>
      <x:c r="T12" s="9" t="n">
        <x:f>(Inputs!$I$6+(((A12)+1)/2)*(Inputs!$J$6-Inputs!$I$6))</x:f>
        <x:v>-55.02</x:v>
      </x:c>
      <x:c r="U12" s="9" t="n">
        <x:f>(Inputs!$I$7+(((A12)+1)/2)*(Inputs!$J$7-Inputs!$I$7))</x:f>
        <x:v>-366.8</x:v>
      </x:c>
      <x:c r="V12" s="9" t="n">
        <x:f>(Inputs!$I$8+(((A12)+1)/2)*(Inputs!$J$8-Inputs!$I$8))</x:f>
        <x:v>-733.6</x:v>
      </x:c>
      <x:c r="W12" s="9" t="n">
        <x:f>(Inputs!$I$9+(((A12)+1)/2)*(Inputs!$J$9-Inputs!$I$9))</x:f>
        <x:v>-733.6</x:v>
      </x:c>
      <x:c r="X12" s="10"/>
      <x:c r="Y12" s="9">
        <x:f t="shared" si="3"/>
        <x:v>-0.91700000000000004</x:v>
      </x:c>
      <x:c r="Z12" s="9" t="n">
        <x:f>(Inputs!$H$6+Inputs!$L$6*(((Inputs!$I$6+(((A12)+1)/2)*(Inputs!$J$6-Inputs!$I$6)))/Inputs!$K$6)^2)</x:f>
        <x:v>403.363556</x:v>
      </x:c>
      <x:c r="AA12" s="9" t="n">
        <x:f>(Inputs!$H$7+Inputs!$L$7*(((Inputs!$I$7+(((A12)+1)/2)*(Inputs!$J$7-Inputs!$I$7)))/Inputs!$K$7)^2)</x:f>
        <x:v>341.92448500000006</x:v>
      </x:c>
      <x:c r="AB12" s="9" t="n">
        <x:f>(Inputs!$H$8+Inputs!$L$8*(((Inputs!$I$8+(((A12)+1)/2)*(Inputs!$J$8-Inputs!$I$8)))/Inputs!$K$8)^2)</x:f>
        <x:v>846.4578850000001</x:v>
      </x:c>
      <x:c r="AC12" s="9" t="n">
        <x:f>(Inputs!$H$9+Inputs!$L$9*(((Inputs!$I$9+(((A12)+1)/2)*(Inputs!$J$9-Inputs!$I$9)))/Inputs!$K$9)^2)</x:f>
        <x:v>844.8667750000001</x:v>
      </x:c>
      <x:c r="AD12" s="10"/>
      <x:c r="AE12" s="9">
        <x:f t="shared" si="4"/>
        <x:v>-0.91700000000000004</x:v>
      </x:c>
      <x:c r="AF12" s="9"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9"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9"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9"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10"/>
      <x:c r="AK12" s="9">
        <x:f t="shared" si="5"/>
        <x:v>-0.91700000000000004</x:v>
      </x:c>
      <x:c r="AL12" s="9"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9"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9"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9"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10"/>
      <x:c r="AQ12" s="9">
        <x:f t="shared" si="6"/>
        <x:v>-0.91700000000000004</x:v>
      </x:c>
      <x:c r="AR12" s="9" t="n">
        <x:f>0</x:f>
        <x:v>0</x:v>
      </x:c>
      <x:c r="AS12" s="9"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x:f>
        <x:v>188.12617506665845</x:v>
      </x:c>
      <x:c r="AT12" s="9"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x:f>
        <x:v>117.99053564072898</x:v>
      </x:c>
      <x:c r="AU12" s="9"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x:f>
        <x:v>182.22132501545047</x:v>
      </x:c>
      <x:c r="AV12" s="9"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x:f>
        <x:v>182.22132501545047</x:v>
      </x:c>
      <x:c r="AW12" s="10"/>
      <x:c r="AX12" s="9">
        <x:f t="shared" si="7"/>
        <x:v>-0.91700000000000004</x:v>
      </x:c>
      <x:c r="AY12" s="9" t="n">
        <x:f>0</x:f>
        <x:v>0</x:v>
      </x:c>
      <x:c r="AZ12" s="9" t="n">
        <x:f>IF(OR(Inputs!$F$6=TRUE,Inputs!$F$6="TRUE",Inputs!$F$6=1),(Inputs!$H$6+Inputs!$L$6*(((Inputs!$I$6+(((A12)+1)/2)*(Inputs!$J$6-Inputs!$I$6)))/Inputs!$K$6)^2),NA())</x:f>
        <x:v>403.363556</x:v>
      </x:c>
      <x:c r="BA12" s="9" t="n">
        <x:f>IF(OR(Inputs!$F$7=TRUE,Inputs!$F$7="TRUE",Inputs!$F$7=1),(Inputs!$H$7+Inputs!$L$7*(((Inputs!$I$7+(((A12)+1)/2)*(Inputs!$J$7-Inputs!$I$7)))/Inputs!$K$7)^2),NA())</x:f>
        <x:v>341.92448500000006</x:v>
      </x:c>
      <x:c r="BB12" s="9" t="n">
        <x:f>IF(OR(Inputs!$F$8=TRUE,Inputs!$F$8="TRUE",Inputs!$F$8=1),(Inputs!$H$8+Inputs!$L$8*(((Inputs!$I$8+(((A12)+1)/2)*(Inputs!$J$8-Inputs!$I$8)))/Inputs!$K$8)^2),NA())</x:f>
        <x:v>846.4578850000001</x:v>
      </x:c>
      <x:c r="BC12" s="9" t="n">
        <x:f>IF(OR(Inputs!$F$9=TRUE,Inputs!$F$9="TRUE",Inputs!$F$9=1),(Inputs!$H$9+Inputs!$L$9*(((Inputs!$I$9+(((A12)+1)/2)*(Inputs!$J$9-Inputs!$I$9)))/Inputs!$K$9)^2),NA())</x:f>
        <x:v>844.8667750000001</x:v>
      </x:c>
      <x:c r="BD12" s="10"/>
      <x:c r="BE12" s="9">
        <x:f t="shared" si="8"/>
        <x:v>-0.91700000000000004</x:v>
      </x:c>
      <x:c r="BF12" s="9" t="n">
        <x:f>0</x:f>
        <x:v>0</x:v>
      </x:c>
      <x:c r="BG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9" t="n">
        <x:f>ROUND(-1+11*2/240,3)</x:f>
        <x:v>-0.908</x:v>
      </x:c>
      <x:c r="B13" s="9" t="n">
        <x:f>IF(OR(Inputs!$F$6=TRUE,Inputs!$F$6="TRUE",Inputs!$F$6=1),(Inputs!$H$6+Inputs!$L$6*(((Inputs!$I$6+(((A13)+1)/2)*(Inputs!$J$6-Inputs!$I$6)))/Inputs!$K$6)^2),NA())</x:f>
        <x:v>403.297856</x:v>
      </x:c>
      <x:c r="C13" s="9" t="n">
        <x:f>IF(OR(Inputs!$F$7=TRUE,Inputs!$F$7="TRUE",Inputs!$F$7=1),(Inputs!$H$7+Inputs!$L$7*(((Inputs!$I$7+(((A13)+1)/2)*(Inputs!$J$7-Inputs!$I$7)))/Inputs!$K$7)^2),NA())</x:f>
        <x:v>335.92936</x:v>
      </x:c>
      <x:c r="D13" s="9" t="n">
        <x:f>IF(OR(Inputs!$F$8=TRUE,Inputs!$F$8="TRUE",Inputs!$F$8=1),(Inputs!$H$8+Inputs!$L$8*(((Inputs!$I$8+(((A13)+1)/2)*(Inputs!$J$8-Inputs!$I$8)))/Inputs!$K$8)^2),NA())</x:f>
        <x:v>830.6077599999999</x:v>
      </x:c>
      <x:c r="E13" s="9" t="n">
        <x:f>IF(OR(Inputs!$F$9=TRUE,Inputs!$F$9="TRUE",Inputs!$F$9=1),(Inputs!$H$9+Inputs!$L$9*(((Inputs!$I$9+(((A13)+1)/2)*(Inputs!$J$9-Inputs!$I$9)))/Inputs!$K$9)^2),NA())</x:f>
        <x:v>828.8523999999999</x:v>
      </x:c>
      <x:c r="F13" s="10"/>
      <x:c r="G13" s="9">
        <x:f t="shared" si="0"/>
        <x:v>-0.90800000000000003</x:v>
      </x:c>
      <x:c r="H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10"/>
      <x:c r="M13" s="9">
        <x:f t="shared" si="1"/>
        <x:v>-0.90800000000000003</x:v>
      </x:c>
      <x:c r="N13" s="9"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9"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9"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9"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10"/>
      <x:c r="S13" s="9">
        <x:f t="shared" si="2"/>
        <x:v>-0.90800000000000003</x:v>
      </x:c>
      <x:c r="T13" s="9" t="n">
        <x:f>(Inputs!$I$6+(((A13)+1)/2)*(Inputs!$J$6-Inputs!$I$6))</x:f>
        <x:v>-54.480000000000004</x:v>
      </x:c>
      <x:c r="U13" s="9" t="n">
        <x:f>(Inputs!$I$7+(((A13)+1)/2)*(Inputs!$J$7-Inputs!$I$7))</x:f>
        <x:v>-363.2</x:v>
      </x:c>
      <x:c r="V13" s="9" t="n">
        <x:f>(Inputs!$I$8+(((A13)+1)/2)*(Inputs!$J$8-Inputs!$I$8))</x:f>
        <x:v>-726.4</x:v>
      </x:c>
      <x:c r="W13" s="9" t="n">
        <x:f>(Inputs!$I$9+(((A13)+1)/2)*(Inputs!$J$9-Inputs!$I$9))</x:f>
        <x:v>-726.4</x:v>
      </x:c>
      <x:c r="X13" s="10"/>
      <x:c r="Y13" s="9">
        <x:f t="shared" si="3"/>
        <x:v>-0.90800000000000003</x:v>
      </x:c>
      <x:c r="Z13" s="9" t="n">
        <x:f>(Inputs!$H$6+Inputs!$L$6*(((Inputs!$I$6+(((A13)+1)/2)*(Inputs!$J$6-Inputs!$I$6)))/Inputs!$K$6)^2)</x:f>
        <x:v>403.297856</x:v>
      </x:c>
      <x:c r="AA13" s="9" t="n">
        <x:f>(Inputs!$H$7+Inputs!$L$7*(((Inputs!$I$7+(((A13)+1)/2)*(Inputs!$J$7-Inputs!$I$7)))/Inputs!$K$7)^2)</x:f>
        <x:v>335.92936</x:v>
      </x:c>
      <x:c r="AB13" s="9" t="n">
        <x:f>(Inputs!$H$8+Inputs!$L$8*(((Inputs!$I$8+(((A13)+1)/2)*(Inputs!$J$8-Inputs!$I$8)))/Inputs!$K$8)^2)</x:f>
        <x:v>830.6077599999999</x:v>
      </x:c>
      <x:c r="AC13" s="9" t="n">
        <x:f>(Inputs!$H$9+Inputs!$L$9*(((Inputs!$I$9+(((A13)+1)/2)*(Inputs!$J$9-Inputs!$I$9)))/Inputs!$K$9)^2)</x:f>
        <x:v>828.8523999999999</x:v>
      </x:c>
      <x:c r="AD13" s="10"/>
      <x:c r="AE13" s="9">
        <x:f t="shared" si="4"/>
        <x:v>-0.90800000000000003</x:v>
      </x:c>
      <x:c r="AF13" s="9"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9"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9"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9"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10"/>
      <x:c r="AK13" s="9">
        <x:f t="shared" si="5"/>
        <x:v>-0.90800000000000003</x:v>
      </x:c>
      <x:c r="AL13" s="9"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9"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9"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9"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10"/>
      <x:c r="AQ13" s="9">
        <x:f t="shared" si="6"/>
        <x:v>-0.90800000000000003</x:v>
      </x:c>
      <x:c r="AR13" s="9" t="n">
        <x:f>0</x:f>
        <x:v>0</x:v>
      </x:c>
      <x:c r="AS13" s="9"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x:f>
        <x:v>200.43223979041218</x:v>
      </x:c>
      <x:c r="AT13" s="9"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x:f>
        <x:v>70.34462616622157</x:v>
      </x:c>
      <x:c r="AU13" s="9"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x:f>
        <x:v>104.97982188854878</x:v>
      </x:c>
      <x:c r="AV13" s="9"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x:f>
        <x:v>104.97982188854878</x:v>
      </x:c>
      <x:c r="AW13" s="10"/>
      <x:c r="AX13" s="9">
        <x:f t="shared" si="7"/>
        <x:v>-0.90800000000000003</x:v>
      </x:c>
      <x:c r="AY13" s="9" t="n">
        <x:f>0</x:f>
        <x:v>0</x:v>
      </x:c>
      <x:c r="AZ13" s="9" t="n">
        <x:f>IF(OR(Inputs!$F$6=TRUE,Inputs!$F$6="TRUE",Inputs!$F$6=1),(Inputs!$H$6+Inputs!$L$6*(((Inputs!$I$6+(((A13)+1)/2)*(Inputs!$J$6-Inputs!$I$6)))/Inputs!$K$6)^2),NA())</x:f>
        <x:v>403.297856</x:v>
      </x:c>
      <x:c r="BA13" s="9" t="n">
        <x:f>IF(OR(Inputs!$F$7=TRUE,Inputs!$F$7="TRUE",Inputs!$F$7=1),(Inputs!$H$7+Inputs!$L$7*(((Inputs!$I$7+(((A13)+1)/2)*(Inputs!$J$7-Inputs!$I$7)))/Inputs!$K$7)^2),NA())</x:f>
        <x:v>335.92936</x:v>
      </x:c>
      <x:c r="BB13" s="9" t="n">
        <x:f>IF(OR(Inputs!$F$8=TRUE,Inputs!$F$8="TRUE",Inputs!$F$8=1),(Inputs!$H$8+Inputs!$L$8*(((Inputs!$I$8+(((A13)+1)/2)*(Inputs!$J$8-Inputs!$I$8)))/Inputs!$K$8)^2),NA())</x:f>
        <x:v>830.6077599999999</x:v>
      </x:c>
      <x:c r="BC13" s="9" t="n">
        <x:f>IF(OR(Inputs!$F$9=TRUE,Inputs!$F$9="TRUE",Inputs!$F$9=1),(Inputs!$H$9+Inputs!$L$9*(((Inputs!$I$9+(((A13)+1)/2)*(Inputs!$J$9-Inputs!$I$9)))/Inputs!$K$9)^2),NA())</x:f>
        <x:v>828.8523999999999</x:v>
      </x:c>
      <x:c r="BD13" s="10"/>
      <x:c r="BE13" s="9">
        <x:f t="shared" si="8"/>
        <x:v>-0.90800000000000003</x:v>
      </x:c>
      <x:c r="BF13" s="9" t="n">
        <x:f>0</x:f>
        <x:v>0</x:v>
      </x:c>
      <x:c r="BG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9" t="n">
        <x:f>ROUND(-1+12*2/240,3)</x:f>
        <x:v>-0.9</x:v>
      </x:c>
      <x:c r="B14" s="9" t="n">
        <x:f>IF(OR(Inputs!$F$6=TRUE,Inputs!$F$6="TRUE",Inputs!$F$6=1),(Inputs!$H$6+Inputs!$L$6*(((Inputs!$I$6+(((A14)+1)/2)*(Inputs!$J$6-Inputs!$I$6)))/Inputs!$K$6)^2),NA())</x:f>
        <x:v>403.24</x:v>
      </x:c>
      <x:c r="C14" s="9" t="n">
        <x:f>IF(OR(Inputs!$F$7=TRUE,Inputs!$F$7="TRUE",Inputs!$F$7=1),(Inputs!$H$7+Inputs!$L$7*(((Inputs!$I$7+(((A14)+1)/2)*(Inputs!$J$7-Inputs!$I$7)))/Inputs!$K$7)^2),NA())</x:f>
        <x:v>330.65000000000003</x:v>
      </x:c>
      <x:c r="D14" s="9" t="n">
        <x:f>IF(OR(Inputs!$F$8=TRUE,Inputs!$F$8="TRUE",Inputs!$F$8=1),(Inputs!$H$8+Inputs!$L$8*(((Inputs!$I$8+(((A14)+1)/2)*(Inputs!$J$8-Inputs!$I$8)))/Inputs!$K$8)^2),NA())</x:f>
        <x:v>816.6500000000001</x:v>
      </x:c>
      <x:c r="E14" s="9" t="n">
        <x:f>IF(OR(Inputs!$F$9=TRUE,Inputs!$F$9="TRUE",Inputs!$F$9=1),(Inputs!$H$9+Inputs!$L$9*(((Inputs!$I$9+(((A14)+1)/2)*(Inputs!$J$9-Inputs!$I$9)))/Inputs!$K$9)^2),NA())</x:f>
        <x:v>814.75</x:v>
      </x:c>
      <x:c r="F14" s="10"/>
      <x:c r="G14" s="9">
        <x:f t="shared" si="0"/>
        <x:v>-0.9</x:v>
      </x:c>
      <x:c r="H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10"/>
      <x:c r="M14" s="9">
        <x:f t="shared" si="1"/>
        <x:v>-0.9</x:v>
      </x:c>
      <x:c r="N14" s="9"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9"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9"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9"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10"/>
      <x:c r="S14" s="9">
        <x:f t="shared" si="2"/>
        <x:v>-0.9</x:v>
      </x:c>
      <x:c r="T14" s="9" t="n">
        <x:f>(Inputs!$I$6+(((A14)+1)/2)*(Inputs!$J$6-Inputs!$I$6))</x:f>
        <x:v>-54</x:v>
      </x:c>
      <x:c r="U14" s="9" t="n">
        <x:f>(Inputs!$I$7+(((A14)+1)/2)*(Inputs!$J$7-Inputs!$I$7))</x:f>
        <x:v>-360</x:v>
      </x:c>
      <x:c r="V14" s="9" t="n">
        <x:f>(Inputs!$I$8+(((A14)+1)/2)*(Inputs!$J$8-Inputs!$I$8))</x:f>
        <x:v>-720</x:v>
      </x:c>
      <x:c r="W14" s="9" t="n">
        <x:f>(Inputs!$I$9+(((A14)+1)/2)*(Inputs!$J$9-Inputs!$I$9))</x:f>
        <x:v>-720</x:v>
      </x:c>
      <x:c r="X14" s="10"/>
      <x:c r="Y14" s="9">
        <x:f t="shared" si="3"/>
        <x:v>-0.9</x:v>
      </x:c>
      <x:c r="Z14" s="9" t="n">
        <x:f>(Inputs!$H$6+Inputs!$L$6*(((Inputs!$I$6+(((A14)+1)/2)*(Inputs!$J$6-Inputs!$I$6)))/Inputs!$K$6)^2)</x:f>
        <x:v>403.24</x:v>
      </x:c>
      <x:c r="AA14" s="9" t="n">
        <x:f>(Inputs!$H$7+Inputs!$L$7*(((Inputs!$I$7+(((A14)+1)/2)*(Inputs!$J$7-Inputs!$I$7)))/Inputs!$K$7)^2)</x:f>
        <x:v>330.65000000000003</x:v>
      </x:c>
      <x:c r="AB14" s="9" t="n">
        <x:f>(Inputs!$H$8+Inputs!$L$8*(((Inputs!$I$8+(((A14)+1)/2)*(Inputs!$J$8-Inputs!$I$8)))/Inputs!$K$8)^2)</x:f>
        <x:v>816.6500000000001</x:v>
      </x:c>
      <x:c r="AC14" s="9" t="n">
        <x:f>(Inputs!$H$9+Inputs!$L$9*(((Inputs!$I$9+(((A14)+1)/2)*(Inputs!$J$9-Inputs!$I$9)))/Inputs!$K$9)^2)</x:f>
        <x:v>814.75</x:v>
      </x:c>
      <x:c r="AD14" s="10"/>
      <x:c r="AE14" s="9">
        <x:f t="shared" si="4"/>
        <x:v>-0.9</x:v>
      </x:c>
      <x:c r="AF14" s="9"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9"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9"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9"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10"/>
      <x:c r="AK14" s="9">
        <x:f t="shared" si="5"/>
        <x:v>-0.9</x:v>
      </x:c>
      <x:c r="AL14" s="9"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9"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9"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9"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10"/>
      <x:c r="AQ14" s="9">
        <x:f t="shared" si="6"/>
        <x:v>-0.9</x:v>
      </x:c>
      <x:c r="AR14" s="9" t="n">
        <x:f>0</x:f>
        <x:v>0</x:v>
      </x:c>
      <x:c r="AS14" s="9"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x:f>
        <x:v>196.39629745562698</x:v>
      </x:c>
      <x:c r="AT14" s="9"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x:f>
        <x:v>99.30495865310719</x:v>
      </x:c>
      <x:c r="AU14" s="9"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x:f>
        <x:v>114.68773835895462</x:v>
      </x:c>
      <x:c r="AV14" s="9"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x:f>
        <x:v>114.68773835895462</x:v>
      </x:c>
      <x:c r="AW14" s="10"/>
      <x:c r="AX14" s="9">
        <x:f t="shared" si="7"/>
        <x:v>-0.9</x:v>
      </x:c>
      <x:c r="AY14" s="9" t="n">
        <x:f>0</x:f>
        <x:v>0</x:v>
      </x:c>
      <x:c r="AZ14" s="9" t="n">
        <x:f>IF(OR(Inputs!$F$6=TRUE,Inputs!$F$6="TRUE",Inputs!$F$6=1),(Inputs!$H$6+Inputs!$L$6*(((Inputs!$I$6+(((A14)+1)/2)*(Inputs!$J$6-Inputs!$I$6)))/Inputs!$K$6)^2),NA())</x:f>
        <x:v>403.24</x:v>
      </x:c>
      <x:c r="BA14" s="9" t="n">
        <x:f>IF(OR(Inputs!$F$7=TRUE,Inputs!$F$7="TRUE",Inputs!$F$7=1),(Inputs!$H$7+Inputs!$L$7*(((Inputs!$I$7+(((A14)+1)/2)*(Inputs!$J$7-Inputs!$I$7)))/Inputs!$K$7)^2),NA())</x:f>
        <x:v>330.65000000000003</x:v>
      </x:c>
      <x:c r="BB14" s="9" t="n">
        <x:f>IF(OR(Inputs!$F$8=TRUE,Inputs!$F$8="TRUE",Inputs!$F$8=1),(Inputs!$H$8+Inputs!$L$8*(((Inputs!$I$8+(((A14)+1)/2)*(Inputs!$J$8-Inputs!$I$8)))/Inputs!$K$8)^2),NA())</x:f>
        <x:v>816.6500000000001</x:v>
      </x:c>
      <x:c r="BC14" s="9" t="n">
        <x:f>IF(OR(Inputs!$F$9=TRUE,Inputs!$F$9="TRUE",Inputs!$F$9=1),(Inputs!$H$9+Inputs!$L$9*(((Inputs!$I$9+(((A14)+1)/2)*(Inputs!$J$9-Inputs!$I$9)))/Inputs!$K$9)^2),NA())</x:f>
        <x:v>814.75</x:v>
      </x:c>
      <x:c r="BD14" s="10"/>
      <x:c r="BE14" s="9">
        <x:f t="shared" si="8"/>
        <x:v>-0.9</x:v>
      </x:c>
      <x:c r="BF14" s="9" t="n">
        <x:f>0</x:f>
        <x:v>0</x:v>
      </x:c>
      <x:c r="BG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9" t="n">
        <x:f>ROUND(-1+13*2/240,3)</x:f>
        <x:v>-0.892</x:v>
      </x:c>
      <x:c r="B15" s="9" t="n">
        <x:f>IF(OR(Inputs!$F$6=TRUE,Inputs!$F$6="TRUE",Inputs!$F$6=1),(Inputs!$H$6+Inputs!$L$6*(((Inputs!$I$6+(((A15)+1)/2)*(Inputs!$J$6-Inputs!$I$6)))/Inputs!$K$6)^2),NA())</x:f>
        <x:v>403.182656</x:v>
      </x:c>
      <x:c r="C15" s="9" t="n">
        <x:f>IF(OR(Inputs!$F$7=TRUE,Inputs!$F$7="TRUE",Inputs!$F$7=1),(Inputs!$H$7+Inputs!$L$7*(((Inputs!$I$7+(((A15)+1)/2)*(Inputs!$J$7-Inputs!$I$7)))/Inputs!$K$7)^2),NA())</x:f>
        <x:v>325.41736000000003</x:v>
      </x:c>
      <x:c r="D15" s="9" t="n">
        <x:f>IF(OR(Inputs!$F$8=TRUE,Inputs!$F$8="TRUE",Inputs!$F$8=1),(Inputs!$H$8+Inputs!$L$8*(((Inputs!$I$8+(((A15)+1)/2)*(Inputs!$J$8-Inputs!$I$8)))/Inputs!$K$8)^2),NA())</x:f>
        <x:v>802.8157600000001</x:v>
      </x:c>
      <x:c r="E15" s="9" t="n">
        <x:f>IF(OR(Inputs!$F$9=TRUE,Inputs!$F$9="TRUE",Inputs!$F$9=1),(Inputs!$H$9+Inputs!$L$9*(((Inputs!$I$9+(((A15)+1)/2)*(Inputs!$J$9-Inputs!$I$9)))/Inputs!$K$9)^2),NA())</x:f>
        <x:v>800.7724000000001</x:v>
      </x:c>
      <x:c r="F15" s="10"/>
      <x:c r="G15" s="9">
        <x:f t="shared" si="0"/>
        <x:v>-0.89200000000000002</x:v>
      </x:c>
      <x:c r="H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10"/>
      <x:c r="M15" s="9">
        <x:f t="shared" si="1"/>
        <x:v>-0.89200000000000002</x:v>
      </x:c>
      <x:c r="N15" s="9"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9"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9"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9"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10"/>
      <x:c r="S15" s="9">
        <x:f t="shared" si="2"/>
        <x:v>-0.89200000000000002</x:v>
      </x:c>
      <x:c r="T15" s="9" t="n">
        <x:f>(Inputs!$I$6+(((A15)+1)/2)*(Inputs!$J$6-Inputs!$I$6))</x:f>
        <x:v>-53.52</x:v>
      </x:c>
      <x:c r="U15" s="9" t="n">
        <x:f>(Inputs!$I$7+(((A15)+1)/2)*(Inputs!$J$7-Inputs!$I$7))</x:f>
        <x:v>-356.8</x:v>
      </x:c>
      <x:c r="V15" s="9" t="n">
        <x:f>(Inputs!$I$8+(((A15)+1)/2)*(Inputs!$J$8-Inputs!$I$8))</x:f>
        <x:v>-713.6</x:v>
      </x:c>
      <x:c r="W15" s="9" t="n">
        <x:f>(Inputs!$I$9+(((A15)+1)/2)*(Inputs!$J$9-Inputs!$I$9))</x:f>
        <x:v>-713.6</x:v>
      </x:c>
      <x:c r="X15" s="10"/>
      <x:c r="Y15" s="9">
        <x:f t="shared" si="3"/>
        <x:v>-0.89200000000000002</x:v>
      </x:c>
      <x:c r="Z15" s="9" t="n">
        <x:f>(Inputs!$H$6+Inputs!$L$6*(((Inputs!$I$6+(((A15)+1)/2)*(Inputs!$J$6-Inputs!$I$6)))/Inputs!$K$6)^2)</x:f>
        <x:v>403.182656</x:v>
      </x:c>
      <x:c r="AA15" s="9" t="n">
        <x:f>(Inputs!$H$7+Inputs!$L$7*(((Inputs!$I$7+(((A15)+1)/2)*(Inputs!$J$7-Inputs!$I$7)))/Inputs!$K$7)^2)</x:f>
        <x:v>325.41736000000003</x:v>
      </x:c>
      <x:c r="AB15" s="9" t="n">
        <x:f>(Inputs!$H$8+Inputs!$L$8*(((Inputs!$I$8+(((A15)+1)/2)*(Inputs!$J$8-Inputs!$I$8)))/Inputs!$K$8)^2)</x:f>
        <x:v>802.8157600000001</x:v>
      </x:c>
      <x:c r="AC15" s="9" t="n">
        <x:f>(Inputs!$H$9+Inputs!$L$9*(((Inputs!$I$9+(((A15)+1)/2)*(Inputs!$J$9-Inputs!$I$9)))/Inputs!$K$9)^2)</x:f>
        <x:v>800.7724000000001</x:v>
      </x:c>
      <x:c r="AD15" s="10"/>
      <x:c r="AE15" s="9">
        <x:f t="shared" si="4"/>
        <x:v>-0.89200000000000002</x:v>
      </x:c>
      <x:c r="AF15" s="9"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9"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9"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9"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10"/>
      <x:c r="AK15" s="9">
        <x:f t="shared" si="5"/>
        <x:v>-0.89200000000000002</x:v>
      </x:c>
      <x:c r="AL15" s="9"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9"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9"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9"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10"/>
      <x:c r="AQ15" s="9">
        <x:f t="shared" si="6"/>
        <x:v>-0.89200000000000002</x:v>
      </x:c>
      <x:c r="AR15" s="9" t="n">
        <x:f>0</x:f>
        <x:v>0</x:v>
      </x:c>
      <x:c r="AS15" s="9"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x:f>
        <x:v>223.50770882500376</x:v>
      </x:c>
      <x:c r="AT15" s="9"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x:f>
        <x:v>182.78083498257146</x:v>
      </x:c>
      <x:c r="AU15" s="9"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x:f>
        <x:v>177.618518747164</x:v>
      </x:c>
      <x:c r="AV15" s="9"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x:f>
        <x:v>177.618518747164</x:v>
      </x:c>
      <x:c r="AW15" s="10"/>
      <x:c r="AX15" s="9">
        <x:f t="shared" si="7"/>
        <x:v>-0.89200000000000002</x:v>
      </x:c>
      <x:c r="AY15" s="9" t="n">
        <x:f>0</x:f>
        <x:v>0</x:v>
      </x:c>
      <x:c r="AZ15" s="9" t="n">
        <x:f>IF(OR(Inputs!$F$6=TRUE,Inputs!$F$6="TRUE",Inputs!$F$6=1),(Inputs!$H$6+Inputs!$L$6*(((Inputs!$I$6+(((A15)+1)/2)*(Inputs!$J$6-Inputs!$I$6)))/Inputs!$K$6)^2),NA())</x:f>
        <x:v>403.182656</x:v>
      </x:c>
      <x:c r="BA15" s="9" t="n">
        <x:f>IF(OR(Inputs!$F$7=TRUE,Inputs!$F$7="TRUE",Inputs!$F$7=1),(Inputs!$H$7+Inputs!$L$7*(((Inputs!$I$7+(((A15)+1)/2)*(Inputs!$J$7-Inputs!$I$7)))/Inputs!$K$7)^2),NA())</x:f>
        <x:v>325.41736000000003</x:v>
      </x:c>
      <x:c r="BB15" s="9" t="n">
        <x:f>IF(OR(Inputs!$F$8=TRUE,Inputs!$F$8="TRUE",Inputs!$F$8=1),(Inputs!$H$8+Inputs!$L$8*(((Inputs!$I$8+(((A15)+1)/2)*(Inputs!$J$8-Inputs!$I$8)))/Inputs!$K$8)^2),NA())</x:f>
        <x:v>802.8157600000001</x:v>
      </x:c>
      <x:c r="BC15" s="9" t="n">
        <x:f>IF(OR(Inputs!$F$9=TRUE,Inputs!$F$9="TRUE",Inputs!$F$9=1),(Inputs!$H$9+Inputs!$L$9*(((Inputs!$I$9+(((A15)+1)/2)*(Inputs!$J$9-Inputs!$I$9)))/Inputs!$K$9)^2),NA())</x:f>
        <x:v>800.7724000000001</x:v>
      </x:c>
      <x:c r="BD15" s="10"/>
      <x:c r="BE15" s="9">
        <x:f t="shared" si="8"/>
        <x:v>-0.89200000000000002</x:v>
      </x:c>
      <x:c r="BF15" s="9" t="n">
        <x:f>0</x:f>
        <x:v>0</x:v>
      </x:c>
      <x:c r="BG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9" t="n">
        <x:f>ROUND(-1+14*2/240,3)</x:f>
        <x:v>-0.883</x:v>
      </x:c>
      <x:c r="B16" s="9" t="n">
        <x:f>IF(OR(Inputs!$F$6=TRUE,Inputs!$F$6="TRUE",Inputs!$F$6=1),(Inputs!$H$6+Inputs!$L$6*(((Inputs!$I$6+(((A16)+1)/2)*(Inputs!$J$6-Inputs!$I$6)))/Inputs!$K$6)^2),NA())</x:f>
        <x:v>403.118756</x:v>
      </x:c>
      <x:c r="C16" s="9" t="n">
        <x:f>IF(OR(Inputs!$F$7=TRUE,Inputs!$F$7="TRUE",Inputs!$F$7=1),(Inputs!$H$7+Inputs!$L$7*(((Inputs!$I$7+(((A16)+1)/2)*(Inputs!$J$7-Inputs!$I$7)))/Inputs!$K$7)^2),NA())</x:f>
        <x:v>319.586485</x:v>
      </x:c>
      <x:c r="D16" s="9" t="n">
        <x:f>IF(OR(Inputs!$F$8=TRUE,Inputs!$F$8="TRUE",Inputs!$F$8=1),(Inputs!$H$8+Inputs!$L$8*(((Inputs!$I$8+(((A16)+1)/2)*(Inputs!$J$8-Inputs!$I$8)))/Inputs!$K$8)^2),NA())</x:f>
        <x:v>787.3998849999999</x:v>
      </x:c>
      <x:c r="E16" s="9" t="n">
        <x:f>IF(OR(Inputs!$F$9=TRUE,Inputs!$F$9="TRUE",Inputs!$F$9=1),(Inputs!$H$9+Inputs!$L$9*(((Inputs!$I$9+(((A16)+1)/2)*(Inputs!$J$9-Inputs!$I$9)))/Inputs!$K$9)^2),NA())</x:f>
        <x:v>785.196775</x:v>
      </x:c>
      <x:c r="F16" s="10"/>
      <x:c r="G16" s="9">
        <x:f t="shared" si="0"/>
        <x:v>-0.88300000000000001</x:v>
      </x:c>
      <x:c r="H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10"/>
      <x:c r="M16" s="9">
        <x:f t="shared" si="1"/>
        <x:v>-0.88300000000000001</x:v>
      </x:c>
      <x:c r="N16" s="9"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9"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9"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9"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10"/>
      <x:c r="S16" s="9">
        <x:f t="shared" si="2"/>
        <x:v>-0.88300000000000001</x:v>
      </x:c>
      <x:c r="T16" s="9" t="n">
        <x:f>(Inputs!$I$6+(((A16)+1)/2)*(Inputs!$J$6-Inputs!$I$6))</x:f>
        <x:v>-52.980000000000004</x:v>
      </x:c>
      <x:c r="U16" s="9" t="n">
        <x:f>(Inputs!$I$7+(((A16)+1)/2)*(Inputs!$J$7-Inputs!$I$7))</x:f>
        <x:v>-353.2</x:v>
      </x:c>
      <x:c r="V16" s="9" t="n">
        <x:f>(Inputs!$I$8+(((A16)+1)/2)*(Inputs!$J$8-Inputs!$I$8))</x:f>
        <x:v>-706.4</x:v>
      </x:c>
      <x:c r="W16" s="9" t="n">
        <x:f>(Inputs!$I$9+(((A16)+1)/2)*(Inputs!$J$9-Inputs!$I$9))</x:f>
        <x:v>-706.4</x:v>
      </x:c>
      <x:c r="X16" s="10"/>
      <x:c r="Y16" s="9">
        <x:f t="shared" si="3"/>
        <x:v>-0.88300000000000001</x:v>
      </x:c>
      <x:c r="Z16" s="9" t="n">
        <x:f>(Inputs!$H$6+Inputs!$L$6*(((Inputs!$I$6+(((A16)+1)/2)*(Inputs!$J$6-Inputs!$I$6)))/Inputs!$K$6)^2)</x:f>
        <x:v>403.118756</x:v>
      </x:c>
      <x:c r="AA16" s="9" t="n">
        <x:f>(Inputs!$H$7+Inputs!$L$7*(((Inputs!$I$7+(((A16)+1)/2)*(Inputs!$J$7-Inputs!$I$7)))/Inputs!$K$7)^2)</x:f>
        <x:v>319.586485</x:v>
      </x:c>
      <x:c r="AB16" s="9" t="n">
        <x:f>(Inputs!$H$8+Inputs!$L$8*(((Inputs!$I$8+(((A16)+1)/2)*(Inputs!$J$8-Inputs!$I$8)))/Inputs!$K$8)^2)</x:f>
        <x:v>787.3998849999999</x:v>
      </x:c>
      <x:c r="AC16" s="9" t="n">
        <x:f>(Inputs!$H$9+Inputs!$L$9*(((Inputs!$I$9+(((A16)+1)/2)*(Inputs!$J$9-Inputs!$I$9)))/Inputs!$K$9)^2)</x:f>
        <x:v>785.196775</x:v>
      </x:c>
      <x:c r="AD16" s="10"/>
      <x:c r="AE16" s="9">
        <x:f t="shared" si="4"/>
        <x:v>-0.88300000000000001</x:v>
      </x:c>
      <x:c r="AF16" s="9"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9"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9"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9"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10"/>
      <x:c r="AK16" s="9">
        <x:f t="shared" si="5"/>
        <x:v>-0.88300000000000001</x:v>
      </x:c>
      <x:c r="AL16" s="9"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9"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9"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9"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10"/>
      <x:c r="AQ16" s="9">
        <x:f t="shared" si="6"/>
        <x:v>-0.88300000000000001</x:v>
      </x:c>
      <x:c r="AR16" s="9" t="n">
        <x:f>0</x:f>
        <x:v>0</x:v>
      </x:c>
      <x:c r="AS16" s="9"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x:f>
        <x:v>236.14608519318855</x:v>
      </x:c>
      <x:c r="AT16" s="9"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x:f>
        <x:v>188.81151651277608</x:v>
      </x:c>
      <x:c r="AU16" s="9"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x:f>
        <x:v>79.15837759213171</x:v>
      </x:c>
      <x:c r="AV16" s="9"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x:f>
        <x:v>79.15837759213171</x:v>
      </x:c>
      <x:c r="AW16" s="10"/>
      <x:c r="AX16" s="9">
        <x:f t="shared" si="7"/>
        <x:v>-0.88300000000000001</x:v>
      </x:c>
      <x:c r="AY16" s="9" t="n">
        <x:f>0</x:f>
        <x:v>0</x:v>
      </x:c>
      <x:c r="AZ16" s="9" t="n">
        <x:f>IF(OR(Inputs!$F$6=TRUE,Inputs!$F$6="TRUE",Inputs!$F$6=1),(Inputs!$H$6+Inputs!$L$6*(((Inputs!$I$6+(((A16)+1)/2)*(Inputs!$J$6-Inputs!$I$6)))/Inputs!$K$6)^2),NA())</x:f>
        <x:v>403.118756</x:v>
      </x:c>
      <x:c r="BA16" s="9" t="n">
        <x:f>IF(OR(Inputs!$F$7=TRUE,Inputs!$F$7="TRUE",Inputs!$F$7=1),(Inputs!$H$7+Inputs!$L$7*(((Inputs!$I$7+(((A16)+1)/2)*(Inputs!$J$7-Inputs!$I$7)))/Inputs!$K$7)^2),NA())</x:f>
        <x:v>319.586485</x:v>
      </x:c>
      <x:c r="BB16" s="9" t="n">
        <x:f>IF(OR(Inputs!$F$8=TRUE,Inputs!$F$8="TRUE",Inputs!$F$8=1),(Inputs!$H$8+Inputs!$L$8*(((Inputs!$I$8+(((A16)+1)/2)*(Inputs!$J$8-Inputs!$I$8)))/Inputs!$K$8)^2),NA())</x:f>
        <x:v>787.3998849999999</x:v>
      </x:c>
      <x:c r="BC16" s="9" t="n">
        <x:f>IF(OR(Inputs!$F$9=TRUE,Inputs!$F$9="TRUE",Inputs!$F$9=1),(Inputs!$H$9+Inputs!$L$9*(((Inputs!$I$9+(((A16)+1)/2)*(Inputs!$J$9-Inputs!$I$9)))/Inputs!$K$9)^2),NA())</x:f>
        <x:v>785.196775</x:v>
      </x:c>
      <x:c r="BD16" s="10"/>
      <x:c r="BE16" s="9">
        <x:f t="shared" si="8"/>
        <x:v>-0.88300000000000001</x:v>
      </x:c>
      <x:c r="BF16" s="9" t="n">
        <x:f>0</x:f>
        <x:v>0</x:v>
      </x:c>
      <x:c r="BG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9" t="n">
        <x:f>ROUND(-1+15*2/240,3)</x:f>
        <x:v>-0.875</x:v>
      </x:c>
      <x:c r="B17" s="9" t="n">
        <x:f>IF(OR(Inputs!$F$6=TRUE,Inputs!$F$6="TRUE",Inputs!$F$6=1),(Inputs!$H$6+Inputs!$L$6*(((Inputs!$I$6+(((A17)+1)/2)*(Inputs!$J$6-Inputs!$I$6)))/Inputs!$K$6)^2),NA())</x:f>
        <x:v>403.0625</x:v>
      </x:c>
      <x:c r="C17" s="9" t="n">
        <x:f>IF(OR(Inputs!$F$7=TRUE,Inputs!$F$7="TRUE",Inputs!$F$7=1),(Inputs!$H$7+Inputs!$L$7*(((Inputs!$I$7+(((A17)+1)/2)*(Inputs!$J$7-Inputs!$I$7)))/Inputs!$K$7)^2),NA())</x:f>
        <x:v>314.453125</x:v>
      </x:c>
      <x:c r="D17" s="9" t="n">
        <x:f>IF(OR(Inputs!$F$8=TRUE,Inputs!$F$8="TRUE",Inputs!$F$8=1),(Inputs!$H$8+Inputs!$L$8*(((Inputs!$I$8+(((A17)+1)/2)*(Inputs!$J$8-Inputs!$I$8)))/Inputs!$K$8)^2),NA())</x:f>
        <x:v>773.828125</x:v>
      </x:c>
      <x:c r="E17" s="9" t="n">
        <x:f>IF(OR(Inputs!$F$9=TRUE,Inputs!$F$9="TRUE",Inputs!$F$9=1),(Inputs!$H$9+Inputs!$L$9*(((Inputs!$I$9+(((A17)+1)/2)*(Inputs!$J$9-Inputs!$I$9)))/Inputs!$K$9)^2),NA())</x:f>
        <x:v>771.484375</x:v>
      </x:c>
      <x:c r="F17" s="10"/>
      <x:c r="G17" s="9">
        <x:f t="shared" si="0"/>
        <x:v>-0.875</x:v>
      </x:c>
      <x:c r="H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10"/>
      <x:c r="M17" s="9">
        <x:f t="shared" si="1"/>
        <x:v>-0.875</x:v>
      </x:c>
      <x:c r="N17" s="9"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9"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9"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9"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10"/>
      <x:c r="S17" s="9">
        <x:f t="shared" si="2"/>
        <x:v>-0.875</x:v>
      </x:c>
      <x:c r="T17" s="9" t="n">
        <x:f>(Inputs!$I$6+(((A17)+1)/2)*(Inputs!$J$6-Inputs!$I$6))</x:f>
        <x:v>-52.5</x:v>
      </x:c>
      <x:c r="U17" s="9" t="n">
        <x:f>(Inputs!$I$7+(((A17)+1)/2)*(Inputs!$J$7-Inputs!$I$7))</x:f>
        <x:v>-350</x:v>
      </x:c>
      <x:c r="V17" s="9" t="n">
        <x:f>(Inputs!$I$8+(((A17)+1)/2)*(Inputs!$J$8-Inputs!$I$8))</x:f>
        <x:v>-700</x:v>
      </x:c>
      <x:c r="W17" s="9" t="n">
        <x:f>(Inputs!$I$9+(((A17)+1)/2)*(Inputs!$J$9-Inputs!$I$9))</x:f>
        <x:v>-700</x:v>
      </x:c>
      <x:c r="X17" s="10"/>
      <x:c r="Y17" s="9">
        <x:f t="shared" si="3"/>
        <x:v>-0.875</x:v>
      </x:c>
      <x:c r="Z17" s="9" t="n">
        <x:f>(Inputs!$H$6+Inputs!$L$6*(((Inputs!$I$6+(((A17)+1)/2)*(Inputs!$J$6-Inputs!$I$6)))/Inputs!$K$6)^2)</x:f>
        <x:v>403.0625</x:v>
      </x:c>
      <x:c r="AA17" s="9" t="n">
        <x:f>(Inputs!$H$7+Inputs!$L$7*(((Inputs!$I$7+(((A17)+1)/2)*(Inputs!$J$7-Inputs!$I$7)))/Inputs!$K$7)^2)</x:f>
        <x:v>314.453125</x:v>
      </x:c>
      <x:c r="AB17" s="9" t="n">
        <x:f>(Inputs!$H$8+Inputs!$L$8*(((Inputs!$I$8+(((A17)+1)/2)*(Inputs!$J$8-Inputs!$I$8)))/Inputs!$K$8)^2)</x:f>
        <x:v>773.828125</x:v>
      </x:c>
      <x:c r="AC17" s="9" t="n">
        <x:f>(Inputs!$H$9+Inputs!$L$9*(((Inputs!$I$9+(((A17)+1)/2)*(Inputs!$J$9-Inputs!$I$9)))/Inputs!$K$9)^2)</x:f>
        <x:v>771.484375</x:v>
      </x:c>
      <x:c r="AD17" s="10"/>
      <x:c r="AE17" s="9">
        <x:f t="shared" si="4"/>
        <x:v>-0.875</x:v>
      </x:c>
      <x:c r="AF17" s="9"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9"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9"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9"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10"/>
      <x:c r="AK17" s="9">
        <x:f t="shared" si="5"/>
        <x:v>-0.875</x:v>
      </x:c>
      <x:c r="AL17" s="9"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9"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9"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9"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10"/>
      <x:c r="AQ17" s="9">
        <x:f t="shared" si="6"/>
        <x:v>-0.875</x:v>
      </x:c>
      <x:c r="AR17" s="9" t="n">
        <x:f>0</x:f>
        <x:v>0</x:v>
      </x:c>
      <x:c r="AS17" s="9"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x:f>
        <x:v>228.48571186718385</x:v>
      </x:c>
      <x:c r="AT17" s="9"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x:f>
        <x:v>115.60367392194259</x:v>
      </x:c>
      <x:c r="AU17" s="9"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x:f>
        <x:v>170.48684029931871</x:v>
      </x:c>
      <x:c r="AV17" s="9"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x:f>
        <x:v>170.48684029931871</x:v>
      </x:c>
      <x:c r="AW17" s="10"/>
      <x:c r="AX17" s="9">
        <x:f t="shared" si="7"/>
        <x:v>-0.875</x:v>
      </x:c>
      <x:c r="AY17" s="9" t="n">
        <x:f>0</x:f>
        <x:v>0</x:v>
      </x:c>
      <x:c r="AZ17" s="9" t="n">
        <x:f>IF(OR(Inputs!$F$6=TRUE,Inputs!$F$6="TRUE",Inputs!$F$6=1),(Inputs!$H$6+Inputs!$L$6*(((Inputs!$I$6+(((A17)+1)/2)*(Inputs!$J$6-Inputs!$I$6)))/Inputs!$K$6)^2),NA())</x:f>
        <x:v>403.0625</x:v>
      </x:c>
      <x:c r="BA17" s="9" t="n">
        <x:f>IF(OR(Inputs!$F$7=TRUE,Inputs!$F$7="TRUE",Inputs!$F$7=1),(Inputs!$H$7+Inputs!$L$7*(((Inputs!$I$7+(((A17)+1)/2)*(Inputs!$J$7-Inputs!$I$7)))/Inputs!$K$7)^2),NA())</x:f>
        <x:v>314.453125</x:v>
      </x:c>
      <x:c r="BB17" s="9" t="n">
        <x:f>IF(OR(Inputs!$F$8=TRUE,Inputs!$F$8="TRUE",Inputs!$F$8=1),(Inputs!$H$8+Inputs!$L$8*(((Inputs!$I$8+(((A17)+1)/2)*(Inputs!$J$8-Inputs!$I$8)))/Inputs!$K$8)^2),NA())</x:f>
        <x:v>773.828125</x:v>
      </x:c>
      <x:c r="BC17" s="9" t="n">
        <x:f>IF(OR(Inputs!$F$9=TRUE,Inputs!$F$9="TRUE",Inputs!$F$9=1),(Inputs!$H$9+Inputs!$L$9*(((Inputs!$I$9+(((A17)+1)/2)*(Inputs!$J$9-Inputs!$I$9)))/Inputs!$K$9)^2),NA())</x:f>
        <x:v>771.484375</x:v>
      </x:c>
      <x:c r="BD17" s="10"/>
      <x:c r="BE17" s="9">
        <x:f t="shared" si="8"/>
        <x:v>-0.875</x:v>
      </x:c>
      <x:c r="BF17" s="9" t="n">
        <x:f>0</x:f>
        <x:v>0</x:v>
      </x:c>
      <x:c r="BG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9" t="n">
        <x:f>ROUND(-1+16*2/240,3)</x:f>
        <x:v>-0.867</x:v>
      </x:c>
      <x:c r="B18" s="9" t="n">
        <x:f>IF(OR(Inputs!$F$6=TRUE,Inputs!$F$6="TRUE",Inputs!$F$6=1),(Inputs!$H$6+Inputs!$L$6*(((Inputs!$I$6+(((A18)+1)/2)*(Inputs!$J$6-Inputs!$I$6)))/Inputs!$K$6)^2),NA())</x:f>
        <x:v>403.006756</x:v>
      </x:c>
      <x:c r="C18" s="9" t="n">
        <x:f>IF(OR(Inputs!$F$7=TRUE,Inputs!$F$7="TRUE",Inputs!$F$7=1),(Inputs!$H$7+Inputs!$L$7*(((Inputs!$I$7+(((A18)+1)/2)*(Inputs!$J$7-Inputs!$I$7)))/Inputs!$K$7)^2),NA())</x:f>
        <x:v>309.36648499999995</x:v>
      </x:c>
      <x:c r="D18" s="9" t="n">
        <x:f>IF(OR(Inputs!$F$8=TRUE,Inputs!$F$8="TRUE",Inputs!$F$8=1),(Inputs!$H$8+Inputs!$L$8*(((Inputs!$I$8+(((A18)+1)/2)*(Inputs!$J$8-Inputs!$I$8)))/Inputs!$K$8)^2),NA())</x:f>
        <x:v>760.379885</x:v>
      </x:c>
      <x:c r="E18" s="9" t="n">
        <x:f>IF(OR(Inputs!$F$9=TRUE,Inputs!$F$9="TRUE",Inputs!$F$9=1),(Inputs!$H$9+Inputs!$L$9*(((Inputs!$I$9+(((A18)+1)/2)*(Inputs!$J$9-Inputs!$I$9)))/Inputs!$K$9)^2),NA())</x:f>
        <x:v>757.8967749999999</x:v>
      </x:c>
      <x:c r="F18" s="10"/>
      <x:c r="G18" s="9">
        <x:f t="shared" si="0"/>
        <x:v>-0.86699999999999999</x:v>
      </x:c>
      <x:c r="H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10"/>
      <x:c r="M18" s="9">
        <x:f t="shared" si="1"/>
        <x:v>-0.86699999999999999</x:v>
      </x:c>
      <x:c r="N18" s="9"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9"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9"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9"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10"/>
      <x:c r="S18" s="9">
        <x:f t="shared" si="2"/>
        <x:v>-0.86699999999999999</x:v>
      </x:c>
      <x:c r="T18" s="9" t="n">
        <x:f>(Inputs!$I$6+(((A18)+1)/2)*(Inputs!$J$6-Inputs!$I$6))</x:f>
        <x:v>-52.019999999999996</x:v>
      </x:c>
      <x:c r="U18" s="9" t="n">
        <x:f>(Inputs!$I$7+(((A18)+1)/2)*(Inputs!$J$7-Inputs!$I$7))</x:f>
        <x:v>-346.8</x:v>
      </x:c>
      <x:c r="V18" s="9" t="n">
        <x:f>(Inputs!$I$8+(((A18)+1)/2)*(Inputs!$J$8-Inputs!$I$8))</x:f>
        <x:v>-693.6</x:v>
      </x:c>
      <x:c r="W18" s="9" t="n">
        <x:f>(Inputs!$I$9+(((A18)+1)/2)*(Inputs!$J$9-Inputs!$I$9))</x:f>
        <x:v>-693.6</x:v>
      </x:c>
      <x:c r="X18" s="10"/>
      <x:c r="Y18" s="9">
        <x:f t="shared" si="3"/>
        <x:v>-0.86699999999999999</x:v>
      </x:c>
      <x:c r="Z18" s="9" t="n">
        <x:f>(Inputs!$H$6+Inputs!$L$6*(((Inputs!$I$6+(((A18)+1)/2)*(Inputs!$J$6-Inputs!$I$6)))/Inputs!$K$6)^2)</x:f>
        <x:v>403.006756</x:v>
      </x:c>
      <x:c r="AA18" s="9" t="n">
        <x:f>(Inputs!$H$7+Inputs!$L$7*(((Inputs!$I$7+(((A18)+1)/2)*(Inputs!$J$7-Inputs!$I$7)))/Inputs!$K$7)^2)</x:f>
        <x:v>309.36648499999995</x:v>
      </x:c>
      <x:c r="AB18" s="9" t="n">
        <x:f>(Inputs!$H$8+Inputs!$L$8*(((Inputs!$I$8+(((A18)+1)/2)*(Inputs!$J$8-Inputs!$I$8)))/Inputs!$K$8)^2)</x:f>
        <x:v>760.379885</x:v>
      </x:c>
      <x:c r="AC18" s="9" t="n">
        <x:f>(Inputs!$H$9+Inputs!$L$9*(((Inputs!$I$9+(((A18)+1)/2)*(Inputs!$J$9-Inputs!$I$9)))/Inputs!$K$9)^2)</x:f>
        <x:v>757.8967749999999</x:v>
      </x:c>
      <x:c r="AD18" s="10"/>
      <x:c r="AE18" s="9">
        <x:f t="shared" si="4"/>
        <x:v>-0.86699999999999999</x:v>
      </x:c>
      <x:c r="AF18" s="9"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9"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9"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9"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10"/>
      <x:c r="AK18" s="9">
        <x:f t="shared" si="5"/>
        <x:v>-0.86699999999999999</x:v>
      </x:c>
      <x:c r="AL18" s="9"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9"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9"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9"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10"/>
      <x:c r="AQ18" s="9">
        <x:f t="shared" si="6"/>
        <x:v>-0.86699999999999999</x:v>
      </x:c>
      <x:c r="AR18" s="9" t="n">
        <x:f>0</x:f>
        <x:v>0</x:v>
      </x:c>
      <x:c r="AS18" s="9"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x:f>
        <x:v>241.12752156253367</x:v>
      </x:c>
      <x:c r="AT18" s="9"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x:f>
        <x:v>88.3507717138881</x:v>
      </x:c>
      <x:c r="AU18" s="9"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x:f>
        <x:v>189.11252638529652</x:v>
      </x:c>
      <x:c r="AV18" s="9"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x:f>
        <x:v>189.11252638529652</x:v>
      </x:c>
      <x:c r="AW18" s="10"/>
      <x:c r="AX18" s="9">
        <x:f t="shared" si="7"/>
        <x:v>-0.86699999999999999</x:v>
      </x:c>
      <x:c r="AY18" s="9" t="n">
        <x:f>0</x:f>
        <x:v>0</x:v>
      </x:c>
      <x:c r="AZ18" s="9" t="n">
        <x:f>IF(OR(Inputs!$F$6=TRUE,Inputs!$F$6="TRUE",Inputs!$F$6=1),(Inputs!$H$6+Inputs!$L$6*(((Inputs!$I$6+(((A18)+1)/2)*(Inputs!$J$6-Inputs!$I$6)))/Inputs!$K$6)^2),NA())</x:f>
        <x:v>403.006756</x:v>
      </x:c>
      <x:c r="BA18" s="9" t="n">
        <x:f>IF(OR(Inputs!$F$7=TRUE,Inputs!$F$7="TRUE",Inputs!$F$7=1),(Inputs!$H$7+Inputs!$L$7*(((Inputs!$I$7+(((A18)+1)/2)*(Inputs!$J$7-Inputs!$I$7)))/Inputs!$K$7)^2),NA())</x:f>
        <x:v>309.36648499999995</x:v>
      </x:c>
      <x:c r="BB18" s="9" t="n">
        <x:f>IF(OR(Inputs!$F$8=TRUE,Inputs!$F$8="TRUE",Inputs!$F$8=1),(Inputs!$H$8+Inputs!$L$8*(((Inputs!$I$8+(((A18)+1)/2)*(Inputs!$J$8-Inputs!$I$8)))/Inputs!$K$8)^2),NA())</x:f>
        <x:v>760.379885</x:v>
      </x:c>
      <x:c r="BC18" s="9" t="n">
        <x:f>IF(OR(Inputs!$F$9=TRUE,Inputs!$F$9="TRUE",Inputs!$F$9=1),(Inputs!$H$9+Inputs!$L$9*(((Inputs!$I$9+(((A18)+1)/2)*(Inputs!$J$9-Inputs!$I$9)))/Inputs!$K$9)^2),NA())</x:f>
        <x:v>757.8967749999999</x:v>
      </x:c>
      <x:c r="BD18" s="10"/>
      <x:c r="BE18" s="9">
        <x:f t="shared" si="8"/>
        <x:v>-0.86699999999999999</x:v>
      </x:c>
      <x:c r="BF18" s="9" t="n">
        <x:f>0</x:f>
        <x:v>0</x:v>
      </x:c>
      <x:c r="BG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9" t="n">
        <x:f>ROUND(-1+17*2/240,3)</x:f>
        <x:v>-0.858</x:v>
      </x:c>
      <x:c r="B19" s="9" t="n">
        <x:f>IF(OR(Inputs!$F$6=TRUE,Inputs!$F$6="TRUE",Inputs!$F$6=1),(Inputs!$H$6+Inputs!$L$6*(((Inputs!$I$6+(((A19)+1)/2)*(Inputs!$J$6-Inputs!$I$6)))/Inputs!$K$6)^2),NA())</x:f>
        <x:v>402.944656</x:v>
      </x:c>
      <x:c r="C19" s="9" t="n">
        <x:f>IF(OR(Inputs!$F$7=TRUE,Inputs!$F$7="TRUE",Inputs!$F$7=1),(Inputs!$H$7+Inputs!$L$7*(((Inputs!$I$7+(((A19)+1)/2)*(Inputs!$J$7-Inputs!$I$7)))/Inputs!$K$7)^2),NA())</x:f>
        <x:v>303.69986</x:v>
      </x:c>
      <x:c r="D19" s="9" t="n">
        <x:f>IF(OR(Inputs!$F$8=TRUE,Inputs!$F$8="TRUE",Inputs!$F$8=1),(Inputs!$H$8+Inputs!$L$8*(((Inputs!$I$8+(((A19)+1)/2)*(Inputs!$J$8-Inputs!$I$8)))/Inputs!$K$8)^2),NA())</x:f>
        <x:v>745.3982599999999</x:v>
      </x:c>
      <x:c r="E19" s="9" t="n">
        <x:f>IF(OR(Inputs!$F$9=TRUE,Inputs!$F$9="TRUE",Inputs!$F$9=1),(Inputs!$H$9+Inputs!$L$9*(((Inputs!$I$9+(((A19)+1)/2)*(Inputs!$J$9-Inputs!$I$9)))/Inputs!$K$9)^2),NA())</x:f>
        <x:v>742.7598999999999</x:v>
      </x:c>
      <x:c r="F19" s="10"/>
      <x:c r="G19" s="9">
        <x:f t="shared" si="0"/>
        <x:v>-0.85799999999999998</x:v>
      </x:c>
      <x:c r="H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10"/>
      <x:c r="M19" s="9">
        <x:f t="shared" si="1"/>
        <x:v>-0.85799999999999998</x:v>
      </x:c>
      <x:c r="N19" s="9"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9"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9"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9"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10"/>
      <x:c r="S19" s="9">
        <x:f t="shared" si="2"/>
        <x:v>-0.85799999999999998</x:v>
      </x:c>
      <x:c r="T19" s="9" t="n">
        <x:f>(Inputs!$I$6+(((A19)+1)/2)*(Inputs!$J$6-Inputs!$I$6))</x:f>
        <x:v>-51.48</x:v>
      </x:c>
      <x:c r="U19" s="9" t="n">
        <x:f>(Inputs!$I$7+(((A19)+1)/2)*(Inputs!$J$7-Inputs!$I$7))</x:f>
        <x:v>-343.2</x:v>
      </x:c>
      <x:c r="V19" s="9" t="n">
        <x:f>(Inputs!$I$8+(((A19)+1)/2)*(Inputs!$J$8-Inputs!$I$8))</x:f>
        <x:v>-686.4</x:v>
      </x:c>
      <x:c r="W19" s="9" t="n">
        <x:f>(Inputs!$I$9+(((A19)+1)/2)*(Inputs!$J$9-Inputs!$I$9))</x:f>
        <x:v>-686.4</x:v>
      </x:c>
      <x:c r="X19" s="10"/>
      <x:c r="Y19" s="9">
        <x:f t="shared" si="3"/>
        <x:v>-0.85799999999999998</x:v>
      </x:c>
      <x:c r="Z19" s="9" t="n">
        <x:f>(Inputs!$H$6+Inputs!$L$6*(((Inputs!$I$6+(((A19)+1)/2)*(Inputs!$J$6-Inputs!$I$6)))/Inputs!$K$6)^2)</x:f>
        <x:v>402.944656</x:v>
      </x:c>
      <x:c r="AA19" s="9" t="n">
        <x:f>(Inputs!$H$7+Inputs!$L$7*(((Inputs!$I$7+(((A19)+1)/2)*(Inputs!$J$7-Inputs!$I$7)))/Inputs!$K$7)^2)</x:f>
        <x:v>303.69986</x:v>
      </x:c>
      <x:c r="AB19" s="9" t="n">
        <x:f>(Inputs!$H$8+Inputs!$L$8*(((Inputs!$I$8+(((A19)+1)/2)*(Inputs!$J$8-Inputs!$I$8)))/Inputs!$K$8)^2)</x:f>
        <x:v>745.3982599999999</x:v>
      </x:c>
      <x:c r="AC19" s="9" t="n">
        <x:f>(Inputs!$H$9+Inputs!$L$9*(((Inputs!$I$9+(((A19)+1)/2)*(Inputs!$J$9-Inputs!$I$9)))/Inputs!$K$9)^2)</x:f>
        <x:v>742.7598999999999</x:v>
      </x:c>
      <x:c r="AD19" s="10"/>
      <x:c r="AE19" s="9">
        <x:f t="shared" si="4"/>
        <x:v>-0.85799999999999998</x:v>
      </x:c>
      <x:c r="AF19" s="9"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9"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9"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9"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10"/>
      <x:c r="AK19" s="9">
        <x:f t="shared" si="5"/>
        <x:v>-0.85799999999999998</x:v>
      </x:c>
      <x:c r="AL19" s="9"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9"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9"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9"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10"/>
      <x:c r="AQ19" s="9">
        <x:f t="shared" si="6"/>
        <x:v>-0.85799999999999998</x:v>
      </x:c>
      <x:c r="AR19" s="9" t="n">
        <x:f>0</x:f>
        <x:v>0</x:v>
      </x:c>
      <x:c r="AS19" s="9"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x:f>
        <x:v>254.77868261554545</x:v>
      </x:c>
      <x:c r="AT19" s="9"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x:f>
        <x:v>137.0803135521305</x:v>
      </x:c>
      <x:c r="AU19" s="9"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x:f>
        <x:v>84.84501726244247</x:v>
      </x:c>
      <x:c r="AV19" s="9"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x:f>
        <x:v>84.84501726244247</x:v>
      </x:c>
      <x:c r="AW19" s="10"/>
      <x:c r="AX19" s="9">
        <x:f t="shared" si="7"/>
        <x:v>-0.85799999999999998</x:v>
      </x:c>
      <x:c r="AY19" s="9" t="n">
        <x:f>0</x:f>
        <x:v>0</x:v>
      </x:c>
      <x:c r="AZ19" s="9" t="n">
        <x:f>IF(OR(Inputs!$F$6=TRUE,Inputs!$F$6="TRUE",Inputs!$F$6=1),(Inputs!$H$6+Inputs!$L$6*(((Inputs!$I$6+(((A19)+1)/2)*(Inputs!$J$6-Inputs!$I$6)))/Inputs!$K$6)^2),NA())</x:f>
        <x:v>402.944656</x:v>
      </x:c>
      <x:c r="BA19" s="9" t="n">
        <x:f>IF(OR(Inputs!$F$7=TRUE,Inputs!$F$7="TRUE",Inputs!$F$7=1),(Inputs!$H$7+Inputs!$L$7*(((Inputs!$I$7+(((A19)+1)/2)*(Inputs!$J$7-Inputs!$I$7)))/Inputs!$K$7)^2),NA())</x:f>
        <x:v>303.69986</x:v>
      </x:c>
      <x:c r="BB19" s="9" t="n">
        <x:f>IF(OR(Inputs!$F$8=TRUE,Inputs!$F$8="TRUE",Inputs!$F$8=1),(Inputs!$H$8+Inputs!$L$8*(((Inputs!$I$8+(((A19)+1)/2)*(Inputs!$J$8-Inputs!$I$8)))/Inputs!$K$8)^2),NA())</x:f>
        <x:v>745.3982599999999</x:v>
      </x:c>
      <x:c r="BC19" s="9" t="n">
        <x:f>IF(OR(Inputs!$F$9=TRUE,Inputs!$F$9="TRUE",Inputs!$F$9=1),(Inputs!$H$9+Inputs!$L$9*(((Inputs!$I$9+(((A19)+1)/2)*(Inputs!$J$9-Inputs!$I$9)))/Inputs!$K$9)^2),NA())</x:f>
        <x:v>742.7598999999999</x:v>
      </x:c>
      <x:c r="BD19" s="10"/>
      <x:c r="BE19" s="9">
        <x:f t="shared" si="8"/>
        <x:v>-0.85799999999999998</x:v>
      </x:c>
      <x:c r="BF19" s="9" t="n">
        <x:f>0</x:f>
        <x:v>0</x:v>
      </x:c>
      <x:c r="BG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9" t="n">
        <x:f>ROUND(-1+18*2/240,3)</x:f>
        <x:v>-0.85</x:v>
      </x:c>
      <x:c r="B20" s="9" t="n">
        <x:f>IF(OR(Inputs!$F$6=TRUE,Inputs!$F$6="TRUE",Inputs!$F$6=1),(Inputs!$H$6+Inputs!$L$6*(((Inputs!$I$6+(((A20)+1)/2)*(Inputs!$J$6-Inputs!$I$6)))/Inputs!$K$6)^2),NA())</x:f>
        <x:v>402.89</x:v>
      </x:c>
      <x:c r="C20" s="9" t="n">
        <x:f>IF(OR(Inputs!$F$7=TRUE,Inputs!$F$7="TRUE",Inputs!$F$7=1),(Inputs!$H$7+Inputs!$L$7*(((Inputs!$I$7+(((A20)+1)/2)*(Inputs!$J$7-Inputs!$I$7)))/Inputs!$K$7)^2),NA())</x:f>
        <x:v>298.7125</x:v>
      </x:c>
      <x:c r="D20" s="9" t="n">
        <x:f>IF(OR(Inputs!$F$8=TRUE,Inputs!$F$8="TRUE",Inputs!$F$8=1),(Inputs!$H$8+Inputs!$L$8*(((Inputs!$I$8+(((A20)+1)/2)*(Inputs!$J$8-Inputs!$I$8)))/Inputs!$K$8)^2),NA())</x:f>
        <x:v>732.2125</x:v>
      </x:c>
      <x:c r="E20" s="9" t="n">
        <x:f>IF(OR(Inputs!$F$9=TRUE,Inputs!$F$9="TRUE",Inputs!$F$9=1),(Inputs!$H$9+Inputs!$L$9*(((Inputs!$I$9+(((A20)+1)/2)*(Inputs!$J$9-Inputs!$I$9)))/Inputs!$K$9)^2),NA())</x:f>
        <x:v>729.4374999999999</x:v>
      </x:c>
      <x:c r="F20" s="10"/>
      <x:c r="G20" s="9">
        <x:f t="shared" si="0"/>
        <x:v>-0.85</x:v>
      </x:c>
      <x:c r="H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10"/>
      <x:c r="M20" s="9">
        <x:f t="shared" si="1"/>
        <x:v>-0.85</x:v>
      </x:c>
      <x:c r="N20" s="9"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9"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9"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9"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10"/>
      <x:c r="S20" s="9">
        <x:f t="shared" si="2"/>
        <x:v>-0.85</x:v>
      </x:c>
      <x:c r="T20" s="9" t="n">
        <x:f>(Inputs!$I$6+(((A20)+1)/2)*(Inputs!$J$6-Inputs!$I$6))</x:f>
        <x:v>-51</x:v>
      </x:c>
      <x:c r="U20" s="9" t="n">
        <x:f>(Inputs!$I$7+(((A20)+1)/2)*(Inputs!$J$7-Inputs!$I$7))</x:f>
        <x:v>-340</x:v>
      </x:c>
      <x:c r="V20" s="9" t="n">
        <x:f>(Inputs!$I$8+(((A20)+1)/2)*(Inputs!$J$8-Inputs!$I$8))</x:f>
        <x:v>-680</x:v>
      </x:c>
      <x:c r="W20" s="9" t="n">
        <x:f>(Inputs!$I$9+(((A20)+1)/2)*(Inputs!$J$9-Inputs!$I$9))</x:f>
        <x:v>-680</x:v>
      </x:c>
      <x:c r="X20" s="10"/>
      <x:c r="Y20" s="9">
        <x:f t="shared" si="3"/>
        <x:v>-0.85</x:v>
      </x:c>
      <x:c r="Z20" s="9" t="n">
        <x:f>(Inputs!$H$6+Inputs!$L$6*(((Inputs!$I$6+(((A20)+1)/2)*(Inputs!$J$6-Inputs!$I$6)))/Inputs!$K$6)^2)</x:f>
        <x:v>402.89</x:v>
      </x:c>
      <x:c r="AA20" s="9" t="n">
        <x:f>(Inputs!$H$7+Inputs!$L$7*(((Inputs!$I$7+(((A20)+1)/2)*(Inputs!$J$7-Inputs!$I$7)))/Inputs!$K$7)^2)</x:f>
        <x:v>298.7125</x:v>
      </x:c>
      <x:c r="AB20" s="9" t="n">
        <x:f>(Inputs!$H$8+Inputs!$L$8*(((Inputs!$I$8+(((A20)+1)/2)*(Inputs!$J$8-Inputs!$I$8)))/Inputs!$K$8)^2)</x:f>
        <x:v>732.2125</x:v>
      </x:c>
      <x:c r="AC20" s="9" t="n">
        <x:f>(Inputs!$H$9+Inputs!$L$9*(((Inputs!$I$9+(((A20)+1)/2)*(Inputs!$J$9-Inputs!$I$9)))/Inputs!$K$9)^2)</x:f>
        <x:v>729.4374999999999</x:v>
      </x:c>
      <x:c r="AD20" s="10"/>
      <x:c r="AE20" s="9">
        <x:f t="shared" si="4"/>
        <x:v>-0.85</x:v>
      </x:c>
      <x:c r="AF20" s="9"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9"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9"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9"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10"/>
      <x:c r="AK20" s="9">
        <x:f t="shared" si="5"/>
        <x:v>-0.85</x:v>
      </x:c>
      <x:c r="AL20" s="9"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9"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9"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9"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10"/>
      <x:c r="AQ20" s="9">
        <x:f t="shared" si="6"/>
        <x:v>-0.85</x:v>
      </x:c>
      <x:c r="AR20" s="9" t="n">
        <x:f>0</x:f>
        <x:v>0</x:v>
      </x:c>
      <x:c r="AS20" s="9"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x:f>
        <x:v>251.96732827517536</x:v>
      </x:c>
      <x:c r="AT20" s="9"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x:f>
        <x:v>177.9290517673453</x:v>
      </x:c>
      <x:c r="AU20" s="9"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x:f>
        <x:v>230.54302496831588</x:v>
      </x:c>
      <x:c r="AV20" s="9"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x:f>
        <x:v>230.54302496831588</x:v>
      </x:c>
      <x:c r="AW20" s="10"/>
      <x:c r="AX20" s="9">
        <x:f t="shared" si="7"/>
        <x:v>-0.85</x:v>
      </x:c>
      <x:c r="AY20" s="9" t="n">
        <x:f>0</x:f>
        <x:v>0</x:v>
      </x:c>
      <x:c r="AZ20" s="9" t="n">
        <x:f>IF(OR(Inputs!$F$6=TRUE,Inputs!$F$6="TRUE",Inputs!$F$6=1),(Inputs!$H$6+Inputs!$L$6*(((Inputs!$I$6+(((A20)+1)/2)*(Inputs!$J$6-Inputs!$I$6)))/Inputs!$K$6)^2),NA())</x:f>
        <x:v>402.89</x:v>
      </x:c>
      <x:c r="BA20" s="9" t="n">
        <x:f>IF(OR(Inputs!$F$7=TRUE,Inputs!$F$7="TRUE",Inputs!$F$7=1),(Inputs!$H$7+Inputs!$L$7*(((Inputs!$I$7+(((A20)+1)/2)*(Inputs!$J$7-Inputs!$I$7)))/Inputs!$K$7)^2),NA())</x:f>
        <x:v>298.7125</x:v>
      </x:c>
      <x:c r="BB20" s="9" t="n">
        <x:f>IF(OR(Inputs!$F$8=TRUE,Inputs!$F$8="TRUE",Inputs!$F$8=1),(Inputs!$H$8+Inputs!$L$8*(((Inputs!$I$8+(((A20)+1)/2)*(Inputs!$J$8-Inputs!$I$8)))/Inputs!$K$8)^2),NA())</x:f>
        <x:v>732.2125</x:v>
      </x:c>
      <x:c r="BC20" s="9" t="n">
        <x:f>IF(OR(Inputs!$F$9=TRUE,Inputs!$F$9="TRUE",Inputs!$F$9=1),(Inputs!$H$9+Inputs!$L$9*(((Inputs!$I$9+(((A20)+1)/2)*(Inputs!$J$9-Inputs!$I$9)))/Inputs!$K$9)^2),NA())</x:f>
        <x:v>729.4374999999999</x:v>
      </x:c>
      <x:c r="BD20" s="10"/>
      <x:c r="BE20" s="9">
        <x:f t="shared" si="8"/>
        <x:v>-0.85</x:v>
      </x:c>
      <x:c r="BF20" s="9" t="n">
        <x:f>0</x:f>
        <x:v>0</x:v>
      </x:c>
      <x:c r="BG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9" t="n">
        <x:f>ROUND(-1+19*2/240,3)</x:f>
        <x:v>-0.842</x:v>
      </x:c>
      <x:c r="B21" s="9" t="n">
        <x:f>IF(OR(Inputs!$F$6=TRUE,Inputs!$F$6="TRUE",Inputs!$F$6=1),(Inputs!$H$6+Inputs!$L$6*(((Inputs!$I$6+(((A21)+1)/2)*(Inputs!$J$6-Inputs!$I$6)))/Inputs!$K$6)^2),NA())</x:f>
        <x:v>402.835856</x:v>
      </x:c>
      <x:c r="C21" s="9" t="n">
        <x:f>IF(OR(Inputs!$F$7=TRUE,Inputs!$F$7="TRUE",Inputs!$F$7=1),(Inputs!$H$7+Inputs!$L$7*(((Inputs!$I$7+(((A21)+1)/2)*(Inputs!$J$7-Inputs!$I$7)))/Inputs!$K$7)^2),NA())</x:f>
        <x:v>293.77186000000006</x:v>
      </x:c>
      <x:c r="D21" s="9" t="n">
        <x:f>IF(OR(Inputs!$F$8=TRUE,Inputs!$F$8="TRUE",Inputs!$F$8=1),(Inputs!$H$8+Inputs!$L$8*(((Inputs!$I$8+(((A21)+1)/2)*(Inputs!$J$8-Inputs!$I$8)))/Inputs!$K$8)^2),NA())</x:f>
        <x:v>719.1502600000001</x:v>
      </x:c>
      <x:c r="E21" s="9" t="n">
        <x:f>IF(OR(Inputs!$F$9=TRUE,Inputs!$F$9="TRUE",Inputs!$F$9=1),(Inputs!$H$9+Inputs!$L$9*(((Inputs!$I$9+(((A21)+1)/2)*(Inputs!$J$9-Inputs!$I$9)))/Inputs!$K$9)^2),NA())</x:f>
        <x:v>716.2399000000001</x:v>
      </x:c>
      <x:c r="F21" s="10"/>
      <x:c r="G21" s="9">
        <x:f t="shared" si="0"/>
        <x:v>-0.84199999999999997</x:v>
      </x:c>
      <x:c r="H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10"/>
      <x:c r="M21" s="9">
        <x:f t="shared" si="1"/>
        <x:v>-0.84199999999999997</x:v>
      </x:c>
      <x:c r="N21" s="9"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9"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9"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9"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10"/>
      <x:c r="S21" s="9">
        <x:f t="shared" si="2"/>
        <x:v>-0.84199999999999997</x:v>
      </x:c>
      <x:c r="T21" s="9" t="n">
        <x:f>(Inputs!$I$6+(((A21)+1)/2)*(Inputs!$J$6-Inputs!$I$6))</x:f>
        <x:v>-50.519999999999996</x:v>
      </x:c>
      <x:c r="U21" s="9" t="n">
        <x:f>(Inputs!$I$7+(((A21)+1)/2)*(Inputs!$J$7-Inputs!$I$7))</x:f>
        <x:v>-336.8</x:v>
      </x:c>
      <x:c r="V21" s="9" t="n">
        <x:f>(Inputs!$I$8+(((A21)+1)/2)*(Inputs!$J$8-Inputs!$I$8))</x:f>
        <x:v>-673.6</x:v>
      </x:c>
      <x:c r="W21" s="9" t="n">
        <x:f>(Inputs!$I$9+(((A21)+1)/2)*(Inputs!$J$9-Inputs!$I$9))</x:f>
        <x:v>-673.6</x:v>
      </x:c>
      <x:c r="X21" s="10"/>
      <x:c r="Y21" s="9">
        <x:f t="shared" si="3"/>
        <x:v>-0.84199999999999997</x:v>
      </x:c>
      <x:c r="Z21" s="9" t="n">
        <x:f>(Inputs!$H$6+Inputs!$L$6*(((Inputs!$I$6+(((A21)+1)/2)*(Inputs!$J$6-Inputs!$I$6)))/Inputs!$K$6)^2)</x:f>
        <x:v>402.835856</x:v>
      </x:c>
      <x:c r="AA21" s="9" t="n">
        <x:f>(Inputs!$H$7+Inputs!$L$7*(((Inputs!$I$7+(((A21)+1)/2)*(Inputs!$J$7-Inputs!$I$7)))/Inputs!$K$7)^2)</x:f>
        <x:v>293.77186000000006</x:v>
      </x:c>
      <x:c r="AB21" s="9" t="n">
        <x:f>(Inputs!$H$8+Inputs!$L$8*(((Inputs!$I$8+(((A21)+1)/2)*(Inputs!$J$8-Inputs!$I$8)))/Inputs!$K$8)^2)</x:f>
        <x:v>719.1502600000001</x:v>
      </x:c>
      <x:c r="AC21" s="9" t="n">
        <x:f>(Inputs!$H$9+Inputs!$L$9*(((Inputs!$I$9+(((A21)+1)/2)*(Inputs!$J$9-Inputs!$I$9)))/Inputs!$K$9)^2)</x:f>
        <x:v>716.2399000000001</x:v>
      </x:c>
      <x:c r="AD21" s="10"/>
      <x:c r="AE21" s="9">
        <x:f t="shared" si="4"/>
        <x:v>-0.84199999999999997</x:v>
      </x:c>
      <x:c r="AF21" s="9"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9"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9"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9"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10"/>
      <x:c r="AK21" s="9">
        <x:f t="shared" si="5"/>
        <x:v>-0.84199999999999997</x:v>
      </x:c>
      <x:c r="AL21" s="9"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9"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9"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9"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10"/>
      <x:c r="AQ21" s="9">
        <x:f t="shared" si="6"/>
        <x:v>-0.84199999999999997</x:v>
      </x:c>
      <x:c r="AR21" s="9" t="n">
        <x:f>0</x:f>
        <x:v>0</x:v>
      </x:c>
      <x:c r="AS21" s="9"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x:f>
        <x:v>250.5118977920592</x:v>
      </x:c>
      <x:c r="AT21" s="9"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x:f>
        <x:v>203.10743818058066</x:v>
      </x:c>
      <x:c r="AU21" s="9"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x:f>
        <x:v>111.3639822035904</x:v>
      </x:c>
      <x:c r="AV21" s="9"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x:f>
        <x:v>111.3639822035904</x:v>
      </x:c>
      <x:c r="AW21" s="10"/>
      <x:c r="AX21" s="9">
        <x:f t="shared" si="7"/>
        <x:v>-0.84199999999999997</x:v>
      </x:c>
      <x:c r="AY21" s="9" t="n">
        <x:f>0</x:f>
        <x:v>0</x:v>
      </x:c>
      <x:c r="AZ21" s="9" t="n">
        <x:f>IF(OR(Inputs!$F$6=TRUE,Inputs!$F$6="TRUE",Inputs!$F$6=1),(Inputs!$H$6+Inputs!$L$6*(((Inputs!$I$6+(((A21)+1)/2)*(Inputs!$J$6-Inputs!$I$6)))/Inputs!$K$6)^2),NA())</x:f>
        <x:v>402.835856</x:v>
      </x:c>
      <x:c r="BA21" s="9" t="n">
        <x:f>IF(OR(Inputs!$F$7=TRUE,Inputs!$F$7="TRUE",Inputs!$F$7=1),(Inputs!$H$7+Inputs!$L$7*(((Inputs!$I$7+(((A21)+1)/2)*(Inputs!$J$7-Inputs!$I$7)))/Inputs!$K$7)^2),NA())</x:f>
        <x:v>293.77186000000006</x:v>
      </x:c>
      <x:c r="BB21" s="9" t="n">
        <x:f>IF(OR(Inputs!$F$8=TRUE,Inputs!$F$8="TRUE",Inputs!$F$8=1),(Inputs!$H$8+Inputs!$L$8*(((Inputs!$I$8+(((A21)+1)/2)*(Inputs!$J$8-Inputs!$I$8)))/Inputs!$K$8)^2),NA())</x:f>
        <x:v>719.1502600000001</x:v>
      </x:c>
      <x:c r="BC21" s="9" t="n">
        <x:f>IF(OR(Inputs!$F$9=TRUE,Inputs!$F$9="TRUE",Inputs!$F$9=1),(Inputs!$H$9+Inputs!$L$9*(((Inputs!$I$9+(((A21)+1)/2)*(Inputs!$J$9-Inputs!$I$9)))/Inputs!$K$9)^2),NA())</x:f>
        <x:v>716.2399000000001</x:v>
      </x:c>
      <x:c r="BD21" s="10"/>
      <x:c r="BE21" s="9">
        <x:f t="shared" si="8"/>
        <x:v>-0.84199999999999997</x:v>
      </x:c>
      <x:c r="BF21" s="9" t="n">
        <x:f>0</x:f>
        <x:v>0</x:v>
      </x:c>
      <x:c r="BG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9" t="n">
        <x:f>ROUND(-1+20*2/240,3)</x:f>
        <x:v>-0.833</x:v>
      </x:c>
      <x:c r="B22" s="9" t="n">
        <x:f>IF(OR(Inputs!$F$6=TRUE,Inputs!$F$6="TRUE",Inputs!$F$6=1),(Inputs!$H$6+Inputs!$L$6*(((Inputs!$I$6+(((A22)+1)/2)*(Inputs!$J$6-Inputs!$I$6)))/Inputs!$K$6)^2),NA())</x:f>
        <x:v>402.775556</x:v>
      </x:c>
      <x:c r="C22" s="9" t="n">
        <x:f>IF(OR(Inputs!$F$7=TRUE,Inputs!$F$7="TRUE",Inputs!$F$7=1),(Inputs!$H$7+Inputs!$L$7*(((Inputs!$I$7+(((A22)+1)/2)*(Inputs!$J$7-Inputs!$I$7)))/Inputs!$K$7)^2),NA())</x:f>
        <x:v>288.26948500000003</x:v>
      </x:c>
      <x:c r="D22" s="9" t="n">
        <x:f>IF(OR(Inputs!$F$8=TRUE,Inputs!$F$8="TRUE",Inputs!$F$8=1),(Inputs!$H$8+Inputs!$L$8*(((Inputs!$I$8+(((A22)+1)/2)*(Inputs!$J$8-Inputs!$I$8)))/Inputs!$K$8)^2),NA())</x:f>
        <x:v>704.602885</x:v>
      </x:c>
      <x:c r="E22" s="9" t="n">
        <x:f>IF(OR(Inputs!$F$9=TRUE,Inputs!$F$9="TRUE",Inputs!$F$9=1),(Inputs!$H$9+Inputs!$L$9*(((Inputs!$I$9+(((A22)+1)/2)*(Inputs!$J$9-Inputs!$I$9)))/Inputs!$K$9)^2),NA())</x:f>
        <x:v>701.541775</x:v>
      </x:c>
      <x:c r="F22" s="10"/>
      <x:c r="G22" s="9">
        <x:f t="shared" si="0"/>
        <x:v>-0.83299999999999996</x:v>
      </x:c>
      <x:c r="H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10"/>
      <x:c r="M22" s="9">
        <x:f t="shared" si="1"/>
        <x:v>-0.83299999999999996</x:v>
      </x:c>
      <x:c r="N22" s="9"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9"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9"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9"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10"/>
      <x:c r="S22" s="9">
        <x:f t="shared" si="2"/>
        <x:v>-0.83299999999999996</x:v>
      </x:c>
      <x:c r="T22" s="9" t="n">
        <x:f>(Inputs!$I$6+(((A22)+1)/2)*(Inputs!$J$6-Inputs!$I$6))</x:f>
        <x:v>-49.98</x:v>
      </x:c>
      <x:c r="U22" s="9" t="n">
        <x:f>(Inputs!$I$7+(((A22)+1)/2)*(Inputs!$J$7-Inputs!$I$7))</x:f>
        <x:v>-333.2</x:v>
      </x:c>
      <x:c r="V22" s="9" t="n">
        <x:f>(Inputs!$I$8+(((A22)+1)/2)*(Inputs!$J$8-Inputs!$I$8))</x:f>
        <x:v>-666.4</x:v>
      </x:c>
      <x:c r="W22" s="9" t="n">
        <x:f>(Inputs!$I$9+(((A22)+1)/2)*(Inputs!$J$9-Inputs!$I$9))</x:f>
        <x:v>-666.4</x:v>
      </x:c>
      <x:c r="X22" s="10"/>
      <x:c r="Y22" s="9">
        <x:f t="shared" si="3"/>
        <x:v>-0.83299999999999996</x:v>
      </x:c>
      <x:c r="Z22" s="9" t="n">
        <x:f>(Inputs!$H$6+Inputs!$L$6*(((Inputs!$I$6+(((A22)+1)/2)*(Inputs!$J$6-Inputs!$I$6)))/Inputs!$K$6)^2)</x:f>
        <x:v>402.775556</x:v>
      </x:c>
      <x:c r="AA22" s="9" t="n">
        <x:f>(Inputs!$H$7+Inputs!$L$7*(((Inputs!$I$7+(((A22)+1)/2)*(Inputs!$J$7-Inputs!$I$7)))/Inputs!$K$7)^2)</x:f>
        <x:v>288.26948500000003</x:v>
      </x:c>
      <x:c r="AB22" s="9" t="n">
        <x:f>(Inputs!$H$8+Inputs!$L$8*(((Inputs!$I$8+(((A22)+1)/2)*(Inputs!$J$8-Inputs!$I$8)))/Inputs!$K$8)^2)</x:f>
        <x:v>704.602885</x:v>
      </x:c>
      <x:c r="AC22" s="9" t="n">
        <x:f>(Inputs!$H$9+Inputs!$L$9*(((Inputs!$I$9+(((A22)+1)/2)*(Inputs!$J$9-Inputs!$I$9)))/Inputs!$K$9)^2)</x:f>
        <x:v>701.541775</x:v>
      </x:c>
      <x:c r="AD22" s="10"/>
      <x:c r="AE22" s="9">
        <x:f t="shared" si="4"/>
        <x:v>-0.83299999999999996</x:v>
      </x:c>
      <x:c r="AF22" s="9"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9"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9"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9"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10"/>
      <x:c r="AK22" s="9">
        <x:f t="shared" si="5"/>
        <x:v>-0.83299999999999996</x:v>
      </x:c>
      <x:c r="AL22" s="9"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9"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9"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9"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10"/>
      <x:c r="AQ22" s="9">
        <x:f t="shared" si="6"/>
        <x:v>-0.83299999999999996</x:v>
      </x:c>
      <x:c r="AR22" s="9" t="n">
        <x:f>0</x:f>
        <x:v>0</x:v>
      </x:c>
      <x:c r="AS22" s="9"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x:f>
        <x:v>254.3772486098363</x:v>
      </x:c>
      <x:c r="AT22" s="9"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x:f>
        <x:v>190.11343712392477</x:v>
      </x:c>
      <x:c r="AU22" s="9"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x:f>
        <x:v>155.03024510710588</x:v>
      </x:c>
      <x:c r="AV22" s="9"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x:f>
        <x:v>155.03024510710588</x:v>
      </x:c>
      <x:c r="AW22" s="10"/>
      <x:c r="AX22" s="9">
        <x:f t="shared" si="7"/>
        <x:v>-0.83299999999999996</x:v>
      </x:c>
      <x:c r="AY22" s="9" t="n">
        <x:f>0</x:f>
        <x:v>0</x:v>
      </x:c>
      <x:c r="AZ22" s="9" t="n">
        <x:f>IF(OR(Inputs!$F$6=TRUE,Inputs!$F$6="TRUE",Inputs!$F$6=1),(Inputs!$H$6+Inputs!$L$6*(((Inputs!$I$6+(((A22)+1)/2)*(Inputs!$J$6-Inputs!$I$6)))/Inputs!$K$6)^2),NA())</x:f>
        <x:v>402.775556</x:v>
      </x:c>
      <x:c r="BA22" s="9" t="n">
        <x:f>IF(OR(Inputs!$F$7=TRUE,Inputs!$F$7="TRUE",Inputs!$F$7=1),(Inputs!$H$7+Inputs!$L$7*(((Inputs!$I$7+(((A22)+1)/2)*(Inputs!$J$7-Inputs!$I$7)))/Inputs!$K$7)^2),NA())</x:f>
        <x:v>288.26948500000003</x:v>
      </x:c>
      <x:c r="BB22" s="9" t="n">
        <x:f>IF(OR(Inputs!$F$8=TRUE,Inputs!$F$8="TRUE",Inputs!$F$8=1),(Inputs!$H$8+Inputs!$L$8*(((Inputs!$I$8+(((A22)+1)/2)*(Inputs!$J$8-Inputs!$I$8)))/Inputs!$K$8)^2),NA())</x:f>
        <x:v>704.602885</x:v>
      </x:c>
      <x:c r="BC22" s="9" t="n">
        <x:f>IF(OR(Inputs!$F$9=TRUE,Inputs!$F$9="TRUE",Inputs!$F$9=1),(Inputs!$H$9+Inputs!$L$9*(((Inputs!$I$9+(((A22)+1)/2)*(Inputs!$J$9-Inputs!$I$9)))/Inputs!$K$9)^2),NA())</x:f>
        <x:v>701.541775</x:v>
      </x:c>
      <x:c r="BD22" s="10"/>
      <x:c r="BE22" s="9">
        <x:f t="shared" si="8"/>
        <x:v>-0.83299999999999996</x:v>
      </x:c>
      <x:c r="BF22" s="9" t="n">
        <x:f>0</x:f>
        <x:v>0</x:v>
      </x:c>
      <x:c r="BG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9" t="n">
        <x:f>ROUND(-1+21*2/240,3)</x:f>
        <x:v>-0.825</x:v>
      </x:c>
      <x:c r="B23" s="9" t="n">
        <x:f>IF(OR(Inputs!$F$6=TRUE,Inputs!$F$6="TRUE",Inputs!$F$6=1),(Inputs!$H$6+Inputs!$L$6*(((Inputs!$I$6+(((A23)+1)/2)*(Inputs!$J$6-Inputs!$I$6)))/Inputs!$K$6)^2),NA())</x:f>
        <x:v>402.7225</x:v>
      </x:c>
      <x:c r="C23" s="9" t="n">
        <x:f>IF(OR(Inputs!$F$7=TRUE,Inputs!$F$7="TRUE",Inputs!$F$7=1),(Inputs!$H$7+Inputs!$L$7*(((Inputs!$I$7+(((A23)+1)/2)*(Inputs!$J$7-Inputs!$I$7)))/Inputs!$K$7)^2),NA())</x:f>
        <x:v>283.42812499999997</x:v>
      </x:c>
      <x:c r="D23" s="9" t="n">
        <x:f>IF(OR(Inputs!$F$8=TRUE,Inputs!$F$8="TRUE",Inputs!$F$8=1),(Inputs!$H$8+Inputs!$L$8*(((Inputs!$I$8+(((A23)+1)/2)*(Inputs!$J$8-Inputs!$I$8)))/Inputs!$K$8)^2),NA())</x:f>
        <x:v>691.8031249999999</x:v>
      </x:c>
      <x:c r="E23" s="9" t="n">
        <x:f>IF(OR(Inputs!$F$9=TRUE,Inputs!$F$9="TRUE",Inputs!$F$9=1),(Inputs!$H$9+Inputs!$L$9*(((Inputs!$I$9+(((A23)+1)/2)*(Inputs!$J$9-Inputs!$I$9)))/Inputs!$K$9)^2),NA())</x:f>
        <x:v>688.6093749999999</x:v>
      </x:c>
      <x:c r="F23" s="10"/>
      <x:c r="G23" s="9">
        <x:f t="shared" si="0"/>
        <x:v>-0.82499999999999996</x:v>
      </x:c>
      <x:c r="H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10"/>
      <x:c r="M23" s="9">
        <x:f t="shared" si="1"/>
        <x:v>-0.82499999999999996</x:v>
      </x:c>
      <x:c r="N23" s="9"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9"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9"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9"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10"/>
      <x:c r="S23" s="9">
        <x:f t="shared" si="2"/>
        <x:v>-0.82499999999999996</x:v>
      </x:c>
      <x:c r="T23" s="9" t="n">
        <x:f>(Inputs!$I$6+(((A23)+1)/2)*(Inputs!$J$6-Inputs!$I$6))</x:f>
        <x:v>-49.5</x:v>
      </x:c>
      <x:c r="U23" s="9" t="n">
        <x:f>(Inputs!$I$7+(((A23)+1)/2)*(Inputs!$J$7-Inputs!$I$7))</x:f>
        <x:v>-330</x:v>
      </x:c>
      <x:c r="V23" s="9" t="n">
        <x:f>(Inputs!$I$8+(((A23)+1)/2)*(Inputs!$J$8-Inputs!$I$8))</x:f>
        <x:v>-660</x:v>
      </x:c>
      <x:c r="W23" s="9" t="n">
        <x:f>(Inputs!$I$9+(((A23)+1)/2)*(Inputs!$J$9-Inputs!$I$9))</x:f>
        <x:v>-660</x:v>
      </x:c>
      <x:c r="X23" s="10"/>
      <x:c r="Y23" s="9">
        <x:f t="shared" si="3"/>
        <x:v>-0.82499999999999996</x:v>
      </x:c>
      <x:c r="Z23" s="9" t="n">
        <x:f>(Inputs!$H$6+Inputs!$L$6*(((Inputs!$I$6+(((A23)+1)/2)*(Inputs!$J$6-Inputs!$I$6)))/Inputs!$K$6)^2)</x:f>
        <x:v>402.7225</x:v>
      </x:c>
      <x:c r="AA23" s="9" t="n">
        <x:f>(Inputs!$H$7+Inputs!$L$7*(((Inputs!$I$7+(((A23)+1)/2)*(Inputs!$J$7-Inputs!$I$7)))/Inputs!$K$7)^2)</x:f>
        <x:v>283.42812499999997</x:v>
      </x:c>
      <x:c r="AB23" s="9" t="n">
        <x:f>(Inputs!$H$8+Inputs!$L$8*(((Inputs!$I$8+(((A23)+1)/2)*(Inputs!$J$8-Inputs!$I$8)))/Inputs!$K$8)^2)</x:f>
        <x:v>691.8031249999999</x:v>
      </x:c>
      <x:c r="AC23" s="9" t="n">
        <x:f>(Inputs!$H$9+Inputs!$L$9*(((Inputs!$I$9+(((A23)+1)/2)*(Inputs!$J$9-Inputs!$I$9)))/Inputs!$K$9)^2)</x:f>
        <x:v>688.6093749999999</x:v>
      </x:c>
      <x:c r="AD23" s="10"/>
      <x:c r="AE23" s="9">
        <x:f t="shared" si="4"/>
        <x:v>-0.82499999999999996</x:v>
      </x:c>
      <x:c r="AF23" s="9"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9"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9"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9"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10"/>
      <x:c r="AK23" s="9">
        <x:f t="shared" si="5"/>
        <x:v>-0.82499999999999996</x:v>
      </x:c>
      <x:c r="AL23" s="9"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9"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9"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9"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10"/>
      <x:c r="AQ23" s="9">
        <x:f t="shared" si="6"/>
        <x:v>-0.82499999999999996</x:v>
      </x:c>
      <x:c r="AR23" s="9" t="n">
        <x:f>0</x:f>
        <x:v>0</x:v>
      </x:c>
      <x:c r="AS23" s="9"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x:f>
        <x:v>258.91748425644914</x:v>
      </x:c>
      <x:c r="AT23" s="9"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x:f>
        <x:v>89.3271777741551</x:v>
      </x:c>
      <x:c r="AU23" s="9"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x:f>
        <x:v>167.2055085196115</x:v>
      </x:c>
      <x:c r="AV23" s="9"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x:f>
        <x:v>167.2055085196115</x:v>
      </x:c>
      <x:c r="AW23" s="10"/>
      <x:c r="AX23" s="9">
        <x:f t="shared" si="7"/>
        <x:v>-0.82499999999999996</x:v>
      </x:c>
      <x:c r="AY23" s="9" t="n">
        <x:f>0</x:f>
        <x:v>0</x:v>
      </x:c>
      <x:c r="AZ23" s="9" t="n">
        <x:f>IF(OR(Inputs!$F$6=TRUE,Inputs!$F$6="TRUE",Inputs!$F$6=1),(Inputs!$H$6+Inputs!$L$6*(((Inputs!$I$6+(((A23)+1)/2)*(Inputs!$J$6-Inputs!$I$6)))/Inputs!$K$6)^2),NA())</x:f>
        <x:v>402.7225</x:v>
      </x:c>
      <x:c r="BA23" s="9" t="n">
        <x:f>IF(OR(Inputs!$F$7=TRUE,Inputs!$F$7="TRUE",Inputs!$F$7=1),(Inputs!$H$7+Inputs!$L$7*(((Inputs!$I$7+(((A23)+1)/2)*(Inputs!$J$7-Inputs!$I$7)))/Inputs!$K$7)^2),NA())</x:f>
        <x:v>283.42812499999997</x:v>
      </x:c>
      <x:c r="BB23" s="9" t="n">
        <x:f>IF(OR(Inputs!$F$8=TRUE,Inputs!$F$8="TRUE",Inputs!$F$8=1),(Inputs!$H$8+Inputs!$L$8*(((Inputs!$I$8+(((A23)+1)/2)*(Inputs!$J$8-Inputs!$I$8)))/Inputs!$K$8)^2),NA())</x:f>
        <x:v>691.8031249999999</x:v>
      </x:c>
      <x:c r="BC23" s="9" t="n">
        <x:f>IF(OR(Inputs!$F$9=TRUE,Inputs!$F$9="TRUE",Inputs!$F$9=1),(Inputs!$H$9+Inputs!$L$9*(((Inputs!$I$9+(((A23)+1)/2)*(Inputs!$J$9-Inputs!$I$9)))/Inputs!$K$9)^2),NA())</x:f>
        <x:v>688.6093749999999</x:v>
      </x:c>
      <x:c r="BD23" s="10"/>
      <x:c r="BE23" s="9">
        <x:f t="shared" si="8"/>
        <x:v>-0.82499999999999996</x:v>
      </x:c>
      <x:c r="BF23" s="9" t="n">
        <x:f>0</x:f>
        <x:v>0</x:v>
      </x:c>
      <x:c r="BG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9" t="n">
        <x:f>ROUND(-1+22*2/240,3)</x:f>
        <x:v>-0.817</x:v>
      </x:c>
      <x:c r="B24" s="9" t="n">
        <x:f>IF(OR(Inputs!$F$6=TRUE,Inputs!$F$6="TRUE",Inputs!$F$6=1),(Inputs!$H$6+Inputs!$L$6*(((Inputs!$I$6+(((A24)+1)/2)*(Inputs!$J$6-Inputs!$I$6)))/Inputs!$K$6)^2),NA())</x:f>
        <x:v>402.669956</x:v>
      </x:c>
      <x:c r="C24" s="9" t="n">
        <x:f>IF(OR(Inputs!$F$7=TRUE,Inputs!$F$7="TRUE",Inputs!$F$7=1),(Inputs!$H$7+Inputs!$L$7*(((Inputs!$I$7+(((A24)+1)/2)*(Inputs!$J$7-Inputs!$I$7)))/Inputs!$K$7)^2),NA())</x:f>
        <x:v>278.63348499999995</x:v>
      </x:c>
      <x:c r="D24" s="9" t="n">
        <x:f>IF(OR(Inputs!$F$8=TRUE,Inputs!$F$8="TRUE",Inputs!$F$8=1),(Inputs!$H$8+Inputs!$L$8*(((Inputs!$I$8+(((A24)+1)/2)*(Inputs!$J$8-Inputs!$I$8)))/Inputs!$K$8)^2),NA())</x:f>
        <x:v>679.1268849999998</x:v>
      </x:c>
      <x:c r="E24" s="9" t="n">
        <x:f>IF(OR(Inputs!$F$9=TRUE,Inputs!$F$9="TRUE",Inputs!$F$9=1),(Inputs!$H$9+Inputs!$L$9*(((Inputs!$I$9+(((A24)+1)/2)*(Inputs!$J$9-Inputs!$I$9)))/Inputs!$K$9)^2),NA())</x:f>
        <x:v>675.8017749999998</x:v>
      </x:c>
      <x:c r="F24" s="10"/>
      <x:c r="G24" s="9">
        <x:f t="shared" si="0"/>
        <x:v>-0.81699999999999995</x:v>
      </x:c>
      <x:c r="H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10"/>
      <x:c r="M24" s="9">
        <x:f t="shared" si="1"/>
        <x:v>-0.81699999999999995</x:v>
      </x:c>
      <x:c r="N24" s="9"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9"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9"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9"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10"/>
      <x:c r="S24" s="9">
        <x:f t="shared" si="2"/>
        <x:v>-0.81699999999999995</x:v>
      </x:c>
      <x:c r="T24" s="9" t="n">
        <x:f>(Inputs!$I$6+(((A24)+1)/2)*(Inputs!$J$6-Inputs!$I$6))</x:f>
        <x:v>-49.019999999999996</x:v>
      </x:c>
      <x:c r="U24" s="9" t="n">
        <x:f>(Inputs!$I$7+(((A24)+1)/2)*(Inputs!$J$7-Inputs!$I$7))</x:f>
        <x:v>-326.79999999999995</x:v>
      </x:c>
      <x:c r="V24" s="9" t="n">
        <x:f>(Inputs!$I$8+(((A24)+1)/2)*(Inputs!$J$8-Inputs!$I$8))</x:f>
        <x:v>-653.5999999999999</x:v>
      </x:c>
      <x:c r="W24" s="9" t="n">
        <x:f>(Inputs!$I$9+(((A24)+1)/2)*(Inputs!$J$9-Inputs!$I$9))</x:f>
        <x:v>-653.5999999999999</x:v>
      </x:c>
      <x:c r="X24" s="10"/>
      <x:c r="Y24" s="9">
        <x:f t="shared" si="3"/>
        <x:v>-0.81699999999999995</x:v>
      </x:c>
      <x:c r="Z24" s="9" t="n">
        <x:f>(Inputs!$H$6+Inputs!$L$6*(((Inputs!$I$6+(((A24)+1)/2)*(Inputs!$J$6-Inputs!$I$6)))/Inputs!$K$6)^2)</x:f>
        <x:v>402.669956</x:v>
      </x:c>
      <x:c r="AA24" s="9" t="n">
        <x:f>(Inputs!$H$7+Inputs!$L$7*(((Inputs!$I$7+(((A24)+1)/2)*(Inputs!$J$7-Inputs!$I$7)))/Inputs!$K$7)^2)</x:f>
        <x:v>278.63348499999995</x:v>
      </x:c>
      <x:c r="AB24" s="9" t="n">
        <x:f>(Inputs!$H$8+Inputs!$L$8*(((Inputs!$I$8+(((A24)+1)/2)*(Inputs!$J$8-Inputs!$I$8)))/Inputs!$K$8)^2)</x:f>
        <x:v>679.1268849999998</x:v>
      </x:c>
      <x:c r="AC24" s="9" t="n">
        <x:f>(Inputs!$H$9+Inputs!$L$9*(((Inputs!$I$9+(((A24)+1)/2)*(Inputs!$J$9-Inputs!$I$9)))/Inputs!$K$9)^2)</x:f>
        <x:v>675.8017749999998</x:v>
      </x:c>
      <x:c r="AD24" s="10"/>
      <x:c r="AE24" s="9">
        <x:f t="shared" si="4"/>
        <x:v>-0.81699999999999995</x:v>
      </x:c>
      <x:c r="AF24" s="9"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9"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9"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9"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10"/>
      <x:c r="AK24" s="9">
        <x:f t="shared" si="5"/>
        <x:v>-0.81699999999999995</x:v>
      </x:c>
      <x:c r="AL24" s="9"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9"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9"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9"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10"/>
      <x:c r="AQ24" s="9">
        <x:f t="shared" si="6"/>
        <x:v>-0.81699999999999995</x:v>
      </x:c>
      <x:c r="AR24" s="9" t="n">
        <x:f>0</x:f>
        <x:v>0</x:v>
      </x:c>
      <x:c r="AS24" s="9"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x:f>
        <x:v>254.85718956228195</x:v>
      </x:c>
      <x:c r="AT24" s="9"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x:f>
        <x:v>82.20330622747613</x:v>
      </x:c>
      <x:c r="AU24" s="9"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x:f>
        <x:v>87.26125896711163</x:v>
      </x:c>
      <x:c r="AV24" s="9"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x:f>
        <x:v>87.26125896711163</x:v>
      </x:c>
      <x:c r="AW24" s="10"/>
      <x:c r="AX24" s="9">
        <x:f t="shared" si="7"/>
        <x:v>-0.81699999999999995</x:v>
      </x:c>
      <x:c r="AY24" s="9" t="n">
        <x:f>0</x:f>
        <x:v>0</x:v>
      </x:c>
      <x:c r="AZ24" s="9" t="n">
        <x:f>IF(OR(Inputs!$F$6=TRUE,Inputs!$F$6="TRUE",Inputs!$F$6=1),(Inputs!$H$6+Inputs!$L$6*(((Inputs!$I$6+(((A24)+1)/2)*(Inputs!$J$6-Inputs!$I$6)))/Inputs!$K$6)^2),NA())</x:f>
        <x:v>402.669956</x:v>
      </x:c>
      <x:c r="BA24" s="9" t="n">
        <x:f>IF(OR(Inputs!$F$7=TRUE,Inputs!$F$7="TRUE",Inputs!$F$7=1),(Inputs!$H$7+Inputs!$L$7*(((Inputs!$I$7+(((A24)+1)/2)*(Inputs!$J$7-Inputs!$I$7)))/Inputs!$K$7)^2),NA())</x:f>
        <x:v>278.63348499999995</x:v>
      </x:c>
      <x:c r="BB24" s="9" t="n">
        <x:f>IF(OR(Inputs!$F$8=TRUE,Inputs!$F$8="TRUE",Inputs!$F$8=1),(Inputs!$H$8+Inputs!$L$8*(((Inputs!$I$8+(((A24)+1)/2)*(Inputs!$J$8-Inputs!$I$8)))/Inputs!$K$8)^2),NA())</x:f>
        <x:v>679.1268849999998</x:v>
      </x:c>
      <x:c r="BC24" s="9" t="n">
        <x:f>IF(OR(Inputs!$F$9=TRUE,Inputs!$F$9="TRUE",Inputs!$F$9=1),(Inputs!$H$9+Inputs!$L$9*(((Inputs!$I$9+(((A24)+1)/2)*(Inputs!$J$9-Inputs!$I$9)))/Inputs!$K$9)^2),NA())</x:f>
        <x:v>675.8017749999998</x:v>
      </x:c>
      <x:c r="BD24" s="10"/>
      <x:c r="BE24" s="9">
        <x:f t="shared" si="8"/>
        <x:v>-0.81699999999999995</x:v>
      </x:c>
      <x:c r="BF24" s="9" t="n">
        <x:f>0</x:f>
        <x:v>0</x:v>
      </x:c>
      <x:c r="BG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9" t="n">
        <x:f>ROUND(-1+23*2/240,3)</x:f>
        <x:v>-0.808</x:v>
      </x:c>
      <x:c r="B25" s="9" t="n">
        <x:f>IF(OR(Inputs!$F$6=TRUE,Inputs!$F$6="TRUE",Inputs!$F$6=1),(Inputs!$H$6+Inputs!$L$6*(((Inputs!$I$6+(((A25)+1)/2)*(Inputs!$J$6-Inputs!$I$6)))/Inputs!$K$6)^2),NA())</x:f>
        <x:v>402.611456</x:v>
      </x:c>
      <x:c r="C25" s="9" t="n">
        <x:f>IF(OR(Inputs!$F$7=TRUE,Inputs!$F$7="TRUE",Inputs!$F$7=1),(Inputs!$H$7+Inputs!$L$7*(((Inputs!$I$7+(((A25)+1)/2)*(Inputs!$J$7-Inputs!$I$7)))/Inputs!$K$7)^2),NA())</x:f>
        <x:v>273.2953600000001</x:v>
      </x:c>
      <x:c r="D25" s="9" t="n">
        <x:f>IF(OR(Inputs!$F$8=TRUE,Inputs!$F$8="TRUE",Inputs!$F$8=1),(Inputs!$H$8+Inputs!$L$8*(((Inputs!$I$8+(((A25)+1)/2)*(Inputs!$J$8-Inputs!$I$8)))/Inputs!$K$8)^2),NA())</x:f>
        <x:v>665.0137600000002</x:v>
      </x:c>
      <x:c r="E25" s="9" t="n">
        <x:f>IF(OR(Inputs!$F$9=TRUE,Inputs!$F$9="TRUE",Inputs!$F$9=1),(Inputs!$H$9+Inputs!$L$9*(((Inputs!$I$9+(((A25)+1)/2)*(Inputs!$J$9-Inputs!$I$9)))/Inputs!$K$9)^2),NA())</x:f>
        <x:v>661.5424000000003</x:v>
      </x:c>
      <x:c r="F25" s="10"/>
      <x:c r="G25" s="9">
        <x:f t="shared" si="0"/>
        <x:v>-0.80800000000000005</x:v>
      </x:c>
      <x:c r="H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10"/>
      <x:c r="M25" s="9">
        <x:f t="shared" si="1"/>
        <x:v>-0.80800000000000005</x:v>
      </x:c>
      <x:c r="N25" s="9"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9"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9"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9"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10"/>
      <x:c r="S25" s="9">
        <x:f t="shared" si="2"/>
        <x:v>-0.80800000000000005</x:v>
      </x:c>
      <x:c r="T25" s="9" t="n">
        <x:f>(Inputs!$I$6+(((A25)+1)/2)*(Inputs!$J$6-Inputs!$I$6))</x:f>
        <x:v>-48.480000000000004</x:v>
      </x:c>
      <x:c r="U25" s="9" t="n">
        <x:f>(Inputs!$I$7+(((A25)+1)/2)*(Inputs!$J$7-Inputs!$I$7))</x:f>
        <x:v>-323.20000000000005</x:v>
      </x:c>
      <x:c r="V25" s="9" t="n">
        <x:f>(Inputs!$I$8+(((A25)+1)/2)*(Inputs!$J$8-Inputs!$I$8))</x:f>
        <x:v>-646.4000000000001</x:v>
      </x:c>
      <x:c r="W25" s="9" t="n">
        <x:f>(Inputs!$I$9+(((A25)+1)/2)*(Inputs!$J$9-Inputs!$I$9))</x:f>
        <x:v>-646.4000000000001</x:v>
      </x:c>
      <x:c r="X25" s="10"/>
      <x:c r="Y25" s="9">
        <x:f t="shared" si="3"/>
        <x:v>-0.80800000000000005</x:v>
      </x:c>
      <x:c r="Z25" s="9" t="n">
        <x:f>(Inputs!$H$6+Inputs!$L$6*(((Inputs!$I$6+(((A25)+1)/2)*(Inputs!$J$6-Inputs!$I$6)))/Inputs!$K$6)^2)</x:f>
        <x:v>402.611456</x:v>
      </x:c>
      <x:c r="AA25" s="9" t="n">
        <x:f>(Inputs!$H$7+Inputs!$L$7*(((Inputs!$I$7+(((A25)+1)/2)*(Inputs!$J$7-Inputs!$I$7)))/Inputs!$K$7)^2)</x:f>
        <x:v>273.2953600000001</x:v>
      </x:c>
      <x:c r="AB25" s="9" t="n">
        <x:f>(Inputs!$H$8+Inputs!$L$8*(((Inputs!$I$8+(((A25)+1)/2)*(Inputs!$J$8-Inputs!$I$8)))/Inputs!$K$8)^2)</x:f>
        <x:v>665.0137600000002</x:v>
      </x:c>
      <x:c r="AC25" s="9" t="n">
        <x:f>(Inputs!$H$9+Inputs!$L$9*(((Inputs!$I$9+(((A25)+1)/2)*(Inputs!$J$9-Inputs!$I$9)))/Inputs!$K$9)^2)</x:f>
        <x:v>661.5424000000003</x:v>
      </x:c>
      <x:c r="AD25" s="10"/>
      <x:c r="AE25" s="9">
        <x:f t="shared" si="4"/>
        <x:v>-0.80800000000000005</x:v>
      </x:c>
      <x:c r="AF25" s="9"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9"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9"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9"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10"/>
      <x:c r="AK25" s="9">
        <x:f t="shared" si="5"/>
        <x:v>-0.80800000000000005</x:v>
      </x:c>
      <x:c r="AL25" s="9"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9"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9"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9"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10"/>
      <x:c r="AQ25" s="9">
        <x:f t="shared" si="6"/>
        <x:v>-0.80800000000000005</x:v>
      </x:c>
      <x:c r="AR25" s="9" t="n">
        <x:f>0</x:f>
        <x:v>0</x:v>
      </x:c>
      <x:c r="AS25" s="9"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x:f>
        <x:v>258.8573475716749</x:v>
      </x:c>
      <x:c r="AT25" s="9"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x:f>
        <x:v>176.6453495633319</x:v>
      </x:c>
      <x:c r="AU25" s="9"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x:f>
        <x:v>149.74219201112138</x:v>
      </x:c>
      <x:c r="AV25" s="9"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x:f>
        <x:v>149.74219201112138</x:v>
      </x:c>
      <x:c r="AW25" s="10"/>
      <x:c r="AX25" s="9">
        <x:f t="shared" si="7"/>
        <x:v>-0.80800000000000005</x:v>
      </x:c>
      <x:c r="AY25" s="9" t="n">
        <x:f>0</x:f>
        <x:v>0</x:v>
      </x:c>
      <x:c r="AZ25" s="9" t="n">
        <x:f>IF(OR(Inputs!$F$6=TRUE,Inputs!$F$6="TRUE",Inputs!$F$6=1),(Inputs!$H$6+Inputs!$L$6*(((Inputs!$I$6+(((A25)+1)/2)*(Inputs!$J$6-Inputs!$I$6)))/Inputs!$K$6)^2),NA())</x:f>
        <x:v>402.611456</x:v>
      </x:c>
      <x:c r="BA25" s="9" t="n">
        <x:f>IF(OR(Inputs!$F$7=TRUE,Inputs!$F$7="TRUE",Inputs!$F$7=1),(Inputs!$H$7+Inputs!$L$7*(((Inputs!$I$7+(((A25)+1)/2)*(Inputs!$J$7-Inputs!$I$7)))/Inputs!$K$7)^2),NA())</x:f>
        <x:v>273.2953600000001</x:v>
      </x:c>
      <x:c r="BB25" s="9" t="n">
        <x:f>IF(OR(Inputs!$F$8=TRUE,Inputs!$F$8="TRUE",Inputs!$F$8=1),(Inputs!$H$8+Inputs!$L$8*(((Inputs!$I$8+(((A25)+1)/2)*(Inputs!$J$8-Inputs!$I$8)))/Inputs!$K$8)^2),NA())</x:f>
        <x:v>665.0137600000002</x:v>
      </x:c>
      <x:c r="BC25" s="9" t="n">
        <x:f>IF(OR(Inputs!$F$9=TRUE,Inputs!$F$9="TRUE",Inputs!$F$9=1),(Inputs!$H$9+Inputs!$L$9*(((Inputs!$I$9+(((A25)+1)/2)*(Inputs!$J$9-Inputs!$I$9)))/Inputs!$K$9)^2),NA())</x:f>
        <x:v>661.5424000000003</x:v>
      </x:c>
      <x:c r="BD25" s="10"/>
      <x:c r="BE25" s="9">
        <x:f t="shared" si="8"/>
        <x:v>-0.80800000000000005</x:v>
      </x:c>
      <x:c r="BF25" s="9" t="n">
        <x:f>0</x:f>
        <x:v>0</x:v>
      </x:c>
      <x:c r="BG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9" t="n">
        <x:f>ROUND(-1+24*2/240,3)</x:f>
        <x:v>-0.8</x:v>
      </x:c>
      <x:c r="B26" s="9" t="n">
        <x:f>IF(OR(Inputs!$F$6=TRUE,Inputs!$F$6="TRUE",Inputs!$F$6=1),(Inputs!$H$6+Inputs!$L$6*(((Inputs!$I$6+(((A26)+1)/2)*(Inputs!$J$6-Inputs!$I$6)))/Inputs!$K$6)^2),NA())</x:f>
        <x:v>402.56</x:v>
      </x:c>
      <x:c r="C26" s="9" t="n">
        <x:f>IF(OR(Inputs!$F$7=TRUE,Inputs!$F$7="TRUE",Inputs!$F$7=1),(Inputs!$H$7+Inputs!$L$7*(((Inputs!$I$7+(((A26)+1)/2)*(Inputs!$J$7-Inputs!$I$7)))/Inputs!$K$7)^2),NA())</x:f>
        <x:v>268.6</x:v>
      </x:c>
      <x:c r="D26" s="9" t="n">
        <x:f>IF(OR(Inputs!$F$8=TRUE,Inputs!$F$8="TRUE",Inputs!$F$8=1),(Inputs!$H$8+Inputs!$L$8*(((Inputs!$I$8+(((A26)+1)/2)*(Inputs!$J$8-Inputs!$I$8)))/Inputs!$K$8)^2),NA())</x:f>
        <x:v>652.6000000000001</x:v>
      </x:c>
      <x:c r="E26" s="9" t="n">
        <x:f>IF(OR(Inputs!$F$9=TRUE,Inputs!$F$9="TRUE",Inputs!$F$9=1),(Inputs!$H$9+Inputs!$L$9*(((Inputs!$I$9+(((A26)+1)/2)*(Inputs!$J$9-Inputs!$I$9)))/Inputs!$K$9)^2),NA())</x:f>
        <x:v>649.0000000000001</x:v>
      </x:c>
      <x:c r="F26" s="10"/>
      <x:c r="G26" s="9">
        <x:f t="shared" si="0"/>
        <x:v>-0.8</x:v>
      </x:c>
      <x:c r="H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10"/>
      <x:c r="M26" s="9">
        <x:f t="shared" si="1"/>
        <x:v>-0.8</x:v>
      </x:c>
      <x:c r="N26" s="9"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9"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9"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9"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10"/>
      <x:c r="S26" s="9">
        <x:f t="shared" si="2"/>
        <x:v>-0.8</x:v>
      </x:c>
      <x:c r="T26" s="9" t="n">
        <x:f>(Inputs!$I$6+(((A26)+1)/2)*(Inputs!$J$6-Inputs!$I$6))</x:f>
        <x:v>-48</x:v>
      </x:c>
      <x:c r="U26" s="9" t="n">
        <x:f>(Inputs!$I$7+(((A26)+1)/2)*(Inputs!$J$7-Inputs!$I$7))</x:f>
        <x:v>-320</x:v>
      </x:c>
      <x:c r="V26" s="9" t="n">
        <x:f>(Inputs!$I$8+(((A26)+1)/2)*(Inputs!$J$8-Inputs!$I$8))</x:f>
        <x:v>-640</x:v>
      </x:c>
      <x:c r="W26" s="9" t="n">
        <x:f>(Inputs!$I$9+(((A26)+1)/2)*(Inputs!$J$9-Inputs!$I$9))</x:f>
        <x:v>-640</x:v>
      </x:c>
      <x:c r="X26" s="10"/>
      <x:c r="Y26" s="9">
        <x:f t="shared" si="3"/>
        <x:v>-0.8</x:v>
      </x:c>
      <x:c r="Z26" s="9" t="n">
        <x:f>(Inputs!$H$6+Inputs!$L$6*(((Inputs!$I$6+(((A26)+1)/2)*(Inputs!$J$6-Inputs!$I$6)))/Inputs!$K$6)^2)</x:f>
        <x:v>402.56</x:v>
      </x:c>
      <x:c r="AA26" s="9" t="n">
        <x:f>(Inputs!$H$7+Inputs!$L$7*(((Inputs!$I$7+(((A26)+1)/2)*(Inputs!$J$7-Inputs!$I$7)))/Inputs!$K$7)^2)</x:f>
        <x:v>268.6</x:v>
      </x:c>
      <x:c r="AB26" s="9" t="n">
        <x:f>(Inputs!$H$8+Inputs!$L$8*(((Inputs!$I$8+(((A26)+1)/2)*(Inputs!$J$8-Inputs!$I$8)))/Inputs!$K$8)^2)</x:f>
        <x:v>652.6000000000001</x:v>
      </x:c>
      <x:c r="AC26" s="9" t="n">
        <x:f>(Inputs!$H$9+Inputs!$L$9*(((Inputs!$I$9+(((A26)+1)/2)*(Inputs!$J$9-Inputs!$I$9)))/Inputs!$K$9)^2)</x:f>
        <x:v>649.0000000000001</x:v>
      </x:c>
      <x:c r="AD26" s="10"/>
      <x:c r="AE26" s="9">
        <x:f t="shared" si="4"/>
        <x:v>-0.8</x:v>
      </x:c>
      <x:c r="AF26" s="9"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9"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9"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9"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10"/>
      <x:c r="AK26" s="9">
        <x:f t="shared" si="5"/>
        <x:v>-0.8</x:v>
      </x:c>
      <x:c r="AL26" s="9"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9"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9"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9"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10"/>
      <x:c r="AQ26" s="9">
        <x:f t="shared" si="6"/>
        <x:v>-0.8</x:v>
      </x:c>
      <x:c r="AR26" s="9" t="n">
        <x:f>0</x:f>
        <x:v>0</x:v>
      </x:c>
      <x:c r="AS26" s="9"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x:f>
        <x:v>253.6370227527636</x:v>
      </x:c>
      <x:c r="AT26" s="9"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x:f>
        <x:v>230.83673823808448</x:v>
      </x:c>
      <x:c r="AU26" s="9"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x:f>
        <x:v>136.6792647027118</x:v>
      </x:c>
      <x:c r="AV26" s="9"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x:f>
        <x:v>136.6792647027118</x:v>
      </x:c>
      <x:c r="AW26" s="10"/>
      <x:c r="AX26" s="9">
        <x:f t="shared" si="7"/>
        <x:v>-0.8</x:v>
      </x:c>
      <x:c r="AY26" s="9" t="n">
        <x:f>0</x:f>
        <x:v>0</x:v>
      </x:c>
      <x:c r="AZ26" s="9" t="n">
        <x:f>IF(OR(Inputs!$F$6=TRUE,Inputs!$F$6="TRUE",Inputs!$F$6=1),(Inputs!$H$6+Inputs!$L$6*(((Inputs!$I$6+(((A26)+1)/2)*(Inputs!$J$6-Inputs!$I$6)))/Inputs!$K$6)^2),NA())</x:f>
        <x:v>402.56</x:v>
      </x:c>
      <x:c r="BA26" s="9" t="n">
        <x:f>IF(OR(Inputs!$F$7=TRUE,Inputs!$F$7="TRUE",Inputs!$F$7=1),(Inputs!$H$7+Inputs!$L$7*(((Inputs!$I$7+(((A26)+1)/2)*(Inputs!$J$7-Inputs!$I$7)))/Inputs!$K$7)^2),NA())</x:f>
        <x:v>268.6</x:v>
      </x:c>
      <x:c r="BB26" s="9" t="n">
        <x:f>IF(OR(Inputs!$F$8=TRUE,Inputs!$F$8="TRUE",Inputs!$F$8=1),(Inputs!$H$8+Inputs!$L$8*(((Inputs!$I$8+(((A26)+1)/2)*(Inputs!$J$8-Inputs!$I$8)))/Inputs!$K$8)^2),NA())</x:f>
        <x:v>652.6000000000001</x:v>
      </x:c>
      <x:c r="BC26" s="9" t="n">
        <x:f>IF(OR(Inputs!$F$9=TRUE,Inputs!$F$9="TRUE",Inputs!$F$9=1),(Inputs!$H$9+Inputs!$L$9*(((Inputs!$I$9+(((A26)+1)/2)*(Inputs!$J$9-Inputs!$I$9)))/Inputs!$K$9)^2),NA())</x:f>
        <x:v>649.0000000000001</x:v>
      </x:c>
      <x:c r="BD26" s="10"/>
      <x:c r="BE26" s="9">
        <x:f t="shared" si="8"/>
        <x:v>-0.8</x:v>
      </x:c>
      <x:c r="BF26" s="9" t="n">
        <x:f>0</x:f>
        <x:v>0</x:v>
      </x:c>
      <x:c r="BG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9" t="n">
        <x:f>ROUND(-1+25*2/240,3)</x:f>
        <x:v>-0.792</x:v>
      </x:c>
      <x:c r="B27" s="9" t="n">
        <x:f>IF(OR(Inputs!$F$6=TRUE,Inputs!$F$6="TRUE",Inputs!$F$6=1),(Inputs!$H$6+Inputs!$L$6*(((Inputs!$I$6+(((A27)+1)/2)*(Inputs!$J$6-Inputs!$I$6)))/Inputs!$K$6)^2),NA())</x:f>
        <x:v>402.509056</x:v>
      </x:c>
      <x:c r="C27" s="9" t="n">
        <x:f>IF(OR(Inputs!$F$7=TRUE,Inputs!$F$7="TRUE",Inputs!$F$7=1),(Inputs!$H$7+Inputs!$L$7*(((Inputs!$I$7+(((A27)+1)/2)*(Inputs!$J$7-Inputs!$I$7)))/Inputs!$K$7)^2),NA())</x:f>
        <x:v>263.95136</x:v>
      </x:c>
      <x:c r="D27" s="9" t="n">
        <x:f>IF(OR(Inputs!$F$8=TRUE,Inputs!$F$8="TRUE",Inputs!$F$8=1),(Inputs!$H$8+Inputs!$L$8*(((Inputs!$I$8+(((A27)+1)/2)*(Inputs!$J$8-Inputs!$I$8)))/Inputs!$K$8)^2),NA())</x:f>
        <x:v>640.3097600000001</x:v>
      </x:c>
      <x:c r="E27" s="9" t="n">
        <x:f>IF(OR(Inputs!$F$9=TRUE,Inputs!$F$9="TRUE",Inputs!$F$9=1),(Inputs!$H$9+Inputs!$L$9*(((Inputs!$I$9+(((A27)+1)/2)*(Inputs!$J$9-Inputs!$I$9)))/Inputs!$K$9)^2),NA())</x:f>
        <x:v>636.5824</x:v>
      </x:c>
      <x:c r="F27" s="10"/>
      <x:c r="G27" s="9">
        <x:f t="shared" si="0"/>
        <x:v>-0.79200000000000004</x:v>
      </x:c>
      <x:c r="H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10"/>
      <x:c r="M27" s="9">
        <x:f t="shared" si="1"/>
        <x:v>-0.79200000000000004</x:v>
      </x:c>
      <x:c r="N27" s="9"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9"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9"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9"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10"/>
      <x:c r="S27" s="9">
        <x:f t="shared" si="2"/>
        <x:v>-0.79200000000000004</x:v>
      </x:c>
      <x:c r="T27" s="9" t="n">
        <x:f>(Inputs!$I$6+(((A27)+1)/2)*(Inputs!$J$6-Inputs!$I$6))</x:f>
        <x:v>-47.52</x:v>
      </x:c>
      <x:c r="U27" s="9" t="n">
        <x:f>(Inputs!$I$7+(((A27)+1)/2)*(Inputs!$J$7-Inputs!$I$7))</x:f>
        <x:v>-316.8</x:v>
      </x:c>
      <x:c r="V27" s="9" t="n">
        <x:f>(Inputs!$I$8+(((A27)+1)/2)*(Inputs!$J$8-Inputs!$I$8))</x:f>
        <x:v>-633.6</x:v>
      </x:c>
      <x:c r="W27" s="9" t="n">
        <x:f>(Inputs!$I$9+(((A27)+1)/2)*(Inputs!$J$9-Inputs!$I$9))</x:f>
        <x:v>-633.6</x:v>
      </x:c>
      <x:c r="X27" s="10"/>
      <x:c r="Y27" s="9">
        <x:f t="shared" si="3"/>
        <x:v>-0.79200000000000004</x:v>
      </x:c>
      <x:c r="Z27" s="9" t="n">
        <x:f>(Inputs!$H$6+Inputs!$L$6*(((Inputs!$I$6+(((A27)+1)/2)*(Inputs!$J$6-Inputs!$I$6)))/Inputs!$K$6)^2)</x:f>
        <x:v>402.509056</x:v>
      </x:c>
      <x:c r="AA27" s="9" t="n">
        <x:f>(Inputs!$H$7+Inputs!$L$7*(((Inputs!$I$7+(((A27)+1)/2)*(Inputs!$J$7-Inputs!$I$7)))/Inputs!$K$7)^2)</x:f>
        <x:v>263.95136</x:v>
      </x:c>
      <x:c r="AB27" s="9" t="n">
        <x:f>(Inputs!$H$8+Inputs!$L$8*(((Inputs!$I$8+(((A27)+1)/2)*(Inputs!$J$8-Inputs!$I$8)))/Inputs!$K$8)^2)</x:f>
        <x:v>640.3097600000001</x:v>
      </x:c>
      <x:c r="AC27" s="9" t="n">
        <x:f>(Inputs!$H$9+Inputs!$L$9*(((Inputs!$I$9+(((A27)+1)/2)*(Inputs!$J$9-Inputs!$I$9)))/Inputs!$K$9)^2)</x:f>
        <x:v>636.5824</x:v>
      </x:c>
      <x:c r="AD27" s="10"/>
      <x:c r="AE27" s="9">
        <x:f t="shared" si="4"/>
        <x:v>-0.79200000000000004</x:v>
      </x:c>
      <x:c r="AF27" s="9"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9"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9"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9"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10"/>
      <x:c r="AK27" s="9">
        <x:f t="shared" si="5"/>
        <x:v>-0.79200000000000004</x:v>
      </x:c>
      <x:c r="AL27" s="9"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9"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9"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9"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10"/>
      <x:c r="AQ27" s="9">
        <x:f t="shared" si="6"/>
        <x:v>-0.79200000000000004</x:v>
      </x:c>
      <x:c r="AR27" s="9" t="n">
        <x:f>0</x:f>
        <x:v>0</x:v>
      </x:c>
      <x:c r="AS27" s="9"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x:f>
        <x:v>244.36421465386238</x:v>
      </x:c>
      <x:c r="AT27" s="9"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x:f>
        <x:v>173.99596572842944</x:v>
      </x:c>
      <x:c r="AU27" s="9"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x:f>
        <x:v>108.01116799428624</x:v>
      </x:c>
      <x:c r="AV27" s="9"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x:f>
        <x:v>108.01116799428624</x:v>
      </x:c>
      <x:c r="AW27" s="10"/>
      <x:c r="AX27" s="9">
        <x:f t="shared" si="7"/>
        <x:v>-0.79200000000000004</x:v>
      </x:c>
      <x:c r="AY27" s="9" t="n">
        <x:f>0</x:f>
        <x:v>0</x:v>
      </x:c>
      <x:c r="AZ27" s="9" t="n">
        <x:f>IF(OR(Inputs!$F$6=TRUE,Inputs!$F$6="TRUE",Inputs!$F$6=1),(Inputs!$H$6+Inputs!$L$6*(((Inputs!$I$6+(((A27)+1)/2)*(Inputs!$J$6-Inputs!$I$6)))/Inputs!$K$6)^2),NA())</x:f>
        <x:v>402.509056</x:v>
      </x:c>
      <x:c r="BA27" s="9" t="n">
        <x:f>IF(OR(Inputs!$F$7=TRUE,Inputs!$F$7="TRUE",Inputs!$F$7=1),(Inputs!$H$7+Inputs!$L$7*(((Inputs!$I$7+(((A27)+1)/2)*(Inputs!$J$7-Inputs!$I$7)))/Inputs!$K$7)^2),NA())</x:f>
        <x:v>263.95136</x:v>
      </x:c>
      <x:c r="BB27" s="9" t="n">
        <x:f>IF(OR(Inputs!$F$8=TRUE,Inputs!$F$8="TRUE",Inputs!$F$8=1),(Inputs!$H$8+Inputs!$L$8*(((Inputs!$I$8+(((A27)+1)/2)*(Inputs!$J$8-Inputs!$I$8)))/Inputs!$K$8)^2),NA())</x:f>
        <x:v>640.3097600000001</x:v>
      </x:c>
      <x:c r="BC27" s="9" t="n">
        <x:f>IF(OR(Inputs!$F$9=TRUE,Inputs!$F$9="TRUE",Inputs!$F$9=1),(Inputs!$H$9+Inputs!$L$9*(((Inputs!$I$9+(((A27)+1)/2)*(Inputs!$J$9-Inputs!$I$9)))/Inputs!$K$9)^2),NA())</x:f>
        <x:v>636.5824</x:v>
      </x:c>
      <x:c r="BD27" s="10"/>
      <x:c r="BE27" s="9">
        <x:f t="shared" si="8"/>
        <x:v>-0.79200000000000004</x:v>
      </x:c>
      <x:c r="BF27" s="9" t="n">
        <x:f>0</x:f>
        <x:v>0</x:v>
      </x:c>
      <x:c r="BG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9" t="n">
        <x:f>ROUND(-1+26*2/240,3)</x:f>
        <x:v>-0.783</x:v>
      </x:c>
      <x:c r="B28" s="9" t="n">
        <x:f>IF(OR(Inputs!$F$6=TRUE,Inputs!$F$6="TRUE",Inputs!$F$6=1),(Inputs!$H$6+Inputs!$L$6*(((Inputs!$I$6+(((A28)+1)/2)*(Inputs!$J$6-Inputs!$I$6)))/Inputs!$K$6)^2),NA())</x:f>
        <x:v>402.452356</x:v>
      </x:c>
      <x:c r="C28" s="9" t="n">
        <x:f>IF(OR(Inputs!$F$7=TRUE,Inputs!$F$7="TRUE",Inputs!$F$7=1),(Inputs!$H$7+Inputs!$L$7*(((Inputs!$I$7+(((A28)+1)/2)*(Inputs!$J$7-Inputs!$I$7)))/Inputs!$K$7)^2),NA())</x:f>
        <x:v>258.77748500000007</x:v>
      </x:c>
      <x:c r="D28" s="9" t="n">
        <x:f>IF(OR(Inputs!$F$8=TRUE,Inputs!$F$8="TRUE",Inputs!$F$8=1),(Inputs!$H$8+Inputs!$L$8*(((Inputs!$I$8+(((A28)+1)/2)*(Inputs!$J$8-Inputs!$I$8)))/Inputs!$K$8)^2),NA())</x:f>
        <x:v>626.6308850000003</x:v>
      </x:c>
      <x:c r="E28" s="9" t="n">
        <x:f>IF(OR(Inputs!$F$9=TRUE,Inputs!$F$9="TRUE",Inputs!$F$9=1),(Inputs!$H$9+Inputs!$L$9*(((Inputs!$I$9+(((A28)+1)/2)*(Inputs!$J$9-Inputs!$I$9)))/Inputs!$K$9)^2),NA())</x:f>
        <x:v>622.7617750000002</x:v>
      </x:c>
      <x:c r="F28" s="10"/>
      <x:c r="G28" s="9">
        <x:f t="shared" si="0"/>
        <x:v>-0.78300000000000003</x:v>
      </x:c>
      <x:c r="H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10"/>
      <x:c r="M28" s="9">
        <x:f t="shared" si="1"/>
        <x:v>-0.78300000000000003</x:v>
      </x:c>
      <x:c r="N28" s="9"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9"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9"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9"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10"/>
      <x:c r="S28" s="9">
        <x:f t="shared" si="2"/>
        <x:v>-0.78300000000000003</x:v>
      </x:c>
      <x:c r="T28" s="9" t="n">
        <x:f>(Inputs!$I$6+(((A28)+1)/2)*(Inputs!$J$6-Inputs!$I$6))</x:f>
        <x:v>-46.980000000000004</x:v>
      </x:c>
      <x:c r="U28" s="9" t="n">
        <x:f>(Inputs!$I$7+(((A28)+1)/2)*(Inputs!$J$7-Inputs!$I$7))</x:f>
        <x:v>-313.20000000000005</x:v>
      </x:c>
      <x:c r="V28" s="9" t="n">
        <x:f>(Inputs!$I$8+(((A28)+1)/2)*(Inputs!$J$8-Inputs!$I$8))</x:f>
        <x:v>-626.4000000000001</x:v>
      </x:c>
      <x:c r="W28" s="9" t="n">
        <x:f>(Inputs!$I$9+(((A28)+1)/2)*(Inputs!$J$9-Inputs!$I$9))</x:f>
        <x:v>-626.4000000000001</x:v>
      </x:c>
      <x:c r="X28" s="10"/>
      <x:c r="Y28" s="9">
        <x:f t="shared" si="3"/>
        <x:v>-0.78300000000000003</x:v>
      </x:c>
      <x:c r="Z28" s="9" t="n">
        <x:f>(Inputs!$H$6+Inputs!$L$6*(((Inputs!$I$6+(((A28)+1)/2)*(Inputs!$J$6-Inputs!$I$6)))/Inputs!$K$6)^2)</x:f>
        <x:v>402.452356</x:v>
      </x:c>
      <x:c r="AA28" s="9" t="n">
        <x:f>(Inputs!$H$7+Inputs!$L$7*(((Inputs!$I$7+(((A28)+1)/2)*(Inputs!$J$7-Inputs!$I$7)))/Inputs!$K$7)^2)</x:f>
        <x:v>258.77748500000007</x:v>
      </x:c>
      <x:c r="AB28" s="9" t="n">
        <x:f>(Inputs!$H$8+Inputs!$L$8*(((Inputs!$I$8+(((A28)+1)/2)*(Inputs!$J$8-Inputs!$I$8)))/Inputs!$K$8)^2)</x:f>
        <x:v>626.6308850000003</x:v>
      </x:c>
      <x:c r="AC28" s="9" t="n">
        <x:f>(Inputs!$H$9+Inputs!$L$9*(((Inputs!$I$9+(((A28)+1)/2)*(Inputs!$J$9-Inputs!$I$9)))/Inputs!$K$9)^2)</x:f>
        <x:v>622.7617750000002</x:v>
      </x:c>
      <x:c r="AD28" s="10"/>
      <x:c r="AE28" s="9">
        <x:f t="shared" si="4"/>
        <x:v>-0.78300000000000003</x:v>
      </x:c>
      <x:c r="AF28" s="9"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9"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9"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9"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10"/>
      <x:c r="AK28" s="9">
        <x:f t="shared" si="5"/>
        <x:v>-0.78300000000000003</x:v>
      </x:c>
      <x:c r="AL28" s="9"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9"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9"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9"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10"/>
      <x:c r="AQ28" s="9">
        <x:f t="shared" si="6"/>
        <x:v>-0.78300000000000003</x:v>
      </x:c>
      <x:c r="AR28" s="9" t="n">
        <x:f>0</x:f>
        <x:v>0</x:v>
      </x:c>
      <x:c r="AS28" s="9"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x:f>
        <x:v>254.63529199517342</x:v>
      </x:c>
      <x:c r="AT28" s="9"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x:f>
        <x:v>97.13666626546501</x:v>
      </x:c>
      <x:c r="AU28" s="9"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x:f>
        <x:v>199.06597739804502</x:v>
      </x:c>
      <x:c r="AV28" s="9"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x:f>
        <x:v>199.06597739804502</x:v>
      </x:c>
      <x:c r="AW28" s="10"/>
      <x:c r="AX28" s="9">
        <x:f t="shared" si="7"/>
        <x:v>-0.78300000000000003</x:v>
      </x:c>
      <x:c r="AY28" s="9" t="n">
        <x:f>0</x:f>
        <x:v>0</x:v>
      </x:c>
      <x:c r="AZ28" s="9" t="n">
        <x:f>IF(OR(Inputs!$F$6=TRUE,Inputs!$F$6="TRUE",Inputs!$F$6=1),(Inputs!$H$6+Inputs!$L$6*(((Inputs!$I$6+(((A28)+1)/2)*(Inputs!$J$6-Inputs!$I$6)))/Inputs!$K$6)^2),NA())</x:f>
        <x:v>402.452356</x:v>
      </x:c>
      <x:c r="BA28" s="9" t="n">
        <x:f>IF(OR(Inputs!$F$7=TRUE,Inputs!$F$7="TRUE",Inputs!$F$7=1),(Inputs!$H$7+Inputs!$L$7*(((Inputs!$I$7+(((A28)+1)/2)*(Inputs!$J$7-Inputs!$I$7)))/Inputs!$K$7)^2),NA())</x:f>
        <x:v>258.77748500000007</x:v>
      </x:c>
      <x:c r="BB28" s="9" t="n">
        <x:f>IF(OR(Inputs!$F$8=TRUE,Inputs!$F$8="TRUE",Inputs!$F$8=1),(Inputs!$H$8+Inputs!$L$8*(((Inputs!$I$8+(((A28)+1)/2)*(Inputs!$J$8-Inputs!$I$8)))/Inputs!$K$8)^2),NA())</x:f>
        <x:v>626.6308850000003</x:v>
      </x:c>
      <x:c r="BC28" s="9" t="n">
        <x:f>IF(OR(Inputs!$F$9=TRUE,Inputs!$F$9="TRUE",Inputs!$F$9=1),(Inputs!$H$9+Inputs!$L$9*(((Inputs!$I$9+(((A28)+1)/2)*(Inputs!$J$9-Inputs!$I$9)))/Inputs!$K$9)^2),NA())</x:f>
        <x:v>622.7617750000002</x:v>
      </x:c>
      <x:c r="BD28" s="10"/>
      <x:c r="BE28" s="9">
        <x:f t="shared" si="8"/>
        <x:v>-0.78300000000000003</x:v>
      </x:c>
      <x:c r="BF28" s="9" t="n">
        <x:f>0</x:f>
        <x:v>0</x:v>
      </x:c>
      <x:c r="BG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9" t="n">
        <x:f>ROUND(-1+27*2/240,3)</x:f>
        <x:v>-0.775</x:v>
      </x:c>
      <x:c r="B29" s="9" t="n">
        <x:f>IF(OR(Inputs!$F$6=TRUE,Inputs!$F$6="TRUE",Inputs!$F$6=1),(Inputs!$H$6+Inputs!$L$6*(((Inputs!$I$6+(((A29)+1)/2)*(Inputs!$J$6-Inputs!$I$6)))/Inputs!$K$6)^2),NA())</x:f>
        <x:v>402.4025</x:v>
      </x:c>
      <x:c r="C29" s="9" t="n">
        <x:f>IF(OR(Inputs!$F$7=TRUE,Inputs!$F$7="TRUE",Inputs!$F$7=1),(Inputs!$H$7+Inputs!$L$7*(((Inputs!$I$7+(((A29)+1)/2)*(Inputs!$J$7-Inputs!$I$7)))/Inputs!$K$7)^2),NA())</x:f>
        <x:v>254.22812500000003</x:v>
      </x:c>
      <x:c r="D29" s="9" t="n">
        <x:f>IF(OR(Inputs!$F$8=TRUE,Inputs!$F$8="TRUE",Inputs!$F$8=1),(Inputs!$H$8+Inputs!$L$8*(((Inputs!$I$8+(((A29)+1)/2)*(Inputs!$J$8-Inputs!$I$8)))/Inputs!$K$8)^2),NA())</x:f>
        <x:v>614.6031250000001</x:v>
      </x:c>
      <x:c r="E29" s="9" t="n">
        <x:f>IF(OR(Inputs!$F$9=TRUE,Inputs!$F$9="TRUE",Inputs!$F$9=1),(Inputs!$H$9+Inputs!$L$9*(((Inputs!$I$9+(((A29)+1)/2)*(Inputs!$J$9-Inputs!$I$9)))/Inputs!$K$9)^2),NA())</x:f>
        <x:v>610.6093750000001</x:v>
      </x:c>
      <x:c r="F29" s="10"/>
      <x:c r="G29" s="9">
        <x:f t="shared" si="0"/>
        <x:v>-0.77500000000000002</x:v>
      </x:c>
      <x:c r="H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10"/>
      <x:c r="M29" s="9">
        <x:f t="shared" si="1"/>
        <x:v>-0.77500000000000002</x:v>
      </x:c>
      <x:c r="N29" s="9"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9"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9"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9"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10"/>
      <x:c r="S29" s="9">
        <x:f t="shared" si="2"/>
        <x:v>-0.77500000000000002</x:v>
      </x:c>
      <x:c r="T29" s="9" t="n">
        <x:f>(Inputs!$I$6+(((A29)+1)/2)*(Inputs!$J$6-Inputs!$I$6))</x:f>
        <x:v>-46.5</x:v>
      </x:c>
      <x:c r="U29" s="9" t="n">
        <x:f>(Inputs!$I$7+(((A29)+1)/2)*(Inputs!$J$7-Inputs!$I$7))</x:f>
        <x:v>-310</x:v>
      </x:c>
      <x:c r="V29" s="9" t="n">
        <x:f>(Inputs!$I$8+(((A29)+1)/2)*(Inputs!$J$8-Inputs!$I$8))</x:f>
        <x:v>-620</x:v>
      </x:c>
      <x:c r="W29" s="9" t="n">
        <x:f>(Inputs!$I$9+(((A29)+1)/2)*(Inputs!$J$9-Inputs!$I$9))</x:f>
        <x:v>-620</x:v>
      </x:c>
      <x:c r="X29" s="10"/>
      <x:c r="Y29" s="9">
        <x:f t="shared" si="3"/>
        <x:v>-0.77500000000000002</x:v>
      </x:c>
      <x:c r="Z29" s="9" t="n">
        <x:f>(Inputs!$H$6+Inputs!$L$6*(((Inputs!$I$6+(((A29)+1)/2)*(Inputs!$J$6-Inputs!$I$6)))/Inputs!$K$6)^2)</x:f>
        <x:v>402.4025</x:v>
      </x:c>
      <x:c r="AA29" s="9" t="n">
        <x:f>(Inputs!$H$7+Inputs!$L$7*(((Inputs!$I$7+(((A29)+1)/2)*(Inputs!$J$7-Inputs!$I$7)))/Inputs!$K$7)^2)</x:f>
        <x:v>254.22812500000003</x:v>
      </x:c>
      <x:c r="AB29" s="9" t="n">
        <x:f>(Inputs!$H$8+Inputs!$L$8*(((Inputs!$I$8+(((A29)+1)/2)*(Inputs!$J$8-Inputs!$I$8)))/Inputs!$K$8)^2)</x:f>
        <x:v>614.6031250000001</x:v>
      </x:c>
      <x:c r="AC29" s="9" t="n">
        <x:f>(Inputs!$H$9+Inputs!$L$9*(((Inputs!$I$9+(((A29)+1)/2)*(Inputs!$J$9-Inputs!$I$9)))/Inputs!$K$9)^2)</x:f>
        <x:v>610.6093750000001</x:v>
      </x:c>
      <x:c r="AD29" s="10"/>
      <x:c r="AE29" s="9">
        <x:f t="shared" si="4"/>
        <x:v>-0.77500000000000002</x:v>
      </x:c>
      <x:c r="AF29" s="9"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9"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9"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9"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10"/>
      <x:c r="AK29" s="9">
        <x:f t="shared" si="5"/>
        <x:v>-0.77500000000000002</x:v>
      </x:c>
      <x:c r="AL29" s="9"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9"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9"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9"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10"/>
      <x:c r="AQ29" s="9">
        <x:f t="shared" si="6"/>
        <x:v>-0.77500000000000002</x:v>
      </x:c>
      <x:c r="AR29" s="9" t="n">
        <x:f>0</x:f>
        <x:v>0</x:v>
      </x:c>
      <x:c r="AS29" s="9"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x:f>
        <x:v>253.748238320312</x:v>
      </x:c>
      <x:c r="AT29" s="9"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x:f>
        <x:v>90.56883677245813</x:v>
      </x:c>
      <x:c r="AU29" s="9"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x:f>
        <x:v>178.20756047601193</x:v>
      </x:c>
      <x:c r="AV29" s="9"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x:f>
        <x:v>178.20756047601193</x:v>
      </x:c>
      <x:c r="AW29" s="10"/>
      <x:c r="AX29" s="9">
        <x:f t="shared" si="7"/>
        <x:v>-0.77500000000000002</x:v>
      </x:c>
      <x:c r="AY29" s="9" t="n">
        <x:f>0</x:f>
        <x:v>0</x:v>
      </x:c>
      <x:c r="AZ29" s="9" t="n">
        <x:f>IF(OR(Inputs!$F$6=TRUE,Inputs!$F$6="TRUE",Inputs!$F$6=1),(Inputs!$H$6+Inputs!$L$6*(((Inputs!$I$6+(((A29)+1)/2)*(Inputs!$J$6-Inputs!$I$6)))/Inputs!$K$6)^2),NA())</x:f>
        <x:v>402.4025</x:v>
      </x:c>
      <x:c r="BA29" s="9" t="n">
        <x:f>IF(OR(Inputs!$F$7=TRUE,Inputs!$F$7="TRUE",Inputs!$F$7=1),(Inputs!$H$7+Inputs!$L$7*(((Inputs!$I$7+(((A29)+1)/2)*(Inputs!$J$7-Inputs!$I$7)))/Inputs!$K$7)^2),NA())</x:f>
        <x:v>254.22812500000003</x:v>
      </x:c>
      <x:c r="BB29" s="9" t="n">
        <x:f>IF(OR(Inputs!$F$8=TRUE,Inputs!$F$8="TRUE",Inputs!$F$8=1),(Inputs!$H$8+Inputs!$L$8*(((Inputs!$I$8+(((A29)+1)/2)*(Inputs!$J$8-Inputs!$I$8)))/Inputs!$K$8)^2),NA())</x:f>
        <x:v>614.6031250000001</x:v>
      </x:c>
      <x:c r="BC29" s="9" t="n">
        <x:f>IF(OR(Inputs!$F$9=TRUE,Inputs!$F$9="TRUE",Inputs!$F$9=1),(Inputs!$H$9+Inputs!$L$9*(((Inputs!$I$9+(((A29)+1)/2)*(Inputs!$J$9-Inputs!$I$9)))/Inputs!$K$9)^2),NA())</x:f>
        <x:v>610.6093750000001</x:v>
      </x:c>
      <x:c r="BD29" s="10"/>
      <x:c r="BE29" s="9">
        <x:f t="shared" si="8"/>
        <x:v>-0.77500000000000002</x:v>
      </x:c>
      <x:c r="BF29" s="9" t="n">
        <x:f>0</x:f>
        <x:v>0</x:v>
      </x:c>
      <x:c r="BG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9" t="n">
        <x:f>ROUND(-1+28*2/240,3)</x:f>
        <x:v>-0.767</x:v>
      </x:c>
      <x:c r="B30" s="9" t="n">
        <x:f>IF(OR(Inputs!$F$6=TRUE,Inputs!$F$6="TRUE",Inputs!$F$6=1),(Inputs!$H$6+Inputs!$L$6*(((Inputs!$I$6+(((A30)+1)/2)*(Inputs!$J$6-Inputs!$I$6)))/Inputs!$K$6)^2),NA())</x:f>
        <x:v>402.353156</x:v>
      </x:c>
      <x:c r="C30" s="9" t="n">
        <x:f>IF(OR(Inputs!$F$7=TRUE,Inputs!$F$7="TRUE",Inputs!$F$7=1),(Inputs!$H$7+Inputs!$L$7*(((Inputs!$I$7+(((A30)+1)/2)*(Inputs!$J$7-Inputs!$I$7)))/Inputs!$K$7)^2),NA())</x:f>
        <x:v>249.72548500000002</x:v>
      </x:c>
      <x:c r="D30" s="9" t="n">
        <x:f>IF(OR(Inputs!$F$8=TRUE,Inputs!$F$8="TRUE",Inputs!$F$8=1),(Inputs!$H$8+Inputs!$L$8*(((Inputs!$I$8+(((A30)+1)/2)*(Inputs!$J$8-Inputs!$I$8)))/Inputs!$K$8)^2),NA())</x:f>
        <x:v>602.698885</x:v>
      </x:c>
      <x:c r="E30" s="9" t="n">
        <x:f>IF(OR(Inputs!$F$9=TRUE,Inputs!$F$9="TRUE",Inputs!$F$9=1),(Inputs!$H$9+Inputs!$L$9*(((Inputs!$I$9+(((A30)+1)/2)*(Inputs!$J$9-Inputs!$I$9)))/Inputs!$K$9)^2),NA())</x:f>
        <x:v>598.5817750000001</x:v>
      </x:c>
      <x:c r="F30" s="10"/>
      <x:c r="G30" s="9">
        <x:f t="shared" si="0"/>
        <x:v>-0.76700000000000002</x:v>
      </x:c>
      <x:c r="H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10"/>
      <x:c r="M30" s="9">
        <x:f t="shared" si="1"/>
        <x:v>-0.76700000000000002</x:v>
      </x:c>
      <x:c r="N30" s="9"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9"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9"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9"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10"/>
      <x:c r="S30" s="9">
        <x:f t="shared" si="2"/>
        <x:v>-0.76700000000000002</x:v>
      </x:c>
      <x:c r="T30" s="9" t="n">
        <x:f>(Inputs!$I$6+(((A30)+1)/2)*(Inputs!$J$6-Inputs!$I$6))</x:f>
        <x:v>-46.02</x:v>
      </x:c>
      <x:c r="U30" s="9" t="n">
        <x:f>(Inputs!$I$7+(((A30)+1)/2)*(Inputs!$J$7-Inputs!$I$7))</x:f>
        <x:v>-306.8</x:v>
      </x:c>
      <x:c r="V30" s="9" t="n">
        <x:f>(Inputs!$I$8+(((A30)+1)/2)*(Inputs!$J$8-Inputs!$I$8))</x:f>
        <x:v>-613.6</x:v>
      </x:c>
      <x:c r="W30" s="9" t="n">
        <x:f>(Inputs!$I$9+(((A30)+1)/2)*(Inputs!$J$9-Inputs!$I$9))</x:f>
        <x:v>-613.6</x:v>
      </x:c>
      <x:c r="X30" s="10"/>
      <x:c r="Y30" s="9">
        <x:f t="shared" si="3"/>
        <x:v>-0.76700000000000002</x:v>
      </x:c>
      <x:c r="Z30" s="9" t="n">
        <x:f>(Inputs!$H$6+Inputs!$L$6*(((Inputs!$I$6+(((A30)+1)/2)*(Inputs!$J$6-Inputs!$I$6)))/Inputs!$K$6)^2)</x:f>
        <x:v>402.353156</x:v>
      </x:c>
      <x:c r="AA30" s="9" t="n">
        <x:f>(Inputs!$H$7+Inputs!$L$7*(((Inputs!$I$7+(((A30)+1)/2)*(Inputs!$J$7-Inputs!$I$7)))/Inputs!$K$7)^2)</x:f>
        <x:v>249.72548500000002</x:v>
      </x:c>
      <x:c r="AB30" s="9" t="n">
        <x:f>(Inputs!$H$8+Inputs!$L$8*(((Inputs!$I$8+(((A30)+1)/2)*(Inputs!$J$8-Inputs!$I$8)))/Inputs!$K$8)^2)</x:f>
        <x:v>602.698885</x:v>
      </x:c>
      <x:c r="AC30" s="9" t="n">
        <x:f>(Inputs!$H$9+Inputs!$L$9*(((Inputs!$I$9+(((A30)+1)/2)*(Inputs!$J$9-Inputs!$I$9)))/Inputs!$K$9)^2)</x:f>
        <x:v>598.5817750000001</x:v>
      </x:c>
      <x:c r="AD30" s="10"/>
      <x:c r="AE30" s="9">
        <x:f t="shared" si="4"/>
        <x:v>-0.76700000000000002</x:v>
      </x:c>
      <x:c r="AF30" s="9"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9"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9"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9"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10"/>
      <x:c r="AK30" s="9">
        <x:f t="shared" si="5"/>
        <x:v>-0.76700000000000002</x:v>
      </x:c>
      <x:c r="AL30" s="9"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9"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9"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9"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10"/>
      <x:c r="AQ30" s="9">
        <x:f t="shared" si="6"/>
        <x:v>-0.76700000000000002</x:v>
      </x:c>
      <x:c r="AR30" s="9" t="n">
        <x:f>0</x:f>
        <x:v>0</x:v>
      </x:c>
      <x:c r="AS30" s="9"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x:f>
        <x:v>227.51735986959815</x:v>
      </x:c>
      <x:c r="AT30" s="9"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x:f>
        <x:v>137.84985488141712</x:v>
      </x:c>
      <x:c r="AU30" s="9"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x:f>
        <x:v>109.75575537848928</x:v>
      </x:c>
      <x:c r="AV30" s="9"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x:f>
        <x:v>109.75575537848928</x:v>
      </x:c>
      <x:c r="AW30" s="10"/>
      <x:c r="AX30" s="9">
        <x:f t="shared" si="7"/>
        <x:v>-0.76700000000000002</x:v>
      </x:c>
      <x:c r="AY30" s="9" t="n">
        <x:f>0</x:f>
        <x:v>0</x:v>
      </x:c>
      <x:c r="AZ30" s="9" t="n">
        <x:f>IF(OR(Inputs!$F$6=TRUE,Inputs!$F$6="TRUE",Inputs!$F$6=1),(Inputs!$H$6+Inputs!$L$6*(((Inputs!$I$6+(((A30)+1)/2)*(Inputs!$J$6-Inputs!$I$6)))/Inputs!$K$6)^2),NA())</x:f>
        <x:v>402.353156</x:v>
      </x:c>
      <x:c r="BA30" s="9" t="n">
        <x:f>IF(OR(Inputs!$F$7=TRUE,Inputs!$F$7="TRUE",Inputs!$F$7=1),(Inputs!$H$7+Inputs!$L$7*(((Inputs!$I$7+(((A30)+1)/2)*(Inputs!$J$7-Inputs!$I$7)))/Inputs!$K$7)^2),NA())</x:f>
        <x:v>249.72548500000002</x:v>
      </x:c>
      <x:c r="BB30" s="9" t="n">
        <x:f>IF(OR(Inputs!$F$8=TRUE,Inputs!$F$8="TRUE",Inputs!$F$8=1),(Inputs!$H$8+Inputs!$L$8*(((Inputs!$I$8+(((A30)+1)/2)*(Inputs!$J$8-Inputs!$I$8)))/Inputs!$K$8)^2),NA())</x:f>
        <x:v>602.698885</x:v>
      </x:c>
      <x:c r="BC30" s="9" t="n">
        <x:f>IF(OR(Inputs!$F$9=TRUE,Inputs!$F$9="TRUE",Inputs!$F$9=1),(Inputs!$H$9+Inputs!$L$9*(((Inputs!$I$9+(((A30)+1)/2)*(Inputs!$J$9-Inputs!$I$9)))/Inputs!$K$9)^2),NA())</x:f>
        <x:v>598.5817750000001</x:v>
      </x:c>
      <x:c r="BD30" s="10"/>
      <x:c r="BE30" s="9">
        <x:f t="shared" si="8"/>
        <x:v>-0.76700000000000002</x:v>
      </x:c>
      <x:c r="BF30" s="9" t="n">
        <x:f>0</x:f>
        <x:v>0</x:v>
      </x:c>
      <x:c r="BG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9" t="n">
        <x:f>ROUND(-1+29*2/240,3)</x:f>
        <x:v>-0.758</x:v>
      </x:c>
      <x:c r="B31" s="9" t="n">
        <x:f>IF(OR(Inputs!$F$6=TRUE,Inputs!$F$6="TRUE",Inputs!$F$6=1),(Inputs!$H$6+Inputs!$L$6*(((Inputs!$I$6+(((A31)+1)/2)*(Inputs!$J$6-Inputs!$I$6)))/Inputs!$K$6)^2),NA())</x:f>
        <x:v>402.298256</x:v>
      </x:c>
      <x:c r="C31" s="9" t="n">
        <x:f>IF(OR(Inputs!$F$7=TRUE,Inputs!$F$7="TRUE",Inputs!$F$7=1),(Inputs!$H$7+Inputs!$L$7*(((Inputs!$I$7+(((A31)+1)/2)*(Inputs!$J$7-Inputs!$I$7)))/Inputs!$K$7)^2),NA())</x:f>
        <x:v>244.71586</x:v>
      </x:c>
      <x:c r="D31" s="9" t="n">
        <x:f>IF(OR(Inputs!$F$8=TRUE,Inputs!$F$8="TRUE",Inputs!$F$8=1),(Inputs!$H$8+Inputs!$L$8*(((Inputs!$I$8+(((A31)+1)/2)*(Inputs!$J$8-Inputs!$I$8)))/Inputs!$K$8)^2),NA())</x:f>
        <x:v>589.45426</x:v>
      </x:c>
      <x:c r="E31" s="9" t="n">
        <x:f>IF(OR(Inputs!$F$9=TRUE,Inputs!$F$9="TRUE",Inputs!$F$9=1),(Inputs!$H$9+Inputs!$L$9*(((Inputs!$I$9+(((A31)+1)/2)*(Inputs!$J$9-Inputs!$I$9)))/Inputs!$K$9)^2),NA())</x:f>
        <x:v>585.1999</x:v>
      </x:c>
      <x:c r="F31" s="10"/>
      <x:c r="G31" s="9">
        <x:f t="shared" si="0"/>
        <x:v>-0.75800000000000001</x:v>
      </x:c>
      <x:c r="H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10"/>
      <x:c r="M31" s="9">
        <x:f t="shared" si="1"/>
        <x:v>-0.75800000000000001</x:v>
      </x:c>
      <x:c r="N31" s="9"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9"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9"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9"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10"/>
      <x:c r="S31" s="9">
        <x:f t="shared" si="2"/>
        <x:v>-0.75800000000000001</x:v>
      </x:c>
      <x:c r="T31" s="9" t="n">
        <x:f>(Inputs!$I$6+(((A31)+1)/2)*(Inputs!$J$6-Inputs!$I$6))</x:f>
        <x:v>-45.480000000000004</x:v>
      </x:c>
      <x:c r="U31" s="9" t="n">
        <x:f>(Inputs!$I$7+(((A31)+1)/2)*(Inputs!$J$7-Inputs!$I$7))</x:f>
        <x:v>-303.2</x:v>
      </x:c>
      <x:c r="V31" s="9" t="n">
        <x:f>(Inputs!$I$8+(((A31)+1)/2)*(Inputs!$J$8-Inputs!$I$8))</x:f>
        <x:v>-606.4</x:v>
      </x:c>
      <x:c r="W31" s="9" t="n">
        <x:f>(Inputs!$I$9+(((A31)+1)/2)*(Inputs!$J$9-Inputs!$I$9))</x:f>
        <x:v>-606.4</x:v>
      </x:c>
      <x:c r="X31" s="10"/>
      <x:c r="Y31" s="9">
        <x:f t="shared" si="3"/>
        <x:v>-0.75800000000000001</x:v>
      </x:c>
      <x:c r="Z31" s="9" t="n">
        <x:f>(Inputs!$H$6+Inputs!$L$6*(((Inputs!$I$6+(((A31)+1)/2)*(Inputs!$J$6-Inputs!$I$6)))/Inputs!$K$6)^2)</x:f>
        <x:v>402.298256</x:v>
      </x:c>
      <x:c r="AA31" s="9" t="n">
        <x:f>(Inputs!$H$7+Inputs!$L$7*(((Inputs!$I$7+(((A31)+1)/2)*(Inputs!$J$7-Inputs!$I$7)))/Inputs!$K$7)^2)</x:f>
        <x:v>244.71586</x:v>
      </x:c>
      <x:c r="AB31" s="9" t="n">
        <x:f>(Inputs!$H$8+Inputs!$L$8*(((Inputs!$I$8+(((A31)+1)/2)*(Inputs!$J$8-Inputs!$I$8)))/Inputs!$K$8)^2)</x:f>
        <x:v>589.45426</x:v>
      </x:c>
      <x:c r="AC31" s="9" t="n">
        <x:f>(Inputs!$H$9+Inputs!$L$9*(((Inputs!$I$9+(((A31)+1)/2)*(Inputs!$J$9-Inputs!$I$9)))/Inputs!$K$9)^2)</x:f>
        <x:v>585.1999</x:v>
      </x:c>
      <x:c r="AD31" s="10"/>
      <x:c r="AE31" s="9">
        <x:f t="shared" si="4"/>
        <x:v>-0.75800000000000001</x:v>
      </x:c>
      <x:c r="AF31" s="9"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9"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9"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9"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10"/>
      <x:c r="AK31" s="9">
        <x:f t="shared" si="5"/>
        <x:v>-0.75800000000000001</x:v>
      </x:c>
      <x:c r="AL31" s="9"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9"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9"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9"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10"/>
      <x:c r="AQ31" s="9">
        <x:f t="shared" si="6"/>
        <x:v>-0.75800000000000001</x:v>
      </x:c>
      <x:c r="AR31" s="9" t="n">
        <x:f>0</x:f>
        <x:v>0</x:v>
      </x:c>
      <x:c r="AS31" s="9"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x:f>
        <x:v>219.8221031321638</x:v>
      </x:c>
      <x:c r="AT31" s="9"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x:f>
        <x:v>168.4652257883235</x:v>
      </x:c>
      <x:c r="AU31" s="9"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x:f>
        <x:v>237.0533659753516</x:v>
      </x:c>
      <x:c r="AV31" s="9"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x:f>
        <x:v>237.0533659753516</x:v>
      </x:c>
      <x:c r="AW31" s="10"/>
      <x:c r="AX31" s="9">
        <x:f t="shared" si="7"/>
        <x:v>-0.75800000000000001</x:v>
      </x:c>
      <x:c r="AY31" s="9" t="n">
        <x:f>0</x:f>
        <x:v>0</x:v>
      </x:c>
      <x:c r="AZ31" s="9" t="n">
        <x:f>IF(OR(Inputs!$F$6=TRUE,Inputs!$F$6="TRUE",Inputs!$F$6=1),(Inputs!$H$6+Inputs!$L$6*(((Inputs!$I$6+(((A31)+1)/2)*(Inputs!$J$6-Inputs!$I$6)))/Inputs!$K$6)^2),NA())</x:f>
        <x:v>402.298256</x:v>
      </x:c>
      <x:c r="BA31" s="9" t="n">
        <x:f>IF(OR(Inputs!$F$7=TRUE,Inputs!$F$7="TRUE",Inputs!$F$7=1),(Inputs!$H$7+Inputs!$L$7*(((Inputs!$I$7+(((A31)+1)/2)*(Inputs!$J$7-Inputs!$I$7)))/Inputs!$K$7)^2),NA())</x:f>
        <x:v>244.71586</x:v>
      </x:c>
      <x:c r="BB31" s="9" t="n">
        <x:f>IF(OR(Inputs!$F$8=TRUE,Inputs!$F$8="TRUE",Inputs!$F$8=1),(Inputs!$H$8+Inputs!$L$8*(((Inputs!$I$8+(((A31)+1)/2)*(Inputs!$J$8-Inputs!$I$8)))/Inputs!$K$8)^2),NA())</x:f>
        <x:v>589.45426</x:v>
      </x:c>
      <x:c r="BC31" s="9" t="n">
        <x:f>IF(OR(Inputs!$F$9=TRUE,Inputs!$F$9="TRUE",Inputs!$F$9=1),(Inputs!$H$9+Inputs!$L$9*(((Inputs!$I$9+(((A31)+1)/2)*(Inputs!$J$9-Inputs!$I$9)))/Inputs!$K$9)^2),NA())</x:f>
        <x:v>585.1999</x:v>
      </x:c>
      <x:c r="BD31" s="10"/>
      <x:c r="BE31" s="9">
        <x:f t="shared" si="8"/>
        <x:v>-0.75800000000000001</x:v>
      </x:c>
      <x:c r="BF31" s="9" t="n">
        <x:f>0</x:f>
        <x:v>0</x:v>
      </x:c>
      <x:c r="BG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9" t="n">
        <x:f>ROUND(-1+30*2/240,3)</x:f>
        <x:v>-0.75</x:v>
      </x:c>
      <x:c r="B32" s="9" t="n">
        <x:f>IF(OR(Inputs!$F$6=TRUE,Inputs!$F$6="TRUE",Inputs!$F$6=1),(Inputs!$H$6+Inputs!$L$6*(((Inputs!$I$6+(((A32)+1)/2)*(Inputs!$J$6-Inputs!$I$6)))/Inputs!$K$6)^2),NA())</x:f>
        <x:v>402.25</x:v>
      </x:c>
      <x:c r="C32" s="9" t="n">
        <x:f>IF(OR(Inputs!$F$7=TRUE,Inputs!$F$7="TRUE",Inputs!$F$7=1),(Inputs!$H$7+Inputs!$L$7*(((Inputs!$I$7+(((A32)+1)/2)*(Inputs!$J$7-Inputs!$I$7)))/Inputs!$K$7)^2),NA())</x:f>
        <x:v>240.3125</x:v>
      </x:c>
      <x:c r="D32" s="9" t="n">
        <x:f>IF(OR(Inputs!$F$8=TRUE,Inputs!$F$8="TRUE",Inputs!$F$8=1),(Inputs!$H$8+Inputs!$L$8*(((Inputs!$I$8+(((A32)+1)/2)*(Inputs!$J$8-Inputs!$I$8)))/Inputs!$K$8)^2),NA())</x:f>
        <x:v>577.8125</x:v>
      </x:c>
      <x:c r="E32" s="9" t="n">
        <x:f>IF(OR(Inputs!$F$9=TRUE,Inputs!$F$9="TRUE",Inputs!$F$9=1),(Inputs!$H$9+Inputs!$L$9*(((Inputs!$I$9+(((A32)+1)/2)*(Inputs!$J$9-Inputs!$I$9)))/Inputs!$K$9)^2),NA())</x:f>
        <x:v>573.4375</x:v>
      </x:c>
      <x:c r="F32" s="10"/>
      <x:c r="G32" s="9">
        <x:f t="shared" si="0"/>
        <x:v>-0.75</x:v>
      </x:c>
      <x:c r="H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10"/>
      <x:c r="M32" s="9">
        <x:f t="shared" si="1"/>
        <x:v>-0.75</x:v>
      </x:c>
      <x:c r="N32" s="9"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9"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9"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9"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10"/>
      <x:c r="S32" s="9">
        <x:f t="shared" si="2"/>
        <x:v>-0.75</x:v>
      </x:c>
      <x:c r="T32" s="9" t="n">
        <x:f>(Inputs!$I$6+(((A32)+1)/2)*(Inputs!$J$6-Inputs!$I$6))</x:f>
        <x:v>-45</x:v>
      </x:c>
      <x:c r="U32" s="9" t="n">
        <x:f>(Inputs!$I$7+(((A32)+1)/2)*(Inputs!$J$7-Inputs!$I$7))</x:f>
        <x:v>-300</x:v>
      </x:c>
      <x:c r="V32" s="9" t="n">
        <x:f>(Inputs!$I$8+(((A32)+1)/2)*(Inputs!$J$8-Inputs!$I$8))</x:f>
        <x:v>-600</x:v>
      </x:c>
      <x:c r="W32" s="9" t="n">
        <x:f>(Inputs!$I$9+(((A32)+1)/2)*(Inputs!$J$9-Inputs!$I$9))</x:f>
        <x:v>-600</x:v>
      </x:c>
      <x:c r="X32" s="10"/>
      <x:c r="Y32" s="9">
        <x:f t="shared" si="3"/>
        <x:v>-0.75</x:v>
      </x:c>
      <x:c r="Z32" s="9" t="n">
        <x:f>(Inputs!$H$6+Inputs!$L$6*(((Inputs!$I$6+(((A32)+1)/2)*(Inputs!$J$6-Inputs!$I$6)))/Inputs!$K$6)^2)</x:f>
        <x:v>402.25</x:v>
      </x:c>
      <x:c r="AA32" s="9" t="n">
        <x:f>(Inputs!$H$7+Inputs!$L$7*(((Inputs!$I$7+(((A32)+1)/2)*(Inputs!$J$7-Inputs!$I$7)))/Inputs!$K$7)^2)</x:f>
        <x:v>240.3125</x:v>
      </x:c>
      <x:c r="AB32" s="9" t="n">
        <x:f>(Inputs!$H$8+Inputs!$L$8*(((Inputs!$I$8+(((A32)+1)/2)*(Inputs!$J$8-Inputs!$I$8)))/Inputs!$K$8)^2)</x:f>
        <x:v>577.8125</x:v>
      </x:c>
      <x:c r="AC32" s="9" t="n">
        <x:f>(Inputs!$H$9+Inputs!$L$9*(((Inputs!$I$9+(((A32)+1)/2)*(Inputs!$J$9-Inputs!$I$9)))/Inputs!$K$9)^2)</x:f>
        <x:v>573.4375</x:v>
      </x:c>
      <x:c r="AD32" s="10"/>
      <x:c r="AE32" s="9">
        <x:f t="shared" si="4"/>
        <x:v>-0.75</x:v>
      </x:c>
      <x:c r="AF32" s="9"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9"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9"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9"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10"/>
      <x:c r="AK32" s="9">
        <x:f t="shared" si="5"/>
        <x:v>-0.75</x:v>
      </x:c>
      <x:c r="AL32" s="9"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9"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9"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9"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10"/>
      <x:c r="AQ32" s="9">
        <x:f t="shared" si="6"/>
        <x:v>-0.75</x:v>
      </x:c>
      <x:c r="AR32" s="9" t="n">
        <x:f>0</x:f>
        <x:v>0</x:v>
      </x:c>
      <x:c r="AS32" s="9"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x:f>
        <x:v>208.8220272535724</x:v>
      </x:c>
      <x:c r="AT32" s="9"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x:f>
        <x:v>172.6892729513056</x:v>
      </x:c>
      <x:c r="AU32" s="9"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x:f>
        <x:v>77.587070989353</x:v>
      </x:c>
      <x:c r="AV32" s="9"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x:f>
        <x:v>77.587070989353</x:v>
      </x:c>
      <x:c r="AW32" s="10"/>
      <x:c r="AX32" s="9">
        <x:f t="shared" si="7"/>
        <x:v>-0.75</x:v>
      </x:c>
      <x:c r="AY32" s="9" t="n">
        <x:f>0</x:f>
        <x:v>0</x:v>
      </x:c>
      <x:c r="AZ32" s="9" t="n">
        <x:f>IF(OR(Inputs!$F$6=TRUE,Inputs!$F$6="TRUE",Inputs!$F$6=1),(Inputs!$H$6+Inputs!$L$6*(((Inputs!$I$6+(((A32)+1)/2)*(Inputs!$J$6-Inputs!$I$6)))/Inputs!$K$6)^2),NA())</x:f>
        <x:v>402.25</x:v>
      </x:c>
      <x:c r="BA32" s="9" t="n">
        <x:f>IF(OR(Inputs!$F$7=TRUE,Inputs!$F$7="TRUE",Inputs!$F$7=1),(Inputs!$H$7+Inputs!$L$7*(((Inputs!$I$7+(((A32)+1)/2)*(Inputs!$J$7-Inputs!$I$7)))/Inputs!$K$7)^2),NA())</x:f>
        <x:v>240.3125</x:v>
      </x:c>
      <x:c r="BB32" s="9" t="n">
        <x:f>IF(OR(Inputs!$F$8=TRUE,Inputs!$F$8="TRUE",Inputs!$F$8=1),(Inputs!$H$8+Inputs!$L$8*(((Inputs!$I$8+(((A32)+1)/2)*(Inputs!$J$8-Inputs!$I$8)))/Inputs!$K$8)^2),NA())</x:f>
        <x:v>577.8125</x:v>
      </x:c>
      <x:c r="BC32" s="9" t="n">
        <x:f>IF(OR(Inputs!$F$9=TRUE,Inputs!$F$9="TRUE",Inputs!$F$9=1),(Inputs!$H$9+Inputs!$L$9*(((Inputs!$I$9+(((A32)+1)/2)*(Inputs!$J$9-Inputs!$I$9)))/Inputs!$K$9)^2),NA())</x:f>
        <x:v>573.4375</x:v>
      </x:c>
      <x:c r="BD32" s="10"/>
      <x:c r="BE32" s="9">
        <x:f t="shared" si="8"/>
        <x:v>-0.75</x:v>
      </x:c>
      <x:c r="BF32" s="9" t="n">
        <x:f>0</x:f>
        <x:v>0</x:v>
      </x:c>
      <x:c r="BG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9" t="n">
        <x:f>ROUND(-1+31*2/240,3)</x:f>
        <x:v>-0.742</x:v>
      </x:c>
      <x:c r="B33" s="9" t="n">
        <x:f>IF(OR(Inputs!$F$6=TRUE,Inputs!$F$6="TRUE",Inputs!$F$6=1),(Inputs!$H$6+Inputs!$L$6*(((Inputs!$I$6+(((A33)+1)/2)*(Inputs!$J$6-Inputs!$I$6)))/Inputs!$K$6)^2),NA())</x:f>
        <x:v>402.202256</x:v>
      </x:c>
      <x:c r="C33" s="9" t="n">
        <x:f>IF(OR(Inputs!$F$7=TRUE,Inputs!$F$7="TRUE",Inputs!$F$7=1),(Inputs!$H$7+Inputs!$L$7*(((Inputs!$I$7+(((A33)+1)/2)*(Inputs!$J$7-Inputs!$I$7)))/Inputs!$K$7)^2),NA())</x:f>
        <x:v>235.95585999999997</x:v>
      </x:c>
      <x:c r="D33" s="9" t="n">
        <x:f>IF(OR(Inputs!$F$8=TRUE,Inputs!$F$8="TRUE",Inputs!$F$8=1),(Inputs!$H$8+Inputs!$L$8*(((Inputs!$I$8+(((A33)+1)/2)*(Inputs!$J$8-Inputs!$I$8)))/Inputs!$K$8)^2),NA())</x:f>
        <x:v>566.2942599999999</x:v>
      </x:c>
      <x:c r="E33" s="9" t="n">
        <x:f>IF(OR(Inputs!$F$9=TRUE,Inputs!$F$9="TRUE",Inputs!$F$9=1),(Inputs!$H$9+Inputs!$L$9*(((Inputs!$I$9+(((A33)+1)/2)*(Inputs!$J$9-Inputs!$I$9)))/Inputs!$K$9)^2),NA())</x:f>
        <x:v>561.7999</x:v>
      </x:c>
      <x:c r="F33" s="10"/>
      <x:c r="G33" s="9">
        <x:f t="shared" si="0"/>
        <x:v>-0.74199999999999999</x:v>
      </x:c>
      <x:c r="H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10"/>
      <x:c r="M33" s="9">
        <x:f t="shared" si="1"/>
        <x:v>-0.74199999999999999</x:v>
      </x:c>
      <x:c r="N33" s="9"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9"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9"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9"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10"/>
      <x:c r="S33" s="9">
        <x:f t="shared" si="2"/>
        <x:v>-0.74199999999999999</x:v>
      </x:c>
      <x:c r="T33" s="9" t="n">
        <x:f>(Inputs!$I$6+(((A33)+1)/2)*(Inputs!$J$6-Inputs!$I$6))</x:f>
        <x:v>-44.519999999999996</x:v>
      </x:c>
      <x:c r="U33" s="9" t="n">
        <x:f>(Inputs!$I$7+(((A33)+1)/2)*(Inputs!$J$7-Inputs!$I$7))</x:f>
        <x:v>-296.8</x:v>
      </x:c>
      <x:c r="V33" s="9" t="n">
        <x:f>(Inputs!$I$8+(((A33)+1)/2)*(Inputs!$J$8-Inputs!$I$8))</x:f>
        <x:v>-593.6</x:v>
      </x:c>
      <x:c r="W33" s="9" t="n">
        <x:f>(Inputs!$I$9+(((A33)+1)/2)*(Inputs!$J$9-Inputs!$I$9))</x:f>
        <x:v>-593.6</x:v>
      </x:c>
      <x:c r="X33" s="10"/>
      <x:c r="Y33" s="9">
        <x:f t="shared" si="3"/>
        <x:v>-0.74199999999999999</x:v>
      </x:c>
      <x:c r="Z33" s="9" t="n">
        <x:f>(Inputs!$H$6+Inputs!$L$6*(((Inputs!$I$6+(((A33)+1)/2)*(Inputs!$J$6-Inputs!$I$6)))/Inputs!$K$6)^2)</x:f>
        <x:v>402.202256</x:v>
      </x:c>
      <x:c r="AA33" s="9" t="n">
        <x:f>(Inputs!$H$7+Inputs!$L$7*(((Inputs!$I$7+(((A33)+1)/2)*(Inputs!$J$7-Inputs!$I$7)))/Inputs!$K$7)^2)</x:f>
        <x:v>235.95585999999997</x:v>
      </x:c>
      <x:c r="AB33" s="9" t="n">
        <x:f>(Inputs!$H$8+Inputs!$L$8*(((Inputs!$I$8+(((A33)+1)/2)*(Inputs!$J$8-Inputs!$I$8)))/Inputs!$K$8)^2)</x:f>
        <x:v>566.2942599999999</x:v>
      </x:c>
      <x:c r="AC33" s="9" t="n">
        <x:f>(Inputs!$H$9+Inputs!$L$9*(((Inputs!$I$9+(((A33)+1)/2)*(Inputs!$J$9-Inputs!$I$9)))/Inputs!$K$9)^2)</x:f>
        <x:v>561.7999</x:v>
      </x:c>
      <x:c r="AD33" s="10"/>
      <x:c r="AE33" s="9">
        <x:f t="shared" si="4"/>
        <x:v>-0.74199999999999999</x:v>
      </x:c>
      <x:c r="AF33" s="9"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9"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9"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9"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10"/>
      <x:c r="AK33" s="9">
        <x:f t="shared" si="5"/>
        <x:v>-0.74199999999999999</x:v>
      </x:c>
      <x:c r="AL33" s="9"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9"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9"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9"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10"/>
      <x:c r="AQ33" s="9">
        <x:f t="shared" si="6"/>
        <x:v>-0.74199999999999999</x:v>
      </x:c>
      <x:c r="AR33" s="9" t="n">
        <x:f>0</x:f>
        <x:v>0</x:v>
      </x:c>
      <x:c r="AS33" s="9"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x:f>
        <x:v>213.11731003163493</x:v>
      </x:c>
      <x:c r="AT33" s="9"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x:f>
        <x:v>127.26970521376022</x:v>
      </x:c>
      <x:c r="AU33" s="9"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x:f>
        <x:v>165.6434772081614</x:v>
      </x:c>
      <x:c r="AV33" s="9"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x:f>
        <x:v>165.6434772081614</x:v>
      </x:c>
      <x:c r="AW33" s="10"/>
      <x:c r="AX33" s="9">
        <x:f t="shared" si="7"/>
        <x:v>-0.74199999999999999</x:v>
      </x:c>
      <x:c r="AY33" s="9" t="n">
        <x:f>0</x:f>
        <x:v>0</x:v>
      </x:c>
      <x:c r="AZ33" s="9" t="n">
        <x:f>IF(OR(Inputs!$F$6=TRUE,Inputs!$F$6="TRUE",Inputs!$F$6=1),(Inputs!$H$6+Inputs!$L$6*(((Inputs!$I$6+(((A33)+1)/2)*(Inputs!$J$6-Inputs!$I$6)))/Inputs!$K$6)^2),NA())</x:f>
        <x:v>402.202256</x:v>
      </x:c>
      <x:c r="BA33" s="9" t="n">
        <x:f>IF(OR(Inputs!$F$7=TRUE,Inputs!$F$7="TRUE",Inputs!$F$7=1),(Inputs!$H$7+Inputs!$L$7*(((Inputs!$I$7+(((A33)+1)/2)*(Inputs!$J$7-Inputs!$I$7)))/Inputs!$K$7)^2),NA())</x:f>
        <x:v>235.95585999999997</x:v>
      </x:c>
      <x:c r="BB33" s="9" t="n">
        <x:f>IF(OR(Inputs!$F$8=TRUE,Inputs!$F$8="TRUE",Inputs!$F$8=1),(Inputs!$H$8+Inputs!$L$8*(((Inputs!$I$8+(((A33)+1)/2)*(Inputs!$J$8-Inputs!$I$8)))/Inputs!$K$8)^2),NA())</x:f>
        <x:v>566.2942599999999</x:v>
      </x:c>
      <x:c r="BC33" s="9" t="n">
        <x:f>IF(OR(Inputs!$F$9=TRUE,Inputs!$F$9="TRUE",Inputs!$F$9=1),(Inputs!$H$9+Inputs!$L$9*(((Inputs!$I$9+(((A33)+1)/2)*(Inputs!$J$9-Inputs!$I$9)))/Inputs!$K$9)^2),NA())</x:f>
        <x:v>561.7999</x:v>
      </x:c>
      <x:c r="BD33" s="10"/>
      <x:c r="BE33" s="9">
        <x:f t="shared" si="8"/>
        <x:v>-0.74199999999999999</x:v>
      </x:c>
      <x:c r="BF33" s="9" t="n">
        <x:f>0</x:f>
        <x:v>0</x:v>
      </x:c>
      <x:c r="BG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9" t="n">
        <x:f>ROUND(-1+32*2/240,3)</x:f>
        <x:v>-0.733</x:v>
      </x:c>
      <x:c r="B34" s="9" t="n">
        <x:f>IF(OR(Inputs!$F$6=TRUE,Inputs!$F$6="TRUE",Inputs!$F$6=1),(Inputs!$H$6+Inputs!$L$6*(((Inputs!$I$6+(((A34)+1)/2)*(Inputs!$J$6-Inputs!$I$6)))/Inputs!$K$6)^2),NA())</x:f>
        <x:v>402.149156</x:v>
      </x:c>
      <x:c r="C34" s="9" t="n">
        <x:f>IF(OR(Inputs!$F$7=TRUE,Inputs!$F$7="TRUE",Inputs!$F$7=1),(Inputs!$H$7+Inputs!$L$7*(((Inputs!$I$7+(((A34)+1)/2)*(Inputs!$J$7-Inputs!$I$7)))/Inputs!$K$7)^2),NA())</x:f>
        <x:v>231.110485</x:v>
      </x:c>
      <x:c r="D34" s="9" t="n">
        <x:f>IF(OR(Inputs!$F$8=TRUE,Inputs!$F$8="TRUE",Inputs!$F$8=1),(Inputs!$H$8+Inputs!$L$8*(((Inputs!$I$8+(((A34)+1)/2)*(Inputs!$J$8-Inputs!$I$8)))/Inputs!$K$8)^2),NA())</x:f>
        <x:v>553.483885</x:v>
      </x:c>
      <x:c r="E34" s="9" t="n">
        <x:f>IF(OR(Inputs!$F$9=TRUE,Inputs!$F$9="TRUE",Inputs!$F$9=1),(Inputs!$H$9+Inputs!$L$9*(((Inputs!$I$9+(((A34)+1)/2)*(Inputs!$J$9-Inputs!$I$9)))/Inputs!$K$9)^2),NA())</x:f>
        <x:v>548.856775</x:v>
      </x:c>
      <x:c r="F34" s="10"/>
      <x:c r="G34" s="9">
        <x:f t="shared" si="0"/>
        <x:v>-0.73299999999999998</x:v>
      </x:c>
      <x:c r="H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10"/>
      <x:c r="M34" s="9">
        <x:f t="shared" si="1"/>
        <x:v>-0.73299999999999998</x:v>
      </x:c>
      <x:c r="N34" s="9"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9"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9"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9"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10"/>
      <x:c r="S34" s="9">
        <x:f t="shared" si="2"/>
        <x:v>-0.73299999999999998</x:v>
      </x:c>
      <x:c r="T34" s="9" t="n">
        <x:f>(Inputs!$I$6+(((A34)+1)/2)*(Inputs!$J$6-Inputs!$I$6))</x:f>
        <x:v>-43.980000000000004</x:v>
      </x:c>
      <x:c r="U34" s="9" t="n">
        <x:f>(Inputs!$I$7+(((A34)+1)/2)*(Inputs!$J$7-Inputs!$I$7))</x:f>
        <x:v>-293.2</x:v>
      </x:c>
      <x:c r="V34" s="9" t="n">
        <x:f>(Inputs!$I$8+(((A34)+1)/2)*(Inputs!$J$8-Inputs!$I$8))</x:f>
        <x:v>-586.4</x:v>
      </x:c>
      <x:c r="W34" s="9" t="n">
        <x:f>(Inputs!$I$9+(((A34)+1)/2)*(Inputs!$J$9-Inputs!$I$9))</x:f>
        <x:v>-586.4</x:v>
      </x:c>
      <x:c r="X34" s="10"/>
      <x:c r="Y34" s="9">
        <x:f t="shared" si="3"/>
        <x:v>-0.73299999999999998</x:v>
      </x:c>
      <x:c r="Z34" s="9" t="n">
        <x:f>(Inputs!$H$6+Inputs!$L$6*(((Inputs!$I$6+(((A34)+1)/2)*(Inputs!$J$6-Inputs!$I$6)))/Inputs!$K$6)^2)</x:f>
        <x:v>402.149156</x:v>
      </x:c>
      <x:c r="AA34" s="9" t="n">
        <x:f>(Inputs!$H$7+Inputs!$L$7*(((Inputs!$I$7+(((A34)+1)/2)*(Inputs!$J$7-Inputs!$I$7)))/Inputs!$K$7)^2)</x:f>
        <x:v>231.110485</x:v>
      </x:c>
      <x:c r="AB34" s="9" t="n">
        <x:f>(Inputs!$H$8+Inputs!$L$8*(((Inputs!$I$8+(((A34)+1)/2)*(Inputs!$J$8-Inputs!$I$8)))/Inputs!$K$8)^2)</x:f>
        <x:v>553.483885</x:v>
      </x:c>
      <x:c r="AC34" s="9" t="n">
        <x:f>(Inputs!$H$9+Inputs!$L$9*(((Inputs!$I$9+(((A34)+1)/2)*(Inputs!$J$9-Inputs!$I$9)))/Inputs!$K$9)^2)</x:f>
        <x:v>548.856775</x:v>
      </x:c>
      <x:c r="AD34" s="10"/>
      <x:c r="AE34" s="9">
        <x:f t="shared" si="4"/>
        <x:v>-0.73299999999999998</x:v>
      </x:c>
      <x:c r="AF34" s="9"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9"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9"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9"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10"/>
      <x:c r="AK34" s="9">
        <x:f t="shared" si="5"/>
        <x:v>-0.73299999999999998</x:v>
      </x:c>
      <x:c r="AL34" s="9"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9"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9"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9"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10"/>
      <x:c r="AQ34" s="9">
        <x:f t="shared" si="6"/>
        <x:v>-0.73299999999999998</x:v>
      </x:c>
      <x:c r="AR34" s="9" t="n">
        <x:f>0</x:f>
        <x:v>0</x:v>
      </x:c>
      <x:c r="AS34" s="9"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x:f>
        <x:v>207.52992748890685</x:v>
      </x:c>
      <x:c r="AT34" s="9"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x:f>
        <x:v>98.8211957213276</x:v>
      </x:c>
      <x:c r="AU34" s="9"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x:f>
        <x:v>171.21879508465193</x:v>
      </x:c>
      <x:c r="AV34" s="9"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x:f>
        <x:v>171.21879508465193</x:v>
      </x:c>
      <x:c r="AW34" s="10"/>
      <x:c r="AX34" s="9">
        <x:f t="shared" si="7"/>
        <x:v>-0.73299999999999998</x:v>
      </x:c>
      <x:c r="AY34" s="9" t="n">
        <x:f>0</x:f>
        <x:v>0</x:v>
      </x:c>
      <x:c r="AZ34" s="9" t="n">
        <x:f>IF(OR(Inputs!$F$6=TRUE,Inputs!$F$6="TRUE",Inputs!$F$6=1),(Inputs!$H$6+Inputs!$L$6*(((Inputs!$I$6+(((A34)+1)/2)*(Inputs!$J$6-Inputs!$I$6)))/Inputs!$K$6)^2),NA())</x:f>
        <x:v>402.149156</x:v>
      </x:c>
      <x:c r="BA34" s="9" t="n">
        <x:f>IF(OR(Inputs!$F$7=TRUE,Inputs!$F$7="TRUE",Inputs!$F$7=1),(Inputs!$H$7+Inputs!$L$7*(((Inputs!$I$7+(((A34)+1)/2)*(Inputs!$J$7-Inputs!$I$7)))/Inputs!$K$7)^2),NA())</x:f>
        <x:v>231.110485</x:v>
      </x:c>
      <x:c r="BB34" s="9" t="n">
        <x:f>IF(OR(Inputs!$F$8=TRUE,Inputs!$F$8="TRUE",Inputs!$F$8=1),(Inputs!$H$8+Inputs!$L$8*(((Inputs!$I$8+(((A34)+1)/2)*(Inputs!$J$8-Inputs!$I$8)))/Inputs!$K$8)^2),NA())</x:f>
        <x:v>553.483885</x:v>
      </x:c>
      <x:c r="BC34" s="9" t="n">
        <x:f>IF(OR(Inputs!$F$9=TRUE,Inputs!$F$9="TRUE",Inputs!$F$9=1),(Inputs!$H$9+Inputs!$L$9*(((Inputs!$I$9+(((A34)+1)/2)*(Inputs!$J$9-Inputs!$I$9)))/Inputs!$K$9)^2),NA())</x:f>
        <x:v>548.856775</x:v>
      </x:c>
      <x:c r="BD34" s="10"/>
      <x:c r="BE34" s="9">
        <x:f t="shared" si="8"/>
        <x:v>-0.73299999999999998</x:v>
      </x:c>
      <x:c r="BF34" s="9" t="n">
        <x:f>0</x:f>
        <x:v>0</x:v>
      </x:c>
      <x:c r="BG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9" t="n">
        <x:f>ROUND(-1+33*2/240,3)</x:f>
        <x:v>-0.725</x:v>
      </x:c>
      <x:c r="B35" s="9" t="n">
        <x:f>IF(OR(Inputs!$F$6=TRUE,Inputs!$F$6="TRUE",Inputs!$F$6=1),(Inputs!$H$6+Inputs!$L$6*(((Inputs!$I$6+(((A35)+1)/2)*(Inputs!$J$6-Inputs!$I$6)))/Inputs!$K$6)^2),NA())</x:f>
        <x:v>402.1025</x:v>
      </x:c>
      <x:c r="C35" s="9" t="n">
        <x:f>IF(OR(Inputs!$F$7=TRUE,Inputs!$F$7="TRUE",Inputs!$F$7=1),(Inputs!$H$7+Inputs!$L$7*(((Inputs!$I$7+(((A35)+1)/2)*(Inputs!$J$7-Inputs!$I$7)))/Inputs!$K$7)^2),NA())</x:f>
        <x:v>226.853125</x:v>
      </x:c>
      <x:c r="D35" s="9" t="n">
        <x:f>IF(OR(Inputs!$F$8=TRUE,Inputs!$F$8="TRUE",Inputs!$F$8=1),(Inputs!$H$8+Inputs!$L$8*(((Inputs!$I$8+(((A35)+1)/2)*(Inputs!$J$8-Inputs!$I$8)))/Inputs!$K$8)^2),NA())</x:f>
        <x:v>542.2281250000001</x:v>
      </x:c>
      <x:c r="E35" s="9" t="n">
        <x:f>IF(OR(Inputs!$F$9=TRUE,Inputs!$F$9="TRUE",Inputs!$F$9=1),(Inputs!$H$9+Inputs!$L$9*(((Inputs!$I$9+(((A35)+1)/2)*(Inputs!$J$9-Inputs!$I$9)))/Inputs!$K$9)^2),NA())</x:f>
        <x:v>537.484375</x:v>
      </x:c>
      <x:c r="F35" s="10"/>
      <x:c r="G35" s="9">
        <x:f t="shared" si="0"/>
        <x:v>-0.72499999999999998</x:v>
      </x:c>
      <x:c r="H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10"/>
      <x:c r="M35" s="9">
        <x:f t="shared" si="1"/>
        <x:v>-0.72499999999999998</x:v>
      </x:c>
      <x:c r="N35" s="9"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9"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9"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9"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10"/>
      <x:c r="S35" s="9">
        <x:f t="shared" si="2"/>
        <x:v>-0.72499999999999998</x:v>
      </x:c>
      <x:c r="T35" s="9" t="n">
        <x:f>(Inputs!$I$6+(((A35)+1)/2)*(Inputs!$J$6-Inputs!$I$6))</x:f>
        <x:v>-43.5</x:v>
      </x:c>
      <x:c r="U35" s="9" t="n">
        <x:f>(Inputs!$I$7+(((A35)+1)/2)*(Inputs!$J$7-Inputs!$I$7))</x:f>
        <x:v>-290</x:v>
      </x:c>
      <x:c r="V35" s="9" t="n">
        <x:f>(Inputs!$I$8+(((A35)+1)/2)*(Inputs!$J$8-Inputs!$I$8))</x:f>
        <x:v>-580</x:v>
      </x:c>
      <x:c r="W35" s="9" t="n">
        <x:f>(Inputs!$I$9+(((A35)+1)/2)*(Inputs!$J$9-Inputs!$I$9))</x:f>
        <x:v>-580</x:v>
      </x:c>
      <x:c r="X35" s="10"/>
      <x:c r="Y35" s="9">
        <x:f t="shared" si="3"/>
        <x:v>-0.72499999999999998</x:v>
      </x:c>
      <x:c r="Z35" s="9" t="n">
        <x:f>(Inputs!$H$6+Inputs!$L$6*(((Inputs!$I$6+(((A35)+1)/2)*(Inputs!$J$6-Inputs!$I$6)))/Inputs!$K$6)^2)</x:f>
        <x:v>402.1025</x:v>
      </x:c>
      <x:c r="AA35" s="9" t="n">
        <x:f>(Inputs!$H$7+Inputs!$L$7*(((Inputs!$I$7+(((A35)+1)/2)*(Inputs!$J$7-Inputs!$I$7)))/Inputs!$K$7)^2)</x:f>
        <x:v>226.853125</x:v>
      </x:c>
      <x:c r="AB35" s="9" t="n">
        <x:f>(Inputs!$H$8+Inputs!$L$8*(((Inputs!$I$8+(((A35)+1)/2)*(Inputs!$J$8-Inputs!$I$8)))/Inputs!$K$8)^2)</x:f>
        <x:v>542.2281250000001</x:v>
      </x:c>
      <x:c r="AC35" s="9" t="n">
        <x:f>(Inputs!$H$9+Inputs!$L$9*(((Inputs!$I$9+(((A35)+1)/2)*(Inputs!$J$9-Inputs!$I$9)))/Inputs!$K$9)^2)</x:f>
        <x:v>537.484375</x:v>
      </x:c>
      <x:c r="AD35" s="10"/>
      <x:c r="AE35" s="9">
        <x:f t="shared" si="4"/>
        <x:v>-0.72499999999999998</x:v>
      </x:c>
      <x:c r="AF35" s="9"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9"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9"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9"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10"/>
      <x:c r="AK35" s="9">
        <x:f t="shared" si="5"/>
        <x:v>-0.72499999999999998</x:v>
      </x:c>
      <x:c r="AL35" s="9"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9"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9"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9"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10"/>
      <x:c r="AQ35" s="9">
        <x:f t="shared" si="6"/>
        <x:v>-0.72499999999999998</x:v>
      </x:c>
      <x:c r="AR35" s="9" t="n">
        <x:f>0</x:f>
        <x:v>0</x:v>
      </x:c>
      <x:c r="AS35" s="9"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x:f>
        <x:v>210.8483953416035</x:v>
      </x:c>
      <x:c r="AT35" s="9"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x:f>
        <x:v>113.86344028709524</x:v>
      </x:c>
      <x:c r="AU35" s="9"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x:f>
        <x:v>54.6280079108482</x:v>
      </x:c>
      <x:c r="AV35" s="9"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x:f>
        <x:v>54.6280079108482</x:v>
      </x:c>
      <x:c r="AW35" s="10"/>
      <x:c r="AX35" s="9">
        <x:f t="shared" si="7"/>
        <x:v>-0.72499999999999998</x:v>
      </x:c>
      <x:c r="AY35" s="9" t="n">
        <x:f>0</x:f>
        <x:v>0</x:v>
      </x:c>
      <x:c r="AZ35" s="9" t="n">
        <x:f>IF(OR(Inputs!$F$6=TRUE,Inputs!$F$6="TRUE",Inputs!$F$6=1),(Inputs!$H$6+Inputs!$L$6*(((Inputs!$I$6+(((A35)+1)/2)*(Inputs!$J$6-Inputs!$I$6)))/Inputs!$K$6)^2),NA())</x:f>
        <x:v>402.1025</x:v>
      </x:c>
      <x:c r="BA35" s="9" t="n">
        <x:f>IF(OR(Inputs!$F$7=TRUE,Inputs!$F$7="TRUE",Inputs!$F$7=1),(Inputs!$H$7+Inputs!$L$7*(((Inputs!$I$7+(((A35)+1)/2)*(Inputs!$J$7-Inputs!$I$7)))/Inputs!$K$7)^2),NA())</x:f>
        <x:v>226.853125</x:v>
      </x:c>
      <x:c r="BB35" s="9" t="n">
        <x:f>IF(OR(Inputs!$F$8=TRUE,Inputs!$F$8="TRUE",Inputs!$F$8=1),(Inputs!$H$8+Inputs!$L$8*(((Inputs!$I$8+(((A35)+1)/2)*(Inputs!$J$8-Inputs!$I$8)))/Inputs!$K$8)^2),NA())</x:f>
        <x:v>542.2281250000001</x:v>
      </x:c>
      <x:c r="BC35" s="9" t="n">
        <x:f>IF(OR(Inputs!$F$9=TRUE,Inputs!$F$9="TRUE",Inputs!$F$9=1),(Inputs!$H$9+Inputs!$L$9*(((Inputs!$I$9+(((A35)+1)/2)*(Inputs!$J$9-Inputs!$I$9)))/Inputs!$K$9)^2),NA())</x:f>
        <x:v>537.484375</x:v>
      </x:c>
      <x:c r="BD35" s="10"/>
      <x:c r="BE35" s="9">
        <x:f t="shared" si="8"/>
        <x:v>-0.72499999999999998</x:v>
      </x:c>
      <x:c r="BF35" s="9" t="n">
        <x:f>0</x:f>
        <x:v>0</x:v>
      </x:c>
      <x:c r="BG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9" t="n">
        <x:f>ROUND(-1+34*2/240,3)</x:f>
        <x:v>-0.717</x:v>
      </x:c>
      <x:c r="B36" s="9" t="n">
        <x:f>IF(OR(Inputs!$F$6=TRUE,Inputs!$F$6="TRUE",Inputs!$F$6=1),(Inputs!$H$6+Inputs!$L$6*(((Inputs!$I$6+(((A36)+1)/2)*(Inputs!$J$6-Inputs!$I$6)))/Inputs!$K$6)^2),NA())</x:f>
        <x:v>402.056356</x:v>
      </x:c>
      <x:c r="C36" s="9" t="n">
        <x:f>IF(OR(Inputs!$F$7=TRUE,Inputs!$F$7="TRUE",Inputs!$F$7=1),(Inputs!$H$7+Inputs!$L$7*(((Inputs!$I$7+(((A36)+1)/2)*(Inputs!$J$7-Inputs!$I$7)))/Inputs!$K$7)^2),NA())</x:f>
        <x:v>222.64248499999994</x:v>
      </x:c>
      <x:c r="D36" s="9" t="n">
        <x:f>IF(OR(Inputs!$F$8=TRUE,Inputs!$F$8="TRUE",Inputs!$F$8=1),(Inputs!$H$8+Inputs!$L$8*(((Inputs!$I$8+(((A36)+1)/2)*(Inputs!$J$8-Inputs!$I$8)))/Inputs!$K$8)^2),NA())</x:f>
        <x:v>531.0958849999997</x:v>
      </x:c>
      <x:c r="E36" s="9" t="n">
        <x:f>IF(OR(Inputs!$F$9=TRUE,Inputs!$F$9="TRUE",Inputs!$F$9=1),(Inputs!$H$9+Inputs!$L$9*(((Inputs!$I$9+(((A36)+1)/2)*(Inputs!$J$9-Inputs!$I$9)))/Inputs!$K$9)^2),NA())</x:f>
        <x:v>526.2367749999999</x:v>
      </x:c>
      <x:c r="F36" s="10"/>
      <x:c r="G36" s="9">
        <x:f t="shared" si="0"/>
        <x:v>-0.71699999999999997</x:v>
      </x:c>
      <x:c r="H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10"/>
      <x:c r="M36" s="9">
        <x:f t="shared" si="1"/>
        <x:v>-0.71699999999999997</x:v>
      </x:c>
      <x:c r="N36" s="9"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9"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9"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9"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10"/>
      <x:c r="S36" s="9">
        <x:f t="shared" si="2"/>
        <x:v>-0.71699999999999997</x:v>
      </x:c>
      <x:c r="T36" s="9" t="n">
        <x:f>(Inputs!$I$6+(((A36)+1)/2)*(Inputs!$J$6-Inputs!$I$6))</x:f>
        <x:v>-43.019999999999996</x:v>
      </x:c>
      <x:c r="U36" s="9" t="n">
        <x:f>(Inputs!$I$7+(((A36)+1)/2)*(Inputs!$J$7-Inputs!$I$7))</x:f>
        <x:v>-286.79999999999995</x:v>
      </x:c>
      <x:c r="V36" s="9" t="n">
        <x:f>(Inputs!$I$8+(((A36)+1)/2)*(Inputs!$J$8-Inputs!$I$8))</x:f>
        <x:v>-573.5999999999999</x:v>
      </x:c>
      <x:c r="W36" s="9" t="n">
        <x:f>(Inputs!$I$9+(((A36)+1)/2)*(Inputs!$J$9-Inputs!$I$9))</x:f>
        <x:v>-573.5999999999999</x:v>
      </x:c>
      <x:c r="X36" s="10"/>
      <x:c r="Y36" s="9">
        <x:f t="shared" si="3"/>
        <x:v>-0.71699999999999997</x:v>
      </x:c>
      <x:c r="Z36" s="9" t="n">
        <x:f>(Inputs!$H$6+Inputs!$L$6*(((Inputs!$I$6+(((A36)+1)/2)*(Inputs!$J$6-Inputs!$I$6)))/Inputs!$K$6)^2)</x:f>
        <x:v>402.056356</x:v>
      </x:c>
      <x:c r="AA36" s="9" t="n">
        <x:f>(Inputs!$H$7+Inputs!$L$7*(((Inputs!$I$7+(((A36)+1)/2)*(Inputs!$J$7-Inputs!$I$7)))/Inputs!$K$7)^2)</x:f>
        <x:v>222.64248499999994</x:v>
      </x:c>
      <x:c r="AB36" s="9" t="n">
        <x:f>(Inputs!$H$8+Inputs!$L$8*(((Inputs!$I$8+(((A36)+1)/2)*(Inputs!$J$8-Inputs!$I$8)))/Inputs!$K$8)^2)</x:f>
        <x:v>531.0958849999997</x:v>
      </x:c>
      <x:c r="AC36" s="9" t="n">
        <x:f>(Inputs!$H$9+Inputs!$L$9*(((Inputs!$I$9+(((A36)+1)/2)*(Inputs!$J$9-Inputs!$I$9)))/Inputs!$K$9)^2)</x:f>
        <x:v>526.2367749999999</x:v>
      </x:c>
      <x:c r="AD36" s="10"/>
      <x:c r="AE36" s="9">
        <x:f t="shared" si="4"/>
        <x:v>-0.71699999999999997</x:v>
      </x:c>
      <x:c r="AF36" s="9"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9"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9"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9"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10"/>
      <x:c r="AK36" s="9">
        <x:f t="shared" si="5"/>
        <x:v>-0.71699999999999997</x:v>
      </x:c>
      <x:c r="AL36" s="9"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9"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9"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9"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10"/>
      <x:c r="AQ36" s="9">
        <x:f t="shared" si="6"/>
        <x:v>-0.71699999999999997</x:v>
      </x:c>
      <x:c r="AR36" s="9" t="n">
        <x:f>0</x:f>
        <x:v>0</x:v>
      </x:c>
      <x:c r="AS36" s="9"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x:f>
        <x:v>193.73926812733336</x:v>
      </x:c>
      <x:c r="AT36" s="9"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x:f>
        <x:v>157.9662629044829</x:v>
      </x:c>
      <x:c r="AU36" s="9"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x:f>
        <x:v>192.31491037022525</x:v>
      </x:c>
      <x:c r="AV36" s="9"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x:f>
        <x:v>192.31491037022525</x:v>
      </x:c>
      <x:c r="AW36" s="10"/>
      <x:c r="AX36" s="9">
        <x:f t="shared" si="7"/>
        <x:v>-0.71699999999999997</x:v>
      </x:c>
      <x:c r="AY36" s="9" t="n">
        <x:f>0</x:f>
        <x:v>0</x:v>
      </x:c>
      <x:c r="AZ36" s="9" t="n">
        <x:f>IF(OR(Inputs!$F$6=TRUE,Inputs!$F$6="TRUE",Inputs!$F$6=1),(Inputs!$H$6+Inputs!$L$6*(((Inputs!$I$6+(((A36)+1)/2)*(Inputs!$J$6-Inputs!$I$6)))/Inputs!$K$6)^2),NA())</x:f>
        <x:v>402.056356</x:v>
      </x:c>
      <x:c r="BA36" s="9" t="n">
        <x:f>IF(OR(Inputs!$F$7=TRUE,Inputs!$F$7="TRUE",Inputs!$F$7=1),(Inputs!$H$7+Inputs!$L$7*(((Inputs!$I$7+(((A36)+1)/2)*(Inputs!$J$7-Inputs!$I$7)))/Inputs!$K$7)^2),NA())</x:f>
        <x:v>222.64248499999994</x:v>
      </x:c>
      <x:c r="BB36" s="9" t="n">
        <x:f>IF(OR(Inputs!$F$8=TRUE,Inputs!$F$8="TRUE",Inputs!$F$8=1),(Inputs!$H$8+Inputs!$L$8*(((Inputs!$I$8+(((A36)+1)/2)*(Inputs!$J$8-Inputs!$I$8)))/Inputs!$K$8)^2),NA())</x:f>
        <x:v>531.0958849999997</x:v>
      </x:c>
      <x:c r="BC36" s="9" t="n">
        <x:f>IF(OR(Inputs!$F$9=TRUE,Inputs!$F$9="TRUE",Inputs!$F$9=1),(Inputs!$H$9+Inputs!$L$9*(((Inputs!$I$9+(((A36)+1)/2)*(Inputs!$J$9-Inputs!$I$9)))/Inputs!$K$9)^2),NA())</x:f>
        <x:v>526.2367749999999</x:v>
      </x:c>
      <x:c r="BD36" s="10"/>
      <x:c r="BE36" s="9">
        <x:f t="shared" si="8"/>
        <x:v>-0.71699999999999997</x:v>
      </x:c>
      <x:c r="BF36" s="9" t="n">
        <x:f>0</x:f>
        <x:v>0</x:v>
      </x:c>
      <x:c r="BG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9" t="n">
        <x:f>ROUND(-1+35*2/240,3)</x:f>
        <x:v>-0.708</x:v>
      </x:c>
      <x:c r="B37" s="9" t="n">
        <x:f>IF(OR(Inputs!$F$6=TRUE,Inputs!$F$6="TRUE",Inputs!$F$6=1),(Inputs!$H$6+Inputs!$L$6*(((Inputs!$I$6+(((A37)+1)/2)*(Inputs!$J$6-Inputs!$I$6)))/Inputs!$K$6)^2),NA())</x:f>
        <x:v>402.005056</x:v>
      </x:c>
      <x:c r="C37" s="9" t="n">
        <x:f>IF(OR(Inputs!$F$7=TRUE,Inputs!$F$7="TRUE",Inputs!$F$7=1),(Inputs!$H$7+Inputs!$L$7*(((Inputs!$I$7+(((A37)+1)/2)*(Inputs!$J$7-Inputs!$I$7)))/Inputs!$K$7)^2),NA())</x:f>
        <x:v>217.96135999999998</x:v>
      </x:c>
      <x:c r="D37" s="9" t="n">
        <x:f>IF(OR(Inputs!$F$8=TRUE,Inputs!$F$8="TRUE",Inputs!$F$8=1),(Inputs!$H$8+Inputs!$L$8*(((Inputs!$I$8+(((A37)+1)/2)*(Inputs!$J$8-Inputs!$I$8)))/Inputs!$K$8)^2),NA())</x:f>
        <x:v>518.71976</x:v>
      </x:c>
      <x:c r="E37" s="9" t="n">
        <x:f>IF(OR(Inputs!$F$9=TRUE,Inputs!$F$9="TRUE",Inputs!$F$9=1),(Inputs!$H$9+Inputs!$L$9*(((Inputs!$I$9+(((A37)+1)/2)*(Inputs!$J$9-Inputs!$I$9)))/Inputs!$K$9)^2),NA())</x:f>
        <x:v>513.7323999999999</x:v>
      </x:c>
      <x:c r="F37" s="10"/>
      <x:c r="G37" s="9">
        <x:f t="shared" si="0"/>
        <x:v>-0.70799999999999996</x:v>
      </x:c>
      <x:c r="H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10"/>
      <x:c r="M37" s="9">
        <x:f t="shared" si="1"/>
        <x:v>-0.70799999999999996</x:v>
      </x:c>
      <x:c r="N37" s="9"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9"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9"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9"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10"/>
      <x:c r="S37" s="9">
        <x:f t="shared" si="2"/>
        <x:v>-0.70799999999999996</x:v>
      </x:c>
      <x:c r="T37" s="9" t="n">
        <x:f>(Inputs!$I$6+(((A37)+1)/2)*(Inputs!$J$6-Inputs!$I$6))</x:f>
        <x:v>-42.48</x:v>
      </x:c>
      <x:c r="U37" s="9" t="n">
        <x:f>(Inputs!$I$7+(((A37)+1)/2)*(Inputs!$J$7-Inputs!$I$7))</x:f>
        <x:v>-283.2</x:v>
      </x:c>
      <x:c r="V37" s="9" t="n">
        <x:f>(Inputs!$I$8+(((A37)+1)/2)*(Inputs!$J$8-Inputs!$I$8))</x:f>
        <x:v>-566.4</x:v>
      </x:c>
      <x:c r="W37" s="9" t="n">
        <x:f>(Inputs!$I$9+(((A37)+1)/2)*(Inputs!$J$9-Inputs!$I$9))</x:f>
        <x:v>-566.4</x:v>
      </x:c>
      <x:c r="X37" s="10"/>
      <x:c r="Y37" s="9">
        <x:f t="shared" si="3"/>
        <x:v>-0.70799999999999996</x:v>
      </x:c>
      <x:c r="Z37" s="9" t="n">
        <x:f>(Inputs!$H$6+Inputs!$L$6*(((Inputs!$I$6+(((A37)+1)/2)*(Inputs!$J$6-Inputs!$I$6)))/Inputs!$K$6)^2)</x:f>
        <x:v>402.005056</x:v>
      </x:c>
      <x:c r="AA37" s="9" t="n">
        <x:f>(Inputs!$H$7+Inputs!$L$7*(((Inputs!$I$7+(((A37)+1)/2)*(Inputs!$J$7-Inputs!$I$7)))/Inputs!$K$7)^2)</x:f>
        <x:v>217.96135999999998</x:v>
      </x:c>
      <x:c r="AB37" s="9" t="n">
        <x:f>(Inputs!$H$8+Inputs!$L$8*(((Inputs!$I$8+(((A37)+1)/2)*(Inputs!$J$8-Inputs!$I$8)))/Inputs!$K$8)^2)</x:f>
        <x:v>518.71976</x:v>
      </x:c>
      <x:c r="AC37" s="9" t="n">
        <x:f>(Inputs!$H$9+Inputs!$L$9*(((Inputs!$I$9+(((A37)+1)/2)*(Inputs!$J$9-Inputs!$I$9)))/Inputs!$K$9)^2)</x:f>
        <x:v>513.7323999999999</x:v>
      </x:c>
      <x:c r="AD37" s="10"/>
      <x:c r="AE37" s="9">
        <x:f t="shared" si="4"/>
        <x:v>-0.70799999999999996</x:v>
      </x:c>
      <x:c r="AF37" s="9"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9"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9"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9"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10"/>
      <x:c r="AK37" s="9">
        <x:f t="shared" si="5"/>
        <x:v>-0.70799999999999996</x:v>
      </x:c>
      <x:c r="AL37" s="9"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9"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9"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9"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10"/>
      <x:c r="AQ37" s="9">
        <x:f t="shared" si="6"/>
        <x:v>-0.70799999999999996</x:v>
      </x:c>
      <x:c r="AR37" s="9" t="n">
        <x:f>0</x:f>
        <x:v>0</x:v>
      </x:c>
      <x:c r="AS37" s="9"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x:f>
        <x:v>189.65875456847797</x:v>
      </x:c>
      <x:c r="AT37" s="9"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x:f>
        <x:v>187.2623925722182</x:v>
      </x:c>
      <x:c r="AU37" s="9"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x:f>
        <x:v>107.87047204021204</x:v>
      </x:c>
      <x:c r="AV37" s="9"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x:f>
        <x:v>107.87047204021204</x:v>
      </x:c>
      <x:c r="AW37" s="10"/>
      <x:c r="AX37" s="9">
        <x:f t="shared" si="7"/>
        <x:v>-0.70799999999999996</x:v>
      </x:c>
      <x:c r="AY37" s="9" t="n">
        <x:f>0</x:f>
        <x:v>0</x:v>
      </x:c>
      <x:c r="AZ37" s="9" t="n">
        <x:f>IF(OR(Inputs!$F$6=TRUE,Inputs!$F$6="TRUE",Inputs!$F$6=1),(Inputs!$H$6+Inputs!$L$6*(((Inputs!$I$6+(((A37)+1)/2)*(Inputs!$J$6-Inputs!$I$6)))/Inputs!$K$6)^2),NA())</x:f>
        <x:v>402.005056</x:v>
      </x:c>
      <x:c r="BA37" s="9" t="n">
        <x:f>IF(OR(Inputs!$F$7=TRUE,Inputs!$F$7="TRUE",Inputs!$F$7=1),(Inputs!$H$7+Inputs!$L$7*(((Inputs!$I$7+(((A37)+1)/2)*(Inputs!$J$7-Inputs!$I$7)))/Inputs!$K$7)^2),NA())</x:f>
        <x:v>217.96135999999998</x:v>
      </x:c>
      <x:c r="BB37" s="9" t="n">
        <x:f>IF(OR(Inputs!$F$8=TRUE,Inputs!$F$8="TRUE",Inputs!$F$8=1),(Inputs!$H$8+Inputs!$L$8*(((Inputs!$I$8+(((A37)+1)/2)*(Inputs!$J$8-Inputs!$I$8)))/Inputs!$K$8)^2),NA())</x:f>
        <x:v>518.71976</x:v>
      </x:c>
      <x:c r="BC37" s="9" t="n">
        <x:f>IF(OR(Inputs!$F$9=TRUE,Inputs!$F$9="TRUE",Inputs!$F$9=1),(Inputs!$H$9+Inputs!$L$9*(((Inputs!$I$9+(((A37)+1)/2)*(Inputs!$J$9-Inputs!$I$9)))/Inputs!$K$9)^2),NA())</x:f>
        <x:v>513.7323999999999</x:v>
      </x:c>
      <x:c r="BD37" s="10"/>
      <x:c r="BE37" s="9">
        <x:f t="shared" si="8"/>
        <x:v>-0.70799999999999996</x:v>
      </x:c>
      <x:c r="BF37" s="9" t="n">
        <x:f>0</x:f>
        <x:v>0</x:v>
      </x:c>
      <x:c r="BG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9" t="n">
        <x:f>ROUND(-1+36*2/240,3)</x:f>
        <x:v>-0.7</x:v>
      </x:c>
      <x:c r="B38" s="9" t="n">
        <x:f>IF(OR(Inputs!$F$6=TRUE,Inputs!$F$6="TRUE",Inputs!$F$6=1),(Inputs!$H$6+Inputs!$L$6*(((Inputs!$I$6+(((A38)+1)/2)*(Inputs!$J$6-Inputs!$I$6)))/Inputs!$K$6)^2),NA())</x:f>
        <x:v>401.96</x:v>
      </x:c>
      <x:c r="C38" s="9" t="n">
        <x:f>IF(OR(Inputs!$F$7=TRUE,Inputs!$F$7="TRUE",Inputs!$F$7=1),(Inputs!$H$7+Inputs!$L$7*(((Inputs!$I$7+(((A38)+1)/2)*(Inputs!$J$7-Inputs!$I$7)))/Inputs!$K$7)^2),NA())</x:f>
        <x:v>213.84999999999997</x:v>
      </x:c>
      <x:c r="D38" s="9" t="n">
        <x:f>IF(OR(Inputs!$F$8=TRUE,Inputs!$F$8="TRUE",Inputs!$F$8=1),(Inputs!$H$8+Inputs!$L$8*(((Inputs!$I$8+(((A38)+1)/2)*(Inputs!$J$8-Inputs!$I$8)))/Inputs!$K$8)^2),NA())</x:f>
        <x:v>507.84999999999997</x:v>
      </x:c>
      <x:c r="E38" s="9" t="n">
        <x:f>IF(OR(Inputs!$F$9=TRUE,Inputs!$F$9="TRUE",Inputs!$F$9=1),(Inputs!$H$9+Inputs!$L$9*(((Inputs!$I$9+(((A38)+1)/2)*(Inputs!$J$9-Inputs!$I$9)))/Inputs!$K$9)^2),NA())</x:f>
        <x:v>502.74999999999994</x:v>
      </x:c>
      <x:c r="F38" s="10"/>
      <x:c r="G38" s="9">
        <x:f t="shared" si="0"/>
        <x:v>-0.7</x:v>
      </x:c>
      <x:c r="H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10"/>
      <x:c r="M38" s="9">
        <x:f t="shared" si="1"/>
        <x:v>-0.7</x:v>
      </x:c>
      <x:c r="N38" s="9"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9"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9"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9"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10"/>
      <x:c r="S38" s="9">
        <x:f t="shared" si="2"/>
        <x:v>-0.7</x:v>
      </x:c>
      <x:c r="T38" s="9" t="n">
        <x:f>(Inputs!$I$6+(((A38)+1)/2)*(Inputs!$J$6-Inputs!$I$6))</x:f>
        <x:v>-42</x:v>
      </x:c>
      <x:c r="U38" s="9" t="n">
        <x:f>(Inputs!$I$7+(((A38)+1)/2)*(Inputs!$J$7-Inputs!$I$7))</x:f>
        <x:v>-280</x:v>
      </x:c>
      <x:c r="V38" s="9" t="n">
        <x:f>(Inputs!$I$8+(((A38)+1)/2)*(Inputs!$J$8-Inputs!$I$8))</x:f>
        <x:v>-560</x:v>
      </x:c>
      <x:c r="W38" s="9" t="n">
        <x:f>(Inputs!$I$9+(((A38)+1)/2)*(Inputs!$J$9-Inputs!$I$9))</x:f>
        <x:v>-560</x:v>
      </x:c>
      <x:c r="X38" s="10"/>
      <x:c r="Y38" s="9">
        <x:f t="shared" si="3"/>
        <x:v>-0.7</x:v>
      </x:c>
      <x:c r="Z38" s="9" t="n">
        <x:f>(Inputs!$H$6+Inputs!$L$6*(((Inputs!$I$6+(((A38)+1)/2)*(Inputs!$J$6-Inputs!$I$6)))/Inputs!$K$6)^2)</x:f>
        <x:v>401.96</x:v>
      </x:c>
      <x:c r="AA38" s="9" t="n">
        <x:f>(Inputs!$H$7+Inputs!$L$7*(((Inputs!$I$7+(((A38)+1)/2)*(Inputs!$J$7-Inputs!$I$7)))/Inputs!$K$7)^2)</x:f>
        <x:v>213.84999999999997</x:v>
      </x:c>
      <x:c r="AB38" s="9" t="n">
        <x:f>(Inputs!$H$8+Inputs!$L$8*(((Inputs!$I$8+(((A38)+1)/2)*(Inputs!$J$8-Inputs!$I$8)))/Inputs!$K$8)^2)</x:f>
        <x:v>507.84999999999997</x:v>
      </x:c>
      <x:c r="AC38" s="9" t="n">
        <x:f>(Inputs!$H$9+Inputs!$L$9*(((Inputs!$I$9+(((A38)+1)/2)*(Inputs!$J$9-Inputs!$I$9)))/Inputs!$K$9)^2)</x:f>
        <x:v>502.74999999999994</x:v>
      </x:c>
      <x:c r="AD38" s="10"/>
      <x:c r="AE38" s="9">
        <x:f t="shared" si="4"/>
        <x:v>-0.7</x:v>
      </x:c>
      <x:c r="AF38" s="9"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9"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9"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9"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10"/>
      <x:c r="AK38" s="9">
        <x:f t="shared" si="5"/>
        <x:v>-0.7</x:v>
      </x:c>
      <x:c r="AL38" s="9"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9"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9"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9"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10"/>
      <x:c r="AQ38" s="9">
        <x:f t="shared" si="6"/>
        <x:v>-0.7</x:v>
      </x:c>
      <x:c r="AR38" s="9" t="n">
        <x:f>0</x:f>
        <x:v>0</x:v>
      </x:c>
      <x:c r="AS38" s="9"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x:f>
        <x:v>170.62817299697477</x:v>
      </x:c>
      <x:c r="AT38" s="9"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x:f>
        <x:v>165.51370619149404</x:v>
      </x:c>
      <x:c r="AU38" s="9"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x:f>
        <x:v>117.65346976001054</x:v>
      </x:c>
      <x:c r="AV38" s="9"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x:f>
        <x:v>117.65346976001054</x:v>
      </x:c>
      <x:c r="AW38" s="10"/>
      <x:c r="AX38" s="9">
        <x:f t="shared" si="7"/>
        <x:v>-0.7</x:v>
      </x:c>
      <x:c r="AY38" s="9" t="n">
        <x:f>0</x:f>
        <x:v>0</x:v>
      </x:c>
      <x:c r="AZ38" s="9" t="n">
        <x:f>IF(OR(Inputs!$F$6=TRUE,Inputs!$F$6="TRUE",Inputs!$F$6=1),(Inputs!$H$6+Inputs!$L$6*(((Inputs!$I$6+(((A38)+1)/2)*(Inputs!$J$6-Inputs!$I$6)))/Inputs!$K$6)^2),NA())</x:f>
        <x:v>401.96</x:v>
      </x:c>
      <x:c r="BA38" s="9" t="n">
        <x:f>IF(OR(Inputs!$F$7=TRUE,Inputs!$F$7="TRUE",Inputs!$F$7=1),(Inputs!$H$7+Inputs!$L$7*(((Inputs!$I$7+(((A38)+1)/2)*(Inputs!$J$7-Inputs!$I$7)))/Inputs!$K$7)^2),NA())</x:f>
        <x:v>213.84999999999997</x:v>
      </x:c>
      <x:c r="BB38" s="9" t="n">
        <x:f>IF(OR(Inputs!$F$8=TRUE,Inputs!$F$8="TRUE",Inputs!$F$8=1),(Inputs!$H$8+Inputs!$L$8*(((Inputs!$I$8+(((A38)+1)/2)*(Inputs!$J$8-Inputs!$I$8)))/Inputs!$K$8)^2),NA())</x:f>
        <x:v>507.84999999999997</x:v>
      </x:c>
      <x:c r="BC38" s="9" t="n">
        <x:f>IF(OR(Inputs!$F$9=TRUE,Inputs!$F$9="TRUE",Inputs!$F$9=1),(Inputs!$H$9+Inputs!$L$9*(((Inputs!$I$9+(((A38)+1)/2)*(Inputs!$J$9-Inputs!$I$9)))/Inputs!$K$9)^2),NA())</x:f>
        <x:v>502.74999999999994</x:v>
      </x:c>
      <x:c r="BD38" s="10"/>
      <x:c r="BE38" s="9">
        <x:f t="shared" si="8"/>
        <x:v>-0.7</x:v>
      </x:c>
      <x:c r="BF38" s="9" t="n">
        <x:f>0</x:f>
        <x:v>0</x:v>
      </x:c>
      <x:c r="BG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9" t="n">
        <x:f>ROUND(-1+37*2/240,3)</x:f>
        <x:v>-0.692</x:v>
      </x:c>
      <x:c r="B39" s="9" t="n">
        <x:f>IF(OR(Inputs!$F$6=TRUE,Inputs!$F$6="TRUE",Inputs!$F$6=1),(Inputs!$H$6+Inputs!$L$6*(((Inputs!$I$6+(((A39)+1)/2)*(Inputs!$J$6-Inputs!$I$6)))/Inputs!$K$6)^2),NA())</x:f>
        <x:v>401.915456</x:v>
      </x:c>
      <x:c r="C39" s="9" t="n">
        <x:f>IF(OR(Inputs!$F$7=TRUE,Inputs!$F$7="TRUE",Inputs!$F$7=1),(Inputs!$H$7+Inputs!$L$7*(((Inputs!$I$7+(((A39)+1)/2)*(Inputs!$J$7-Inputs!$I$7)))/Inputs!$K$7)^2),NA())</x:f>
        <x:v>209.7853599999999</x:v>
      </x:c>
      <x:c r="D39" s="9" t="n">
        <x:f>IF(OR(Inputs!$F$8=TRUE,Inputs!$F$8="TRUE",Inputs!$F$8=1),(Inputs!$H$8+Inputs!$L$8*(((Inputs!$I$8+(((A39)+1)/2)*(Inputs!$J$8-Inputs!$I$8)))/Inputs!$K$8)^2),NA())</x:f>
        <x:v>497.1037599999998</x:v>
      </x:c>
      <x:c r="E39" s="9" t="n">
        <x:f>IF(OR(Inputs!$F$9=TRUE,Inputs!$F$9="TRUE",Inputs!$F$9=1),(Inputs!$H$9+Inputs!$L$9*(((Inputs!$I$9+(((A39)+1)/2)*(Inputs!$J$9-Inputs!$I$9)))/Inputs!$K$9)^2),NA())</x:f>
        <x:v>491.8923999999998</x:v>
      </x:c>
      <x:c r="F39" s="10"/>
      <x:c r="G39" s="9">
        <x:f t="shared" si="0"/>
        <x:v>-0.69199999999999995</x:v>
      </x:c>
      <x:c r="H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10"/>
      <x:c r="M39" s="9">
        <x:f t="shared" si="1"/>
        <x:v>-0.69199999999999995</x:v>
      </x:c>
      <x:c r="N39" s="9"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9"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9"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9"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10"/>
      <x:c r="S39" s="9">
        <x:f t="shared" si="2"/>
        <x:v>-0.69199999999999995</x:v>
      </x:c>
      <x:c r="T39" s="9" t="n">
        <x:f>(Inputs!$I$6+(((A39)+1)/2)*(Inputs!$J$6-Inputs!$I$6))</x:f>
        <x:v>-41.519999999999996</x:v>
      </x:c>
      <x:c r="U39" s="9" t="n">
        <x:f>(Inputs!$I$7+(((A39)+1)/2)*(Inputs!$J$7-Inputs!$I$7))</x:f>
        <x:v>-276.79999999999995</x:v>
      </x:c>
      <x:c r="V39" s="9" t="n">
        <x:f>(Inputs!$I$8+(((A39)+1)/2)*(Inputs!$J$8-Inputs!$I$8))</x:f>
        <x:v>-553.5999999999999</x:v>
      </x:c>
      <x:c r="W39" s="9" t="n">
        <x:f>(Inputs!$I$9+(((A39)+1)/2)*(Inputs!$J$9-Inputs!$I$9))</x:f>
        <x:v>-553.5999999999999</x:v>
      </x:c>
      <x:c r="X39" s="10"/>
      <x:c r="Y39" s="9">
        <x:f t="shared" si="3"/>
        <x:v>-0.69199999999999995</x:v>
      </x:c>
      <x:c r="Z39" s="9" t="n">
        <x:f>(Inputs!$H$6+Inputs!$L$6*(((Inputs!$I$6+(((A39)+1)/2)*(Inputs!$J$6-Inputs!$I$6)))/Inputs!$K$6)^2)</x:f>
        <x:v>401.915456</x:v>
      </x:c>
      <x:c r="AA39" s="9" t="n">
        <x:f>(Inputs!$H$7+Inputs!$L$7*(((Inputs!$I$7+(((A39)+1)/2)*(Inputs!$J$7-Inputs!$I$7)))/Inputs!$K$7)^2)</x:f>
        <x:v>209.7853599999999</x:v>
      </x:c>
      <x:c r="AB39" s="9" t="n">
        <x:f>(Inputs!$H$8+Inputs!$L$8*(((Inputs!$I$8+(((A39)+1)/2)*(Inputs!$J$8-Inputs!$I$8)))/Inputs!$K$8)^2)</x:f>
        <x:v>497.1037599999998</x:v>
      </x:c>
      <x:c r="AC39" s="9" t="n">
        <x:f>(Inputs!$H$9+Inputs!$L$9*(((Inputs!$I$9+(((A39)+1)/2)*(Inputs!$J$9-Inputs!$I$9)))/Inputs!$K$9)^2)</x:f>
        <x:v>491.8923999999998</x:v>
      </x:c>
      <x:c r="AD39" s="10"/>
      <x:c r="AE39" s="9">
        <x:f t="shared" si="4"/>
        <x:v>-0.69199999999999995</x:v>
      </x:c>
      <x:c r="AF39" s="9"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9"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9"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9"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10"/>
      <x:c r="AK39" s="9">
        <x:f t="shared" si="5"/>
        <x:v>-0.69199999999999995</x:v>
      </x:c>
      <x:c r="AL39" s="9"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9"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9"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9"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10"/>
      <x:c r="AQ39" s="9">
        <x:f t="shared" si="6"/>
        <x:v>-0.69199999999999995</x:v>
      </x:c>
      <x:c r="AR39" s="9" t="n">
        <x:f>0</x:f>
        <x:v>0</x:v>
      </x:c>
      <x:c r="AS39" s="9"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x:f>
        <x:v>170.32340444835148</x:v>
      </x:c>
      <x:c r="AT39" s="9"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x:f>
        <x:v>109.75803098864128</x:v>
      </x:c>
      <x:c r="AU39" s="9"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x:f>
        <x:v>193.95377403916262</x:v>
      </x:c>
      <x:c r="AV39" s="9"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x:f>
        <x:v>193.95377403916262</x:v>
      </x:c>
      <x:c r="AW39" s="10"/>
      <x:c r="AX39" s="9">
        <x:f t="shared" si="7"/>
        <x:v>-0.69199999999999995</x:v>
      </x:c>
      <x:c r="AY39" s="9" t="n">
        <x:f>0</x:f>
        <x:v>0</x:v>
      </x:c>
      <x:c r="AZ39" s="9" t="n">
        <x:f>IF(OR(Inputs!$F$6=TRUE,Inputs!$F$6="TRUE",Inputs!$F$6=1),(Inputs!$H$6+Inputs!$L$6*(((Inputs!$I$6+(((A39)+1)/2)*(Inputs!$J$6-Inputs!$I$6)))/Inputs!$K$6)^2),NA())</x:f>
        <x:v>401.915456</x:v>
      </x:c>
      <x:c r="BA39" s="9" t="n">
        <x:f>IF(OR(Inputs!$F$7=TRUE,Inputs!$F$7="TRUE",Inputs!$F$7=1),(Inputs!$H$7+Inputs!$L$7*(((Inputs!$I$7+(((A39)+1)/2)*(Inputs!$J$7-Inputs!$I$7)))/Inputs!$K$7)^2),NA())</x:f>
        <x:v>209.7853599999999</x:v>
      </x:c>
      <x:c r="BB39" s="9" t="n">
        <x:f>IF(OR(Inputs!$F$8=TRUE,Inputs!$F$8="TRUE",Inputs!$F$8=1),(Inputs!$H$8+Inputs!$L$8*(((Inputs!$I$8+(((A39)+1)/2)*(Inputs!$J$8-Inputs!$I$8)))/Inputs!$K$8)^2),NA())</x:f>
        <x:v>497.1037599999998</x:v>
      </x:c>
      <x:c r="BC39" s="9" t="n">
        <x:f>IF(OR(Inputs!$F$9=TRUE,Inputs!$F$9="TRUE",Inputs!$F$9=1),(Inputs!$H$9+Inputs!$L$9*(((Inputs!$I$9+(((A39)+1)/2)*(Inputs!$J$9-Inputs!$I$9)))/Inputs!$K$9)^2),NA())</x:f>
        <x:v>491.8923999999998</x:v>
      </x:c>
      <x:c r="BD39" s="10"/>
      <x:c r="BE39" s="9">
        <x:f t="shared" si="8"/>
        <x:v>-0.69199999999999995</x:v>
      </x:c>
      <x:c r="BF39" s="9" t="n">
        <x:f>0</x:f>
        <x:v>0</x:v>
      </x:c>
      <x:c r="BG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9" t="n">
        <x:f>ROUND(-1+38*2/240,3)</x:f>
        <x:v>-0.683</x:v>
      </x:c>
      <x:c r="B40" s="9" t="n">
        <x:f>IF(OR(Inputs!$F$6=TRUE,Inputs!$F$6="TRUE",Inputs!$F$6=1),(Inputs!$H$6+Inputs!$L$6*(((Inputs!$I$6+(((A40)+1)/2)*(Inputs!$J$6-Inputs!$I$6)))/Inputs!$K$6)^2),NA())</x:f>
        <x:v>401.865956</x:v>
      </x:c>
      <x:c r="C40" s="9" t="n">
        <x:f>IF(OR(Inputs!$F$7=TRUE,Inputs!$F$7="TRUE",Inputs!$F$7=1),(Inputs!$H$7+Inputs!$L$7*(((Inputs!$I$7+(((A40)+1)/2)*(Inputs!$J$7-Inputs!$I$7)))/Inputs!$K$7)^2),NA())</x:f>
        <x:v>205.26848500000008</x:v>
      </x:c>
      <x:c r="D40" s="9" t="n">
        <x:f>IF(OR(Inputs!$F$8=TRUE,Inputs!$F$8="TRUE",Inputs!$F$8=1),(Inputs!$H$8+Inputs!$L$8*(((Inputs!$I$8+(((A40)+1)/2)*(Inputs!$J$8-Inputs!$I$8)))/Inputs!$K$8)^2),NA())</x:f>
        <x:v>485.1618850000002</x:v>
      </x:c>
      <x:c r="E40" s="9" t="n">
        <x:f>IF(OR(Inputs!$F$9=TRUE,Inputs!$F$9="TRUE",Inputs!$F$9=1),(Inputs!$H$9+Inputs!$L$9*(((Inputs!$I$9+(((A40)+1)/2)*(Inputs!$J$9-Inputs!$I$9)))/Inputs!$K$9)^2),NA())</x:f>
        <x:v>479.8267750000002</x:v>
      </x:c>
      <x:c r="F40" s="10"/>
      <x:c r="G40" s="9">
        <x:f t="shared" si="0"/>
        <x:v>-0.68300000000000005</x:v>
      </x:c>
      <x:c r="H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10"/>
      <x:c r="M40" s="9">
        <x:f t="shared" si="1"/>
        <x:v>-0.68300000000000005</x:v>
      </x:c>
      <x:c r="N40" s="9"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9"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9"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9"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10"/>
      <x:c r="S40" s="9">
        <x:f t="shared" si="2"/>
        <x:v>-0.68300000000000005</x:v>
      </x:c>
      <x:c r="T40" s="9" t="n">
        <x:f>(Inputs!$I$6+(((A40)+1)/2)*(Inputs!$J$6-Inputs!$I$6))</x:f>
        <x:v>-40.980000000000004</x:v>
      </x:c>
      <x:c r="U40" s="9" t="n">
        <x:f>(Inputs!$I$7+(((A40)+1)/2)*(Inputs!$J$7-Inputs!$I$7))</x:f>
        <x:v>-273.20000000000005</x:v>
      </x:c>
      <x:c r="V40" s="9" t="n">
        <x:f>(Inputs!$I$8+(((A40)+1)/2)*(Inputs!$J$8-Inputs!$I$8))</x:f>
        <x:v>-546.4000000000001</x:v>
      </x:c>
      <x:c r="W40" s="9" t="n">
        <x:f>(Inputs!$I$9+(((A40)+1)/2)*(Inputs!$J$9-Inputs!$I$9))</x:f>
        <x:v>-546.4000000000001</x:v>
      </x:c>
      <x:c r="X40" s="10"/>
      <x:c r="Y40" s="9">
        <x:f t="shared" si="3"/>
        <x:v>-0.68300000000000005</x:v>
      </x:c>
      <x:c r="Z40" s="9" t="n">
        <x:f>(Inputs!$H$6+Inputs!$L$6*(((Inputs!$I$6+(((A40)+1)/2)*(Inputs!$J$6-Inputs!$I$6)))/Inputs!$K$6)^2)</x:f>
        <x:v>401.865956</x:v>
      </x:c>
      <x:c r="AA40" s="9" t="n">
        <x:f>(Inputs!$H$7+Inputs!$L$7*(((Inputs!$I$7+(((A40)+1)/2)*(Inputs!$J$7-Inputs!$I$7)))/Inputs!$K$7)^2)</x:f>
        <x:v>205.26848500000008</x:v>
      </x:c>
      <x:c r="AB40" s="9" t="n">
        <x:f>(Inputs!$H$8+Inputs!$L$8*(((Inputs!$I$8+(((A40)+1)/2)*(Inputs!$J$8-Inputs!$I$8)))/Inputs!$K$8)^2)</x:f>
        <x:v>485.1618850000002</x:v>
      </x:c>
      <x:c r="AC40" s="9" t="n">
        <x:f>(Inputs!$H$9+Inputs!$L$9*(((Inputs!$I$9+(((A40)+1)/2)*(Inputs!$J$9-Inputs!$I$9)))/Inputs!$K$9)^2)</x:f>
        <x:v>479.8267750000002</x:v>
      </x:c>
      <x:c r="AD40" s="10"/>
      <x:c r="AE40" s="9">
        <x:f t="shared" si="4"/>
        <x:v>-0.68300000000000005</x:v>
      </x:c>
      <x:c r="AF40" s="9"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9"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9"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9"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10"/>
      <x:c r="AK40" s="9">
        <x:f t="shared" si="5"/>
        <x:v>-0.68300000000000005</x:v>
      </x:c>
      <x:c r="AL40" s="9"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9"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9"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9"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10"/>
      <x:c r="AQ40" s="9">
        <x:f t="shared" si="6"/>
        <x:v>-0.68300000000000005</x:v>
      </x:c>
      <x:c r="AR40" s="9" t="n">
        <x:f>0</x:f>
        <x:v>0</x:v>
      </x:c>
      <x:c r="AS40" s="9"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x:f>
        <x:v>183.9499474411341</x:v>
      </x:c>
      <x:c r="AT40" s="9"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x:f>
        <x:v>136.94644195306483</x:v>
      </x:c>
      <x:c r="AU40" s="9"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x:f>
        <x:v>134.0103845751267</x:v>
      </x:c>
      <x:c r="AV40" s="9"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x:f>
        <x:v>134.0103845751267</x:v>
      </x:c>
      <x:c r="AW40" s="10"/>
      <x:c r="AX40" s="9">
        <x:f t="shared" si="7"/>
        <x:v>-0.68300000000000005</x:v>
      </x:c>
      <x:c r="AY40" s="9" t="n">
        <x:f>0</x:f>
        <x:v>0</x:v>
      </x:c>
      <x:c r="AZ40" s="9" t="n">
        <x:f>IF(OR(Inputs!$F$6=TRUE,Inputs!$F$6="TRUE",Inputs!$F$6=1),(Inputs!$H$6+Inputs!$L$6*(((Inputs!$I$6+(((A40)+1)/2)*(Inputs!$J$6-Inputs!$I$6)))/Inputs!$K$6)^2),NA())</x:f>
        <x:v>401.865956</x:v>
      </x:c>
      <x:c r="BA40" s="9" t="n">
        <x:f>IF(OR(Inputs!$F$7=TRUE,Inputs!$F$7="TRUE",Inputs!$F$7=1),(Inputs!$H$7+Inputs!$L$7*(((Inputs!$I$7+(((A40)+1)/2)*(Inputs!$J$7-Inputs!$I$7)))/Inputs!$K$7)^2),NA())</x:f>
        <x:v>205.26848500000008</x:v>
      </x:c>
      <x:c r="BB40" s="9" t="n">
        <x:f>IF(OR(Inputs!$F$8=TRUE,Inputs!$F$8="TRUE",Inputs!$F$8=1),(Inputs!$H$8+Inputs!$L$8*(((Inputs!$I$8+(((A40)+1)/2)*(Inputs!$J$8-Inputs!$I$8)))/Inputs!$K$8)^2),NA())</x:f>
        <x:v>485.1618850000002</x:v>
      </x:c>
      <x:c r="BC40" s="9" t="n">
        <x:f>IF(OR(Inputs!$F$9=TRUE,Inputs!$F$9="TRUE",Inputs!$F$9=1),(Inputs!$H$9+Inputs!$L$9*(((Inputs!$I$9+(((A40)+1)/2)*(Inputs!$J$9-Inputs!$I$9)))/Inputs!$K$9)^2),NA())</x:f>
        <x:v>479.8267750000002</x:v>
      </x:c>
      <x:c r="BD40" s="10"/>
      <x:c r="BE40" s="9">
        <x:f t="shared" si="8"/>
        <x:v>-0.68300000000000005</x:v>
      </x:c>
      <x:c r="BF40" s="9" t="n">
        <x:f>0</x:f>
        <x:v>0</x:v>
      </x:c>
      <x:c r="BG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9" t="n">
        <x:f>ROUND(-1+39*2/240,3)</x:f>
        <x:v>-0.675</x:v>
      </x:c>
      <x:c r="B41" s="9" t="n">
        <x:f>IF(OR(Inputs!$F$6=TRUE,Inputs!$F$6="TRUE",Inputs!$F$6=1),(Inputs!$H$6+Inputs!$L$6*(((Inputs!$I$6+(((A41)+1)/2)*(Inputs!$J$6-Inputs!$I$6)))/Inputs!$K$6)^2),NA())</x:f>
        <x:v>401.8225</x:v>
      </x:c>
      <x:c r="C41" s="9" t="n">
        <x:f>IF(OR(Inputs!$F$7=TRUE,Inputs!$F$7="TRUE",Inputs!$F$7=1),(Inputs!$H$7+Inputs!$L$7*(((Inputs!$I$7+(((A41)+1)/2)*(Inputs!$J$7-Inputs!$I$7)))/Inputs!$K$7)^2),NA())</x:f>
        <x:v>201.30312500000002</x:v>
      </x:c>
      <x:c r="D41" s="9" t="n">
        <x:f>IF(OR(Inputs!$F$8=TRUE,Inputs!$F$8="TRUE",Inputs!$F$8=1),(Inputs!$H$8+Inputs!$L$8*(((Inputs!$I$8+(((A41)+1)/2)*(Inputs!$J$8-Inputs!$I$8)))/Inputs!$K$8)^2),NA())</x:f>
        <x:v>474.6781250000001</x:v>
      </x:c>
      <x:c r="E41" s="9" t="n">
        <x:f>IF(OR(Inputs!$F$9=TRUE,Inputs!$F$9="TRUE",Inputs!$F$9=1),(Inputs!$H$9+Inputs!$L$9*(((Inputs!$I$9+(((A41)+1)/2)*(Inputs!$J$9-Inputs!$I$9)))/Inputs!$K$9)^2),NA())</x:f>
        <x:v>469.23437500000006</x:v>
      </x:c>
      <x:c r="F41" s="10"/>
      <x:c r="G41" s="9">
        <x:f t="shared" si="0"/>
        <x:v>-0.67500000000000004</x:v>
      </x:c>
      <x:c r="H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10"/>
      <x:c r="M41" s="9">
        <x:f t="shared" si="1"/>
        <x:v>-0.67500000000000004</x:v>
      </x:c>
      <x:c r="N41" s="9"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9"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9"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9"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10"/>
      <x:c r="S41" s="9">
        <x:f t="shared" si="2"/>
        <x:v>-0.67500000000000004</x:v>
      </x:c>
      <x:c r="T41" s="9" t="n">
        <x:f>(Inputs!$I$6+(((A41)+1)/2)*(Inputs!$J$6-Inputs!$I$6))</x:f>
        <x:v>-40.5</x:v>
      </x:c>
      <x:c r="U41" s="9" t="n">
        <x:f>(Inputs!$I$7+(((A41)+1)/2)*(Inputs!$J$7-Inputs!$I$7))</x:f>
        <x:v>-270</x:v>
      </x:c>
      <x:c r="V41" s="9" t="n">
        <x:f>(Inputs!$I$8+(((A41)+1)/2)*(Inputs!$J$8-Inputs!$I$8))</x:f>
        <x:v>-540</x:v>
      </x:c>
      <x:c r="W41" s="9" t="n">
        <x:f>(Inputs!$I$9+(((A41)+1)/2)*(Inputs!$J$9-Inputs!$I$9))</x:f>
        <x:v>-540</x:v>
      </x:c>
      <x:c r="X41" s="10"/>
      <x:c r="Y41" s="9">
        <x:f t="shared" si="3"/>
        <x:v>-0.67500000000000004</x:v>
      </x:c>
      <x:c r="Z41" s="9" t="n">
        <x:f>(Inputs!$H$6+Inputs!$L$6*(((Inputs!$I$6+(((A41)+1)/2)*(Inputs!$J$6-Inputs!$I$6)))/Inputs!$K$6)^2)</x:f>
        <x:v>401.8225</x:v>
      </x:c>
      <x:c r="AA41" s="9" t="n">
        <x:f>(Inputs!$H$7+Inputs!$L$7*(((Inputs!$I$7+(((A41)+1)/2)*(Inputs!$J$7-Inputs!$I$7)))/Inputs!$K$7)^2)</x:f>
        <x:v>201.30312500000002</x:v>
      </x:c>
      <x:c r="AB41" s="9" t="n">
        <x:f>(Inputs!$H$8+Inputs!$L$8*(((Inputs!$I$8+(((A41)+1)/2)*(Inputs!$J$8-Inputs!$I$8)))/Inputs!$K$8)^2)</x:f>
        <x:v>474.6781250000001</x:v>
      </x:c>
      <x:c r="AC41" s="9" t="n">
        <x:f>(Inputs!$H$9+Inputs!$L$9*(((Inputs!$I$9+(((A41)+1)/2)*(Inputs!$J$9-Inputs!$I$9)))/Inputs!$K$9)^2)</x:f>
        <x:v>469.23437500000006</x:v>
      </x:c>
      <x:c r="AD41" s="10"/>
      <x:c r="AE41" s="9">
        <x:f t="shared" si="4"/>
        <x:v>-0.67500000000000004</x:v>
      </x:c>
      <x:c r="AF41" s="9"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9"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9"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9"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10"/>
      <x:c r="AK41" s="9">
        <x:f t="shared" si="5"/>
        <x:v>-0.67500000000000004</x:v>
      </x:c>
      <x:c r="AL41" s="9"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9"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9"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9"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10"/>
      <x:c r="AQ41" s="9">
        <x:f t="shared" si="6"/>
        <x:v>-0.67500000000000004</x:v>
      </x:c>
      <x:c r="AR41" s="9" t="n">
        <x:f>0</x:f>
        <x:v>0</x:v>
      </x:c>
      <x:c r="AS41" s="9"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x:f>
        <x:v>191.24651788731785</x:v>
      </x:c>
      <x:c r="AT41" s="9"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x:f>
        <x:v>151.4832420513476</x:v>
      </x:c>
      <x:c r="AU41" s="9"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x:f>
        <x:v>139.8789917709623</x:v>
      </x:c>
      <x:c r="AV41" s="9"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x:f>
        <x:v>139.8789917709623</x:v>
      </x:c>
      <x:c r="AW41" s="10"/>
      <x:c r="AX41" s="9">
        <x:f t="shared" si="7"/>
        <x:v>-0.67500000000000004</x:v>
      </x:c>
      <x:c r="AY41" s="9" t="n">
        <x:f>0</x:f>
        <x:v>0</x:v>
      </x:c>
      <x:c r="AZ41" s="9" t="n">
        <x:f>IF(OR(Inputs!$F$6=TRUE,Inputs!$F$6="TRUE",Inputs!$F$6=1),(Inputs!$H$6+Inputs!$L$6*(((Inputs!$I$6+(((A41)+1)/2)*(Inputs!$J$6-Inputs!$I$6)))/Inputs!$K$6)^2),NA())</x:f>
        <x:v>401.8225</x:v>
      </x:c>
      <x:c r="BA41" s="9" t="n">
        <x:f>IF(OR(Inputs!$F$7=TRUE,Inputs!$F$7="TRUE",Inputs!$F$7=1),(Inputs!$H$7+Inputs!$L$7*(((Inputs!$I$7+(((A41)+1)/2)*(Inputs!$J$7-Inputs!$I$7)))/Inputs!$K$7)^2),NA())</x:f>
        <x:v>201.30312500000002</x:v>
      </x:c>
      <x:c r="BB41" s="9" t="n">
        <x:f>IF(OR(Inputs!$F$8=TRUE,Inputs!$F$8="TRUE",Inputs!$F$8=1),(Inputs!$H$8+Inputs!$L$8*(((Inputs!$I$8+(((A41)+1)/2)*(Inputs!$J$8-Inputs!$I$8)))/Inputs!$K$8)^2),NA())</x:f>
        <x:v>474.6781250000001</x:v>
      </x:c>
      <x:c r="BC41" s="9" t="n">
        <x:f>IF(OR(Inputs!$F$9=TRUE,Inputs!$F$9="TRUE",Inputs!$F$9=1),(Inputs!$H$9+Inputs!$L$9*(((Inputs!$I$9+(((A41)+1)/2)*(Inputs!$J$9-Inputs!$I$9)))/Inputs!$K$9)^2),NA())</x:f>
        <x:v>469.23437500000006</x:v>
      </x:c>
      <x:c r="BD41" s="10"/>
      <x:c r="BE41" s="9">
        <x:f t="shared" si="8"/>
        <x:v>-0.67500000000000004</x:v>
      </x:c>
      <x:c r="BF41" s="9" t="n">
        <x:f>0</x:f>
        <x:v>0</x:v>
      </x:c>
      <x:c r="BG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9" t="n">
        <x:f>ROUND(-1+40*2/240,3)</x:f>
        <x:v>-0.667</x:v>
      </x:c>
      <x:c r="B42" s="9" t="n">
        <x:f>IF(OR(Inputs!$F$6=TRUE,Inputs!$F$6="TRUE",Inputs!$F$6=1),(Inputs!$H$6+Inputs!$L$6*(((Inputs!$I$6+(((A42)+1)/2)*(Inputs!$J$6-Inputs!$I$6)))/Inputs!$K$6)^2),NA())</x:f>
        <x:v>401.779556</x:v>
      </x:c>
      <x:c r="C42" s="9" t="n">
        <x:f>IF(OR(Inputs!$F$7=TRUE,Inputs!$F$7="TRUE",Inputs!$F$7=1),(Inputs!$H$7+Inputs!$L$7*(((Inputs!$I$7+(((A42)+1)/2)*(Inputs!$J$7-Inputs!$I$7)))/Inputs!$K$7)^2),NA())</x:f>
        <x:v>197.384485</x:v>
      </x:c>
      <x:c r="D42" s="9" t="n">
        <x:f>IF(OR(Inputs!$F$8=TRUE,Inputs!$F$8="TRUE",Inputs!$F$8=1),(Inputs!$H$8+Inputs!$L$8*(((Inputs!$I$8+(((A42)+1)/2)*(Inputs!$J$8-Inputs!$I$8)))/Inputs!$K$8)^2),NA())</x:f>
        <x:v>464.31788500000005</x:v>
      </x:c>
      <x:c r="E42" s="9" t="n">
        <x:f>IF(OR(Inputs!$F$9=TRUE,Inputs!$F$9="TRUE",Inputs!$F$9=1),(Inputs!$H$9+Inputs!$L$9*(((Inputs!$I$9+(((A42)+1)/2)*(Inputs!$J$9-Inputs!$I$9)))/Inputs!$K$9)^2),NA())</x:f>
        <x:v>458.76677500000005</x:v>
      </x:c>
      <x:c r="F42" s="10"/>
      <x:c r="G42" s="9">
        <x:f t="shared" si="0"/>
        <x:v>-0.66700000000000004</x:v>
      </x:c>
      <x:c r="H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10"/>
      <x:c r="M42" s="9">
        <x:f t="shared" si="1"/>
        <x:v>-0.66700000000000004</x:v>
      </x:c>
      <x:c r="N42" s="9"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9"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9"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9"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10"/>
      <x:c r="S42" s="9">
        <x:f t="shared" si="2"/>
        <x:v>-0.66700000000000004</x:v>
      </x:c>
      <x:c r="T42" s="9" t="n">
        <x:f>(Inputs!$I$6+(((A42)+1)/2)*(Inputs!$J$6-Inputs!$I$6))</x:f>
        <x:v>-40.02</x:v>
      </x:c>
      <x:c r="U42" s="9" t="n">
        <x:f>(Inputs!$I$7+(((A42)+1)/2)*(Inputs!$J$7-Inputs!$I$7))</x:f>
        <x:v>-266.8</x:v>
      </x:c>
      <x:c r="V42" s="9" t="n">
        <x:f>(Inputs!$I$8+(((A42)+1)/2)*(Inputs!$J$8-Inputs!$I$8))</x:f>
        <x:v>-533.6</x:v>
      </x:c>
      <x:c r="W42" s="9" t="n">
        <x:f>(Inputs!$I$9+(((A42)+1)/2)*(Inputs!$J$9-Inputs!$I$9))</x:f>
        <x:v>-533.6</x:v>
      </x:c>
      <x:c r="X42" s="10"/>
      <x:c r="Y42" s="9">
        <x:f t="shared" si="3"/>
        <x:v>-0.66700000000000004</x:v>
      </x:c>
      <x:c r="Z42" s="9" t="n">
        <x:f>(Inputs!$H$6+Inputs!$L$6*(((Inputs!$I$6+(((A42)+1)/2)*(Inputs!$J$6-Inputs!$I$6)))/Inputs!$K$6)^2)</x:f>
        <x:v>401.779556</x:v>
      </x:c>
      <x:c r="AA42" s="9" t="n">
        <x:f>(Inputs!$H$7+Inputs!$L$7*(((Inputs!$I$7+(((A42)+1)/2)*(Inputs!$J$7-Inputs!$I$7)))/Inputs!$K$7)^2)</x:f>
        <x:v>197.384485</x:v>
      </x:c>
      <x:c r="AB42" s="9" t="n">
        <x:f>(Inputs!$H$8+Inputs!$L$8*(((Inputs!$I$8+(((A42)+1)/2)*(Inputs!$J$8-Inputs!$I$8)))/Inputs!$K$8)^2)</x:f>
        <x:v>464.31788500000005</x:v>
      </x:c>
      <x:c r="AC42" s="9" t="n">
        <x:f>(Inputs!$H$9+Inputs!$L$9*(((Inputs!$I$9+(((A42)+1)/2)*(Inputs!$J$9-Inputs!$I$9)))/Inputs!$K$9)^2)</x:f>
        <x:v>458.76677500000005</x:v>
      </x:c>
      <x:c r="AD42" s="10"/>
      <x:c r="AE42" s="9">
        <x:f t="shared" si="4"/>
        <x:v>-0.66700000000000004</x:v>
      </x:c>
      <x:c r="AF42" s="9"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9"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9"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9"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10"/>
      <x:c r="AK42" s="9">
        <x:f t="shared" si="5"/>
        <x:v>-0.66700000000000004</x:v>
      </x:c>
      <x:c r="AL42" s="9"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9"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9"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9"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10"/>
      <x:c r="AQ42" s="9">
        <x:f t="shared" si="6"/>
        <x:v>-0.66700000000000004</x:v>
      </x:c>
      <x:c r="AR42" s="9" t="n">
        <x:f>0</x:f>
        <x:v>0</x:v>
      </x:c>
      <x:c r="AS42" s="9"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x:f>
        <x:v>179.4896616518568</x:v>
      </x:c>
      <x:c r="AT42" s="9"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x:f>
        <x:v>192.41801871907217</x:v>
      </x:c>
      <x:c r="AU42" s="9"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x:f>
        <x:v>209.69649268233258</x:v>
      </x:c>
      <x:c r="AV42" s="9"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x:f>
        <x:v>209.69649268233258</x:v>
      </x:c>
      <x:c r="AW42" s="10"/>
      <x:c r="AX42" s="9">
        <x:f t="shared" si="7"/>
        <x:v>-0.66700000000000004</x:v>
      </x:c>
      <x:c r="AY42" s="9" t="n">
        <x:f>0</x:f>
        <x:v>0</x:v>
      </x:c>
      <x:c r="AZ42" s="9" t="n">
        <x:f>IF(OR(Inputs!$F$6=TRUE,Inputs!$F$6="TRUE",Inputs!$F$6=1),(Inputs!$H$6+Inputs!$L$6*(((Inputs!$I$6+(((A42)+1)/2)*(Inputs!$J$6-Inputs!$I$6)))/Inputs!$K$6)^2),NA())</x:f>
        <x:v>401.779556</x:v>
      </x:c>
      <x:c r="BA42" s="9" t="n">
        <x:f>IF(OR(Inputs!$F$7=TRUE,Inputs!$F$7="TRUE",Inputs!$F$7=1),(Inputs!$H$7+Inputs!$L$7*(((Inputs!$I$7+(((A42)+1)/2)*(Inputs!$J$7-Inputs!$I$7)))/Inputs!$K$7)^2),NA())</x:f>
        <x:v>197.384485</x:v>
      </x:c>
      <x:c r="BB42" s="9" t="n">
        <x:f>IF(OR(Inputs!$F$8=TRUE,Inputs!$F$8="TRUE",Inputs!$F$8=1),(Inputs!$H$8+Inputs!$L$8*(((Inputs!$I$8+(((A42)+1)/2)*(Inputs!$J$8-Inputs!$I$8)))/Inputs!$K$8)^2),NA())</x:f>
        <x:v>464.31788500000005</x:v>
      </x:c>
      <x:c r="BC42" s="9" t="n">
        <x:f>IF(OR(Inputs!$F$9=TRUE,Inputs!$F$9="TRUE",Inputs!$F$9=1),(Inputs!$H$9+Inputs!$L$9*(((Inputs!$I$9+(((A42)+1)/2)*(Inputs!$J$9-Inputs!$I$9)))/Inputs!$K$9)^2),NA())</x:f>
        <x:v>458.76677500000005</x:v>
      </x:c>
      <x:c r="BD42" s="10"/>
      <x:c r="BE42" s="9">
        <x:f t="shared" si="8"/>
        <x:v>-0.66700000000000004</x:v>
      </x:c>
      <x:c r="BF42" s="9" t="n">
        <x:f>0</x:f>
        <x:v>0</x:v>
      </x:c>
      <x:c r="BG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9" t="n">
        <x:f>ROUND(-1+41*2/240,3)</x:f>
        <x:v>-0.658</x:v>
      </x:c>
      <x:c r="B43" s="9" t="n">
        <x:f>IF(OR(Inputs!$F$6=TRUE,Inputs!$F$6="TRUE",Inputs!$F$6=1),(Inputs!$H$6+Inputs!$L$6*(((Inputs!$I$6+(((A43)+1)/2)*(Inputs!$J$6-Inputs!$I$6)))/Inputs!$K$6)^2),NA())</x:f>
        <x:v>401.731856</x:v>
      </x:c>
      <x:c r="C43" s="9" t="n">
        <x:f>IF(OR(Inputs!$F$7=TRUE,Inputs!$F$7="TRUE",Inputs!$F$7=1),(Inputs!$H$7+Inputs!$L$7*(((Inputs!$I$7+(((A43)+1)/2)*(Inputs!$J$7-Inputs!$I$7)))/Inputs!$K$7)^2),NA())</x:f>
        <x:v>193.03186000000008</x:v>
      </x:c>
      <x:c r="D43" s="9" t="n">
        <x:f>IF(OR(Inputs!$F$8=TRUE,Inputs!$F$8="TRUE",Inputs!$F$8=1),(Inputs!$H$8+Inputs!$L$8*(((Inputs!$I$8+(((A43)+1)/2)*(Inputs!$J$8-Inputs!$I$8)))/Inputs!$K$8)^2),NA())</x:f>
        <x:v>452.8102600000002</x:v>
      </x:c>
      <x:c r="E43" s="9" t="n">
        <x:f>IF(OR(Inputs!$F$9=TRUE,Inputs!$F$9="TRUE",Inputs!$F$9=1),(Inputs!$H$9+Inputs!$L$9*(((Inputs!$I$9+(((A43)+1)/2)*(Inputs!$J$9-Inputs!$I$9)))/Inputs!$K$9)^2),NA())</x:f>
        <x:v>447.1399000000002</x:v>
      </x:c>
      <x:c r="F43" s="10"/>
      <x:c r="G43" s="9">
        <x:f t="shared" si="0"/>
        <x:v>-0.65800000000000003</x:v>
      </x:c>
      <x:c r="H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10"/>
      <x:c r="M43" s="9">
        <x:f t="shared" si="1"/>
        <x:v>-0.65800000000000003</x:v>
      </x:c>
      <x:c r="N43" s="9"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9"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9"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9"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10"/>
      <x:c r="S43" s="9">
        <x:f t="shared" si="2"/>
        <x:v>-0.65800000000000003</x:v>
      </x:c>
      <x:c r="T43" s="9" t="n">
        <x:f>(Inputs!$I$6+(((A43)+1)/2)*(Inputs!$J$6-Inputs!$I$6))</x:f>
        <x:v>-39.480000000000004</x:v>
      </x:c>
      <x:c r="U43" s="9" t="n">
        <x:f>(Inputs!$I$7+(((A43)+1)/2)*(Inputs!$J$7-Inputs!$I$7))</x:f>
        <x:v>-263.20000000000005</x:v>
      </x:c>
      <x:c r="V43" s="9" t="n">
        <x:f>(Inputs!$I$8+(((A43)+1)/2)*(Inputs!$J$8-Inputs!$I$8))</x:f>
        <x:v>-526.4000000000001</x:v>
      </x:c>
      <x:c r="W43" s="9" t="n">
        <x:f>(Inputs!$I$9+(((A43)+1)/2)*(Inputs!$J$9-Inputs!$I$9))</x:f>
        <x:v>-526.4000000000001</x:v>
      </x:c>
      <x:c r="X43" s="10"/>
      <x:c r="Y43" s="9">
        <x:f t="shared" si="3"/>
        <x:v>-0.65800000000000003</x:v>
      </x:c>
      <x:c r="Z43" s="9" t="n">
        <x:f>(Inputs!$H$6+Inputs!$L$6*(((Inputs!$I$6+(((A43)+1)/2)*(Inputs!$J$6-Inputs!$I$6)))/Inputs!$K$6)^2)</x:f>
        <x:v>401.731856</x:v>
      </x:c>
      <x:c r="AA43" s="9" t="n">
        <x:f>(Inputs!$H$7+Inputs!$L$7*(((Inputs!$I$7+(((A43)+1)/2)*(Inputs!$J$7-Inputs!$I$7)))/Inputs!$K$7)^2)</x:f>
        <x:v>193.03186000000008</x:v>
      </x:c>
      <x:c r="AB43" s="9" t="n">
        <x:f>(Inputs!$H$8+Inputs!$L$8*(((Inputs!$I$8+(((A43)+1)/2)*(Inputs!$J$8-Inputs!$I$8)))/Inputs!$K$8)^2)</x:f>
        <x:v>452.8102600000002</x:v>
      </x:c>
      <x:c r="AC43" s="9" t="n">
        <x:f>(Inputs!$H$9+Inputs!$L$9*(((Inputs!$I$9+(((A43)+1)/2)*(Inputs!$J$9-Inputs!$I$9)))/Inputs!$K$9)^2)</x:f>
        <x:v>447.1399000000002</x:v>
      </x:c>
      <x:c r="AD43" s="10"/>
      <x:c r="AE43" s="9">
        <x:f t="shared" si="4"/>
        <x:v>-0.65800000000000003</x:v>
      </x:c>
      <x:c r="AF43" s="9"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9"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9"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9"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10"/>
      <x:c r="AK43" s="9">
        <x:f t="shared" si="5"/>
        <x:v>-0.65800000000000003</x:v>
      </x:c>
      <x:c r="AL43" s="9"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9"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9"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9"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10"/>
      <x:c r="AQ43" s="9">
        <x:f t="shared" si="6"/>
        <x:v>-0.65800000000000003</x:v>
      </x:c>
      <x:c r="AR43" s="9" t="n">
        <x:f>0</x:f>
        <x:v>0</x:v>
      </x:c>
      <x:c r="AS43" s="9"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x:f>
        <x:v>178.65691485258185</x:v>
      </x:c>
      <x:c r="AT43" s="9"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x:f>
        <x:v>210.6238728721736</x:v>
      </x:c>
      <x:c r="AU43" s="9"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x:f>
        <x:v>100.43687701849716</x:v>
      </x:c>
      <x:c r="AV43" s="9"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x:f>
        <x:v>100.43687701849716</x:v>
      </x:c>
      <x:c r="AW43" s="10"/>
      <x:c r="AX43" s="9">
        <x:f t="shared" si="7"/>
        <x:v>-0.65800000000000003</x:v>
      </x:c>
      <x:c r="AY43" s="9" t="n">
        <x:f>0</x:f>
        <x:v>0</x:v>
      </x:c>
      <x:c r="AZ43" s="9" t="n">
        <x:f>IF(OR(Inputs!$F$6=TRUE,Inputs!$F$6="TRUE",Inputs!$F$6=1),(Inputs!$H$6+Inputs!$L$6*(((Inputs!$I$6+(((A43)+1)/2)*(Inputs!$J$6-Inputs!$I$6)))/Inputs!$K$6)^2),NA())</x:f>
        <x:v>401.731856</x:v>
      </x:c>
      <x:c r="BA43" s="9" t="n">
        <x:f>IF(OR(Inputs!$F$7=TRUE,Inputs!$F$7="TRUE",Inputs!$F$7=1),(Inputs!$H$7+Inputs!$L$7*(((Inputs!$I$7+(((A43)+1)/2)*(Inputs!$J$7-Inputs!$I$7)))/Inputs!$K$7)^2),NA())</x:f>
        <x:v>193.03186000000008</x:v>
      </x:c>
      <x:c r="BB43" s="9" t="n">
        <x:f>IF(OR(Inputs!$F$8=TRUE,Inputs!$F$8="TRUE",Inputs!$F$8=1),(Inputs!$H$8+Inputs!$L$8*(((Inputs!$I$8+(((A43)+1)/2)*(Inputs!$J$8-Inputs!$I$8)))/Inputs!$K$8)^2),NA())</x:f>
        <x:v>452.8102600000002</x:v>
      </x:c>
      <x:c r="BC43" s="9" t="n">
        <x:f>IF(OR(Inputs!$F$9=TRUE,Inputs!$F$9="TRUE",Inputs!$F$9=1),(Inputs!$H$9+Inputs!$L$9*(((Inputs!$I$9+(((A43)+1)/2)*(Inputs!$J$9-Inputs!$I$9)))/Inputs!$K$9)^2),NA())</x:f>
        <x:v>447.1399000000002</x:v>
      </x:c>
      <x:c r="BD43" s="10"/>
      <x:c r="BE43" s="9">
        <x:f t="shared" si="8"/>
        <x:v>-0.65800000000000003</x:v>
      </x:c>
      <x:c r="BF43" s="9" t="n">
        <x:f>0</x:f>
        <x:v>0</x:v>
      </x:c>
      <x:c r="BG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9" t="n">
        <x:f>ROUND(-1+42*2/240,3)</x:f>
        <x:v>-0.65</x:v>
      </x:c>
      <x:c r="B44" s="9" t="n">
        <x:f>IF(OR(Inputs!$F$6=TRUE,Inputs!$F$6="TRUE",Inputs!$F$6=1),(Inputs!$H$6+Inputs!$L$6*(((Inputs!$I$6+(((A44)+1)/2)*(Inputs!$J$6-Inputs!$I$6)))/Inputs!$K$6)^2),NA())</x:f>
        <x:v>401.69</x:v>
      </x:c>
      <x:c r="C44" s="9" t="n">
        <x:f>IF(OR(Inputs!$F$7=TRUE,Inputs!$F$7="TRUE",Inputs!$F$7=1),(Inputs!$H$7+Inputs!$L$7*(((Inputs!$I$7+(((A44)+1)/2)*(Inputs!$J$7-Inputs!$I$7)))/Inputs!$K$7)^2),NA())</x:f>
        <x:v>189.2125</x:v>
      </x:c>
      <x:c r="D44" s="9" t="n">
        <x:f>IF(OR(Inputs!$F$8=TRUE,Inputs!$F$8="TRUE",Inputs!$F$8=1),(Inputs!$H$8+Inputs!$L$8*(((Inputs!$I$8+(((A44)+1)/2)*(Inputs!$J$8-Inputs!$I$8)))/Inputs!$K$8)^2),NA())</x:f>
        <x:v>442.71250000000003</x:v>
      </x:c>
      <x:c r="E44" s="9" t="n">
        <x:f>IF(OR(Inputs!$F$9=TRUE,Inputs!$F$9="TRUE",Inputs!$F$9=1),(Inputs!$H$9+Inputs!$L$9*(((Inputs!$I$9+(((A44)+1)/2)*(Inputs!$J$9-Inputs!$I$9)))/Inputs!$K$9)^2),NA())</x:f>
        <x:v>436.93750000000006</x:v>
      </x:c>
      <x:c r="F44" s="10"/>
      <x:c r="G44" s="9">
        <x:f t="shared" si="0"/>
        <x:v>-0.65</x:v>
      </x:c>
      <x:c r="H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10"/>
      <x:c r="M44" s="9">
        <x:f t="shared" si="1"/>
        <x:v>-0.65</x:v>
      </x:c>
      <x:c r="N44" s="9"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9"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9"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9"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10"/>
      <x:c r="S44" s="9">
        <x:f t="shared" si="2"/>
        <x:v>-0.65</x:v>
      </x:c>
      <x:c r="T44" s="9" t="n">
        <x:f>(Inputs!$I$6+(((A44)+1)/2)*(Inputs!$J$6-Inputs!$I$6))</x:f>
        <x:v>-39</x:v>
      </x:c>
      <x:c r="U44" s="9" t="n">
        <x:f>(Inputs!$I$7+(((A44)+1)/2)*(Inputs!$J$7-Inputs!$I$7))</x:f>
        <x:v>-260</x:v>
      </x:c>
      <x:c r="V44" s="9" t="n">
        <x:f>(Inputs!$I$8+(((A44)+1)/2)*(Inputs!$J$8-Inputs!$I$8))</x:f>
        <x:v>-520</x:v>
      </x:c>
      <x:c r="W44" s="9" t="n">
        <x:f>(Inputs!$I$9+(((A44)+1)/2)*(Inputs!$J$9-Inputs!$I$9))</x:f>
        <x:v>-520</x:v>
      </x:c>
      <x:c r="X44" s="10"/>
      <x:c r="Y44" s="9">
        <x:f t="shared" si="3"/>
        <x:v>-0.65</x:v>
      </x:c>
      <x:c r="Z44" s="9" t="n">
        <x:f>(Inputs!$H$6+Inputs!$L$6*(((Inputs!$I$6+(((A44)+1)/2)*(Inputs!$J$6-Inputs!$I$6)))/Inputs!$K$6)^2)</x:f>
        <x:v>401.69</x:v>
      </x:c>
      <x:c r="AA44" s="9" t="n">
        <x:f>(Inputs!$H$7+Inputs!$L$7*(((Inputs!$I$7+(((A44)+1)/2)*(Inputs!$J$7-Inputs!$I$7)))/Inputs!$K$7)^2)</x:f>
        <x:v>189.2125</x:v>
      </x:c>
      <x:c r="AB44" s="9" t="n">
        <x:f>(Inputs!$H$8+Inputs!$L$8*(((Inputs!$I$8+(((A44)+1)/2)*(Inputs!$J$8-Inputs!$I$8)))/Inputs!$K$8)^2)</x:f>
        <x:v>442.71250000000003</x:v>
      </x:c>
      <x:c r="AC44" s="9" t="n">
        <x:f>(Inputs!$H$9+Inputs!$L$9*(((Inputs!$I$9+(((A44)+1)/2)*(Inputs!$J$9-Inputs!$I$9)))/Inputs!$K$9)^2)</x:f>
        <x:v>436.93750000000006</x:v>
      </x:c>
      <x:c r="AD44" s="10"/>
      <x:c r="AE44" s="9">
        <x:f t="shared" si="4"/>
        <x:v>-0.65</x:v>
      </x:c>
      <x:c r="AF44" s="9"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9"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9"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9"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10"/>
      <x:c r="AK44" s="9">
        <x:f t="shared" si="5"/>
        <x:v>-0.65</x:v>
      </x:c>
      <x:c r="AL44" s="9"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9"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9"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9"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10"/>
      <x:c r="AQ44" s="9">
        <x:f t="shared" si="6"/>
        <x:v>-0.65</x:v>
      </x:c>
      <x:c r="AR44" s="9" t="n">
        <x:f>0</x:f>
        <x:v>0</x:v>
      </x:c>
      <x:c r="AS44" s="9"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x:f>
        <x:v>184.54420924136062</x:v>
      </x:c>
      <x:c r="AT44" s="9"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x:f>
        <x:v>175.19977595405177</x:v>
      </x:c>
      <x:c r="AU44" s="9"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x:f>
        <x:v>168.3306347152109</x:v>
      </x:c>
      <x:c r="AV44" s="9"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x:f>
        <x:v>168.3306347152109</x:v>
      </x:c>
      <x:c r="AW44" s="10"/>
      <x:c r="AX44" s="9">
        <x:f t="shared" si="7"/>
        <x:v>-0.65</x:v>
      </x:c>
      <x:c r="AY44" s="9" t="n">
        <x:f>0</x:f>
        <x:v>0</x:v>
      </x:c>
      <x:c r="AZ44" s="9" t="n">
        <x:f>IF(OR(Inputs!$F$6=TRUE,Inputs!$F$6="TRUE",Inputs!$F$6=1),(Inputs!$H$6+Inputs!$L$6*(((Inputs!$I$6+(((A44)+1)/2)*(Inputs!$J$6-Inputs!$I$6)))/Inputs!$K$6)^2),NA())</x:f>
        <x:v>401.69</x:v>
      </x:c>
      <x:c r="BA44" s="9" t="n">
        <x:f>IF(OR(Inputs!$F$7=TRUE,Inputs!$F$7="TRUE",Inputs!$F$7=1),(Inputs!$H$7+Inputs!$L$7*(((Inputs!$I$7+(((A44)+1)/2)*(Inputs!$J$7-Inputs!$I$7)))/Inputs!$K$7)^2),NA())</x:f>
        <x:v>189.2125</x:v>
      </x:c>
      <x:c r="BB44" s="9" t="n">
        <x:f>IF(OR(Inputs!$F$8=TRUE,Inputs!$F$8="TRUE",Inputs!$F$8=1),(Inputs!$H$8+Inputs!$L$8*(((Inputs!$I$8+(((A44)+1)/2)*(Inputs!$J$8-Inputs!$I$8)))/Inputs!$K$8)^2),NA())</x:f>
        <x:v>442.71250000000003</x:v>
      </x:c>
      <x:c r="BC44" s="9" t="n">
        <x:f>IF(OR(Inputs!$F$9=TRUE,Inputs!$F$9="TRUE",Inputs!$F$9=1),(Inputs!$H$9+Inputs!$L$9*(((Inputs!$I$9+(((A44)+1)/2)*(Inputs!$J$9-Inputs!$I$9)))/Inputs!$K$9)^2),NA())</x:f>
        <x:v>436.93750000000006</x:v>
      </x:c>
      <x:c r="BD44" s="10"/>
      <x:c r="BE44" s="9">
        <x:f t="shared" si="8"/>
        <x:v>-0.65</x:v>
      </x:c>
      <x:c r="BF44" s="9" t="n">
        <x:f>0</x:f>
        <x:v>0</x:v>
      </x:c>
      <x:c r="BG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9" t="n">
        <x:f>ROUND(-1+43*2/240,3)</x:f>
        <x:v>-0.642</x:v>
      </x:c>
      <x:c r="B45" s="9" t="n">
        <x:f>IF(OR(Inputs!$F$6=TRUE,Inputs!$F$6="TRUE",Inputs!$F$6=1),(Inputs!$H$6+Inputs!$L$6*(((Inputs!$I$6+(((A45)+1)/2)*(Inputs!$J$6-Inputs!$I$6)))/Inputs!$K$6)^2),NA())</x:f>
        <x:v>401.648656</x:v>
      </x:c>
      <x:c r="C45" s="9" t="n">
        <x:f>IF(OR(Inputs!$F$7=TRUE,Inputs!$F$7="TRUE",Inputs!$F$7=1),(Inputs!$H$7+Inputs!$L$7*(((Inputs!$I$7+(((A45)+1)/2)*(Inputs!$J$7-Inputs!$I$7)))/Inputs!$K$7)^2),NA())</x:f>
        <x:v>185.43986</x:v>
      </x:c>
      <x:c r="D45" s="9" t="n">
        <x:f>IF(OR(Inputs!$F$8=TRUE,Inputs!$F$8="TRUE",Inputs!$F$8=1),(Inputs!$H$8+Inputs!$L$8*(((Inputs!$I$8+(((A45)+1)/2)*(Inputs!$J$8-Inputs!$I$8)))/Inputs!$K$8)^2),NA())</x:f>
        <x:v>432.73826</x:v>
      </x:c>
      <x:c r="E45" s="9" t="n">
        <x:f>IF(OR(Inputs!$F$9=TRUE,Inputs!$F$9="TRUE",Inputs!$F$9=1),(Inputs!$H$9+Inputs!$L$9*(((Inputs!$I$9+(((A45)+1)/2)*(Inputs!$J$9-Inputs!$I$9)))/Inputs!$K$9)^2),NA())</x:f>
        <x:v>426.85990000000004</x:v>
      </x:c>
      <x:c r="F45" s="10"/>
      <x:c r="G45" s="9">
        <x:f t="shared" si="0"/>
        <x:v>-0.64200000000000002</x:v>
      </x:c>
      <x:c r="H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10"/>
      <x:c r="M45" s="9">
        <x:f t="shared" si="1"/>
        <x:v>-0.64200000000000002</x:v>
      </x:c>
      <x:c r="N45" s="9"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9"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9"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9"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10"/>
      <x:c r="S45" s="9">
        <x:f t="shared" si="2"/>
        <x:v>-0.64200000000000002</x:v>
      </x:c>
      <x:c r="T45" s="9" t="n">
        <x:f>(Inputs!$I$6+(((A45)+1)/2)*(Inputs!$J$6-Inputs!$I$6))</x:f>
        <x:v>-38.519999999999996</x:v>
      </x:c>
      <x:c r="U45" s="9" t="n">
        <x:f>(Inputs!$I$7+(((A45)+1)/2)*(Inputs!$J$7-Inputs!$I$7))</x:f>
        <x:v>-256.8</x:v>
      </x:c>
      <x:c r="V45" s="9" t="n">
        <x:f>(Inputs!$I$8+(((A45)+1)/2)*(Inputs!$J$8-Inputs!$I$8))</x:f>
        <x:v>-513.6</x:v>
      </x:c>
      <x:c r="W45" s="9" t="n">
        <x:f>(Inputs!$I$9+(((A45)+1)/2)*(Inputs!$J$9-Inputs!$I$9))</x:f>
        <x:v>-513.6</x:v>
      </x:c>
      <x:c r="X45" s="10"/>
      <x:c r="Y45" s="9">
        <x:f t="shared" si="3"/>
        <x:v>-0.64200000000000002</x:v>
      </x:c>
      <x:c r="Z45" s="9" t="n">
        <x:f>(Inputs!$H$6+Inputs!$L$6*(((Inputs!$I$6+(((A45)+1)/2)*(Inputs!$J$6-Inputs!$I$6)))/Inputs!$K$6)^2)</x:f>
        <x:v>401.648656</x:v>
      </x:c>
      <x:c r="AA45" s="9" t="n">
        <x:f>(Inputs!$H$7+Inputs!$L$7*(((Inputs!$I$7+(((A45)+1)/2)*(Inputs!$J$7-Inputs!$I$7)))/Inputs!$K$7)^2)</x:f>
        <x:v>185.43986</x:v>
      </x:c>
      <x:c r="AB45" s="9" t="n">
        <x:f>(Inputs!$H$8+Inputs!$L$8*(((Inputs!$I$8+(((A45)+1)/2)*(Inputs!$J$8-Inputs!$I$8)))/Inputs!$K$8)^2)</x:f>
        <x:v>432.73826</x:v>
      </x:c>
      <x:c r="AC45" s="9" t="n">
        <x:f>(Inputs!$H$9+Inputs!$L$9*(((Inputs!$I$9+(((A45)+1)/2)*(Inputs!$J$9-Inputs!$I$9)))/Inputs!$K$9)^2)</x:f>
        <x:v>426.85990000000004</x:v>
      </x:c>
      <x:c r="AD45" s="10"/>
      <x:c r="AE45" s="9">
        <x:f t="shared" si="4"/>
        <x:v>-0.64200000000000002</x:v>
      </x:c>
      <x:c r="AF45" s="9"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9"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9"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9"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10"/>
      <x:c r="AK45" s="9">
        <x:f t="shared" si="5"/>
        <x:v>-0.64200000000000002</x:v>
      </x:c>
      <x:c r="AL45" s="9"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9"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9"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9"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10"/>
      <x:c r="AQ45" s="9">
        <x:f t="shared" si="6"/>
        <x:v>-0.64200000000000002</x:v>
      </x:c>
      <x:c r="AR45" s="9" t="n">
        <x:f>0</x:f>
        <x:v>0</x:v>
      </x:c>
      <x:c r="AS45" s="9"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x:f>
        <x:v>207.43387159269426</x:v>
      </x:c>
      <x:c r="AT45" s="9"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x:f>
        <x:v>105.45369627834019</x:v>
      </x:c>
      <x:c r="AU45" s="9"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x:f>
        <x:v>163.94457717807984</x:v>
      </x:c>
      <x:c r="AV45" s="9"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x:f>
        <x:v>163.94457717807984</x:v>
      </x:c>
      <x:c r="AW45" s="10"/>
      <x:c r="AX45" s="9">
        <x:f t="shared" si="7"/>
        <x:v>-0.64200000000000002</x:v>
      </x:c>
      <x:c r="AY45" s="9" t="n">
        <x:f>0</x:f>
        <x:v>0</x:v>
      </x:c>
      <x:c r="AZ45" s="9" t="n">
        <x:f>IF(OR(Inputs!$F$6=TRUE,Inputs!$F$6="TRUE",Inputs!$F$6=1),(Inputs!$H$6+Inputs!$L$6*(((Inputs!$I$6+(((A45)+1)/2)*(Inputs!$J$6-Inputs!$I$6)))/Inputs!$K$6)^2),NA())</x:f>
        <x:v>401.648656</x:v>
      </x:c>
      <x:c r="BA45" s="9" t="n">
        <x:f>IF(OR(Inputs!$F$7=TRUE,Inputs!$F$7="TRUE",Inputs!$F$7=1),(Inputs!$H$7+Inputs!$L$7*(((Inputs!$I$7+(((A45)+1)/2)*(Inputs!$J$7-Inputs!$I$7)))/Inputs!$K$7)^2),NA())</x:f>
        <x:v>185.43986</x:v>
      </x:c>
      <x:c r="BB45" s="9" t="n">
        <x:f>IF(OR(Inputs!$F$8=TRUE,Inputs!$F$8="TRUE",Inputs!$F$8=1),(Inputs!$H$8+Inputs!$L$8*(((Inputs!$I$8+(((A45)+1)/2)*(Inputs!$J$8-Inputs!$I$8)))/Inputs!$K$8)^2),NA())</x:f>
        <x:v>432.73826</x:v>
      </x:c>
      <x:c r="BC45" s="9" t="n">
        <x:f>IF(OR(Inputs!$F$9=TRUE,Inputs!$F$9="TRUE",Inputs!$F$9=1),(Inputs!$H$9+Inputs!$L$9*(((Inputs!$I$9+(((A45)+1)/2)*(Inputs!$J$9-Inputs!$I$9)))/Inputs!$K$9)^2),NA())</x:f>
        <x:v>426.85990000000004</x:v>
      </x:c>
      <x:c r="BD45" s="10"/>
      <x:c r="BE45" s="9">
        <x:f t="shared" si="8"/>
        <x:v>-0.64200000000000002</x:v>
      </x:c>
      <x:c r="BF45" s="9" t="n">
        <x:f>0</x:f>
        <x:v>0</x:v>
      </x:c>
      <x:c r="BG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9" t="n">
        <x:f>ROUND(-1+44*2/240,3)</x:f>
        <x:v>-0.633</x:v>
      </x:c>
      <x:c r="B46" s="9" t="n">
        <x:f>IF(OR(Inputs!$F$6=TRUE,Inputs!$F$6="TRUE",Inputs!$F$6=1),(Inputs!$H$6+Inputs!$L$6*(((Inputs!$I$6+(((A46)+1)/2)*(Inputs!$J$6-Inputs!$I$6)))/Inputs!$K$6)^2),NA())</x:f>
        <x:v>401.602756</x:v>
      </x:c>
      <x:c r="C46" s="9" t="n">
        <x:f>IF(OR(Inputs!$F$7=TRUE,Inputs!$F$7="TRUE",Inputs!$F$7=1),(Inputs!$H$7+Inputs!$L$7*(((Inputs!$I$7+(((A46)+1)/2)*(Inputs!$J$7-Inputs!$I$7)))/Inputs!$K$7)^2),NA())</x:f>
        <x:v>181.251485</x:v>
      </x:c>
      <x:c r="D46" s="9" t="n">
        <x:f>IF(OR(Inputs!$F$8=TRUE,Inputs!$F$8="TRUE",Inputs!$F$8=1),(Inputs!$H$8+Inputs!$L$8*(((Inputs!$I$8+(((A46)+1)/2)*(Inputs!$J$8-Inputs!$I$8)))/Inputs!$K$8)^2),NA())</x:f>
        <x:v>421.664885</x:v>
      </x:c>
      <x:c r="E46" s="9" t="n">
        <x:f>IF(OR(Inputs!$F$9=TRUE,Inputs!$F$9="TRUE",Inputs!$F$9=1),(Inputs!$H$9+Inputs!$L$9*(((Inputs!$I$9+(((A46)+1)/2)*(Inputs!$J$9-Inputs!$I$9)))/Inputs!$K$9)^2),NA())</x:f>
        <x:v>415.671775</x:v>
      </x:c>
      <x:c r="F46" s="10"/>
      <x:c r="G46" s="9">
        <x:f t="shared" si="0"/>
        <x:v>-0.63300000000000001</x:v>
      </x:c>
      <x:c r="H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10"/>
      <x:c r="M46" s="9">
        <x:f t="shared" si="1"/>
        <x:v>-0.63300000000000001</x:v>
      </x:c>
      <x:c r="N46" s="9"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9"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9"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9"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10"/>
      <x:c r="S46" s="9">
        <x:f t="shared" si="2"/>
        <x:v>-0.63300000000000001</x:v>
      </x:c>
      <x:c r="T46" s="9" t="n">
        <x:f>(Inputs!$I$6+(((A46)+1)/2)*(Inputs!$J$6-Inputs!$I$6))</x:f>
        <x:v>-37.980000000000004</x:v>
      </x:c>
      <x:c r="U46" s="9" t="n">
        <x:f>(Inputs!$I$7+(((A46)+1)/2)*(Inputs!$J$7-Inputs!$I$7))</x:f>
        <x:v>-253.2</x:v>
      </x:c>
      <x:c r="V46" s="9" t="n">
        <x:f>(Inputs!$I$8+(((A46)+1)/2)*(Inputs!$J$8-Inputs!$I$8))</x:f>
        <x:v>-506.4</x:v>
      </x:c>
      <x:c r="W46" s="9" t="n">
        <x:f>(Inputs!$I$9+(((A46)+1)/2)*(Inputs!$J$9-Inputs!$I$9))</x:f>
        <x:v>-506.4</x:v>
      </x:c>
      <x:c r="X46" s="10"/>
      <x:c r="Y46" s="9">
        <x:f t="shared" si="3"/>
        <x:v>-0.63300000000000001</x:v>
      </x:c>
      <x:c r="Z46" s="9" t="n">
        <x:f>(Inputs!$H$6+Inputs!$L$6*(((Inputs!$I$6+(((A46)+1)/2)*(Inputs!$J$6-Inputs!$I$6)))/Inputs!$K$6)^2)</x:f>
        <x:v>401.602756</x:v>
      </x:c>
      <x:c r="AA46" s="9" t="n">
        <x:f>(Inputs!$H$7+Inputs!$L$7*(((Inputs!$I$7+(((A46)+1)/2)*(Inputs!$J$7-Inputs!$I$7)))/Inputs!$K$7)^2)</x:f>
        <x:v>181.251485</x:v>
      </x:c>
      <x:c r="AB46" s="9" t="n">
        <x:f>(Inputs!$H$8+Inputs!$L$8*(((Inputs!$I$8+(((A46)+1)/2)*(Inputs!$J$8-Inputs!$I$8)))/Inputs!$K$8)^2)</x:f>
        <x:v>421.664885</x:v>
      </x:c>
      <x:c r="AC46" s="9" t="n">
        <x:f>(Inputs!$H$9+Inputs!$L$9*(((Inputs!$I$9+(((A46)+1)/2)*(Inputs!$J$9-Inputs!$I$9)))/Inputs!$K$9)^2)</x:f>
        <x:v>415.671775</x:v>
      </x:c>
      <x:c r="AD46" s="10"/>
      <x:c r="AE46" s="9">
        <x:f t="shared" si="4"/>
        <x:v>-0.63300000000000001</x:v>
      </x:c>
      <x:c r="AF46" s="9"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9"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9"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9"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10"/>
      <x:c r="AK46" s="9">
        <x:f t="shared" si="5"/>
        <x:v>-0.63300000000000001</x:v>
      </x:c>
      <x:c r="AL46" s="9"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9"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9"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9"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10"/>
      <x:c r="AQ46" s="9">
        <x:f t="shared" si="6"/>
        <x:v>-0.63300000000000001</x:v>
      </x:c>
      <x:c r="AR46" s="9" t="n">
        <x:f>0</x:f>
        <x:v>0</x:v>
      </x:c>
      <x:c r="AS46" s="9"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x:f>
        <x:v>221.80669101467785</x:v>
      </x:c>
      <x:c r="AT46" s="9"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x:f>
        <x:v>99.71643975295198</x:v>
      </x:c>
      <x:c r="AU46" s="9"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x:f>
        <x:v>62.16832576320465</x:v>
      </x:c>
      <x:c r="AV46" s="9"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x:f>
        <x:v>62.16832576320465</x:v>
      </x:c>
      <x:c r="AW46" s="10"/>
      <x:c r="AX46" s="9">
        <x:f t="shared" si="7"/>
        <x:v>-0.63300000000000001</x:v>
      </x:c>
      <x:c r="AY46" s="9" t="n">
        <x:f>0</x:f>
        <x:v>0</x:v>
      </x:c>
      <x:c r="AZ46" s="9" t="n">
        <x:f>IF(OR(Inputs!$F$6=TRUE,Inputs!$F$6="TRUE",Inputs!$F$6=1),(Inputs!$H$6+Inputs!$L$6*(((Inputs!$I$6+(((A46)+1)/2)*(Inputs!$J$6-Inputs!$I$6)))/Inputs!$K$6)^2),NA())</x:f>
        <x:v>401.602756</x:v>
      </x:c>
      <x:c r="BA46" s="9" t="n">
        <x:f>IF(OR(Inputs!$F$7=TRUE,Inputs!$F$7="TRUE",Inputs!$F$7=1),(Inputs!$H$7+Inputs!$L$7*(((Inputs!$I$7+(((A46)+1)/2)*(Inputs!$J$7-Inputs!$I$7)))/Inputs!$K$7)^2),NA())</x:f>
        <x:v>181.251485</x:v>
      </x:c>
      <x:c r="BB46" s="9" t="n">
        <x:f>IF(OR(Inputs!$F$8=TRUE,Inputs!$F$8="TRUE",Inputs!$F$8=1),(Inputs!$H$8+Inputs!$L$8*(((Inputs!$I$8+(((A46)+1)/2)*(Inputs!$J$8-Inputs!$I$8)))/Inputs!$K$8)^2),NA())</x:f>
        <x:v>421.664885</x:v>
      </x:c>
      <x:c r="BC46" s="9" t="n">
        <x:f>IF(OR(Inputs!$F$9=TRUE,Inputs!$F$9="TRUE",Inputs!$F$9=1),(Inputs!$H$9+Inputs!$L$9*(((Inputs!$I$9+(((A46)+1)/2)*(Inputs!$J$9-Inputs!$I$9)))/Inputs!$K$9)^2),NA())</x:f>
        <x:v>415.671775</x:v>
      </x:c>
      <x:c r="BD46" s="10"/>
      <x:c r="BE46" s="9">
        <x:f t="shared" si="8"/>
        <x:v>-0.63300000000000001</x:v>
      </x:c>
      <x:c r="BF46" s="9" t="n">
        <x:f>0</x:f>
        <x:v>0</x:v>
      </x:c>
      <x:c r="BG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9" t="n">
        <x:f>ROUND(-1+45*2/240,3)</x:f>
        <x:v>-0.625</x:v>
      </x:c>
      <x:c r="B47" s="9" t="n">
        <x:f>IF(OR(Inputs!$F$6=TRUE,Inputs!$F$6="TRUE",Inputs!$F$6=1),(Inputs!$H$6+Inputs!$L$6*(((Inputs!$I$6+(((A47)+1)/2)*(Inputs!$J$6-Inputs!$I$6)))/Inputs!$K$6)^2),NA())</x:f>
        <x:v>401.5625</x:v>
      </x:c>
      <x:c r="C47" s="9" t="n">
        <x:f>IF(OR(Inputs!$F$7=TRUE,Inputs!$F$7="TRUE",Inputs!$F$7=1),(Inputs!$H$7+Inputs!$L$7*(((Inputs!$I$7+(((A47)+1)/2)*(Inputs!$J$7-Inputs!$I$7)))/Inputs!$K$7)^2),NA())</x:f>
        <x:v>177.578125</x:v>
      </x:c>
      <x:c r="D47" s="9" t="n">
        <x:f>IF(OR(Inputs!$F$8=TRUE,Inputs!$F$8="TRUE",Inputs!$F$8=1),(Inputs!$H$8+Inputs!$L$8*(((Inputs!$I$8+(((A47)+1)/2)*(Inputs!$J$8-Inputs!$I$8)))/Inputs!$K$8)^2),NA())</x:f>
        <x:v>411.953125</x:v>
      </x:c>
      <x:c r="E47" s="9" t="n">
        <x:f>IF(OR(Inputs!$F$9=TRUE,Inputs!$F$9="TRUE",Inputs!$F$9=1),(Inputs!$H$9+Inputs!$L$9*(((Inputs!$I$9+(((A47)+1)/2)*(Inputs!$J$9-Inputs!$I$9)))/Inputs!$K$9)^2),NA())</x:f>
        <x:v>405.859375</x:v>
      </x:c>
      <x:c r="F47" s="10"/>
      <x:c r="G47" s="9">
        <x:f t="shared" si="0"/>
        <x:v>-0.625</x:v>
      </x:c>
      <x:c r="H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10"/>
      <x:c r="M47" s="9">
        <x:f t="shared" si="1"/>
        <x:v>-0.625</x:v>
      </x:c>
      <x:c r="N47" s="9"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9"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9"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9"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10"/>
      <x:c r="S47" s="9">
        <x:f t="shared" si="2"/>
        <x:v>-0.625</x:v>
      </x:c>
      <x:c r="T47" s="9" t="n">
        <x:f>(Inputs!$I$6+(((A47)+1)/2)*(Inputs!$J$6-Inputs!$I$6))</x:f>
        <x:v>-37.5</x:v>
      </x:c>
      <x:c r="U47" s="9" t="n">
        <x:f>(Inputs!$I$7+(((A47)+1)/2)*(Inputs!$J$7-Inputs!$I$7))</x:f>
        <x:v>-250</x:v>
      </x:c>
      <x:c r="V47" s="9" t="n">
        <x:f>(Inputs!$I$8+(((A47)+1)/2)*(Inputs!$J$8-Inputs!$I$8))</x:f>
        <x:v>-500</x:v>
      </x:c>
      <x:c r="W47" s="9" t="n">
        <x:f>(Inputs!$I$9+(((A47)+1)/2)*(Inputs!$J$9-Inputs!$I$9))</x:f>
        <x:v>-500</x:v>
      </x:c>
      <x:c r="X47" s="10"/>
      <x:c r="Y47" s="9">
        <x:f t="shared" si="3"/>
        <x:v>-0.625</x:v>
      </x:c>
      <x:c r="Z47" s="9" t="n">
        <x:f>(Inputs!$H$6+Inputs!$L$6*(((Inputs!$I$6+(((A47)+1)/2)*(Inputs!$J$6-Inputs!$I$6)))/Inputs!$K$6)^2)</x:f>
        <x:v>401.5625</x:v>
      </x:c>
      <x:c r="AA47" s="9" t="n">
        <x:f>(Inputs!$H$7+Inputs!$L$7*(((Inputs!$I$7+(((A47)+1)/2)*(Inputs!$J$7-Inputs!$I$7)))/Inputs!$K$7)^2)</x:f>
        <x:v>177.578125</x:v>
      </x:c>
      <x:c r="AB47" s="9" t="n">
        <x:f>(Inputs!$H$8+Inputs!$L$8*(((Inputs!$I$8+(((A47)+1)/2)*(Inputs!$J$8-Inputs!$I$8)))/Inputs!$K$8)^2)</x:f>
        <x:v>411.953125</x:v>
      </x:c>
      <x:c r="AC47" s="9" t="n">
        <x:f>(Inputs!$H$9+Inputs!$L$9*(((Inputs!$I$9+(((A47)+1)/2)*(Inputs!$J$9-Inputs!$I$9)))/Inputs!$K$9)^2)</x:f>
        <x:v>405.859375</x:v>
      </x:c>
      <x:c r="AD47" s="10"/>
      <x:c r="AE47" s="9">
        <x:f t="shared" si="4"/>
        <x:v>-0.625</x:v>
      </x:c>
      <x:c r="AF47" s="9"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9"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9"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9"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10"/>
      <x:c r="AK47" s="9">
        <x:f t="shared" si="5"/>
        <x:v>-0.625</x:v>
      </x:c>
      <x:c r="AL47" s="9"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9"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9"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9"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10"/>
      <x:c r="AQ47" s="9">
        <x:f t="shared" si="6"/>
        <x:v>-0.625</x:v>
      </x:c>
      <x:c r="AR47" s="9" t="n">
        <x:f>0</x:f>
        <x:v>0</x:v>
      </x:c>
      <x:c r="AS47" s="9"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x:f>
        <x:v>239.1871485288169</x:v>
      </x:c>
      <x:c r="AT47" s="9"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x:f>
        <x:v>196.01945683662166</x:v>
      </x:c>
      <x:c r="AU47" s="9"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x:f>
        <x:v>219.11341659274927</x:v>
      </x:c>
      <x:c r="AV47" s="9"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x:f>
        <x:v>219.11341659274927</x:v>
      </x:c>
      <x:c r="AW47" s="10"/>
      <x:c r="AX47" s="9">
        <x:f t="shared" si="7"/>
        <x:v>-0.625</x:v>
      </x:c>
      <x:c r="AY47" s="9" t="n">
        <x:f>0</x:f>
        <x:v>0</x:v>
      </x:c>
      <x:c r="AZ47" s="9" t="n">
        <x:f>IF(OR(Inputs!$F$6=TRUE,Inputs!$F$6="TRUE",Inputs!$F$6=1),(Inputs!$H$6+Inputs!$L$6*(((Inputs!$I$6+(((A47)+1)/2)*(Inputs!$J$6-Inputs!$I$6)))/Inputs!$K$6)^2),NA())</x:f>
        <x:v>401.5625</x:v>
      </x:c>
      <x:c r="BA47" s="9" t="n">
        <x:f>IF(OR(Inputs!$F$7=TRUE,Inputs!$F$7="TRUE",Inputs!$F$7=1),(Inputs!$H$7+Inputs!$L$7*(((Inputs!$I$7+(((A47)+1)/2)*(Inputs!$J$7-Inputs!$I$7)))/Inputs!$K$7)^2),NA())</x:f>
        <x:v>177.578125</x:v>
      </x:c>
      <x:c r="BB47" s="9" t="n">
        <x:f>IF(OR(Inputs!$F$8=TRUE,Inputs!$F$8="TRUE",Inputs!$F$8=1),(Inputs!$H$8+Inputs!$L$8*(((Inputs!$I$8+(((A47)+1)/2)*(Inputs!$J$8-Inputs!$I$8)))/Inputs!$K$8)^2),NA())</x:f>
        <x:v>411.953125</x:v>
      </x:c>
      <x:c r="BC47" s="9" t="n">
        <x:f>IF(OR(Inputs!$F$9=TRUE,Inputs!$F$9="TRUE",Inputs!$F$9=1),(Inputs!$H$9+Inputs!$L$9*(((Inputs!$I$9+(((A47)+1)/2)*(Inputs!$J$9-Inputs!$I$9)))/Inputs!$K$9)^2),NA())</x:f>
        <x:v>405.859375</x:v>
      </x:c>
      <x:c r="BD47" s="10"/>
      <x:c r="BE47" s="9">
        <x:f t="shared" si="8"/>
        <x:v>-0.625</x:v>
      </x:c>
      <x:c r="BF47" s="9" t="n">
        <x:f>0</x:f>
        <x:v>0</x:v>
      </x:c>
      <x:c r="BG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9" t="n">
        <x:f>ROUND(-1+46*2/240,3)</x:f>
        <x:v>-0.617</x:v>
      </x:c>
      <x:c r="B48" s="9" t="n">
        <x:f>IF(OR(Inputs!$F$6=TRUE,Inputs!$F$6="TRUE",Inputs!$F$6=1),(Inputs!$H$6+Inputs!$L$6*(((Inputs!$I$6+(((A48)+1)/2)*(Inputs!$J$6-Inputs!$I$6)))/Inputs!$K$6)^2),NA())</x:f>
        <x:v>401.522756</x:v>
      </x:c>
      <x:c r="C48" s="9" t="n">
        <x:f>IF(OR(Inputs!$F$7=TRUE,Inputs!$F$7="TRUE",Inputs!$F$7=1),(Inputs!$H$7+Inputs!$L$7*(((Inputs!$I$7+(((A48)+1)/2)*(Inputs!$J$7-Inputs!$I$7)))/Inputs!$K$7)^2),NA())</x:f>
        <x:v>173.951485</x:v>
      </x:c>
      <x:c r="D48" s="9" t="n">
        <x:f>IF(OR(Inputs!$F$8=TRUE,Inputs!$F$8="TRUE",Inputs!$F$8=1),(Inputs!$H$8+Inputs!$L$8*(((Inputs!$I$8+(((A48)+1)/2)*(Inputs!$J$8-Inputs!$I$8)))/Inputs!$K$8)^2),NA())</x:f>
        <x:v>402.364885</x:v>
      </x:c>
      <x:c r="E48" s="9" t="n">
        <x:f>IF(OR(Inputs!$F$9=TRUE,Inputs!$F$9="TRUE",Inputs!$F$9=1),(Inputs!$H$9+Inputs!$L$9*(((Inputs!$I$9+(((A48)+1)/2)*(Inputs!$J$9-Inputs!$I$9)))/Inputs!$K$9)^2),NA())</x:f>
        <x:v>396.171775</x:v>
      </x:c>
      <x:c r="F48" s="10"/>
      <x:c r="G48" s="9">
        <x:f t="shared" si="0"/>
        <x:v>-0.61699999999999999</x:v>
      </x:c>
      <x:c r="H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10"/>
      <x:c r="M48" s="9">
        <x:f t="shared" si="1"/>
        <x:v>-0.61699999999999999</x:v>
      </x:c>
      <x:c r="N48" s="9"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9"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9"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9"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10"/>
      <x:c r="S48" s="9">
        <x:f t="shared" si="2"/>
        <x:v>-0.61699999999999999</x:v>
      </x:c>
      <x:c r="T48" s="9" t="n">
        <x:f>(Inputs!$I$6+(((A48)+1)/2)*(Inputs!$J$6-Inputs!$I$6))</x:f>
        <x:v>-37.019999999999996</x:v>
      </x:c>
      <x:c r="U48" s="9" t="n">
        <x:f>(Inputs!$I$7+(((A48)+1)/2)*(Inputs!$J$7-Inputs!$I$7))</x:f>
        <x:v>-246.8</x:v>
      </x:c>
      <x:c r="V48" s="9" t="n">
        <x:f>(Inputs!$I$8+(((A48)+1)/2)*(Inputs!$J$8-Inputs!$I$8))</x:f>
        <x:v>-493.6</x:v>
      </x:c>
      <x:c r="W48" s="9" t="n">
        <x:f>(Inputs!$I$9+(((A48)+1)/2)*(Inputs!$J$9-Inputs!$I$9))</x:f>
        <x:v>-493.6</x:v>
      </x:c>
      <x:c r="X48" s="10"/>
      <x:c r="Y48" s="9">
        <x:f t="shared" si="3"/>
        <x:v>-0.61699999999999999</x:v>
      </x:c>
      <x:c r="Z48" s="9" t="n">
        <x:f>(Inputs!$H$6+Inputs!$L$6*(((Inputs!$I$6+(((A48)+1)/2)*(Inputs!$J$6-Inputs!$I$6)))/Inputs!$K$6)^2)</x:f>
        <x:v>401.522756</x:v>
      </x:c>
      <x:c r="AA48" s="9" t="n">
        <x:f>(Inputs!$H$7+Inputs!$L$7*(((Inputs!$I$7+(((A48)+1)/2)*(Inputs!$J$7-Inputs!$I$7)))/Inputs!$K$7)^2)</x:f>
        <x:v>173.951485</x:v>
      </x:c>
      <x:c r="AB48" s="9" t="n">
        <x:f>(Inputs!$H$8+Inputs!$L$8*(((Inputs!$I$8+(((A48)+1)/2)*(Inputs!$J$8-Inputs!$I$8)))/Inputs!$K$8)^2)</x:f>
        <x:v>402.364885</x:v>
      </x:c>
      <x:c r="AC48" s="9" t="n">
        <x:f>(Inputs!$H$9+Inputs!$L$9*(((Inputs!$I$9+(((A48)+1)/2)*(Inputs!$J$9-Inputs!$I$9)))/Inputs!$K$9)^2)</x:f>
        <x:v>396.171775</x:v>
      </x:c>
      <x:c r="AD48" s="10"/>
      <x:c r="AE48" s="9">
        <x:f t="shared" si="4"/>
        <x:v>-0.61699999999999999</x:v>
      </x:c>
      <x:c r="AF48" s="9"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9"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9"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9"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10"/>
      <x:c r="AK48" s="9">
        <x:f t="shared" si="5"/>
        <x:v>-0.61699999999999999</x:v>
      </x:c>
      <x:c r="AL48" s="9"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9"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9"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9"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10"/>
      <x:c r="AQ48" s="9">
        <x:f t="shared" si="6"/>
        <x:v>-0.61699999999999999</x:v>
      </x:c>
      <x:c r="AR48" s="9" t="n">
        <x:f>0</x:f>
        <x:v>0</x:v>
      </x:c>
      <x:c r="AS48" s="9"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x:f>
        <x:v>229.91270151811244</x:v>
      </x:c>
      <x:c r="AT48" s="9"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x:f>
        <x:v>211.86545609886312</x:v>
      </x:c>
      <x:c r="AU48" s="9"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x:f>
        <x:v>99.982990803907</x:v>
      </x:c>
      <x:c r="AV48" s="9"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x:f>
        <x:v>99.982990803907</x:v>
      </x:c>
      <x:c r="AW48" s="10"/>
      <x:c r="AX48" s="9">
        <x:f t="shared" si="7"/>
        <x:v>-0.61699999999999999</x:v>
      </x:c>
      <x:c r="AY48" s="9" t="n">
        <x:f>0</x:f>
        <x:v>0</x:v>
      </x:c>
      <x:c r="AZ48" s="9" t="n">
        <x:f>IF(OR(Inputs!$F$6=TRUE,Inputs!$F$6="TRUE",Inputs!$F$6=1),(Inputs!$H$6+Inputs!$L$6*(((Inputs!$I$6+(((A48)+1)/2)*(Inputs!$J$6-Inputs!$I$6)))/Inputs!$K$6)^2),NA())</x:f>
        <x:v>401.522756</x:v>
      </x:c>
      <x:c r="BA48" s="9" t="n">
        <x:f>IF(OR(Inputs!$F$7=TRUE,Inputs!$F$7="TRUE",Inputs!$F$7=1),(Inputs!$H$7+Inputs!$L$7*(((Inputs!$I$7+(((A48)+1)/2)*(Inputs!$J$7-Inputs!$I$7)))/Inputs!$K$7)^2),NA())</x:f>
        <x:v>173.951485</x:v>
      </x:c>
      <x:c r="BB48" s="9" t="n">
        <x:f>IF(OR(Inputs!$F$8=TRUE,Inputs!$F$8="TRUE",Inputs!$F$8=1),(Inputs!$H$8+Inputs!$L$8*(((Inputs!$I$8+(((A48)+1)/2)*(Inputs!$J$8-Inputs!$I$8)))/Inputs!$K$8)^2),NA())</x:f>
        <x:v>402.364885</x:v>
      </x:c>
      <x:c r="BC48" s="9" t="n">
        <x:f>IF(OR(Inputs!$F$9=TRUE,Inputs!$F$9="TRUE",Inputs!$F$9=1),(Inputs!$H$9+Inputs!$L$9*(((Inputs!$I$9+(((A48)+1)/2)*(Inputs!$J$9-Inputs!$I$9)))/Inputs!$K$9)^2),NA())</x:f>
        <x:v>396.171775</x:v>
      </x:c>
      <x:c r="BD48" s="10"/>
      <x:c r="BE48" s="9">
        <x:f t="shared" si="8"/>
        <x:v>-0.61699999999999999</x:v>
      </x:c>
      <x:c r="BF48" s="9" t="n">
        <x:f>0</x:f>
        <x:v>0</x:v>
      </x:c>
      <x:c r="BG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9" t="n">
        <x:f>ROUND(-1+47*2/240,3)</x:f>
        <x:v>-0.608</x:v>
      </x:c>
      <x:c r="B49" s="9" t="n">
        <x:f>IF(OR(Inputs!$F$6=TRUE,Inputs!$F$6="TRUE",Inputs!$F$6=1),(Inputs!$H$6+Inputs!$L$6*(((Inputs!$I$6+(((A49)+1)/2)*(Inputs!$J$6-Inputs!$I$6)))/Inputs!$K$6)^2),NA())</x:f>
        <x:v>401.478656</x:v>
      </x:c>
      <x:c r="C49" s="9" t="n">
        <x:f>IF(OR(Inputs!$F$7=TRUE,Inputs!$F$7="TRUE",Inputs!$F$7=1),(Inputs!$H$7+Inputs!$L$7*(((Inputs!$I$7+(((A49)+1)/2)*(Inputs!$J$7-Inputs!$I$7)))/Inputs!$K$7)^2),NA())</x:f>
        <x:v>169.92736</x:v>
      </x:c>
      <x:c r="D49" s="9" t="n">
        <x:f>IF(OR(Inputs!$F$8=TRUE,Inputs!$F$8="TRUE",Inputs!$F$8=1),(Inputs!$H$8+Inputs!$L$8*(((Inputs!$I$8+(((A49)+1)/2)*(Inputs!$J$8-Inputs!$I$8)))/Inputs!$K$8)^2),NA())</x:f>
        <x:v>391.72576</x:v>
      </x:c>
      <x:c r="E49" s="9" t="n">
        <x:f>IF(OR(Inputs!$F$9=TRUE,Inputs!$F$9="TRUE",Inputs!$F$9=1),(Inputs!$H$9+Inputs!$L$9*(((Inputs!$I$9+(((A49)+1)/2)*(Inputs!$J$9-Inputs!$I$9)))/Inputs!$K$9)^2),NA())</x:f>
        <x:v>385.4224</x:v>
      </x:c>
      <x:c r="F49" s="10"/>
      <x:c r="G49" s="9">
        <x:f t="shared" si="0"/>
        <x:v>-0.60799999999999998</x:v>
      </x:c>
      <x:c r="H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10"/>
      <x:c r="M49" s="9">
        <x:f t="shared" si="1"/>
        <x:v>-0.60799999999999998</x:v>
      </x:c>
      <x:c r="N49" s="9"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9"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9"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9"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10"/>
      <x:c r="S49" s="9">
        <x:f t="shared" si="2"/>
        <x:v>-0.60799999999999998</x:v>
      </x:c>
      <x:c r="T49" s="9" t="n">
        <x:f>(Inputs!$I$6+(((A49)+1)/2)*(Inputs!$J$6-Inputs!$I$6))</x:f>
        <x:v>-36.480000000000004</x:v>
      </x:c>
      <x:c r="U49" s="9" t="n">
        <x:f>(Inputs!$I$7+(((A49)+1)/2)*(Inputs!$J$7-Inputs!$I$7))</x:f>
        <x:v>-243.2</x:v>
      </x:c>
      <x:c r="V49" s="9" t="n">
        <x:f>(Inputs!$I$8+(((A49)+1)/2)*(Inputs!$J$8-Inputs!$I$8))</x:f>
        <x:v>-486.4</x:v>
      </x:c>
      <x:c r="W49" s="9" t="n">
        <x:f>(Inputs!$I$9+(((A49)+1)/2)*(Inputs!$J$9-Inputs!$I$9))</x:f>
        <x:v>-486.4</x:v>
      </x:c>
      <x:c r="X49" s="10"/>
      <x:c r="Y49" s="9">
        <x:f t="shared" si="3"/>
        <x:v>-0.60799999999999998</x:v>
      </x:c>
      <x:c r="Z49" s="9" t="n">
        <x:f>(Inputs!$H$6+Inputs!$L$6*(((Inputs!$I$6+(((A49)+1)/2)*(Inputs!$J$6-Inputs!$I$6)))/Inputs!$K$6)^2)</x:f>
        <x:v>401.478656</x:v>
      </x:c>
      <x:c r="AA49" s="9" t="n">
        <x:f>(Inputs!$H$7+Inputs!$L$7*(((Inputs!$I$7+(((A49)+1)/2)*(Inputs!$J$7-Inputs!$I$7)))/Inputs!$K$7)^2)</x:f>
        <x:v>169.92736</x:v>
      </x:c>
      <x:c r="AB49" s="9" t="n">
        <x:f>(Inputs!$H$8+Inputs!$L$8*(((Inputs!$I$8+(((A49)+1)/2)*(Inputs!$J$8-Inputs!$I$8)))/Inputs!$K$8)^2)</x:f>
        <x:v>391.72576</x:v>
      </x:c>
      <x:c r="AC49" s="9" t="n">
        <x:f>(Inputs!$H$9+Inputs!$L$9*(((Inputs!$I$9+(((A49)+1)/2)*(Inputs!$J$9-Inputs!$I$9)))/Inputs!$K$9)^2)</x:f>
        <x:v>385.4224</x:v>
      </x:c>
      <x:c r="AD49" s="10"/>
      <x:c r="AE49" s="9">
        <x:f t="shared" si="4"/>
        <x:v>-0.60799999999999998</x:v>
      </x:c>
      <x:c r="AF49" s="9"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9"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9"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9"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10"/>
      <x:c r="AK49" s="9">
        <x:f t="shared" si="5"/>
        <x:v>-0.60799999999999998</x:v>
      </x:c>
      <x:c r="AL49" s="9"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9"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9"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9"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10"/>
      <x:c r="AQ49" s="9">
        <x:f t="shared" si="6"/>
        <x:v>-0.60799999999999998</x:v>
      </x:c>
      <x:c r="AR49" s="9" t="n">
        <x:f>0</x:f>
        <x:v>0</x:v>
      </x:c>
      <x:c r="AS49" s="9"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x:f>
        <x:v>251.17538260809548</x:v>
      </x:c>
      <x:c r="AT49" s="9"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x:f>
        <x:v>117.54168733327995</x:v>
      </x:c>
      <x:c r="AU49" s="9"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x:f>
        <x:v>155.64899651393102</x:v>
      </x:c>
      <x:c r="AV49" s="9"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x:f>
        <x:v>155.64899651393102</x:v>
      </x:c>
      <x:c r="AW49" s="10"/>
      <x:c r="AX49" s="9">
        <x:f t="shared" si="7"/>
        <x:v>-0.60799999999999998</x:v>
      </x:c>
      <x:c r="AY49" s="9" t="n">
        <x:f>0</x:f>
        <x:v>0</x:v>
      </x:c>
      <x:c r="AZ49" s="9" t="n">
        <x:f>IF(OR(Inputs!$F$6=TRUE,Inputs!$F$6="TRUE",Inputs!$F$6=1),(Inputs!$H$6+Inputs!$L$6*(((Inputs!$I$6+(((A49)+1)/2)*(Inputs!$J$6-Inputs!$I$6)))/Inputs!$K$6)^2),NA())</x:f>
        <x:v>401.478656</x:v>
      </x:c>
      <x:c r="BA49" s="9" t="n">
        <x:f>IF(OR(Inputs!$F$7=TRUE,Inputs!$F$7="TRUE",Inputs!$F$7=1),(Inputs!$H$7+Inputs!$L$7*(((Inputs!$I$7+(((A49)+1)/2)*(Inputs!$J$7-Inputs!$I$7)))/Inputs!$K$7)^2),NA())</x:f>
        <x:v>169.92736</x:v>
      </x:c>
      <x:c r="BB49" s="9" t="n">
        <x:f>IF(OR(Inputs!$F$8=TRUE,Inputs!$F$8="TRUE",Inputs!$F$8=1),(Inputs!$H$8+Inputs!$L$8*(((Inputs!$I$8+(((A49)+1)/2)*(Inputs!$J$8-Inputs!$I$8)))/Inputs!$K$8)^2),NA())</x:f>
        <x:v>391.72576</x:v>
      </x:c>
      <x:c r="BC49" s="9" t="n">
        <x:f>IF(OR(Inputs!$F$9=TRUE,Inputs!$F$9="TRUE",Inputs!$F$9=1),(Inputs!$H$9+Inputs!$L$9*(((Inputs!$I$9+(((A49)+1)/2)*(Inputs!$J$9-Inputs!$I$9)))/Inputs!$K$9)^2),NA())</x:f>
        <x:v>385.4224</x:v>
      </x:c>
      <x:c r="BD49" s="10"/>
      <x:c r="BE49" s="9">
        <x:f t="shared" si="8"/>
        <x:v>-0.60799999999999998</x:v>
      </x:c>
      <x:c r="BF49" s="9" t="n">
        <x:f>0</x:f>
        <x:v>0</x:v>
      </x:c>
      <x:c r="BG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9" t="n">
        <x:f>ROUND(-1+48*2/240,3)</x:f>
        <x:v>-0.6</x:v>
      </x:c>
      <x:c r="B50" s="9" t="n">
        <x:f>IF(OR(Inputs!$F$6=TRUE,Inputs!$F$6="TRUE",Inputs!$F$6=1),(Inputs!$H$6+Inputs!$L$6*(((Inputs!$I$6+(((A50)+1)/2)*(Inputs!$J$6-Inputs!$I$6)))/Inputs!$K$6)^2),NA())</x:f>
        <x:v>401.44</x:v>
      </x:c>
      <x:c r="C50" s="9" t="n">
        <x:f>IF(OR(Inputs!$F$7=TRUE,Inputs!$F$7="TRUE",Inputs!$F$7=1),(Inputs!$H$7+Inputs!$L$7*(((Inputs!$I$7+(((A50)+1)/2)*(Inputs!$J$7-Inputs!$I$7)))/Inputs!$K$7)^2),NA())</x:f>
        <x:v>166.4</x:v>
      </x:c>
      <x:c r="D50" s="9" t="n">
        <x:f>IF(OR(Inputs!$F$8=TRUE,Inputs!$F$8="TRUE",Inputs!$F$8=1),(Inputs!$H$8+Inputs!$L$8*(((Inputs!$I$8+(((A50)+1)/2)*(Inputs!$J$8-Inputs!$I$8)))/Inputs!$K$8)^2),NA())</x:f>
        <x:v>382.4</x:v>
      </x:c>
      <x:c r="E50" s="9" t="n">
        <x:f>IF(OR(Inputs!$F$9=TRUE,Inputs!$F$9="TRUE",Inputs!$F$9=1),(Inputs!$H$9+Inputs!$L$9*(((Inputs!$I$9+(((A50)+1)/2)*(Inputs!$J$9-Inputs!$I$9)))/Inputs!$K$9)^2),NA())</x:f>
        <x:v>376</x:v>
      </x:c>
      <x:c r="F50" s="10"/>
      <x:c r="G50" s="9">
        <x:f t="shared" si="0"/>
        <x:v>-0.6</x:v>
      </x:c>
      <x:c r="H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10"/>
      <x:c r="M50" s="9">
        <x:f t="shared" si="1"/>
        <x:v>-0.6</x:v>
      </x:c>
      <x:c r="N50" s="9"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9"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9"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9"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10"/>
      <x:c r="S50" s="9">
        <x:f t="shared" si="2"/>
        <x:v>-0.6</x:v>
      </x:c>
      <x:c r="T50" s="9" t="n">
        <x:f>(Inputs!$I$6+(((A50)+1)/2)*(Inputs!$J$6-Inputs!$I$6))</x:f>
        <x:v>-36</x:v>
      </x:c>
      <x:c r="U50" s="9" t="n">
        <x:f>(Inputs!$I$7+(((A50)+1)/2)*(Inputs!$J$7-Inputs!$I$7))</x:f>
        <x:v>-240</x:v>
      </x:c>
      <x:c r="V50" s="9" t="n">
        <x:f>(Inputs!$I$8+(((A50)+1)/2)*(Inputs!$J$8-Inputs!$I$8))</x:f>
        <x:v>-480</x:v>
      </x:c>
      <x:c r="W50" s="9" t="n">
        <x:f>(Inputs!$I$9+(((A50)+1)/2)*(Inputs!$J$9-Inputs!$I$9))</x:f>
        <x:v>-480</x:v>
      </x:c>
      <x:c r="X50" s="10"/>
      <x:c r="Y50" s="9">
        <x:f t="shared" si="3"/>
        <x:v>-0.6</x:v>
      </x:c>
      <x:c r="Z50" s="9" t="n">
        <x:f>(Inputs!$H$6+Inputs!$L$6*(((Inputs!$I$6+(((A50)+1)/2)*(Inputs!$J$6-Inputs!$I$6)))/Inputs!$K$6)^2)</x:f>
        <x:v>401.44</x:v>
      </x:c>
      <x:c r="AA50" s="9" t="n">
        <x:f>(Inputs!$H$7+Inputs!$L$7*(((Inputs!$I$7+(((A50)+1)/2)*(Inputs!$J$7-Inputs!$I$7)))/Inputs!$K$7)^2)</x:f>
        <x:v>166.4</x:v>
      </x:c>
      <x:c r="AB50" s="9" t="n">
        <x:f>(Inputs!$H$8+Inputs!$L$8*(((Inputs!$I$8+(((A50)+1)/2)*(Inputs!$J$8-Inputs!$I$8)))/Inputs!$K$8)^2)</x:f>
        <x:v>382.4</x:v>
      </x:c>
      <x:c r="AC50" s="9" t="n">
        <x:f>(Inputs!$H$9+Inputs!$L$9*(((Inputs!$I$9+(((A50)+1)/2)*(Inputs!$J$9-Inputs!$I$9)))/Inputs!$K$9)^2)</x:f>
        <x:v>376</x:v>
      </x:c>
      <x:c r="AD50" s="10"/>
      <x:c r="AE50" s="9">
        <x:f t="shared" si="4"/>
        <x:v>-0.6</x:v>
      </x:c>
      <x:c r="AF50" s="9"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9"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9"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9"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10"/>
      <x:c r="AK50" s="9">
        <x:f t="shared" si="5"/>
        <x:v>-0.6</x:v>
      </x:c>
      <x:c r="AL50" s="9"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9"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9"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9"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10"/>
      <x:c r="AQ50" s="9">
        <x:f t="shared" si="6"/>
        <x:v>-0.6</x:v>
      </x:c>
      <x:c r="AR50" s="9" t="n">
        <x:f>0</x:f>
        <x:v>0</x:v>
      </x:c>
      <x:c r="AS50" s="9"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x:f>
        <x:v>273.24610443212225</x:v>
      </x:c>
      <x:c r="AT50" s="9"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x:f>
        <x:v>69.60354848630779</x:v>
      </x:c>
      <x:c r="AU50" s="9"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x:f>
        <x:v>194.43846107375953</x:v>
      </x:c>
      <x:c r="AV50" s="9"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x:f>
        <x:v>194.43846107375953</x:v>
      </x:c>
      <x:c r="AW50" s="10"/>
      <x:c r="AX50" s="9">
        <x:f t="shared" si="7"/>
        <x:v>-0.6</x:v>
      </x:c>
      <x:c r="AY50" s="9" t="n">
        <x:f>0</x:f>
        <x:v>0</x:v>
      </x:c>
      <x:c r="AZ50" s="9" t="n">
        <x:f>IF(OR(Inputs!$F$6=TRUE,Inputs!$F$6="TRUE",Inputs!$F$6=1),(Inputs!$H$6+Inputs!$L$6*(((Inputs!$I$6+(((A50)+1)/2)*(Inputs!$J$6-Inputs!$I$6)))/Inputs!$K$6)^2),NA())</x:f>
        <x:v>401.44</x:v>
      </x:c>
      <x:c r="BA50" s="9" t="n">
        <x:f>IF(OR(Inputs!$F$7=TRUE,Inputs!$F$7="TRUE",Inputs!$F$7=1),(Inputs!$H$7+Inputs!$L$7*(((Inputs!$I$7+(((A50)+1)/2)*(Inputs!$J$7-Inputs!$I$7)))/Inputs!$K$7)^2),NA())</x:f>
        <x:v>166.4</x:v>
      </x:c>
      <x:c r="BB50" s="9" t="n">
        <x:f>IF(OR(Inputs!$F$8=TRUE,Inputs!$F$8="TRUE",Inputs!$F$8=1),(Inputs!$H$8+Inputs!$L$8*(((Inputs!$I$8+(((A50)+1)/2)*(Inputs!$J$8-Inputs!$I$8)))/Inputs!$K$8)^2),NA())</x:f>
        <x:v>382.4</x:v>
      </x:c>
      <x:c r="BC50" s="9" t="n">
        <x:f>IF(OR(Inputs!$F$9=TRUE,Inputs!$F$9="TRUE",Inputs!$F$9=1),(Inputs!$H$9+Inputs!$L$9*(((Inputs!$I$9+(((A50)+1)/2)*(Inputs!$J$9-Inputs!$I$9)))/Inputs!$K$9)^2),NA())</x:f>
        <x:v>376</x:v>
      </x:c>
      <x:c r="BD50" s="10"/>
      <x:c r="BE50" s="9">
        <x:f t="shared" si="8"/>
        <x:v>-0.6</x:v>
      </x:c>
      <x:c r="BF50" s="9" t="n">
        <x:f>0</x:f>
        <x:v>0</x:v>
      </x:c>
      <x:c r="BG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9" t="n">
        <x:f>ROUND(-1+49*2/240,3)</x:f>
        <x:v>-0.592</x:v>
      </x:c>
      <x:c r="B51" s="9" t="n">
        <x:f>IF(OR(Inputs!$F$6=TRUE,Inputs!$F$6="TRUE",Inputs!$F$6=1),(Inputs!$H$6+Inputs!$L$6*(((Inputs!$I$6+(((A51)+1)/2)*(Inputs!$J$6-Inputs!$I$6)))/Inputs!$K$6)^2),NA())</x:f>
        <x:v>401.401856</x:v>
      </x:c>
      <x:c r="C51" s="9" t="n">
        <x:f>IF(OR(Inputs!$F$7=TRUE,Inputs!$F$7="TRUE",Inputs!$F$7=1),(Inputs!$H$7+Inputs!$L$7*(((Inputs!$I$7+(((A51)+1)/2)*(Inputs!$J$7-Inputs!$I$7)))/Inputs!$K$7)^2),NA())</x:f>
        <x:v>162.91935999999998</x:v>
      </x:c>
      <x:c r="D51" s="9" t="n">
        <x:f>IF(OR(Inputs!$F$8=TRUE,Inputs!$F$8="TRUE",Inputs!$F$8=1),(Inputs!$H$8+Inputs!$L$8*(((Inputs!$I$8+(((A51)+1)/2)*(Inputs!$J$8-Inputs!$I$8)))/Inputs!$K$8)^2),NA())</x:f>
        <x:v>373.19775999999996</x:v>
      </x:c>
      <x:c r="E51" s="9" t="n">
        <x:f>IF(OR(Inputs!$F$9=TRUE,Inputs!$F$9="TRUE",Inputs!$F$9=1),(Inputs!$H$9+Inputs!$L$9*(((Inputs!$I$9+(((A51)+1)/2)*(Inputs!$J$9-Inputs!$I$9)))/Inputs!$K$9)^2),NA())</x:f>
        <x:v>366.70239999999995</x:v>
      </x:c>
      <x:c r="F51" s="10"/>
      <x:c r="G51" s="9">
        <x:f t="shared" si="0"/>
        <x:v>-0.59199999999999997</x:v>
      </x:c>
      <x:c r="H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10"/>
      <x:c r="M51" s="9">
        <x:f t="shared" si="1"/>
        <x:v>-0.59199999999999997</x:v>
      </x:c>
      <x:c r="N51" s="9"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9"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9"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9"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10"/>
      <x:c r="S51" s="9">
        <x:f t="shared" si="2"/>
        <x:v>-0.59199999999999997</x:v>
      </x:c>
      <x:c r="T51" s="9" t="n">
        <x:f>(Inputs!$I$6+(((A51)+1)/2)*(Inputs!$J$6-Inputs!$I$6))</x:f>
        <x:v>-35.519999999999996</x:v>
      </x:c>
      <x:c r="U51" s="9" t="n">
        <x:f>(Inputs!$I$7+(((A51)+1)/2)*(Inputs!$J$7-Inputs!$I$7))</x:f>
        <x:v>-236.79999999999998</x:v>
      </x:c>
      <x:c r="V51" s="9" t="n">
        <x:f>(Inputs!$I$8+(((A51)+1)/2)*(Inputs!$J$8-Inputs!$I$8))</x:f>
        <x:v>-473.59999999999997</x:v>
      </x:c>
      <x:c r="W51" s="9" t="n">
        <x:f>(Inputs!$I$9+(((A51)+1)/2)*(Inputs!$J$9-Inputs!$I$9))</x:f>
        <x:v>-473.59999999999997</x:v>
      </x:c>
      <x:c r="X51" s="10"/>
      <x:c r="Y51" s="9">
        <x:f t="shared" si="3"/>
        <x:v>-0.59199999999999997</x:v>
      </x:c>
      <x:c r="Z51" s="9" t="n">
        <x:f>(Inputs!$H$6+Inputs!$L$6*(((Inputs!$I$6+(((A51)+1)/2)*(Inputs!$J$6-Inputs!$I$6)))/Inputs!$K$6)^2)</x:f>
        <x:v>401.401856</x:v>
      </x:c>
      <x:c r="AA51" s="9" t="n">
        <x:f>(Inputs!$H$7+Inputs!$L$7*(((Inputs!$I$7+(((A51)+1)/2)*(Inputs!$J$7-Inputs!$I$7)))/Inputs!$K$7)^2)</x:f>
        <x:v>162.91935999999998</x:v>
      </x:c>
      <x:c r="AB51" s="9" t="n">
        <x:f>(Inputs!$H$8+Inputs!$L$8*(((Inputs!$I$8+(((A51)+1)/2)*(Inputs!$J$8-Inputs!$I$8)))/Inputs!$K$8)^2)</x:f>
        <x:v>373.19775999999996</x:v>
      </x:c>
      <x:c r="AC51" s="9" t="n">
        <x:f>(Inputs!$H$9+Inputs!$L$9*(((Inputs!$I$9+(((A51)+1)/2)*(Inputs!$J$9-Inputs!$I$9)))/Inputs!$K$9)^2)</x:f>
        <x:v>366.70239999999995</x:v>
      </x:c>
      <x:c r="AD51" s="10"/>
      <x:c r="AE51" s="9">
        <x:f t="shared" si="4"/>
        <x:v>-0.59199999999999997</x:v>
      </x:c>
      <x:c r="AF51" s="9"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9"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9"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9"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10"/>
      <x:c r="AK51" s="9">
        <x:f t="shared" si="5"/>
        <x:v>-0.59199999999999997</x:v>
      </x:c>
      <x:c r="AL51" s="9"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9"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9"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9"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10"/>
      <x:c r="AQ51" s="9">
        <x:f t="shared" si="6"/>
        <x:v>-0.59199999999999997</x:v>
      </x:c>
      <x:c r="AR51" s="9" t="n">
        <x:f>0</x:f>
        <x:v>0</x:v>
      </x:c>
      <x:c r="AS51" s="9"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x:f>
        <x:v>278.7581133802063</x:v>
      </x:c>
      <x:c r="AT51" s="9"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x:f>
        <x:v>83.6346969575074</x:v>
      </x:c>
      <x:c r="AU51" s="9"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x:f>
        <x:v>115.45384072880037</x:v>
      </x:c>
      <x:c r="AV51" s="9"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x:f>
        <x:v>115.45384072880037</x:v>
      </x:c>
      <x:c r="AW51" s="10"/>
      <x:c r="AX51" s="9">
        <x:f t="shared" si="7"/>
        <x:v>-0.59199999999999997</x:v>
      </x:c>
      <x:c r="AY51" s="9" t="n">
        <x:f>0</x:f>
        <x:v>0</x:v>
      </x:c>
      <x:c r="AZ51" s="9" t="n">
        <x:f>IF(OR(Inputs!$F$6=TRUE,Inputs!$F$6="TRUE",Inputs!$F$6=1),(Inputs!$H$6+Inputs!$L$6*(((Inputs!$I$6+(((A51)+1)/2)*(Inputs!$J$6-Inputs!$I$6)))/Inputs!$K$6)^2),NA())</x:f>
        <x:v>401.401856</x:v>
      </x:c>
      <x:c r="BA51" s="9" t="n">
        <x:f>IF(OR(Inputs!$F$7=TRUE,Inputs!$F$7="TRUE",Inputs!$F$7=1),(Inputs!$H$7+Inputs!$L$7*(((Inputs!$I$7+(((A51)+1)/2)*(Inputs!$J$7-Inputs!$I$7)))/Inputs!$K$7)^2),NA())</x:f>
        <x:v>162.91935999999998</x:v>
      </x:c>
      <x:c r="BB51" s="9" t="n">
        <x:f>IF(OR(Inputs!$F$8=TRUE,Inputs!$F$8="TRUE",Inputs!$F$8=1),(Inputs!$H$8+Inputs!$L$8*(((Inputs!$I$8+(((A51)+1)/2)*(Inputs!$J$8-Inputs!$I$8)))/Inputs!$K$8)^2),NA())</x:f>
        <x:v>373.19775999999996</x:v>
      </x:c>
      <x:c r="BC51" s="9" t="n">
        <x:f>IF(OR(Inputs!$F$9=TRUE,Inputs!$F$9="TRUE",Inputs!$F$9=1),(Inputs!$H$9+Inputs!$L$9*(((Inputs!$I$9+(((A51)+1)/2)*(Inputs!$J$9-Inputs!$I$9)))/Inputs!$K$9)^2),NA())</x:f>
        <x:v>366.70239999999995</x:v>
      </x:c>
      <x:c r="BD51" s="10"/>
      <x:c r="BE51" s="9">
        <x:f t="shared" si="8"/>
        <x:v>-0.59199999999999997</x:v>
      </x:c>
      <x:c r="BF51" s="9" t="n">
        <x:f>0</x:f>
        <x:v>0</x:v>
      </x:c>
      <x:c r="BG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9" t="n">
        <x:f>ROUND(-1+50*2/240,3)</x:f>
        <x:v>-0.583</x:v>
      </x:c>
      <x:c r="B52" s="9" t="n">
        <x:f>IF(OR(Inputs!$F$6=TRUE,Inputs!$F$6="TRUE",Inputs!$F$6=1),(Inputs!$H$6+Inputs!$L$6*(((Inputs!$I$6+(((A52)+1)/2)*(Inputs!$J$6-Inputs!$I$6)))/Inputs!$K$6)^2),NA())</x:f>
        <x:v>401.359556</x:v>
      </x:c>
      <x:c r="C52" s="9" t="n">
        <x:f>IF(OR(Inputs!$F$7=TRUE,Inputs!$F$7="TRUE",Inputs!$F$7=1),(Inputs!$H$7+Inputs!$L$7*(((Inputs!$I$7+(((A52)+1)/2)*(Inputs!$J$7-Inputs!$I$7)))/Inputs!$K$7)^2),NA())</x:f>
        <x:v>159.059485</x:v>
      </x:c>
      <x:c r="D52" s="9" t="n">
        <x:f>IF(OR(Inputs!$F$8=TRUE,Inputs!$F$8="TRUE",Inputs!$F$8=1),(Inputs!$H$8+Inputs!$L$8*(((Inputs!$I$8+(((A52)+1)/2)*(Inputs!$J$8-Inputs!$I$8)))/Inputs!$K$8)^2),NA())</x:f>
        <x:v>362.99288499999994</x:v>
      </x:c>
      <x:c r="E52" s="9" t="n">
        <x:f>IF(OR(Inputs!$F$9=TRUE,Inputs!$F$9="TRUE",Inputs!$F$9=1),(Inputs!$H$9+Inputs!$L$9*(((Inputs!$I$9+(((A52)+1)/2)*(Inputs!$J$9-Inputs!$I$9)))/Inputs!$K$9)^2),NA())</x:f>
        <x:v>356.39177499999994</x:v>
      </x:c>
      <x:c r="F52" s="10"/>
      <x:c r="G52" s="9">
        <x:f t="shared" si="0"/>
        <x:v>-0.58299999999999996</x:v>
      </x:c>
      <x:c r="H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10"/>
      <x:c r="M52" s="9">
        <x:f t="shared" si="1"/>
        <x:v>-0.58299999999999996</x:v>
      </x:c>
      <x:c r="N52" s="9"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9"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9"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9"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10"/>
      <x:c r="S52" s="9">
        <x:f t="shared" si="2"/>
        <x:v>-0.58299999999999996</x:v>
      </x:c>
      <x:c r="T52" s="9" t="n">
        <x:f>(Inputs!$I$6+(((A52)+1)/2)*(Inputs!$J$6-Inputs!$I$6))</x:f>
        <x:v>-34.98</x:v>
      </x:c>
      <x:c r="U52" s="9" t="n">
        <x:f>(Inputs!$I$7+(((A52)+1)/2)*(Inputs!$J$7-Inputs!$I$7))</x:f>
        <x:v>-233.2</x:v>
      </x:c>
      <x:c r="V52" s="9" t="n">
        <x:f>(Inputs!$I$8+(((A52)+1)/2)*(Inputs!$J$8-Inputs!$I$8))</x:f>
        <x:v>-466.4</x:v>
      </x:c>
      <x:c r="W52" s="9" t="n">
        <x:f>(Inputs!$I$9+(((A52)+1)/2)*(Inputs!$J$9-Inputs!$I$9))</x:f>
        <x:v>-466.4</x:v>
      </x:c>
      <x:c r="X52" s="10"/>
      <x:c r="Y52" s="9">
        <x:f t="shared" si="3"/>
        <x:v>-0.58299999999999996</x:v>
      </x:c>
      <x:c r="Z52" s="9" t="n">
        <x:f>(Inputs!$H$6+Inputs!$L$6*(((Inputs!$I$6+(((A52)+1)/2)*(Inputs!$J$6-Inputs!$I$6)))/Inputs!$K$6)^2)</x:f>
        <x:v>401.359556</x:v>
      </x:c>
      <x:c r="AA52" s="9" t="n">
        <x:f>(Inputs!$H$7+Inputs!$L$7*(((Inputs!$I$7+(((A52)+1)/2)*(Inputs!$J$7-Inputs!$I$7)))/Inputs!$K$7)^2)</x:f>
        <x:v>159.059485</x:v>
      </x:c>
      <x:c r="AB52" s="9" t="n">
        <x:f>(Inputs!$H$8+Inputs!$L$8*(((Inputs!$I$8+(((A52)+1)/2)*(Inputs!$J$8-Inputs!$I$8)))/Inputs!$K$8)^2)</x:f>
        <x:v>362.99288499999994</x:v>
      </x:c>
      <x:c r="AC52" s="9" t="n">
        <x:f>(Inputs!$H$9+Inputs!$L$9*(((Inputs!$I$9+(((A52)+1)/2)*(Inputs!$J$9-Inputs!$I$9)))/Inputs!$K$9)^2)</x:f>
        <x:v>356.39177499999994</x:v>
      </x:c>
      <x:c r="AD52" s="10"/>
      <x:c r="AE52" s="9">
        <x:f t="shared" si="4"/>
        <x:v>-0.58299999999999996</x:v>
      </x:c>
      <x:c r="AF52" s="9"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9"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9"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9"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10"/>
      <x:c r="AK52" s="9">
        <x:f t="shared" si="5"/>
        <x:v>-0.58299999999999996</x:v>
      </x:c>
      <x:c r="AL52" s="9"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9"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9"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9"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10"/>
      <x:c r="AQ52" s="9">
        <x:f t="shared" si="6"/>
        <x:v>-0.58299999999999996</x:v>
      </x:c>
      <x:c r="AR52" s="9" t="n">
        <x:f>0</x:f>
        <x:v>0</x:v>
      </x:c>
      <x:c r="AS52" s="9"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x:f>
        <x:v>291.40358146269375</x:v>
      </x:c>
      <x:c r="AT52" s="9"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x:f>
        <x:v>147.04921781546284</x:v>
      </x:c>
      <x:c r="AU52" s="9"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x:f>
        <x:v>195.8125842564638</x:v>
      </x:c>
      <x:c r="AV52" s="9"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x:f>
        <x:v>195.8125842564638</x:v>
      </x:c>
      <x:c r="AW52" s="10"/>
      <x:c r="AX52" s="9">
        <x:f t="shared" si="7"/>
        <x:v>-0.58299999999999996</x:v>
      </x:c>
      <x:c r="AY52" s="9" t="n">
        <x:f>0</x:f>
        <x:v>0</x:v>
      </x:c>
      <x:c r="AZ52" s="9" t="n">
        <x:f>IF(OR(Inputs!$F$6=TRUE,Inputs!$F$6="TRUE",Inputs!$F$6=1),(Inputs!$H$6+Inputs!$L$6*(((Inputs!$I$6+(((A52)+1)/2)*(Inputs!$J$6-Inputs!$I$6)))/Inputs!$K$6)^2),NA())</x:f>
        <x:v>401.359556</x:v>
      </x:c>
      <x:c r="BA52" s="9" t="n">
        <x:f>IF(OR(Inputs!$F$7=TRUE,Inputs!$F$7="TRUE",Inputs!$F$7=1),(Inputs!$H$7+Inputs!$L$7*(((Inputs!$I$7+(((A52)+1)/2)*(Inputs!$J$7-Inputs!$I$7)))/Inputs!$K$7)^2),NA())</x:f>
        <x:v>159.059485</x:v>
      </x:c>
      <x:c r="BB52" s="9" t="n">
        <x:f>IF(OR(Inputs!$F$8=TRUE,Inputs!$F$8="TRUE",Inputs!$F$8=1),(Inputs!$H$8+Inputs!$L$8*(((Inputs!$I$8+(((A52)+1)/2)*(Inputs!$J$8-Inputs!$I$8)))/Inputs!$K$8)^2),NA())</x:f>
        <x:v>362.99288499999994</x:v>
      </x:c>
      <x:c r="BC52" s="9" t="n">
        <x:f>IF(OR(Inputs!$F$9=TRUE,Inputs!$F$9="TRUE",Inputs!$F$9=1),(Inputs!$H$9+Inputs!$L$9*(((Inputs!$I$9+(((A52)+1)/2)*(Inputs!$J$9-Inputs!$I$9)))/Inputs!$K$9)^2),NA())</x:f>
        <x:v>356.39177499999994</x:v>
      </x:c>
      <x:c r="BD52" s="10"/>
      <x:c r="BE52" s="9">
        <x:f t="shared" si="8"/>
        <x:v>-0.58299999999999996</x:v>
      </x:c>
      <x:c r="BF52" s="9" t="n">
        <x:f>0</x:f>
        <x:v>0</x:v>
      </x:c>
      <x:c r="BG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9" t="n">
        <x:f>ROUND(-1+51*2/240,3)</x:f>
        <x:v>-0.575</x:v>
      </x:c>
      <x:c r="B53" s="9" t="n">
        <x:f>IF(OR(Inputs!$F$6=TRUE,Inputs!$F$6="TRUE",Inputs!$F$6=1),(Inputs!$H$6+Inputs!$L$6*(((Inputs!$I$6+(((A53)+1)/2)*(Inputs!$J$6-Inputs!$I$6)))/Inputs!$K$6)^2),NA())</x:f>
        <x:v>401.3225</x:v>
      </x:c>
      <x:c r="C53" s="9" t="n">
        <x:f>IF(OR(Inputs!$F$7=TRUE,Inputs!$F$7="TRUE",Inputs!$F$7=1),(Inputs!$H$7+Inputs!$L$7*(((Inputs!$I$7+(((A53)+1)/2)*(Inputs!$J$7-Inputs!$I$7)))/Inputs!$K$7)^2),NA())</x:f>
        <x:v>155.67812499999997</x:v>
      </x:c>
      <x:c r="D53" s="9" t="n">
        <x:f>IF(OR(Inputs!$F$8=TRUE,Inputs!$F$8="TRUE",Inputs!$F$8=1),(Inputs!$H$8+Inputs!$L$8*(((Inputs!$I$8+(((A53)+1)/2)*(Inputs!$J$8-Inputs!$I$8)))/Inputs!$K$8)^2),NA())</x:f>
        <x:v>354.05312499999997</x:v>
      </x:c>
      <x:c r="E53" s="9" t="n">
        <x:f>IF(OR(Inputs!$F$9=TRUE,Inputs!$F$9="TRUE",Inputs!$F$9=1),(Inputs!$H$9+Inputs!$L$9*(((Inputs!$I$9+(((A53)+1)/2)*(Inputs!$J$9-Inputs!$I$9)))/Inputs!$K$9)^2),NA())</x:f>
        <x:v>347.35937499999994</x:v>
      </x:c>
      <x:c r="F53" s="10"/>
      <x:c r="G53" s="9">
        <x:f t="shared" si="0"/>
        <x:v>-0.57499999999999996</x:v>
      </x:c>
      <x:c r="H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10"/>
      <x:c r="M53" s="9">
        <x:f t="shared" si="1"/>
        <x:v>-0.57499999999999996</x:v>
      </x:c>
      <x:c r="N53" s="9"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9"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9"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9"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10"/>
      <x:c r="S53" s="9">
        <x:f t="shared" si="2"/>
        <x:v>-0.57499999999999996</x:v>
      </x:c>
      <x:c r="T53" s="9" t="n">
        <x:f>(Inputs!$I$6+(((A53)+1)/2)*(Inputs!$J$6-Inputs!$I$6))</x:f>
        <x:v>-34.5</x:v>
      </x:c>
      <x:c r="U53" s="9" t="n">
        <x:f>(Inputs!$I$7+(((A53)+1)/2)*(Inputs!$J$7-Inputs!$I$7))</x:f>
        <x:v>-229.99999999999997</x:v>
      </x:c>
      <x:c r="V53" s="9" t="n">
        <x:f>(Inputs!$I$8+(((A53)+1)/2)*(Inputs!$J$8-Inputs!$I$8))</x:f>
        <x:v>-459.99999999999994</x:v>
      </x:c>
      <x:c r="W53" s="9" t="n">
        <x:f>(Inputs!$I$9+(((A53)+1)/2)*(Inputs!$J$9-Inputs!$I$9))</x:f>
        <x:v>-459.99999999999994</x:v>
      </x:c>
      <x:c r="X53" s="10"/>
      <x:c r="Y53" s="9">
        <x:f t="shared" si="3"/>
        <x:v>-0.57499999999999996</x:v>
      </x:c>
      <x:c r="Z53" s="9" t="n">
        <x:f>(Inputs!$H$6+Inputs!$L$6*(((Inputs!$I$6+(((A53)+1)/2)*(Inputs!$J$6-Inputs!$I$6)))/Inputs!$K$6)^2)</x:f>
        <x:v>401.3225</x:v>
      </x:c>
      <x:c r="AA53" s="9" t="n">
        <x:f>(Inputs!$H$7+Inputs!$L$7*(((Inputs!$I$7+(((A53)+1)/2)*(Inputs!$J$7-Inputs!$I$7)))/Inputs!$K$7)^2)</x:f>
        <x:v>155.67812499999997</x:v>
      </x:c>
      <x:c r="AB53" s="9" t="n">
        <x:f>(Inputs!$H$8+Inputs!$L$8*(((Inputs!$I$8+(((A53)+1)/2)*(Inputs!$J$8-Inputs!$I$8)))/Inputs!$K$8)^2)</x:f>
        <x:v>354.05312499999997</x:v>
      </x:c>
      <x:c r="AC53" s="9" t="n">
        <x:f>(Inputs!$H$9+Inputs!$L$9*(((Inputs!$I$9+(((A53)+1)/2)*(Inputs!$J$9-Inputs!$I$9)))/Inputs!$K$9)^2)</x:f>
        <x:v>347.35937499999994</x:v>
      </x:c>
      <x:c r="AD53" s="10"/>
      <x:c r="AE53" s="9">
        <x:f t="shared" si="4"/>
        <x:v>-0.57499999999999996</x:v>
      </x:c>
      <x:c r="AF53" s="9"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9"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9"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9"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10"/>
      <x:c r="AK53" s="9">
        <x:f t="shared" si="5"/>
        <x:v>-0.57499999999999996</x:v>
      </x:c>
      <x:c r="AL53" s="9"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9"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9"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9"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10"/>
      <x:c r="AQ53" s="9">
        <x:f t="shared" si="6"/>
        <x:v>-0.57499999999999996</x:v>
      </x:c>
      <x:c r="AR53" s="9" t="n">
        <x:f>0</x:f>
        <x:v>0</x:v>
      </x:c>
      <x:c r="AS53" s="9"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x:f>
        <x:v>316.314878049505</x:v>
      </x:c>
      <x:c r="AT53" s="9"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x:f>
        <x:v>191.33740398954353</x:v>
      </x:c>
      <x:c r="AU53" s="9"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x:f>
        <x:v>165.06402099993767</x:v>
      </x:c>
      <x:c r="AV53" s="9"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x:f>
        <x:v>165.06402099993767</x:v>
      </x:c>
      <x:c r="AW53" s="10"/>
      <x:c r="AX53" s="9">
        <x:f t="shared" si="7"/>
        <x:v>-0.57499999999999996</x:v>
      </x:c>
      <x:c r="AY53" s="9" t="n">
        <x:f>0</x:f>
        <x:v>0</x:v>
      </x:c>
      <x:c r="AZ53" s="9" t="n">
        <x:f>IF(OR(Inputs!$F$6=TRUE,Inputs!$F$6="TRUE",Inputs!$F$6=1),(Inputs!$H$6+Inputs!$L$6*(((Inputs!$I$6+(((A53)+1)/2)*(Inputs!$J$6-Inputs!$I$6)))/Inputs!$K$6)^2),NA())</x:f>
        <x:v>401.3225</x:v>
      </x:c>
      <x:c r="BA53" s="9" t="n">
        <x:f>IF(OR(Inputs!$F$7=TRUE,Inputs!$F$7="TRUE",Inputs!$F$7=1),(Inputs!$H$7+Inputs!$L$7*(((Inputs!$I$7+(((A53)+1)/2)*(Inputs!$J$7-Inputs!$I$7)))/Inputs!$K$7)^2),NA())</x:f>
        <x:v>155.67812499999997</x:v>
      </x:c>
      <x:c r="BB53" s="9" t="n">
        <x:f>IF(OR(Inputs!$F$8=TRUE,Inputs!$F$8="TRUE",Inputs!$F$8=1),(Inputs!$H$8+Inputs!$L$8*(((Inputs!$I$8+(((A53)+1)/2)*(Inputs!$J$8-Inputs!$I$8)))/Inputs!$K$8)^2),NA())</x:f>
        <x:v>354.05312499999997</x:v>
      </x:c>
      <x:c r="BC53" s="9" t="n">
        <x:f>IF(OR(Inputs!$F$9=TRUE,Inputs!$F$9="TRUE",Inputs!$F$9=1),(Inputs!$H$9+Inputs!$L$9*(((Inputs!$I$9+(((A53)+1)/2)*(Inputs!$J$9-Inputs!$I$9)))/Inputs!$K$9)^2),NA())</x:f>
        <x:v>347.35937499999994</x:v>
      </x:c>
      <x:c r="BD53" s="10"/>
      <x:c r="BE53" s="9">
        <x:f t="shared" si="8"/>
        <x:v>-0.57499999999999996</x:v>
      </x:c>
      <x:c r="BF53" s="9" t="n">
        <x:f>0</x:f>
        <x:v>0</x:v>
      </x:c>
      <x:c r="BG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9" t="n">
        <x:f>ROUND(-1+52*2/240,3)</x:f>
        <x:v>-0.567</x:v>
      </x:c>
      <x:c r="B54" s="9" t="n">
        <x:f>IF(OR(Inputs!$F$6=TRUE,Inputs!$F$6="TRUE",Inputs!$F$6=1),(Inputs!$H$6+Inputs!$L$6*(((Inputs!$I$6+(((A54)+1)/2)*(Inputs!$J$6-Inputs!$I$6)))/Inputs!$K$6)^2),NA())</x:f>
        <x:v>401.285956</x:v>
      </x:c>
      <x:c r="C54" s="9" t="n">
        <x:f>IF(OR(Inputs!$F$7=TRUE,Inputs!$F$7="TRUE",Inputs!$F$7=1),(Inputs!$H$7+Inputs!$L$7*(((Inputs!$I$7+(((A54)+1)/2)*(Inputs!$J$7-Inputs!$I$7)))/Inputs!$K$7)^2),NA())</x:f>
        <x:v>152.343485</x:v>
      </x:c>
      <x:c r="D54" s="9" t="n">
        <x:f>IF(OR(Inputs!$F$8=TRUE,Inputs!$F$8="TRUE",Inputs!$F$8=1),(Inputs!$H$8+Inputs!$L$8*(((Inputs!$I$8+(((A54)+1)/2)*(Inputs!$J$8-Inputs!$I$8)))/Inputs!$K$8)^2),NA())</x:f>
        <x:v>345.236885</x:v>
      </x:c>
      <x:c r="E54" s="9" t="n">
        <x:f>IF(OR(Inputs!$F$9=TRUE,Inputs!$F$9="TRUE",Inputs!$F$9=1),(Inputs!$H$9+Inputs!$L$9*(((Inputs!$I$9+(((A54)+1)/2)*(Inputs!$J$9-Inputs!$I$9)))/Inputs!$K$9)^2),NA())</x:f>
        <x:v>338.451775</x:v>
      </x:c>
      <x:c r="F54" s="10"/>
      <x:c r="G54" s="9">
        <x:f t="shared" si="0"/>
        <x:v>-0.56699999999999995</x:v>
      </x:c>
      <x:c r="H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10"/>
      <x:c r="M54" s="9">
        <x:f t="shared" si="1"/>
        <x:v>-0.56699999999999995</x:v>
      </x:c>
      <x:c r="N54" s="9"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9"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9"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9"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10"/>
      <x:c r="S54" s="9">
        <x:f t="shared" si="2"/>
        <x:v>-0.56699999999999995</x:v>
      </x:c>
      <x:c r="T54" s="9" t="n">
        <x:f>(Inputs!$I$6+(((A54)+1)/2)*(Inputs!$J$6-Inputs!$I$6))</x:f>
        <x:v>-34.019999999999996</x:v>
      </x:c>
      <x:c r="U54" s="9" t="n">
        <x:f>(Inputs!$I$7+(((A54)+1)/2)*(Inputs!$J$7-Inputs!$I$7))</x:f>
        <x:v>-226.79999999999998</x:v>
      </x:c>
      <x:c r="V54" s="9" t="n">
        <x:f>(Inputs!$I$8+(((A54)+1)/2)*(Inputs!$J$8-Inputs!$I$8))</x:f>
        <x:v>-453.59999999999997</x:v>
      </x:c>
      <x:c r="W54" s="9" t="n">
        <x:f>(Inputs!$I$9+(((A54)+1)/2)*(Inputs!$J$9-Inputs!$I$9))</x:f>
        <x:v>-453.59999999999997</x:v>
      </x:c>
      <x:c r="X54" s="10"/>
      <x:c r="Y54" s="9">
        <x:f t="shared" si="3"/>
        <x:v>-0.56699999999999995</x:v>
      </x:c>
      <x:c r="Z54" s="9" t="n">
        <x:f>(Inputs!$H$6+Inputs!$L$6*(((Inputs!$I$6+(((A54)+1)/2)*(Inputs!$J$6-Inputs!$I$6)))/Inputs!$K$6)^2)</x:f>
        <x:v>401.285956</x:v>
      </x:c>
      <x:c r="AA54" s="9" t="n">
        <x:f>(Inputs!$H$7+Inputs!$L$7*(((Inputs!$I$7+(((A54)+1)/2)*(Inputs!$J$7-Inputs!$I$7)))/Inputs!$K$7)^2)</x:f>
        <x:v>152.343485</x:v>
      </x:c>
      <x:c r="AB54" s="9" t="n">
        <x:f>(Inputs!$H$8+Inputs!$L$8*(((Inputs!$I$8+(((A54)+1)/2)*(Inputs!$J$8-Inputs!$I$8)))/Inputs!$K$8)^2)</x:f>
        <x:v>345.236885</x:v>
      </x:c>
      <x:c r="AC54" s="9" t="n">
        <x:f>(Inputs!$H$9+Inputs!$L$9*(((Inputs!$I$9+(((A54)+1)/2)*(Inputs!$J$9-Inputs!$I$9)))/Inputs!$K$9)^2)</x:f>
        <x:v>338.451775</x:v>
      </x:c>
      <x:c r="AD54" s="10"/>
      <x:c r="AE54" s="9">
        <x:f t="shared" si="4"/>
        <x:v>-0.56699999999999995</x:v>
      </x:c>
      <x:c r="AF54" s="9"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9"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9"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9"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10"/>
      <x:c r="AK54" s="9">
        <x:f t="shared" si="5"/>
        <x:v>-0.56699999999999995</x:v>
      </x:c>
      <x:c r="AL54" s="9"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9"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9"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9"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10"/>
      <x:c r="AQ54" s="9">
        <x:f t="shared" si="6"/>
        <x:v>-0.56699999999999995</x:v>
      </x:c>
      <x:c r="AR54" s="9" t="n">
        <x:f>0</x:f>
        <x:v>0</x:v>
      </x:c>
      <x:c r="AS54" s="9"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x:f>
        <x:v>311.83376355089536</x:v>
      </x:c>
      <x:c r="AT54" s="9"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x:f>
        <x:v>164.6012238855945</x:v>
      </x:c>
      <x:c r="AU54" s="9"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x:f>
        <x:v>103.85429106132455</x:v>
      </x:c>
      <x:c r="AV54" s="9"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x:f>
        <x:v>103.85429106132455</x:v>
      </x:c>
      <x:c r="AW54" s="10"/>
      <x:c r="AX54" s="9">
        <x:f t="shared" si="7"/>
        <x:v>-0.56699999999999995</x:v>
      </x:c>
      <x:c r="AY54" s="9" t="n">
        <x:f>0</x:f>
        <x:v>0</x:v>
      </x:c>
      <x:c r="AZ54" s="9" t="n">
        <x:f>IF(OR(Inputs!$F$6=TRUE,Inputs!$F$6="TRUE",Inputs!$F$6=1),(Inputs!$H$6+Inputs!$L$6*(((Inputs!$I$6+(((A54)+1)/2)*(Inputs!$J$6-Inputs!$I$6)))/Inputs!$K$6)^2),NA())</x:f>
        <x:v>401.285956</x:v>
      </x:c>
      <x:c r="BA54" s="9" t="n">
        <x:f>IF(OR(Inputs!$F$7=TRUE,Inputs!$F$7="TRUE",Inputs!$F$7=1),(Inputs!$H$7+Inputs!$L$7*(((Inputs!$I$7+(((A54)+1)/2)*(Inputs!$J$7-Inputs!$I$7)))/Inputs!$K$7)^2),NA())</x:f>
        <x:v>152.343485</x:v>
      </x:c>
      <x:c r="BB54" s="9" t="n">
        <x:f>IF(OR(Inputs!$F$8=TRUE,Inputs!$F$8="TRUE",Inputs!$F$8=1),(Inputs!$H$8+Inputs!$L$8*(((Inputs!$I$8+(((A54)+1)/2)*(Inputs!$J$8-Inputs!$I$8)))/Inputs!$K$8)^2),NA())</x:f>
        <x:v>345.236885</x:v>
      </x:c>
      <x:c r="BC54" s="9" t="n">
        <x:f>IF(OR(Inputs!$F$9=TRUE,Inputs!$F$9="TRUE",Inputs!$F$9=1),(Inputs!$H$9+Inputs!$L$9*(((Inputs!$I$9+(((A54)+1)/2)*(Inputs!$J$9-Inputs!$I$9)))/Inputs!$K$9)^2),NA())</x:f>
        <x:v>338.451775</x:v>
      </x:c>
      <x:c r="BD54" s="10"/>
      <x:c r="BE54" s="9">
        <x:f t="shared" si="8"/>
        <x:v>-0.56699999999999995</x:v>
      </x:c>
      <x:c r="BF54" s="9" t="n">
        <x:f>0</x:f>
        <x:v>0</x:v>
      </x:c>
      <x:c r="BG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9" t="n">
        <x:f>ROUND(-1+53*2/240,3)</x:f>
        <x:v>-0.558</x:v>
      </x:c>
      <x:c r="B55" s="9" t="n">
        <x:f>IF(OR(Inputs!$F$6=TRUE,Inputs!$F$6="TRUE",Inputs!$F$6=1),(Inputs!$H$6+Inputs!$L$6*(((Inputs!$I$6+(((A55)+1)/2)*(Inputs!$J$6-Inputs!$I$6)))/Inputs!$K$6)^2),NA())</x:f>
        <x:v>401.245456</x:v>
      </x:c>
      <x:c r="C55" s="9" t="n">
        <x:f>IF(OR(Inputs!$F$7=TRUE,Inputs!$F$7="TRUE",Inputs!$F$7=1),(Inputs!$H$7+Inputs!$L$7*(((Inputs!$I$7+(((A55)+1)/2)*(Inputs!$J$7-Inputs!$I$7)))/Inputs!$K$7)^2),NA())</x:f>
        <x:v>148.64786000000004</x:v>
      </x:c>
      <x:c r="D55" s="9" t="n">
        <x:f>IF(OR(Inputs!$F$8=TRUE,Inputs!$F$8="TRUE",Inputs!$F$8=1),(Inputs!$H$8+Inputs!$L$8*(((Inputs!$I$8+(((A55)+1)/2)*(Inputs!$J$8-Inputs!$I$8)))/Inputs!$K$8)^2),NA())</x:f>
        <x:v>335.4662600000001</x:v>
      </x:c>
      <x:c r="E55" s="9" t="n">
        <x:f>IF(OR(Inputs!$F$9=TRUE,Inputs!$F$9="TRUE",Inputs!$F$9=1),(Inputs!$H$9+Inputs!$L$9*(((Inputs!$I$9+(((A55)+1)/2)*(Inputs!$J$9-Inputs!$I$9)))/Inputs!$K$9)^2),NA())</x:f>
        <x:v>328.57990000000007</x:v>
      </x:c>
      <x:c r="F55" s="10"/>
      <x:c r="G55" s="9">
        <x:f t="shared" si="0"/>
        <x:v>-0.55800000000000005</x:v>
      </x:c>
      <x:c r="H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10"/>
      <x:c r="M55" s="9">
        <x:f t="shared" si="1"/>
        <x:v>-0.55800000000000005</x:v>
      </x:c>
      <x:c r="N55" s="9"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9"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9"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9"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10"/>
      <x:c r="S55" s="9">
        <x:f t="shared" si="2"/>
        <x:v>-0.55800000000000005</x:v>
      </x:c>
      <x:c r="T55" s="9" t="n">
        <x:f>(Inputs!$I$6+(((A55)+1)/2)*(Inputs!$J$6-Inputs!$I$6))</x:f>
        <x:v>-33.480000000000004</x:v>
      </x:c>
      <x:c r="U55" s="9" t="n">
        <x:f>(Inputs!$I$7+(((A55)+1)/2)*(Inputs!$J$7-Inputs!$I$7))</x:f>
        <x:v>-223.20000000000002</x:v>
      </x:c>
      <x:c r="V55" s="9" t="n">
        <x:f>(Inputs!$I$8+(((A55)+1)/2)*(Inputs!$J$8-Inputs!$I$8))</x:f>
        <x:v>-446.40000000000003</x:v>
      </x:c>
      <x:c r="W55" s="9" t="n">
        <x:f>(Inputs!$I$9+(((A55)+1)/2)*(Inputs!$J$9-Inputs!$I$9))</x:f>
        <x:v>-446.40000000000003</x:v>
      </x:c>
      <x:c r="X55" s="10"/>
      <x:c r="Y55" s="9">
        <x:f t="shared" si="3"/>
        <x:v>-0.55800000000000005</x:v>
      </x:c>
      <x:c r="Z55" s="9" t="n">
        <x:f>(Inputs!$H$6+Inputs!$L$6*(((Inputs!$I$6+(((A55)+1)/2)*(Inputs!$J$6-Inputs!$I$6)))/Inputs!$K$6)^2)</x:f>
        <x:v>401.245456</x:v>
      </x:c>
      <x:c r="AA55" s="9" t="n">
        <x:f>(Inputs!$H$7+Inputs!$L$7*(((Inputs!$I$7+(((A55)+1)/2)*(Inputs!$J$7-Inputs!$I$7)))/Inputs!$K$7)^2)</x:f>
        <x:v>148.64786000000004</x:v>
      </x:c>
      <x:c r="AB55" s="9" t="n">
        <x:f>(Inputs!$H$8+Inputs!$L$8*(((Inputs!$I$8+(((A55)+1)/2)*(Inputs!$J$8-Inputs!$I$8)))/Inputs!$K$8)^2)</x:f>
        <x:v>335.4662600000001</x:v>
      </x:c>
      <x:c r="AC55" s="9" t="n">
        <x:f>(Inputs!$H$9+Inputs!$L$9*(((Inputs!$I$9+(((A55)+1)/2)*(Inputs!$J$9-Inputs!$I$9)))/Inputs!$K$9)^2)</x:f>
        <x:v>328.57990000000007</x:v>
      </x:c>
      <x:c r="AD55" s="10"/>
      <x:c r="AE55" s="9">
        <x:f t="shared" si="4"/>
        <x:v>-0.55800000000000005</x:v>
      </x:c>
      <x:c r="AF55" s="9"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9"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9"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9"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10"/>
      <x:c r="AK55" s="9">
        <x:f t="shared" si="5"/>
        <x:v>-0.55800000000000005</x:v>
      </x:c>
      <x:c r="AL55" s="9"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9"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9"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9"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10"/>
      <x:c r="AQ55" s="9">
        <x:f t="shared" si="6"/>
        <x:v>-0.55800000000000005</x:v>
      </x:c>
      <x:c r="AR55" s="9" t="n">
        <x:f>0</x:f>
        <x:v>0</x:v>
      </x:c>
      <x:c r="AS55" s="9"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x:f>
        <x:v>339.5699423794875</x:v>
      </x:c>
      <x:c r="AT55" s="9"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x:f>
        <x:v>74.90030040313073</x:v>
      </x:c>
      <x:c r="AU55" s="9"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x:f>
        <x:v>163.0323565171826</x:v>
      </x:c>
      <x:c r="AV55" s="9"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x:f>
        <x:v>163.0323565171826</x:v>
      </x:c>
      <x:c r="AW55" s="10"/>
      <x:c r="AX55" s="9">
        <x:f t="shared" si="7"/>
        <x:v>-0.55800000000000005</x:v>
      </x:c>
      <x:c r="AY55" s="9" t="n">
        <x:f>0</x:f>
        <x:v>0</x:v>
      </x:c>
      <x:c r="AZ55" s="9" t="n">
        <x:f>IF(OR(Inputs!$F$6=TRUE,Inputs!$F$6="TRUE",Inputs!$F$6=1),(Inputs!$H$6+Inputs!$L$6*(((Inputs!$I$6+(((A55)+1)/2)*(Inputs!$J$6-Inputs!$I$6)))/Inputs!$K$6)^2),NA())</x:f>
        <x:v>401.245456</x:v>
      </x:c>
      <x:c r="BA55" s="9" t="n">
        <x:f>IF(OR(Inputs!$F$7=TRUE,Inputs!$F$7="TRUE",Inputs!$F$7=1),(Inputs!$H$7+Inputs!$L$7*(((Inputs!$I$7+(((A55)+1)/2)*(Inputs!$J$7-Inputs!$I$7)))/Inputs!$K$7)^2),NA())</x:f>
        <x:v>148.64786000000004</x:v>
      </x:c>
      <x:c r="BB55" s="9" t="n">
        <x:f>IF(OR(Inputs!$F$8=TRUE,Inputs!$F$8="TRUE",Inputs!$F$8=1),(Inputs!$H$8+Inputs!$L$8*(((Inputs!$I$8+(((A55)+1)/2)*(Inputs!$J$8-Inputs!$I$8)))/Inputs!$K$8)^2),NA())</x:f>
        <x:v>335.4662600000001</x:v>
      </x:c>
      <x:c r="BC55" s="9" t="n">
        <x:f>IF(OR(Inputs!$F$9=TRUE,Inputs!$F$9="TRUE",Inputs!$F$9=1),(Inputs!$H$9+Inputs!$L$9*(((Inputs!$I$9+(((A55)+1)/2)*(Inputs!$J$9-Inputs!$I$9)))/Inputs!$K$9)^2),NA())</x:f>
        <x:v>328.57990000000007</x:v>
      </x:c>
      <x:c r="BD55" s="10"/>
      <x:c r="BE55" s="9">
        <x:f t="shared" si="8"/>
        <x:v>-0.55800000000000005</x:v>
      </x:c>
      <x:c r="BF55" s="9" t="n">
        <x:f>0</x:f>
        <x:v>0</x:v>
      </x:c>
      <x:c r="BG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9" t="n">
        <x:f>ROUND(-1+54*2/240,3)</x:f>
        <x:v>-0.55</x:v>
      </x:c>
      <x:c r="B56" s="9" t="n">
        <x:f>IF(OR(Inputs!$F$6=TRUE,Inputs!$F$6="TRUE",Inputs!$F$6=1),(Inputs!$H$6+Inputs!$L$6*(((Inputs!$I$6+(((A56)+1)/2)*(Inputs!$J$6-Inputs!$I$6)))/Inputs!$K$6)^2),NA())</x:f>
        <x:v>401.21</x:v>
      </x:c>
      <x:c r="C56" s="9" t="n">
        <x:f>IF(OR(Inputs!$F$7=TRUE,Inputs!$F$7="TRUE",Inputs!$F$7=1),(Inputs!$H$7+Inputs!$L$7*(((Inputs!$I$7+(((A56)+1)/2)*(Inputs!$J$7-Inputs!$I$7)))/Inputs!$K$7)^2),NA())</x:f>
        <x:v>145.41250000000002</x:v>
      </x:c>
      <x:c r="D56" s="9" t="n">
        <x:f>IF(OR(Inputs!$F$8=TRUE,Inputs!$F$8="TRUE",Inputs!$F$8=1),(Inputs!$H$8+Inputs!$L$8*(((Inputs!$I$8+(((A56)+1)/2)*(Inputs!$J$8-Inputs!$I$8)))/Inputs!$K$8)^2),NA())</x:f>
        <x:v>326.9125</x:v>
      </x:c>
      <x:c r="E56" s="9" t="n">
        <x:f>IF(OR(Inputs!$F$9=TRUE,Inputs!$F$9="TRUE",Inputs!$F$9=1),(Inputs!$H$9+Inputs!$L$9*(((Inputs!$I$9+(((A56)+1)/2)*(Inputs!$J$9-Inputs!$I$9)))/Inputs!$K$9)^2),NA())</x:f>
        <x:v>319.93750000000006</x:v>
      </x:c>
      <x:c r="F56" s="10"/>
      <x:c r="G56" s="9">
        <x:f t="shared" si="0"/>
        <x:v>-0.55000000000000004</x:v>
      </x:c>
      <x:c r="H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10"/>
      <x:c r="M56" s="9">
        <x:f t="shared" si="1"/>
        <x:v>-0.55000000000000004</x:v>
      </x:c>
      <x:c r="N56" s="9"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9"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9"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9"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10"/>
      <x:c r="S56" s="9">
        <x:f t="shared" si="2"/>
        <x:v>-0.55000000000000004</x:v>
      </x:c>
      <x:c r="T56" s="9" t="n">
        <x:f>(Inputs!$I$6+(((A56)+1)/2)*(Inputs!$J$6-Inputs!$I$6))</x:f>
        <x:v>-33</x:v>
      </x:c>
      <x:c r="U56" s="9" t="n">
        <x:f>(Inputs!$I$7+(((A56)+1)/2)*(Inputs!$J$7-Inputs!$I$7))</x:f>
        <x:v>-220.00000000000003</x:v>
      </x:c>
      <x:c r="V56" s="9" t="n">
        <x:f>(Inputs!$I$8+(((A56)+1)/2)*(Inputs!$J$8-Inputs!$I$8))</x:f>
        <x:v>-440.00000000000006</x:v>
      </x:c>
      <x:c r="W56" s="9" t="n">
        <x:f>(Inputs!$I$9+(((A56)+1)/2)*(Inputs!$J$9-Inputs!$I$9))</x:f>
        <x:v>-440.00000000000006</x:v>
      </x:c>
      <x:c r="X56" s="10"/>
      <x:c r="Y56" s="9">
        <x:f t="shared" si="3"/>
        <x:v>-0.55000000000000004</x:v>
      </x:c>
      <x:c r="Z56" s="9" t="n">
        <x:f>(Inputs!$H$6+Inputs!$L$6*(((Inputs!$I$6+(((A56)+1)/2)*(Inputs!$J$6-Inputs!$I$6)))/Inputs!$K$6)^2)</x:f>
        <x:v>401.21</x:v>
      </x:c>
      <x:c r="AA56" s="9" t="n">
        <x:f>(Inputs!$H$7+Inputs!$L$7*(((Inputs!$I$7+(((A56)+1)/2)*(Inputs!$J$7-Inputs!$I$7)))/Inputs!$K$7)^2)</x:f>
        <x:v>145.41250000000002</x:v>
      </x:c>
      <x:c r="AB56" s="9" t="n">
        <x:f>(Inputs!$H$8+Inputs!$L$8*(((Inputs!$I$8+(((A56)+1)/2)*(Inputs!$J$8-Inputs!$I$8)))/Inputs!$K$8)^2)</x:f>
        <x:v>326.9125</x:v>
      </x:c>
      <x:c r="AC56" s="9" t="n">
        <x:f>(Inputs!$H$9+Inputs!$L$9*(((Inputs!$I$9+(((A56)+1)/2)*(Inputs!$J$9-Inputs!$I$9)))/Inputs!$K$9)^2)</x:f>
        <x:v>319.93750000000006</x:v>
      </x:c>
      <x:c r="AD56" s="10"/>
      <x:c r="AE56" s="9">
        <x:f t="shared" si="4"/>
        <x:v>-0.55000000000000004</x:v>
      </x:c>
      <x:c r="AF56" s="9"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9"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9"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9"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10"/>
      <x:c r="AK56" s="9">
        <x:f t="shared" si="5"/>
        <x:v>-0.55000000000000004</x:v>
      </x:c>
      <x:c r="AL56" s="9"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9"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9"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9"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10"/>
      <x:c r="AQ56" s="9">
        <x:f t="shared" si="6"/>
        <x:v>-0.55000000000000004</x:v>
      </x:c>
      <x:c r="AR56" s="9" t="n">
        <x:f>0</x:f>
        <x:v>0</x:v>
      </x:c>
      <x:c r="AS56" s="9"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x:f>
        <x:v>342.0571204684842</x:v>
      </x:c>
      <x:c r="AT56" s="9"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x:f>
        <x:v>59.092313072187835</x:v>
      </x:c>
      <x:c r="AU56" s="9"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x:f>
        <x:v>150.94769857103955</x:v>
      </x:c>
      <x:c r="AV56" s="9"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x:f>
        <x:v>150.94769857103955</x:v>
      </x:c>
      <x:c r="AW56" s="10"/>
      <x:c r="AX56" s="9">
        <x:f t="shared" si="7"/>
        <x:v>-0.55000000000000004</x:v>
      </x:c>
      <x:c r="AY56" s="9" t="n">
        <x:f>0</x:f>
        <x:v>0</x:v>
      </x:c>
      <x:c r="AZ56" s="9" t="n">
        <x:f>IF(OR(Inputs!$F$6=TRUE,Inputs!$F$6="TRUE",Inputs!$F$6=1),(Inputs!$H$6+Inputs!$L$6*(((Inputs!$I$6+(((A56)+1)/2)*(Inputs!$J$6-Inputs!$I$6)))/Inputs!$K$6)^2),NA())</x:f>
        <x:v>401.21</x:v>
      </x:c>
      <x:c r="BA56" s="9" t="n">
        <x:f>IF(OR(Inputs!$F$7=TRUE,Inputs!$F$7="TRUE",Inputs!$F$7=1),(Inputs!$H$7+Inputs!$L$7*(((Inputs!$I$7+(((A56)+1)/2)*(Inputs!$J$7-Inputs!$I$7)))/Inputs!$K$7)^2),NA())</x:f>
        <x:v>145.41250000000002</x:v>
      </x:c>
      <x:c r="BB56" s="9" t="n">
        <x:f>IF(OR(Inputs!$F$8=TRUE,Inputs!$F$8="TRUE",Inputs!$F$8=1),(Inputs!$H$8+Inputs!$L$8*(((Inputs!$I$8+(((A56)+1)/2)*(Inputs!$J$8-Inputs!$I$8)))/Inputs!$K$8)^2),NA())</x:f>
        <x:v>326.9125</x:v>
      </x:c>
      <x:c r="BC56" s="9" t="n">
        <x:f>IF(OR(Inputs!$F$9=TRUE,Inputs!$F$9="TRUE",Inputs!$F$9=1),(Inputs!$H$9+Inputs!$L$9*(((Inputs!$I$9+(((A56)+1)/2)*(Inputs!$J$9-Inputs!$I$9)))/Inputs!$K$9)^2),NA())</x:f>
        <x:v>319.93750000000006</x:v>
      </x:c>
      <x:c r="BD56" s="10"/>
      <x:c r="BE56" s="9">
        <x:f t="shared" si="8"/>
        <x:v>-0.55000000000000004</x:v>
      </x:c>
      <x:c r="BF56" s="9" t="n">
        <x:f>0</x:f>
        <x:v>0</x:v>
      </x:c>
      <x:c r="BG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9" t="n">
        <x:f>ROUND(-1+55*2/240,3)</x:f>
        <x:v>-0.542</x:v>
      </x:c>
      <x:c r="B57" s="9" t="n">
        <x:f>IF(OR(Inputs!$F$6=TRUE,Inputs!$F$6="TRUE",Inputs!$F$6=1),(Inputs!$H$6+Inputs!$L$6*(((Inputs!$I$6+(((A57)+1)/2)*(Inputs!$J$6-Inputs!$I$6)))/Inputs!$K$6)^2),NA())</x:f>
        <x:v>401.175056</x:v>
      </x:c>
      <x:c r="C57" s="9" t="n">
        <x:f>IF(OR(Inputs!$F$7=TRUE,Inputs!$F$7="TRUE",Inputs!$F$7=1),(Inputs!$H$7+Inputs!$L$7*(((Inputs!$I$7+(((A57)+1)/2)*(Inputs!$J$7-Inputs!$I$7)))/Inputs!$K$7)^2),NA())</x:f>
        <x:v>142.22386</x:v>
      </x:c>
      <x:c r="D57" s="9" t="n">
        <x:f>IF(OR(Inputs!$F$8=TRUE,Inputs!$F$8="TRUE",Inputs!$F$8=1),(Inputs!$H$8+Inputs!$L$8*(((Inputs!$I$8+(((A57)+1)/2)*(Inputs!$J$8-Inputs!$I$8)))/Inputs!$K$8)^2),NA())</x:f>
        <x:v>318.48226</x:v>
      </x:c>
      <x:c r="E57" s="9" t="n">
        <x:f>IF(OR(Inputs!$F$9=TRUE,Inputs!$F$9="TRUE",Inputs!$F$9=1),(Inputs!$H$9+Inputs!$L$9*(((Inputs!$I$9+(((A57)+1)/2)*(Inputs!$J$9-Inputs!$I$9)))/Inputs!$K$9)^2),NA())</x:f>
        <x:v>311.41990000000004</x:v>
      </x:c>
      <x:c r="F57" s="10"/>
      <x:c r="G57" s="9">
        <x:f t="shared" si="0"/>
        <x:v>-0.54200000000000004</x:v>
      </x:c>
      <x:c r="H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10"/>
      <x:c r="M57" s="9">
        <x:f t="shared" si="1"/>
        <x:v>-0.54200000000000004</x:v>
      </x:c>
      <x:c r="N57" s="9"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9"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9"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9"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10"/>
      <x:c r="S57" s="9">
        <x:f t="shared" si="2"/>
        <x:v>-0.54200000000000004</x:v>
      </x:c>
      <x:c r="T57" s="9" t="n">
        <x:f>(Inputs!$I$6+(((A57)+1)/2)*(Inputs!$J$6-Inputs!$I$6))</x:f>
        <x:v>-32.52</x:v>
      </x:c>
      <x:c r="U57" s="9" t="n">
        <x:f>(Inputs!$I$7+(((A57)+1)/2)*(Inputs!$J$7-Inputs!$I$7))</x:f>
        <x:v>-216.8</x:v>
      </x:c>
      <x:c r="V57" s="9" t="n">
        <x:f>(Inputs!$I$8+(((A57)+1)/2)*(Inputs!$J$8-Inputs!$I$8))</x:f>
        <x:v>-433.6</x:v>
      </x:c>
      <x:c r="W57" s="9" t="n">
        <x:f>(Inputs!$I$9+(((A57)+1)/2)*(Inputs!$J$9-Inputs!$I$9))</x:f>
        <x:v>-433.6</x:v>
      </x:c>
      <x:c r="X57" s="10"/>
      <x:c r="Y57" s="9">
        <x:f t="shared" si="3"/>
        <x:v>-0.54200000000000004</x:v>
      </x:c>
      <x:c r="Z57" s="9" t="n">
        <x:f>(Inputs!$H$6+Inputs!$L$6*(((Inputs!$I$6+(((A57)+1)/2)*(Inputs!$J$6-Inputs!$I$6)))/Inputs!$K$6)^2)</x:f>
        <x:v>401.175056</x:v>
      </x:c>
      <x:c r="AA57" s="9" t="n">
        <x:f>(Inputs!$H$7+Inputs!$L$7*(((Inputs!$I$7+(((A57)+1)/2)*(Inputs!$J$7-Inputs!$I$7)))/Inputs!$K$7)^2)</x:f>
        <x:v>142.22386</x:v>
      </x:c>
      <x:c r="AB57" s="9" t="n">
        <x:f>(Inputs!$H$8+Inputs!$L$8*(((Inputs!$I$8+(((A57)+1)/2)*(Inputs!$J$8-Inputs!$I$8)))/Inputs!$K$8)^2)</x:f>
        <x:v>318.48226</x:v>
      </x:c>
      <x:c r="AC57" s="9" t="n">
        <x:f>(Inputs!$H$9+Inputs!$L$9*(((Inputs!$I$9+(((A57)+1)/2)*(Inputs!$J$9-Inputs!$I$9)))/Inputs!$K$9)^2)</x:f>
        <x:v>311.41990000000004</x:v>
      </x:c>
      <x:c r="AD57" s="10"/>
      <x:c r="AE57" s="9">
        <x:f t="shared" si="4"/>
        <x:v>-0.54200000000000004</x:v>
      </x:c>
      <x:c r="AF57" s="9"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9"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9"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9"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10"/>
      <x:c r="AK57" s="9">
        <x:f t="shared" si="5"/>
        <x:v>-0.54200000000000004</x:v>
      </x:c>
      <x:c r="AL57" s="9"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9"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9"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9"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10"/>
      <x:c r="AQ57" s="9">
        <x:f t="shared" si="6"/>
        <x:v>-0.54200000000000004</x:v>
      </x:c>
      <x:c r="AR57" s="9" t="n">
        <x:f>0</x:f>
        <x:v>0</x:v>
      </x:c>
      <x:c r="AS57" s="9"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x:f>
        <x:v>334.10969838197406</x:v>
      </x:c>
      <x:c r="AT57" s="9"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x:f>
        <x:v>133.800812179081</x:v>
      </x:c>
      <x:c r="AU57" s="9"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x:f>
        <x:v>65.40122120167689</x:v>
      </x:c>
      <x:c r="AV57" s="9"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x:f>
        <x:v>65.40122120167689</x:v>
      </x:c>
      <x:c r="AW57" s="10"/>
      <x:c r="AX57" s="9">
        <x:f t="shared" si="7"/>
        <x:v>-0.54200000000000004</x:v>
      </x:c>
      <x:c r="AY57" s="9" t="n">
        <x:f>0</x:f>
        <x:v>0</x:v>
      </x:c>
      <x:c r="AZ57" s="9" t="n">
        <x:f>IF(OR(Inputs!$F$6=TRUE,Inputs!$F$6="TRUE",Inputs!$F$6=1),(Inputs!$H$6+Inputs!$L$6*(((Inputs!$I$6+(((A57)+1)/2)*(Inputs!$J$6-Inputs!$I$6)))/Inputs!$K$6)^2),NA())</x:f>
        <x:v>401.175056</x:v>
      </x:c>
      <x:c r="BA57" s="9" t="n">
        <x:f>IF(OR(Inputs!$F$7=TRUE,Inputs!$F$7="TRUE",Inputs!$F$7=1),(Inputs!$H$7+Inputs!$L$7*(((Inputs!$I$7+(((A57)+1)/2)*(Inputs!$J$7-Inputs!$I$7)))/Inputs!$K$7)^2),NA())</x:f>
        <x:v>142.22386</x:v>
      </x:c>
      <x:c r="BB57" s="9" t="n">
        <x:f>IF(OR(Inputs!$F$8=TRUE,Inputs!$F$8="TRUE",Inputs!$F$8=1),(Inputs!$H$8+Inputs!$L$8*(((Inputs!$I$8+(((A57)+1)/2)*(Inputs!$J$8-Inputs!$I$8)))/Inputs!$K$8)^2),NA())</x:f>
        <x:v>318.48226</x:v>
      </x:c>
      <x:c r="BC57" s="9" t="n">
        <x:f>IF(OR(Inputs!$F$9=TRUE,Inputs!$F$9="TRUE",Inputs!$F$9=1),(Inputs!$H$9+Inputs!$L$9*(((Inputs!$I$9+(((A57)+1)/2)*(Inputs!$J$9-Inputs!$I$9)))/Inputs!$K$9)^2),NA())</x:f>
        <x:v>311.41990000000004</x:v>
      </x:c>
      <x:c r="BD57" s="10"/>
      <x:c r="BE57" s="9">
        <x:f t="shared" si="8"/>
        <x:v>-0.54200000000000004</x:v>
      </x:c>
      <x:c r="BF57" s="9" t="n">
        <x:f>0</x:f>
        <x:v>0</x:v>
      </x:c>
      <x:c r="BG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9" t="n">
        <x:f>ROUND(-1+56*2/240,3)</x:f>
        <x:v>-0.533</x:v>
      </x:c>
      <x:c r="B58" s="9" t="n">
        <x:f>IF(OR(Inputs!$F$6=TRUE,Inputs!$F$6="TRUE",Inputs!$F$6=1),(Inputs!$H$6+Inputs!$L$6*(((Inputs!$I$6+(((A58)+1)/2)*(Inputs!$J$6-Inputs!$I$6)))/Inputs!$K$6)^2),NA())</x:f>
        <x:v>401.136356</x:v>
      </x:c>
      <x:c r="C58" s="9" t="n">
        <x:f>IF(OR(Inputs!$F$7=TRUE,Inputs!$F$7="TRUE",Inputs!$F$7=1),(Inputs!$H$7+Inputs!$L$7*(((Inputs!$I$7+(((A58)+1)/2)*(Inputs!$J$7-Inputs!$I$7)))/Inputs!$K$7)^2),NA())</x:f>
        <x:v>138.69248500000003</x:v>
      </x:c>
      <x:c r="D58" s="9" t="n">
        <x:f>IF(OR(Inputs!$F$8=TRUE,Inputs!$F$8="TRUE",Inputs!$F$8=1),(Inputs!$H$8+Inputs!$L$8*(((Inputs!$I$8+(((A58)+1)/2)*(Inputs!$J$8-Inputs!$I$8)))/Inputs!$K$8)^2),NA())</x:f>
        <x:v>309.145885</x:v>
      </x:c>
      <x:c r="E58" s="9" t="n">
        <x:f>IF(OR(Inputs!$F$9=TRUE,Inputs!$F$9="TRUE",Inputs!$F$9=1),(Inputs!$H$9+Inputs!$L$9*(((Inputs!$I$9+(((A58)+1)/2)*(Inputs!$J$9-Inputs!$I$9)))/Inputs!$K$9)^2),NA())</x:f>
        <x:v>301.986775</x:v>
      </x:c>
      <x:c r="F58" s="10"/>
      <x:c r="G58" s="9">
        <x:f t="shared" si="0"/>
        <x:v>-0.53300000000000003</x:v>
      </x:c>
      <x:c r="H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10"/>
      <x:c r="M58" s="9">
        <x:f t="shared" si="1"/>
        <x:v>-0.53300000000000003</x:v>
      </x:c>
      <x:c r="N58" s="9"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9"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9"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9"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10"/>
      <x:c r="S58" s="9">
        <x:f t="shared" si="2"/>
        <x:v>-0.53300000000000003</x:v>
      </x:c>
      <x:c r="T58" s="9" t="n">
        <x:f>(Inputs!$I$6+(((A58)+1)/2)*(Inputs!$J$6-Inputs!$I$6))</x:f>
        <x:v>-31.98</x:v>
      </x:c>
      <x:c r="U58" s="9" t="n">
        <x:f>(Inputs!$I$7+(((A58)+1)/2)*(Inputs!$J$7-Inputs!$I$7))</x:f>
        <x:v>-213.20000000000002</x:v>
      </x:c>
      <x:c r="V58" s="9" t="n">
        <x:f>(Inputs!$I$8+(((A58)+1)/2)*(Inputs!$J$8-Inputs!$I$8))</x:f>
        <x:v>-426.40000000000003</x:v>
      </x:c>
      <x:c r="W58" s="9" t="n">
        <x:f>(Inputs!$I$9+(((A58)+1)/2)*(Inputs!$J$9-Inputs!$I$9))</x:f>
        <x:v>-426.40000000000003</x:v>
      </x:c>
      <x:c r="X58" s="10"/>
      <x:c r="Y58" s="9">
        <x:f t="shared" si="3"/>
        <x:v>-0.53300000000000003</x:v>
      </x:c>
      <x:c r="Z58" s="9" t="n">
        <x:f>(Inputs!$H$6+Inputs!$L$6*(((Inputs!$I$6+(((A58)+1)/2)*(Inputs!$J$6-Inputs!$I$6)))/Inputs!$K$6)^2)</x:f>
        <x:v>401.136356</x:v>
      </x:c>
      <x:c r="AA58" s="9" t="n">
        <x:f>(Inputs!$H$7+Inputs!$L$7*(((Inputs!$I$7+(((A58)+1)/2)*(Inputs!$J$7-Inputs!$I$7)))/Inputs!$K$7)^2)</x:f>
        <x:v>138.69248500000003</x:v>
      </x:c>
      <x:c r="AB58" s="9" t="n">
        <x:f>(Inputs!$H$8+Inputs!$L$8*(((Inputs!$I$8+(((A58)+1)/2)*(Inputs!$J$8-Inputs!$I$8)))/Inputs!$K$8)^2)</x:f>
        <x:v>309.145885</x:v>
      </x:c>
      <x:c r="AC58" s="9" t="n">
        <x:f>(Inputs!$H$9+Inputs!$L$9*(((Inputs!$I$9+(((A58)+1)/2)*(Inputs!$J$9-Inputs!$I$9)))/Inputs!$K$9)^2)</x:f>
        <x:v>301.986775</x:v>
      </x:c>
      <x:c r="AD58" s="10"/>
      <x:c r="AE58" s="9">
        <x:f t="shared" si="4"/>
        <x:v>-0.53300000000000003</x:v>
      </x:c>
      <x:c r="AF58" s="9"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9"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9"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9"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10"/>
      <x:c r="AK58" s="9">
        <x:f t="shared" si="5"/>
        <x:v>-0.53300000000000003</x:v>
      </x:c>
      <x:c r="AL58" s="9"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9"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9"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9"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10"/>
      <x:c r="AQ58" s="9">
        <x:f t="shared" si="6"/>
        <x:v>-0.53300000000000003</x:v>
      </x:c>
      <x:c r="AR58" s="9" t="n">
        <x:f>0</x:f>
        <x:v>0</x:v>
      </x:c>
      <x:c r="AS58" s="9"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x:f>
        <x:v>356.35230458683765</x:v>
      </x:c>
      <x:c r="AT58" s="9"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x:f>
        <x:v>183.48378695917194</x:v>
      </x:c>
      <x:c r="AU58" s="9"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x:f>
        <x:v>212.40877485298893</x:v>
      </x:c>
      <x:c r="AV58" s="9"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x:f>
        <x:v>212.40877485298893</x:v>
      </x:c>
      <x:c r="AW58" s="10"/>
      <x:c r="AX58" s="9">
        <x:f t="shared" si="7"/>
        <x:v>-0.53300000000000003</x:v>
      </x:c>
      <x:c r="AY58" s="9" t="n">
        <x:f>0</x:f>
        <x:v>0</x:v>
      </x:c>
      <x:c r="AZ58" s="9" t="n">
        <x:f>IF(OR(Inputs!$F$6=TRUE,Inputs!$F$6="TRUE",Inputs!$F$6=1),(Inputs!$H$6+Inputs!$L$6*(((Inputs!$I$6+(((A58)+1)/2)*(Inputs!$J$6-Inputs!$I$6)))/Inputs!$K$6)^2),NA())</x:f>
        <x:v>401.136356</x:v>
      </x:c>
      <x:c r="BA58" s="9" t="n">
        <x:f>IF(OR(Inputs!$F$7=TRUE,Inputs!$F$7="TRUE",Inputs!$F$7=1),(Inputs!$H$7+Inputs!$L$7*(((Inputs!$I$7+(((A58)+1)/2)*(Inputs!$J$7-Inputs!$I$7)))/Inputs!$K$7)^2),NA())</x:f>
        <x:v>138.69248500000003</x:v>
      </x:c>
      <x:c r="BB58" s="9" t="n">
        <x:f>IF(OR(Inputs!$F$8=TRUE,Inputs!$F$8="TRUE",Inputs!$F$8=1),(Inputs!$H$8+Inputs!$L$8*(((Inputs!$I$8+(((A58)+1)/2)*(Inputs!$J$8-Inputs!$I$8)))/Inputs!$K$8)^2),NA())</x:f>
        <x:v>309.145885</x:v>
      </x:c>
      <x:c r="BC58" s="9" t="n">
        <x:f>IF(OR(Inputs!$F$9=TRUE,Inputs!$F$9="TRUE",Inputs!$F$9=1),(Inputs!$H$9+Inputs!$L$9*(((Inputs!$I$9+(((A58)+1)/2)*(Inputs!$J$9-Inputs!$I$9)))/Inputs!$K$9)^2),NA())</x:f>
        <x:v>301.986775</x:v>
      </x:c>
      <x:c r="BD58" s="10"/>
      <x:c r="BE58" s="9">
        <x:f t="shared" si="8"/>
        <x:v>-0.53300000000000003</x:v>
      </x:c>
      <x:c r="BF58" s="9" t="n">
        <x:f>0</x:f>
        <x:v>0</x:v>
      </x:c>
      <x:c r="BG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9" t="n">
        <x:f>ROUND(-1+57*2/240,3)</x:f>
        <x:v>-0.525</x:v>
      </x:c>
      <x:c r="B59" s="9" t="n">
        <x:f>IF(OR(Inputs!$F$6=TRUE,Inputs!$F$6="TRUE",Inputs!$F$6=1),(Inputs!$H$6+Inputs!$L$6*(((Inputs!$I$6+(((A59)+1)/2)*(Inputs!$J$6-Inputs!$I$6)))/Inputs!$K$6)^2),NA())</x:f>
        <x:v>401.1025</x:v>
      </x:c>
      <x:c r="C59" s="9" t="n">
        <x:f>IF(OR(Inputs!$F$7=TRUE,Inputs!$F$7="TRUE",Inputs!$F$7=1),(Inputs!$H$7+Inputs!$L$7*(((Inputs!$I$7+(((A59)+1)/2)*(Inputs!$J$7-Inputs!$I$7)))/Inputs!$K$7)^2),NA())</x:f>
        <x:v>135.603125</x:v>
      </x:c>
      <x:c r="D59" s="9" t="n">
        <x:f>IF(OR(Inputs!$F$8=TRUE,Inputs!$F$8="TRUE",Inputs!$F$8=1),(Inputs!$H$8+Inputs!$L$8*(((Inputs!$I$8+(((A59)+1)/2)*(Inputs!$J$8-Inputs!$I$8)))/Inputs!$K$8)^2),NA())</x:f>
        <x:v>300.97812500000003</x:v>
      </x:c>
      <x:c r="E59" s="9" t="n">
        <x:f>IF(OR(Inputs!$F$9=TRUE,Inputs!$F$9="TRUE",Inputs!$F$9=1),(Inputs!$H$9+Inputs!$L$9*(((Inputs!$I$9+(((A59)+1)/2)*(Inputs!$J$9-Inputs!$I$9)))/Inputs!$K$9)^2),NA())</x:f>
        <x:v>293.734375</x:v>
      </x:c>
      <x:c r="F59" s="10"/>
      <x:c r="G59" s="9">
        <x:f t="shared" si="0"/>
        <x:v>-0.52500000000000002</x:v>
      </x:c>
      <x:c r="H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10"/>
      <x:c r="M59" s="9">
        <x:f t="shared" si="1"/>
        <x:v>-0.52500000000000002</x:v>
      </x:c>
      <x:c r="N59" s="9"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9"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9"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9"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10"/>
      <x:c r="S59" s="9">
        <x:f t="shared" si="2"/>
        <x:v>-0.52500000000000002</x:v>
      </x:c>
      <x:c r="T59" s="9" t="n">
        <x:f>(Inputs!$I$6+(((A59)+1)/2)*(Inputs!$J$6-Inputs!$I$6))</x:f>
        <x:v>-31.5</x:v>
      </x:c>
      <x:c r="U59" s="9" t="n">
        <x:f>(Inputs!$I$7+(((A59)+1)/2)*(Inputs!$J$7-Inputs!$I$7))</x:f>
        <x:v>-210</x:v>
      </x:c>
      <x:c r="V59" s="9" t="n">
        <x:f>(Inputs!$I$8+(((A59)+1)/2)*(Inputs!$J$8-Inputs!$I$8))</x:f>
        <x:v>-420</x:v>
      </x:c>
      <x:c r="W59" s="9" t="n">
        <x:f>(Inputs!$I$9+(((A59)+1)/2)*(Inputs!$J$9-Inputs!$I$9))</x:f>
        <x:v>-420</x:v>
      </x:c>
      <x:c r="X59" s="10"/>
      <x:c r="Y59" s="9">
        <x:f t="shared" si="3"/>
        <x:v>-0.52500000000000002</x:v>
      </x:c>
      <x:c r="Z59" s="9" t="n">
        <x:f>(Inputs!$H$6+Inputs!$L$6*(((Inputs!$I$6+(((A59)+1)/2)*(Inputs!$J$6-Inputs!$I$6)))/Inputs!$K$6)^2)</x:f>
        <x:v>401.1025</x:v>
      </x:c>
      <x:c r="AA59" s="9" t="n">
        <x:f>(Inputs!$H$7+Inputs!$L$7*(((Inputs!$I$7+(((A59)+1)/2)*(Inputs!$J$7-Inputs!$I$7)))/Inputs!$K$7)^2)</x:f>
        <x:v>135.603125</x:v>
      </x:c>
      <x:c r="AB59" s="9" t="n">
        <x:f>(Inputs!$H$8+Inputs!$L$8*(((Inputs!$I$8+(((A59)+1)/2)*(Inputs!$J$8-Inputs!$I$8)))/Inputs!$K$8)^2)</x:f>
        <x:v>300.97812500000003</x:v>
      </x:c>
      <x:c r="AC59" s="9" t="n">
        <x:f>(Inputs!$H$9+Inputs!$L$9*(((Inputs!$I$9+(((A59)+1)/2)*(Inputs!$J$9-Inputs!$I$9)))/Inputs!$K$9)^2)</x:f>
        <x:v>293.734375</x:v>
      </x:c>
      <x:c r="AD59" s="10"/>
      <x:c r="AE59" s="9">
        <x:f t="shared" si="4"/>
        <x:v>-0.52500000000000002</x:v>
      </x:c>
      <x:c r="AF59" s="9"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9"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9"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9"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10"/>
      <x:c r="AK59" s="9">
        <x:f t="shared" si="5"/>
        <x:v>-0.52500000000000002</x:v>
      </x:c>
      <x:c r="AL59" s="9"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9"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9"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9"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10"/>
      <x:c r="AQ59" s="9">
        <x:f t="shared" si="6"/>
        <x:v>-0.52500000000000002</x:v>
      </x:c>
      <x:c r="AR59" s="9" t="n">
        <x:f>0</x:f>
        <x:v>0</x:v>
      </x:c>
      <x:c r="AS59" s="9"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x:f>
        <x:v>355.15219987006986</x:v>
      </x:c>
      <x:c r="AT59" s="9"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x:f>
        <x:v>174.88445258075103</x:v>
      </x:c>
      <x:c r="AU59" s="9"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x:f>
        <x:v>84.2269312547811</x:v>
      </x:c>
      <x:c r="AV59" s="9"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x:f>
        <x:v>84.2269312547811</x:v>
      </x:c>
      <x:c r="AW59" s="10"/>
      <x:c r="AX59" s="9">
        <x:f t="shared" si="7"/>
        <x:v>-0.52500000000000002</x:v>
      </x:c>
      <x:c r="AY59" s="9" t="n">
        <x:f>0</x:f>
        <x:v>0</x:v>
      </x:c>
      <x:c r="AZ59" s="9" t="n">
        <x:f>IF(OR(Inputs!$F$6=TRUE,Inputs!$F$6="TRUE",Inputs!$F$6=1),(Inputs!$H$6+Inputs!$L$6*(((Inputs!$I$6+(((A59)+1)/2)*(Inputs!$J$6-Inputs!$I$6)))/Inputs!$K$6)^2),NA())</x:f>
        <x:v>401.1025</x:v>
      </x:c>
      <x:c r="BA59" s="9" t="n">
        <x:f>IF(OR(Inputs!$F$7=TRUE,Inputs!$F$7="TRUE",Inputs!$F$7=1),(Inputs!$H$7+Inputs!$L$7*(((Inputs!$I$7+(((A59)+1)/2)*(Inputs!$J$7-Inputs!$I$7)))/Inputs!$K$7)^2),NA())</x:f>
        <x:v>135.603125</x:v>
      </x:c>
      <x:c r="BB59" s="9" t="n">
        <x:f>IF(OR(Inputs!$F$8=TRUE,Inputs!$F$8="TRUE",Inputs!$F$8=1),(Inputs!$H$8+Inputs!$L$8*(((Inputs!$I$8+(((A59)+1)/2)*(Inputs!$J$8-Inputs!$I$8)))/Inputs!$K$8)^2),NA())</x:f>
        <x:v>300.97812500000003</x:v>
      </x:c>
      <x:c r="BC59" s="9" t="n">
        <x:f>IF(OR(Inputs!$F$9=TRUE,Inputs!$F$9="TRUE",Inputs!$F$9=1),(Inputs!$H$9+Inputs!$L$9*(((Inputs!$I$9+(((A59)+1)/2)*(Inputs!$J$9-Inputs!$I$9)))/Inputs!$K$9)^2),NA())</x:f>
        <x:v>293.734375</x:v>
      </x:c>
      <x:c r="BD59" s="10"/>
      <x:c r="BE59" s="9">
        <x:f t="shared" si="8"/>
        <x:v>-0.52500000000000002</x:v>
      </x:c>
      <x:c r="BF59" s="9" t="n">
        <x:f>0</x:f>
        <x:v>0</x:v>
      </x:c>
      <x:c r="BG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9" t="n">
        <x:f>ROUND(-1+58*2/240,3)</x:f>
        <x:v>-0.517</x:v>
      </x:c>
      <x:c r="B60" s="9" t="n">
        <x:f>IF(OR(Inputs!$F$6=TRUE,Inputs!$F$6="TRUE",Inputs!$F$6=1),(Inputs!$H$6+Inputs!$L$6*(((Inputs!$I$6+(((A60)+1)/2)*(Inputs!$J$6-Inputs!$I$6)))/Inputs!$K$6)^2),NA())</x:f>
        <x:v>401.069156</x:v>
      </x:c>
      <x:c r="C60" s="9" t="n">
        <x:f>IF(OR(Inputs!$F$7=TRUE,Inputs!$F$7="TRUE",Inputs!$F$7=1),(Inputs!$H$7+Inputs!$L$7*(((Inputs!$I$7+(((A60)+1)/2)*(Inputs!$J$7-Inputs!$I$7)))/Inputs!$K$7)^2),NA())</x:f>
        <x:v>132.560485</x:v>
      </x:c>
      <x:c r="D60" s="9" t="n">
        <x:f>IF(OR(Inputs!$F$8=TRUE,Inputs!$F$8="TRUE",Inputs!$F$8=1),(Inputs!$H$8+Inputs!$L$8*(((Inputs!$I$8+(((A60)+1)/2)*(Inputs!$J$8-Inputs!$I$8)))/Inputs!$K$8)^2),NA())</x:f>
        <x:v>292.933885</x:v>
      </x:c>
      <x:c r="E60" s="9" t="n">
        <x:f>IF(OR(Inputs!$F$9=TRUE,Inputs!$F$9="TRUE",Inputs!$F$9=1),(Inputs!$H$9+Inputs!$L$9*(((Inputs!$I$9+(((A60)+1)/2)*(Inputs!$J$9-Inputs!$I$9)))/Inputs!$K$9)^2),NA())</x:f>
        <x:v>285.60677499999997</x:v>
      </x:c>
      <x:c r="F60" s="10"/>
      <x:c r="G60" s="9">
        <x:f t="shared" si="0"/>
        <x:v>-0.51700000000000002</x:v>
      </x:c>
      <x:c r="H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10"/>
      <x:c r="M60" s="9">
        <x:f t="shared" si="1"/>
        <x:v>-0.51700000000000002</x:v>
      </x:c>
      <x:c r="N60" s="9"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9"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9"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9"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10"/>
      <x:c r="S60" s="9">
        <x:f t="shared" si="2"/>
        <x:v>-0.51700000000000002</x:v>
      </x:c>
      <x:c r="T60" s="9" t="n">
        <x:f>(Inputs!$I$6+(((A60)+1)/2)*(Inputs!$J$6-Inputs!$I$6))</x:f>
        <x:v>-31.02</x:v>
      </x:c>
      <x:c r="U60" s="9" t="n">
        <x:f>(Inputs!$I$7+(((A60)+1)/2)*(Inputs!$J$7-Inputs!$I$7))</x:f>
        <x:v>-206.8</x:v>
      </x:c>
      <x:c r="V60" s="9" t="n">
        <x:f>(Inputs!$I$8+(((A60)+1)/2)*(Inputs!$J$8-Inputs!$I$8))</x:f>
        <x:v>-413.6</x:v>
      </x:c>
      <x:c r="W60" s="9" t="n">
        <x:f>(Inputs!$I$9+(((A60)+1)/2)*(Inputs!$J$9-Inputs!$I$9))</x:f>
        <x:v>-413.6</x:v>
      </x:c>
      <x:c r="X60" s="10"/>
      <x:c r="Y60" s="9">
        <x:f t="shared" si="3"/>
        <x:v>-0.51700000000000002</x:v>
      </x:c>
      <x:c r="Z60" s="9" t="n">
        <x:f>(Inputs!$H$6+Inputs!$L$6*(((Inputs!$I$6+(((A60)+1)/2)*(Inputs!$J$6-Inputs!$I$6)))/Inputs!$K$6)^2)</x:f>
        <x:v>401.069156</x:v>
      </x:c>
      <x:c r="AA60" s="9" t="n">
        <x:f>(Inputs!$H$7+Inputs!$L$7*(((Inputs!$I$7+(((A60)+1)/2)*(Inputs!$J$7-Inputs!$I$7)))/Inputs!$K$7)^2)</x:f>
        <x:v>132.560485</x:v>
      </x:c>
      <x:c r="AB60" s="9" t="n">
        <x:f>(Inputs!$H$8+Inputs!$L$8*(((Inputs!$I$8+(((A60)+1)/2)*(Inputs!$J$8-Inputs!$I$8)))/Inputs!$K$8)^2)</x:f>
        <x:v>292.933885</x:v>
      </x:c>
      <x:c r="AC60" s="9" t="n">
        <x:f>(Inputs!$H$9+Inputs!$L$9*(((Inputs!$I$9+(((A60)+1)/2)*(Inputs!$J$9-Inputs!$I$9)))/Inputs!$K$9)^2)</x:f>
        <x:v>285.60677499999997</x:v>
      </x:c>
      <x:c r="AD60" s="10"/>
      <x:c r="AE60" s="9">
        <x:f t="shared" si="4"/>
        <x:v>-0.51700000000000002</x:v>
      </x:c>
      <x:c r="AF60" s="9"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9"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9"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9"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10"/>
      <x:c r="AK60" s="9">
        <x:f t="shared" si="5"/>
        <x:v>-0.51700000000000002</x:v>
      </x:c>
      <x:c r="AL60" s="9"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9"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9"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9"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10"/>
      <x:c r="AQ60" s="9">
        <x:f t="shared" si="6"/>
        <x:v>-0.51700000000000002</x:v>
      </x:c>
      <x:c r="AR60" s="9" t="n">
        <x:f>0</x:f>
        <x:v>0</x:v>
      </x:c>
      <x:c r="AS60" s="9"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x:f>
        <x:v>348.41775448813667</x:v>
      </x:c>
      <x:c r="AT60" s="9"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x:f>
        <x:v>116.94295620721593</x:v>
      </x:c>
      <x:c r="AU60" s="9"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x:f>
        <x:v>156.8605522525044</x:v>
      </x:c>
      <x:c r="AV60" s="9"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x:f>
        <x:v>156.8605522525044</x:v>
      </x:c>
      <x:c r="AW60" s="10"/>
      <x:c r="AX60" s="9">
        <x:f t="shared" si="7"/>
        <x:v>-0.51700000000000002</x:v>
      </x:c>
      <x:c r="AY60" s="9" t="n">
        <x:f>0</x:f>
        <x:v>0</x:v>
      </x:c>
      <x:c r="AZ60" s="9" t="n">
        <x:f>IF(OR(Inputs!$F$6=TRUE,Inputs!$F$6="TRUE",Inputs!$F$6=1),(Inputs!$H$6+Inputs!$L$6*(((Inputs!$I$6+(((A60)+1)/2)*(Inputs!$J$6-Inputs!$I$6)))/Inputs!$K$6)^2),NA())</x:f>
        <x:v>401.069156</x:v>
      </x:c>
      <x:c r="BA60" s="9" t="n">
        <x:f>IF(OR(Inputs!$F$7=TRUE,Inputs!$F$7="TRUE",Inputs!$F$7=1),(Inputs!$H$7+Inputs!$L$7*(((Inputs!$I$7+(((A60)+1)/2)*(Inputs!$J$7-Inputs!$I$7)))/Inputs!$K$7)^2),NA())</x:f>
        <x:v>132.560485</x:v>
      </x:c>
      <x:c r="BB60" s="9" t="n">
        <x:f>IF(OR(Inputs!$F$8=TRUE,Inputs!$F$8="TRUE",Inputs!$F$8=1),(Inputs!$H$8+Inputs!$L$8*(((Inputs!$I$8+(((A60)+1)/2)*(Inputs!$J$8-Inputs!$I$8)))/Inputs!$K$8)^2),NA())</x:f>
        <x:v>292.933885</x:v>
      </x:c>
      <x:c r="BC60" s="9" t="n">
        <x:f>IF(OR(Inputs!$F$9=TRUE,Inputs!$F$9="TRUE",Inputs!$F$9=1),(Inputs!$H$9+Inputs!$L$9*(((Inputs!$I$9+(((A60)+1)/2)*(Inputs!$J$9-Inputs!$I$9)))/Inputs!$K$9)^2),NA())</x:f>
        <x:v>285.60677499999997</x:v>
      </x:c>
      <x:c r="BD60" s="10"/>
      <x:c r="BE60" s="9">
        <x:f t="shared" si="8"/>
        <x:v>-0.51700000000000002</x:v>
      </x:c>
      <x:c r="BF60" s="9" t="n">
        <x:f>0</x:f>
        <x:v>0</x:v>
      </x:c>
      <x:c r="BG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9" t="n">
        <x:f>ROUND(-1+59*2/240,3)</x:f>
        <x:v>-0.508</x:v>
      </x:c>
      <x:c r="B61" s="9" t="n">
        <x:f>IF(OR(Inputs!$F$6=TRUE,Inputs!$F$6="TRUE",Inputs!$F$6=1),(Inputs!$H$6+Inputs!$L$6*(((Inputs!$I$6+(((A61)+1)/2)*(Inputs!$J$6-Inputs!$I$6)))/Inputs!$K$6)^2),NA())</x:f>
        <x:v>401.032256</x:v>
      </x:c>
      <x:c r="C61" s="9" t="n">
        <x:f>IF(OR(Inputs!$F$7=TRUE,Inputs!$F$7="TRUE",Inputs!$F$7=1),(Inputs!$H$7+Inputs!$L$7*(((Inputs!$I$7+(((A61)+1)/2)*(Inputs!$J$7-Inputs!$I$7)))/Inputs!$K$7)^2),NA())</x:f>
        <x:v>129.19336</x:v>
      </x:c>
      <x:c r="D61" s="9" t="n">
        <x:f>IF(OR(Inputs!$F$8=TRUE,Inputs!$F$8="TRUE",Inputs!$F$8=1),(Inputs!$H$8+Inputs!$L$8*(((Inputs!$I$8+(((A61)+1)/2)*(Inputs!$J$8-Inputs!$I$8)))/Inputs!$K$8)^2),NA())</x:f>
        <x:v>284.03176</x:v>
      </x:c>
      <x:c r="E61" s="9" t="n">
        <x:f>IF(OR(Inputs!$F$9=TRUE,Inputs!$F$9="TRUE",Inputs!$F$9=1),(Inputs!$H$9+Inputs!$L$9*(((Inputs!$I$9+(((A61)+1)/2)*(Inputs!$J$9-Inputs!$I$9)))/Inputs!$K$9)^2),NA())</x:f>
        <x:v>276.6124</x:v>
      </x:c>
      <x:c r="F61" s="10"/>
      <x:c r="G61" s="9">
        <x:f t="shared" si="0"/>
        <x:v>-0.50800000000000001</x:v>
      </x:c>
      <x:c r="H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10"/>
      <x:c r="M61" s="9">
        <x:f t="shared" si="1"/>
        <x:v>-0.50800000000000001</x:v>
      </x:c>
      <x:c r="N61" s="9"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9"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9"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9"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10"/>
      <x:c r="S61" s="9">
        <x:f t="shared" si="2"/>
        <x:v>-0.50800000000000001</x:v>
      </x:c>
      <x:c r="T61" s="9" t="n">
        <x:f>(Inputs!$I$6+(((A61)+1)/2)*(Inputs!$J$6-Inputs!$I$6))</x:f>
        <x:v>-30.48</x:v>
      </x:c>
      <x:c r="U61" s="9" t="n">
        <x:f>(Inputs!$I$7+(((A61)+1)/2)*(Inputs!$J$7-Inputs!$I$7))</x:f>
        <x:v>-203.2</x:v>
      </x:c>
      <x:c r="V61" s="9" t="n">
        <x:f>(Inputs!$I$8+(((A61)+1)/2)*(Inputs!$J$8-Inputs!$I$8))</x:f>
        <x:v>-406.4</x:v>
      </x:c>
      <x:c r="W61" s="9" t="n">
        <x:f>(Inputs!$I$9+(((A61)+1)/2)*(Inputs!$J$9-Inputs!$I$9))</x:f>
        <x:v>-406.4</x:v>
      </x:c>
      <x:c r="X61" s="10"/>
      <x:c r="Y61" s="9">
        <x:f t="shared" si="3"/>
        <x:v>-0.50800000000000001</x:v>
      </x:c>
      <x:c r="Z61" s="9" t="n">
        <x:f>(Inputs!$H$6+Inputs!$L$6*(((Inputs!$I$6+(((A61)+1)/2)*(Inputs!$J$6-Inputs!$I$6)))/Inputs!$K$6)^2)</x:f>
        <x:v>401.032256</x:v>
      </x:c>
      <x:c r="AA61" s="9" t="n">
        <x:f>(Inputs!$H$7+Inputs!$L$7*(((Inputs!$I$7+(((A61)+1)/2)*(Inputs!$J$7-Inputs!$I$7)))/Inputs!$K$7)^2)</x:f>
        <x:v>129.19336</x:v>
      </x:c>
      <x:c r="AB61" s="9" t="n">
        <x:f>(Inputs!$H$8+Inputs!$L$8*(((Inputs!$I$8+(((A61)+1)/2)*(Inputs!$J$8-Inputs!$I$8)))/Inputs!$K$8)^2)</x:f>
        <x:v>284.03176</x:v>
      </x:c>
      <x:c r="AC61" s="9" t="n">
        <x:f>(Inputs!$H$9+Inputs!$L$9*(((Inputs!$I$9+(((A61)+1)/2)*(Inputs!$J$9-Inputs!$I$9)))/Inputs!$K$9)^2)</x:f>
        <x:v>276.6124</x:v>
      </x:c>
      <x:c r="AD61" s="10"/>
      <x:c r="AE61" s="9">
        <x:f t="shared" si="4"/>
        <x:v>-0.50800000000000001</x:v>
      </x:c>
      <x:c r="AF61" s="9"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9"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9"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9"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10"/>
      <x:c r="AK61" s="9">
        <x:f t="shared" si="5"/>
        <x:v>-0.50800000000000001</x:v>
      </x:c>
      <x:c r="AL61" s="9"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9"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9"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9"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10"/>
      <x:c r="AQ61" s="9">
        <x:f t="shared" si="6"/>
        <x:v>-0.50800000000000001</x:v>
      </x:c>
      <x:c r="AR61" s="9" t="n">
        <x:f>0</x:f>
        <x:v>0</x:v>
      </x:c>
      <x:c r="AS61" s="9"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x:f>
        <x:v>336.5337904221099</x:v>
      </x:c>
      <x:c r="AT61" s="9"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x:f>
        <x:v>96.30405618901038</x:v>
      </x:c>
      <x:c r="AU61" s="9"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x:f>
        <x:v>188.6266833438749</x:v>
      </x:c>
      <x:c r="AV61" s="9"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x:f>
        <x:v>188.6266833438749</x:v>
      </x:c>
      <x:c r="AW61" s="10"/>
      <x:c r="AX61" s="9">
        <x:f t="shared" si="7"/>
        <x:v>-0.50800000000000001</x:v>
      </x:c>
      <x:c r="AY61" s="9" t="n">
        <x:f>0</x:f>
        <x:v>0</x:v>
      </x:c>
      <x:c r="AZ61" s="9" t="n">
        <x:f>IF(OR(Inputs!$F$6=TRUE,Inputs!$F$6="TRUE",Inputs!$F$6=1),(Inputs!$H$6+Inputs!$L$6*(((Inputs!$I$6+(((A61)+1)/2)*(Inputs!$J$6-Inputs!$I$6)))/Inputs!$K$6)^2),NA())</x:f>
        <x:v>401.032256</x:v>
      </x:c>
      <x:c r="BA61" s="9" t="n">
        <x:f>IF(OR(Inputs!$F$7=TRUE,Inputs!$F$7="TRUE",Inputs!$F$7=1),(Inputs!$H$7+Inputs!$L$7*(((Inputs!$I$7+(((A61)+1)/2)*(Inputs!$J$7-Inputs!$I$7)))/Inputs!$K$7)^2),NA())</x:f>
        <x:v>129.19336</x:v>
      </x:c>
      <x:c r="BB61" s="9" t="n">
        <x:f>IF(OR(Inputs!$F$8=TRUE,Inputs!$F$8="TRUE",Inputs!$F$8=1),(Inputs!$H$8+Inputs!$L$8*(((Inputs!$I$8+(((A61)+1)/2)*(Inputs!$J$8-Inputs!$I$8)))/Inputs!$K$8)^2),NA())</x:f>
        <x:v>284.03176</x:v>
      </x:c>
      <x:c r="BC61" s="9" t="n">
        <x:f>IF(OR(Inputs!$F$9=TRUE,Inputs!$F$9="TRUE",Inputs!$F$9=1),(Inputs!$H$9+Inputs!$L$9*(((Inputs!$I$9+(((A61)+1)/2)*(Inputs!$J$9-Inputs!$I$9)))/Inputs!$K$9)^2),NA())</x:f>
        <x:v>276.6124</x:v>
      </x:c>
      <x:c r="BD61" s="10"/>
      <x:c r="BE61" s="9">
        <x:f t="shared" si="8"/>
        <x:v>-0.50800000000000001</x:v>
      </x:c>
      <x:c r="BF61" s="9" t="n">
        <x:f>0</x:f>
        <x:v>0</x:v>
      </x:c>
      <x:c r="BG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9" t="n">
        <x:f>ROUND(-1+60*2/240,3)</x:f>
        <x:v>-0.5</x:v>
      </x:c>
      <x:c r="B62" s="9" t="n">
        <x:f>IF(OR(Inputs!$F$6=TRUE,Inputs!$F$6="TRUE",Inputs!$F$6=1),(Inputs!$H$6+Inputs!$L$6*(((Inputs!$I$6+(((A62)+1)/2)*(Inputs!$J$6-Inputs!$I$6)))/Inputs!$K$6)^2),NA())</x:f>
        <x:v>401</x:v>
      </x:c>
      <x:c r="C62" s="9" t="n">
        <x:f>IF(OR(Inputs!$F$7=TRUE,Inputs!$F$7="TRUE",Inputs!$F$7=1),(Inputs!$H$7+Inputs!$L$7*(((Inputs!$I$7+(((A62)+1)/2)*(Inputs!$J$7-Inputs!$I$7)))/Inputs!$K$7)^2),NA())</x:f>
        <x:v>126.25</x:v>
      </x:c>
      <x:c r="D62" s="9" t="n">
        <x:f>IF(OR(Inputs!$F$8=TRUE,Inputs!$F$8="TRUE",Inputs!$F$8=1),(Inputs!$H$8+Inputs!$L$8*(((Inputs!$I$8+(((A62)+1)/2)*(Inputs!$J$8-Inputs!$I$8)))/Inputs!$K$8)^2),NA())</x:f>
        <x:v>276.25</x:v>
      </x:c>
      <x:c r="E62" s="9" t="n">
        <x:f>IF(OR(Inputs!$F$9=TRUE,Inputs!$F$9="TRUE",Inputs!$F$9=1),(Inputs!$H$9+Inputs!$L$9*(((Inputs!$I$9+(((A62)+1)/2)*(Inputs!$J$9-Inputs!$I$9)))/Inputs!$K$9)^2),NA())</x:f>
        <x:v>268.75</x:v>
      </x:c>
      <x:c r="F62" s="10"/>
      <x:c r="G62" s="9">
        <x:f t="shared" si="0"/>
        <x:v>-0.5</x:v>
      </x:c>
      <x:c r="H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10"/>
      <x:c r="M62" s="9">
        <x:f t="shared" si="1"/>
        <x:v>-0.5</x:v>
      </x:c>
      <x:c r="N62" s="9"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9"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9"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9"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10"/>
      <x:c r="S62" s="9">
        <x:f t="shared" si="2"/>
        <x:v>-0.5</x:v>
      </x:c>
      <x:c r="T62" s="9" t="n">
        <x:f>(Inputs!$I$6+(((A62)+1)/2)*(Inputs!$J$6-Inputs!$I$6))</x:f>
        <x:v>-30</x:v>
      </x:c>
      <x:c r="U62" s="9" t="n">
        <x:f>(Inputs!$I$7+(((A62)+1)/2)*(Inputs!$J$7-Inputs!$I$7))</x:f>
        <x:v>-200</x:v>
      </x:c>
      <x:c r="V62" s="9" t="n">
        <x:f>(Inputs!$I$8+(((A62)+1)/2)*(Inputs!$J$8-Inputs!$I$8))</x:f>
        <x:v>-400</x:v>
      </x:c>
      <x:c r="W62" s="9" t="n">
        <x:f>(Inputs!$I$9+(((A62)+1)/2)*(Inputs!$J$9-Inputs!$I$9))</x:f>
        <x:v>-400</x:v>
      </x:c>
      <x:c r="X62" s="10"/>
      <x:c r="Y62" s="9">
        <x:f t="shared" si="3"/>
        <x:v>-0.5</x:v>
      </x:c>
      <x:c r="Z62" s="9" t="n">
        <x:f>(Inputs!$H$6+Inputs!$L$6*(((Inputs!$I$6+(((A62)+1)/2)*(Inputs!$J$6-Inputs!$I$6)))/Inputs!$K$6)^2)</x:f>
        <x:v>401</x:v>
      </x:c>
      <x:c r="AA62" s="9" t="n">
        <x:f>(Inputs!$H$7+Inputs!$L$7*(((Inputs!$I$7+(((A62)+1)/2)*(Inputs!$J$7-Inputs!$I$7)))/Inputs!$K$7)^2)</x:f>
        <x:v>126.25</x:v>
      </x:c>
      <x:c r="AB62" s="9" t="n">
        <x:f>(Inputs!$H$8+Inputs!$L$8*(((Inputs!$I$8+(((A62)+1)/2)*(Inputs!$J$8-Inputs!$I$8)))/Inputs!$K$8)^2)</x:f>
        <x:v>276.25</x:v>
      </x:c>
      <x:c r="AC62" s="9" t="n">
        <x:f>(Inputs!$H$9+Inputs!$L$9*(((Inputs!$I$9+(((A62)+1)/2)*(Inputs!$J$9-Inputs!$I$9)))/Inputs!$K$9)^2)</x:f>
        <x:v>268.75</x:v>
      </x:c>
      <x:c r="AD62" s="10"/>
      <x:c r="AE62" s="9">
        <x:f t="shared" si="4"/>
        <x:v>-0.5</x:v>
      </x:c>
      <x:c r="AF62" s="9"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9"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9"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9"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10"/>
      <x:c r="AK62" s="9">
        <x:f t="shared" si="5"/>
        <x:v>-0.5</x:v>
      </x:c>
      <x:c r="AL62" s="9"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9"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9"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9"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10"/>
      <x:c r="AQ62" s="9">
        <x:f t="shared" si="6"/>
        <x:v>-0.5</x:v>
      </x:c>
      <x:c r="AR62" s="9" t="n">
        <x:f>0</x:f>
        <x:v>0</x:v>
      </x:c>
      <x:c r="AS62" s="9"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x:f>
        <x:v>336.97644838088075</x:v>
      </x:c>
      <x:c r="AT62" s="9"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x:f>
        <x:v>148.2272687423736</x:v>
      </x:c>
      <x:c r="AU62" s="9"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x:f>
        <x:v>102.57205251432374</x:v>
      </x:c>
      <x:c r="AV62" s="9"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x:f>
        <x:v>102.57205251432374</x:v>
      </x:c>
      <x:c r="AW62" s="10"/>
      <x:c r="AX62" s="9">
        <x:f t="shared" si="7"/>
        <x:v>-0.5</x:v>
      </x:c>
      <x:c r="AY62" s="9" t="n">
        <x:f>0</x:f>
        <x:v>0</x:v>
      </x:c>
      <x:c r="AZ62" s="9" t="n">
        <x:f>IF(OR(Inputs!$F$6=TRUE,Inputs!$F$6="TRUE",Inputs!$F$6=1),(Inputs!$H$6+Inputs!$L$6*(((Inputs!$I$6+(((A62)+1)/2)*(Inputs!$J$6-Inputs!$I$6)))/Inputs!$K$6)^2),NA())</x:f>
        <x:v>401</x:v>
      </x:c>
      <x:c r="BA62" s="9" t="n">
        <x:f>IF(OR(Inputs!$F$7=TRUE,Inputs!$F$7="TRUE",Inputs!$F$7=1),(Inputs!$H$7+Inputs!$L$7*(((Inputs!$I$7+(((A62)+1)/2)*(Inputs!$J$7-Inputs!$I$7)))/Inputs!$K$7)^2),NA())</x:f>
        <x:v>126.25</x:v>
      </x:c>
      <x:c r="BB62" s="9" t="n">
        <x:f>IF(OR(Inputs!$F$8=TRUE,Inputs!$F$8="TRUE",Inputs!$F$8=1),(Inputs!$H$8+Inputs!$L$8*(((Inputs!$I$8+(((A62)+1)/2)*(Inputs!$J$8-Inputs!$I$8)))/Inputs!$K$8)^2),NA())</x:f>
        <x:v>276.25</x:v>
      </x:c>
      <x:c r="BC62" s="9" t="n">
        <x:f>IF(OR(Inputs!$F$9=TRUE,Inputs!$F$9="TRUE",Inputs!$F$9=1),(Inputs!$H$9+Inputs!$L$9*(((Inputs!$I$9+(((A62)+1)/2)*(Inputs!$J$9-Inputs!$I$9)))/Inputs!$K$9)^2),NA())</x:f>
        <x:v>268.75</x:v>
      </x:c>
      <x:c r="BD62" s="10"/>
      <x:c r="BE62" s="9">
        <x:f t="shared" si="8"/>
        <x:v>-0.5</x:v>
      </x:c>
      <x:c r="BF62" s="9" t="n">
        <x:f>0</x:f>
        <x:v>0</x:v>
      </x:c>
      <x:c r="BG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9" t="n">
        <x:f>ROUND(-1+61*2/240,3)</x:f>
        <x:v>-0.492</x:v>
      </x:c>
      <x:c r="B63" s="9" t="n">
        <x:f>IF(OR(Inputs!$F$6=TRUE,Inputs!$F$6="TRUE",Inputs!$F$6=1),(Inputs!$H$6+Inputs!$L$6*(((Inputs!$I$6+(((A63)+1)/2)*(Inputs!$J$6-Inputs!$I$6)))/Inputs!$K$6)^2),NA())</x:f>
        <x:v>400.968256</x:v>
      </x:c>
      <x:c r="C63" s="9" t="n">
        <x:f>IF(OR(Inputs!$F$7=TRUE,Inputs!$F$7="TRUE",Inputs!$F$7=1),(Inputs!$H$7+Inputs!$L$7*(((Inputs!$I$7+(((A63)+1)/2)*(Inputs!$J$7-Inputs!$I$7)))/Inputs!$K$7)^2),NA())</x:f>
        <x:v>123.35336000000002</x:v>
      </x:c>
      <x:c r="D63" s="9" t="n">
        <x:f>IF(OR(Inputs!$F$8=TRUE,Inputs!$F$8="TRUE",Inputs!$F$8=1),(Inputs!$H$8+Inputs!$L$8*(((Inputs!$I$8+(((A63)+1)/2)*(Inputs!$J$8-Inputs!$I$8)))/Inputs!$K$8)^2),NA())</x:f>
        <x:v>268.59176</x:v>
      </x:c>
      <x:c r="E63" s="9" t="n">
        <x:f>IF(OR(Inputs!$F$9=TRUE,Inputs!$F$9="TRUE",Inputs!$F$9=1),(Inputs!$H$9+Inputs!$L$9*(((Inputs!$I$9+(((A63)+1)/2)*(Inputs!$J$9-Inputs!$I$9)))/Inputs!$K$9)^2),NA())</x:f>
        <x:v>261.01240000000007</x:v>
      </x:c>
      <x:c r="F63" s="10"/>
      <x:c r="G63" s="9">
        <x:f t="shared" si="0"/>
        <x:v>-0.49199999999999999</x:v>
      </x:c>
      <x:c r="H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10"/>
      <x:c r="M63" s="9">
        <x:f t="shared" si="1"/>
        <x:v>-0.49199999999999999</x:v>
      </x:c>
      <x:c r="N63" s="9"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9"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9"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9"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10"/>
      <x:c r="S63" s="9">
        <x:f t="shared" si="2"/>
        <x:v>-0.49199999999999999</x:v>
      </x:c>
      <x:c r="T63" s="9" t="n">
        <x:f>(Inputs!$I$6+(((A63)+1)/2)*(Inputs!$J$6-Inputs!$I$6))</x:f>
        <x:v>-29.52</x:v>
      </x:c>
      <x:c r="U63" s="9" t="n">
        <x:f>(Inputs!$I$7+(((A63)+1)/2)*(Inputs!$J$7-Inputs!$I$7))</x:f>
        <x:v>-196.8</x:v>
      </x:c>
      <x:c r="V63" s="9" t="n">
        <x:f>(Inputs!$I$8+(((A63)+1)/2)*(Inputs!$J$8-Inputs!$I$8))</x:f>
        <x:v>-393.6</x:v>
      </x:c>
      <x:c r="W63" s="9" t="n">
        <x:f>(Inputs!$I$9+(((A63)+1)/2)*(Inputs!$J$9-Inputs!$I$9))</x:f>
        <x:v>-393.6</x:v>
      </x:c>
      <x:c r="X63" s="10"/>
      <x:c r="Y63" s="9">
        <x:f t="shared" si="3"/>
        <x:v>-0.49199999999999999</x:v>
      </x:c>
      <x:c r="Z63" s="9" t="n">
        <x:f>(Inputs!$H$6+Inputs!$L$6*(((Inputs!$I$6+(((A63)+1)/2)*(Inputs!$J$6-Inputs!$I$6)))/Inputs!$K$6)^2)</x:f>
        <x:v>400.968256</x:v>
      </x:c>
      <x:c r="AA63" s="9" t="n">
        <x:f>(Inputs!$H$7+Inputs!$L$7*(((Inputs!$I$7+(((A63)+1)/2)*(Inputs!$J$7-Inputs!$I$7)))/Inputs!$K$7)^2)</x:f>
        <x:v>123.35336000000002</x:v>
      </x:c>
      <x:c r="AB63" s="9" t="n">
        <x:f>(Inputs!$H$8+Inputs!$L$8*(((Inputs!$I$8+(((A63)+1)/2)*(Inputs!$J$8-Inputs!$I$8)))/Inputs!$K$8)^2)</x:f>
        <x:v>268.59176</x:v>
      </x:c>
      <x:c r="AC63" s="9" t="n">
        <x:f>(Inputs!$H$9+Inputs!$L$9*(((Inputs!$I$9+(((A63)+1)/2)*(Inputs!$J$9-Inputs!$I$9)))/Inputs!$K$9)^2)</x:f>
        <x:v>261.01240000000007</x:v>
      </x:c>
      <x:c r="AD63" s="10"/>
      <x:c r="AE63" s="9">
        <x:f t="shared" si="4"/>
        <x:v>-0.49199999999999999</x:v>
      </x:c>
      <x:c r="AF63" s="9"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9"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9"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9"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10"/>
      <x:c r="AK63" s="9">
        <x:f t="shared" si="5"/>
        <x:v>-0.49199999999999999</x:v>
      </x:c>
      <x:c r="AL63" s="9"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9"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9"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9"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10"/>
      <x:c r="AQ63" s="9">
        <x:f t="shared" si="6"/>
        <x:v>-0.49199999999999999</x:v>
      </x:c>
      <x:c r="AR63" s="9" t="n">
        <x:f>0</x:f>
        <x:v>0</x:v>
      </x:c>
      <x:c r="AS63" s="9"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x:f>
        <x:v>325.29162233376644</x:v>
      </x:c>
      <x:c r="AT63" s="9"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x:f>
        <x:v>182.5608679528587</x:v>
      </x:c>
      <x:c r="AU63" s="9"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x:f>
        <x:v>217.06648222521574</x:v>
      </x:c>
      <x:c r="AV63" s="9"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x:f>
        <x:v>217.06648222521574</x:v>
      </x:c>
      <x:c r="AW63" s="10"/>
      <x:c r="AX63" s="9">
        <x:f t="shared" si="7"/>
        <x:v>-0.49199999999999999</x:v>
      </x:c>
      <x:c r="AY63" s="9" t="n">
        <x:f>0</x:f>
        <x:v>0</x:v>
      </x:c>
      <x:c r="AZ63" s="9" t="n">
        <x:f>IF(OR(Inputs!$F$6=TRUE,Inputs!$F$6="TRUE",Inputs!$F$6=1),(Inputs!$H$6+Inputs!$L$6*(((Inputs!$I$6+(((A63)+1)/2)*(Inputs!$J$6-Inputs!$I$6)))/Inputs!$K$6)^2),NA())</x:f>
        <x:v>400.968256</x:v>
      </x:c>
      <x:c r="BA63" s="9" t="n">
        <x:f>IF(OR(Inputs!$F$7=TRUE,Inputs!$F$7="TRUE",Inputs!$F$7=1),(Inputs!$H$7+Inputs!$L$7*(((Inputs!$I$7+(((A63)+1)/2)*(Inputs!$J$7-Inputs!$I$7)))/Inputs!$K$7)^2),NA())</x:f>
        <x:v>123.35336000000002</x:v>
      </x:c>
      <x:c r="BB63" s="9" t="n">
        <x:f>IF(OR(Inputs!$F$8=TRUE,Inputs!$F$8="TRUE",Inputs!$F$8=1),(Inputs!$H$8+Inputs!$L$8*(((Inputs!$I$8+(((A63)+1)/2)*(Inputs!$J$8-Inputs!$I$8)))/Inputs!$K$8)^2),NA())</x:f>
        <x:v>268.59176</x:v>
      </x:c>
      <x:c r="BC63" s="9" t="n">
        <x:f>IF(OR(Inputs!$F$9=TRUE,Inputs!$F$9="TRUE",Inputs!$F$9=1),(Inputs!$H$9+Inputs!$L$9*(((Inputs!$I$9+(((A63)+1)/2)*(Inputs!$J$9-Inputs!$I$9)))/Inputs!$K$9)^2),NA())</x:f>
        <x:v>261.01240000000007</x:v>
      </x:c>
      <x:c r="BD63" s="10"/>
      <x:c r="BE63" s="9">
        <x:f t="shared" si="8"/>
        <x:v>-0.49199999999999999</x:v>
      </x:c>
      <x:c r="BF63" s="9" t="n">
        <x:f>0</x:f>
        <x:v>0</x:v>
      </x:c>
      <x:c r="BG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9" t="n">
        <x:f>ROUND(-1+62*2/240,3)</x:f>
        <x:v>-0.483</x:v>
      </x:c>
      <x:c r="B64" s="9" t="n">
        <x:f>IF(OR(Inputs!$F$6=TRUE,Inputs!$F$6="TRUE",Inputs!$F$6=1),(Inputs!$H$6+Inputs!$L$6*(((Inputs!$I$6+(((A64)+1)/2)*(Inputs!$J$6-Inputs!$I$6)))/Inputs!$K$6)^2),NA())</x:f>
        <x:v>400.933156</x:v>
      </x:c>
      <x:c r="C64" s="9" t="n">
        <x:f>IF(OR(Inputs!$F$7=TRUE,Inputs!$F$7="TRUE",Inputs!$F$7=1),(Inputs!$H$7+Inputs!$L$7*(((Inputs!$I$7+(((A64)+1)/2)*(Inputs!$J$7-Inputs!$I$7)))/Inputs!$K$7)^2),NA())</x:f>
        <x:v>120.150485</x:v>
      </x:c>
      <x:c r="D64" s="9" t="n">
        <x:f>IF(OR(Inputs!$F$8=TRUE,Inputs!$F$8="TRUE",Inputs!$F$8=1),(Inputs!$H$8+Inputs!$L$8*(((Inputs!$I$8+(((A64)+1)/2)*(Inputs!$J$8-Inputs!$I$8)))/Inputs!$K$8)^2),NA())</x:f>
        <x:v>260.123885</x:v>
      </x:c>
      <x:c r="E64" s="9" t="n">
        <x:f>IF(OR(Inputs!$F$9=TRUE,Inputs!$F$9="TRUE",Inputs!$F$9=1),(Inputs!$H$9+Inputs!$L$9*(((Inputs!$I$9+(((A64)+1)/2)*(Inputs!$J$9-Inputs!$I$9)))/Inputs!$K$9)^2),NA())</x:f>
        <x:v>252.456775</x:v>
      </x:c>
      <x:c r="F64" s="10"/>
      <x:c r="G64" s="9">
        <x:f t="shared" si="0"/>
        <x:v>-0.48299999999999998</x:v>
      </x:c>
      <x:c r="H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10"/>
      <x:c r="M64" s="9">
        <x:f t="shared" si="1"/>
        <x:v>-0.48299999999999998</x:v>
      </x:c>
      <x:c r="N64" s="9"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9"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9"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9"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10"/>
      <x:c r="S64" s="9">
        <x:f t="shared" si="2"/>
        <x:v>-0.48299999999999998</x:v>
      </x:c>
      <x:c r="T64" s="9" t="n">
        <x:f>(Inputs!$I$6+(((A64)+1)/2)*(Inputs!$J$6-Inputs!$I$6))</x:f>
        <x:v>-28.98</x:v>
      </x:c>
      <x:c r="U64" s="9" t="n">
        <x:f>(Inputs!$I$7+(((A64)+1)/2)*(Inputs!$J$7-Inputs!$I$7))</x:f>
        <x:v>-193.2</x:v>
      </x:c>
      <x:c r="V64" s="9" t="n">
        <x:f>(Inputs!$I$8+(((A64)+1)/2)*(Inputs!$J$8-Inputs!$I$8))</x:f>
        <x:v>-386.4</x:v>
      </x:c>
      <x:c r="W64" s="9" t="n">
        <x:f>(Inputs!$I$9+(((A64)+1)/2)*(Inputs!$J$9-Inputs!$I$9))</x:f>
        <x:v>-386.4</x:v>
      </x:c>
      <x:c r="X64" s="10"/>
      <x:c r="Y64" s="9">
        <x:f t="shared" si="3"/>
        <x:v>-0.48299999999999998</x:v>
      </x:c>
      <x:c r="Z64" s="9" t="n">
        <x:f>(Inputs!$H$6+Inputs!$L$6*(((Inputs!$I$6+(((A64)+1)/2)*(Inputs!$J$6-Inputs!$I$6)))/Inputs!$K$6)^2)</x:f>
        <x:v>400.933156</x:v>
      </x:c>
      <x:c r="AA64" s="9" t="n">
        <x:f>(Inputs!$H$7+Inputs!$L$7*(((Inputs!$I$7+(((A64)+1)/2)*(Inputs!$J$7-Inputs!$I$7)))/Inputs!$K$7)^2)</x:f>
        <x:v>120.150485</x:v>
      </x:c>
      <x:c r="AB64" s="9" t="n">
        <x:f>(Inputs!$H$8+Inputs!$L$8*(((Inputs!$I$8+(((A64)+1)/2)*(Inputs!$J$8-Inputs!$I$8)))/Inputs!$K$8)^2)</x:f>
        <x:v>260.123885</x:v>
      </x:c>
      <x:c r="AC64" s="9" t="n">
        <x:f>(Inputs!$H$9+Inputs!$L$9*(((Inputs!$I$9+(((A64)+1)/2)*(Inputs!$J$9-Inputs!$I$9)))/Inputs!$K$9)^2)</x:f>
        <x:v>252.456775</x:v>
      </x:c>
      <x:c r="AD64" s="10"/>
      <x:c r="AE64" s="9">
        <x:f t="shared" si="4"/>
        <x:v>-0.48299999999999998</x:v>
      </x:c>
      <x:c r="AF64" s="9"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9"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9"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9"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10"/>
      <x:c r="AK64" s="9">
        <x:f t="shared" si="5"/>
        <x:v>-0.48299999999999998</x:v>
      </x:c>
      <x:c r="AL64" s="9"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9"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9"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9"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10"/>
      <x:c r="AQ64" s="9">
        <x:f t="shared" si="6"/>
        <x:v>-0.48299999999999998</x:v>
      </x:c>
      <x:c r="AR64" s="9" t="n">
        <x:f>0</x:f>
        <x:v>0</x:v>
      </x:c>
      <x:c r="AS64" s="9"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x:f>
        <x:v>313.3993516115093</x:v>
      </x:c>
      <x:c r="AT64" s="9"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x:f>
        <x:v>181.68211217090496</x:v>
      </x:c>
      <x:c r="AU64" s="9"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x:f>
        <x:v>119.39759898169983</x:v>
      </x:c>
      <x:c r="AV64" s="9"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x:f>
        <x:v>119.39759898169983</x:v>
      </x:c>
      <x:c r="AW64" s="10"/>
      <x:c r="AX64" s="9">
        <x:f t="shared" si="7"/>
        <x:v>-0.48299999999999998</x:v>
      </x:c>
      <x:c r="AY64" s="9" t="n">
        <x:f>0</x:f>
        <x:v>0</x:v>
      </x:c>
      <x:c r="AZ64" s="9" t="n">
        <x:f>IF(OR(Inputs!$F$6=TRUE,Inputs!$F$6="TRUE",Inputs!$F$6=1),(Inputs!$H$6+Inputs!$L$6*(((Inputs!$I$6+(((A64)+1)/2)*(Inputs!$J$6-Inputs!$I$6)))/Inputs!$K$6)^2),NA())</x:f>
        <x:v>400.933156</x:v>
      </x:c>
      <x:c r="BA64" s="9" t="n">
        <x:f>IF(OR(Inputs!$F$7=TRUE,Inputs!$F$7="TRUE",Inputs!$F$7=1),(Inputs!$H$7+Inputs!$L$7*(((Inputs!$I$7+(((A64)+1)/2)*(Inputs!$J$7-Inputs!$I$7)))/Inputs!$K$7)^2),NA())</x:f>
        <x:v>120.150485</x:v>
      </x:c>
      <x:c r="BB64" s="9" t="n">
        <x:f>IF(OR(Inputs!$F$8=TRUE,Inputs!$F$8="TRUE",Inputs!$F$8=1),(Inputs!$H$8+Inputs!$L$8*(((Inputs!$I$8+(((A64)+1)/2)*(Inputs!$J$8-Inputs!$I$8)))/Inputs!$K$8)^2),NA())</x:f>
        <x:v>260.123885</x:v>
      </x:c>
      <x:c r="BC64" s="9" t="n">
        <x:f>IF(OR(Inputs!$F$9=TRUE,Inputs!$F$9="TRUE",Inputs!$F$9=1),(Inputs!$H$9+Inputs!$L$9*(((Inputs!$I$9+(((A64)+1)/2)*(Inputs!$J$9-Inputs!$I$9)))/Inputs!$K$9)^2),NA())</x:f>
        <x:v>252.456775</x:v>
      </x:c>
      <x:c r="BD64" s="10"/>
      <x:c r="BE64" s="9">
        <x:f t="shared" si="8"/>
        <x:v>-0.48299999999999998</x:v>
      </x:c>
      <x:c r="BF64" s="9" t="n">
        <x:f>0</x:f>
        <x:v>0</x:v>
      </x:c>
      <x:c r="BG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9" t="n">
        <x:f>ROUND(-1+63*2/240,3)</x:f>
        <x:v>-0.475</x:v>
      </x:c>
      <x:c r="B65" s="9" t="n">
        <x:f>IF(OR(Inputs!$F$6=TRUE,Inputs!$F$6="TRUE",Inputs!$F$6=1),(Inputs!$H$6+Inputs!$L$6*(((Inputs!$I$6+(((A65)+1)/2)*(Inputs!$J$6-Inputs!$I$6)))/Inputs!$K$6)^2),NA())</x:f>
        <x:v>400.9025</x:v>
      </x:c>
      <x:c r="C65" s="9" t="n">
        <x:f>IF(OR(Inputs!$F$7=TRUE,Inputs!$F$7="TRUE",Inputs!$F$7=1),(Inputs!$H$7+Inputs!$L$7*(((Inputs!$I$7+(((A65)+1)/2)*(Inputs!$J$7-Inputs!$I$7)))/Inputs!$K$7)^2),NA())</x:f>
        <x:v>117.35312499999999</x:v>
      </x:c>
      <x:c r="D65" s="9" t="n">
        <x:f>IF(OR(Inputs!$F$8=TRUE,Inputs!$F$8="TRUE",Inputs!$F$8=1),(Inputs!$H$8+Inputs!$L$8*(((Inputs!$I$8+(((A65)+1)/2)*(Inputs!$J$8-Inputs!$I$8)))/Inputs!$K$8)^2),NA())</x:f>
        <x:v>252.728125</x:v>
      </x:c>
      <x:c r="E65" s="9" t="n">
        <x:f>IF(OR(Inputs!$F$9=TRUE,Inputs!$F$9="TRUE",Inputs!$F$9=1),(Inputs!$H$9+Inputs!$L$9*(((Inputs!$I$9+(((A65)+1)/2)*(Inputs!$J$9-Inputs!$I$9)))/Inputs!$K$9)^2),NA())</x:f>
        <x:v>244.984375</x:v>
      </x:c>
      <x:c r="F65" s="10"/>
      <x:c r="G65" s="9">
        <x:f t="shared" si="0"/>
        <x:v>-0.47499999999999998</x:v>
      </x:c>
      <x:c r="H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10"/>
      <x:c r="M65" s="9">
        <x:f t="shared" si="1"/>
        <x:v>-0.47499999999999998</x:v>
      </x:c>
      <x:c r="N65" s="9"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9"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9"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9"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10"/>
      <x:c r="S65" s="9">
        <x:f t="shared" si="2"/>
        <x:v>-0.47499999999999998</x:v>
      </x:c>
      <x:c r="T65" s="9" t="n">
        <x:f>(Inputs!$I$6+(((A65)+1)/2)*(Inputs!$J$6-Inputs!$I$6))</x:f>
        <x:v>-28.5</x:v>
      </x:c>
      <x:c r="U65" s="9" t="n">
        <x:f>(Inputs!$I$7+(((A65)+1)/2)*(Inputs!$J$7-Inputs!$I$7))</x:f>
        <x:v>-190</x:v>
      </x:c>
      <x:c r="V65" s="9" t="n">
        <x:f>(Inputs!$I$8+(((A65)+1)/2)*(Inputs!$J$8-Inputs!$I$8))</x:f>
        <x:v>-380</x:v>
      </x:c>
      <x:c r="W65" s="9" t="n">
        <x:f>(Inputs!$I$9+(((A65)+1)/2)*(Inputs!$J$9-Inputs!$I$9))</x:f>
        <x:v>-380</x:v>
      </x:c>
      <x:c r="X65" s="10"/>
      <x:c r="Y65" s="9">
        <x:f t="shared" si="3"/>
        <x:v>-0.47499999999999998</x:v>
      </x:c>
      <x:c r="Z65" s="9" t="n">
        <x:f>(Inputs!$H$6+Inputs!$L$6*(((Inputs!$I$6+(((A65)+1)/2)*(Inputs!$J$6-Inputs!$I$6)))/Inputs!$K$6)^2)</x:f>
        <x:v>400.9025</x:v>
      </x:c>
      <x:c r="AA65" s="9" t="n">
        <x:f>(Inputs!$H$7+Inputs!$L$7*(((Inputs!$I$7+(((A65)+1)/2)*(Inputs!$J$7-Inputs!$I$7)))/Inputs!$K$7)^2)</x:f>
        <x:v>117.35312499999999</x:v>
      </x:c>
      <x:c r="AB65" s="9" t="n">
        <x:f>(Inputs!$H$8+Inputs!$L$8*(((Inputs!$I$8+(((A65)+1)/2)*(Inputs!$J$8-Inputs!$I$8)))/Inputs!$K$8)^2)</x:f>
        <x:v>252.728125</x:v>
      </x:c>
      <x:c r="AC65" s="9" t="n">
        <x:f>(Inputs!$H$9+Inputs!$L$9*(((Inputs!$I$9+(((A65)+1)/2)*(Inputs!$J$9-Inputs!$I$9)))/Inputs!$K$9)^2)</x:f>
        <x:v>244.984375</x:v>
      </x:c>
      <x:c r="AD65" s="10"/>
      <x:c r="AE65" s="9">
        <x:f t="shared" si="4"/>
        <x:v>-0.47499999999999998</x:v>
      </x:c>
      <x:c r="AF65" s="9"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9"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9"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9"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10"/>
      <x:c r="AK65" s="9">
        <x:f t="shared" si="5"/>
        <x:v>-0.47499999999999998</x:v>
      </x:c>
      <x:c r="AL65" s="9"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9"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9"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9"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10"/>
      <x:c r="AQ65" s="9">
        <x:f t="shared" si="6"/>
        <x:v>-0.47499999999999998</x:v>
      </x:c>
      <x:c r="AR65" s="9" t="n">
        <x:f>0</x:f>
        <x:v>0</x:v>
      </x:c>
      <x:c r="AS65" s="9"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x:f>
        <x:v>310.24247262167495</x:v>
      </x:c>
      <x:c r="AT65" s="9"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x:f>
        <x:v>192.36525445858373</x:v>
      </x:c>
      <x:c r="AU65" s="9"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x:f>
        <x:v>124.30714013426088</x:v>
      </x:c>
      <x:c r="AV65" s="9"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x:f>
        <x:v>124.30714013426088</x:v>
      </x:c>
      <x:c r="AW65" s="10"/>
      <x:c r="AX65" s="9">
        <x:f t="shared" si="7"/>
        <x:v>-0.47499999999999998</x:v>
      </x:c>
      <x:c r="AY65" s="9" t="n">
        <x:f>0</x:f>
        <x:v>0</x:v>
      </x:c>
      <x:c r="AZ65" s="9" t="n">
        <x:f>IF(OR(Inputs!$F$6=TRUE,Inputs!$F$6="TRUE",Inputs!$F$6=1),(Inputs!$H$6+Inputs!$L$6*(((Inputs!$I$6+(((A65)+1)/2)*(Inputs!$J$6-Inputs!$I$6)))/Inputs!$K$6)^2),NA())</x:f>
        <x:v>400.9025</x:v>
      </x:c>
      <x:c r="BA65" s="9" t="n">
        <x:f>IF(OR(Inputs!$F$7=TRUE,Inputs!$F$7="TRUE",Inputs!$F$7=1),(Inputs!$H$7+Inputs!$L$7*(((Inputs!$I$7+(((A65)+1)/2)*(Inputs!$J$7-Inputs!$I$7)))/Inputs!$K$7)^2),NA())</x:f>
        <x:v>117.35312499999999</x:v>
      </x:c>
      <x:c r="BB65" s="9" t="n">
        <x:f>IF(OR(Inputs!$F$8=TRUE,Inputs!$F$8="TRUE",Inputs!$F$8=1),(Inputs!$H$8+Inputs!$L$8*(((Inputs!$I$8+(((A65)+1)/2)*(Inputs!$J$8-Inputs!$I$8)))/Inputs!$K$8)^2),NA())</x:f>
        <x:v>252.728125</x:v>
      </x:c>
      <x:c r="BC65" s="9" t="n">
        <x:f>IF(OR(Inputs!$F$9=TRUE,Inputs!$F$9="TRUE",Inputs!$F$9=1),(Inputs!$H$9+Inputs!$L$9*(((Inputs!$I$9+(((A65)+1)/2)*(Inputs!$J$9-Inputs!$I$9)))/Inputs!$K$9)^2),NA())</x:f>
        <x:v>244.984375</x:v>
      </x:c>
      <x:c r="BD65" s="10"/>
      <x:c r="BE65" s="9">
        <x:f t="shared" si="8"/>
        <x:v>-0.47499999999999998</x:v>
      </x:c>
      <x:c r="BF65" s="9" t="n">
        <x:f>0</x:f>
        <x:v>0</x:v>
      </x:c>
      <x:c r="BG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9" t="n">
        <x:f>ROUND(-1+64*2/240,3)</x:f>
        <x:v>-0.467</x:v>
      </x:c>
      <x:c r="B66" s="9" t="n">
        <x:f>IF(OR(Inputs!$F$6=TRUE,Inputs!$F$6="TRUE",Inputs!$F$6=1),(Inputs!$H$6+Inputs!$L$6*(((Inputs!$I$6+(((A66)+1)/2)*(Inputs!$J$6-Inputs!$I$6)))/Inputs!$K$6)^2),NA())</x:f>
        <x:v>400.872356</x:v>
      </x:c>
      <x:c r="C66" s="9" t="n">
        <x:f>IF(OR(Inputs!$F$7=TRUE,Inputs!$F$7="TRUE",Inputs!$F$7=1),(Inputs!$H$7+Inputs!$L$7*(((Inputs!$I$7+(((A66)+1)/2)*(Inputs!$J$7-Inputs!$I$7)))/Inputs!$K$7)^2),NA())</x:f>
        <x:v>114.60248500000003</x:v>
      </x:c>
      <x:c r="D66" s="9" t="n">
        <x:f>IF(OR(Inputs!$F$8=TRUE,Inputs!$F$8="TRUE",Inputs!$F$8=1),(Inputs!$H$8+Inputs!$L$8*(((Inputs!$I$8+(((A66)+1)/2)*(Inputs!$J$8-Inputs!$I$8)))/Inputs!$K$8)^2),NA())</x:f>
        <x:v>245.45588500000008</x:v>
      </x:c>
      <x:c r="E66" s="9" t="n">
        <x:f>IF(OR(Inputs!$F$9=TRUE,Inputs!$F$9="TRUE",Inputs!$F$9=1),(Inputs!$H$9+Inputs!$L$9*(((Inputs!$I$9+(((A66)+1)/2)*(Inputs!$J$9-Inputs!$I$9)))/Inputs!$K$9)^2),NA())</x:f>
        <x:v>237.63677500000009</x:v>
      </x:c>
      <x:c r="F66" s="10"/>
      <x:c r="G66" s="9" t="n">
        <x:f t="shared" ref="G66:G129" si="9">A66</x:f>
        <x:v>-0.467</x:v>
      </x:c>
      <x:c r="H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10"/>
      <x:c r="M66" s="9" t="n">
        <x:f t="shared" ref="M66:M129" si="10">A66</x:f>
        <x:v>-0.467</x:v>
      </x:c>
      <x:c r="N66" s="9"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9"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9"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9"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10"/>
      <x:c r="S66" s="9" t="n">
        <x:f t="shared" ref="S66:S129" si="11">A66</x:f>
        <x:v>-0.467</x:v>
      </x:c>
      <x:c r="T66" s="9" t="n">
        <x:f>(Inputs!$I$6+(((A66)+1)/2)*(Inputs!$J$6-Inputs!$I$6))</x:f>
        <x:v>-28.020000000000003</x:v>
      </x:c>
      <x:c r="U66" s="9" t="n">
        <x:f>(Inputs!$I$7+(((A66)+1)/2)*(Inputs!$J$7-Inputs!$I$7))</x:f>
        <x:v>-186.80000000000004</x:v>
      </x:c>
      <x:c r="V66" s="9" t="n">
        <x:f>(Inputs!$I$8+(((A66)+1)/2)*(Inputs!$J$8-Inputs!$I$8))</x:f>
        <x:v>-373.6000000000001</x:v>
      </x:c>
      <x:c r="W66" s="9" t="n">
        <x:f>(Inputs!$I$9+(((A66)+1)/2)*(Inputs!$J$9-Inputs!$I$9))</x:f>
        <x:v>-373.6000000000001</x:v>
      </x:c>
      <x:c r="X66" s="10"/>
      <x:c r="Y66" s="9" t="n">
        <x:f t="shared" ref="Y66:Y129" si="12">A66</x:f>
        <x:v>-0.467</x:v>
      </x:c>
      <x:c r="Z66" s="9" t="n">
        <x:f>(Inputs!$H$6+Inputs!$L$6*(((Inputs!$I$6+(((A66)+1)/2)*(Inputs!$J$6-Inputs!$I$6)))/Inputs!$K$6)^2)</x:f>
        <x:v>400.872356</x:v>
      </x:c>
      <x:c r="AA66" s="9" t="n">
        <x:f>(Inputs!$H$7+Inputs!$L$7*(((Inputs!$I$7+(((A66)+1)/2)*(Inputs!$J$7-Inputs!$I$7)))/Inputs!$K$7)^2)</x:f>
        <x:v>114.60248500000003</x:v>
      </x:c>
      <x:c r="AB66" s="9" t="n">
        <x:f>(Inputs!$H$8+Inputs!$L$8*(((Inputs!$I$8+(((A66)+1)/2)*(Inputs!$J$8-Inputs!$I$8)))/Inputs!$K$8)^2)</x:f>
        <x:v>245.45588500000008</x:v>
      </x:c>
      <x:c r="AC66" s="9" t="n">
        <x:f>(Inputs!$H$9+Inputs!$L$9*(((Inputs!$I$9+(((A66)+1)/2)*(Inputs!$J$9-Inputs!$I$9)))/Inputs!$K$9)^2)</x:f>
        <x:v>237.63677500000009</x:v>
      </x:c>
      <x:c r="AD66" s="10"/>
      <x:c r="AE66" s="9" t="n">
        <x:f t="shared" ref="AE66:AE129" si="13">A66</x:f>
        <x:v>-0.467</x:v>
      </x:c>
      <x:c r="AF66" s="9"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9"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9"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9"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10"/>
      <x:c r="AK66" s="9" t="n">
        <x:f t="shared" ref="AK66:AK129" si="14">A66</x:f>
        <x:v>-0.467</x:v>
      </x:c>
      <x:c r="AL66" s="9"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9"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9"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9"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10"/>
      <x:c r="AQ66" s="9" t="n">
        <x:f t="shared" ref="AQ66:AQ129" si="15">A66</x:f>
        <x:v>-0.467</x:v>
      </x:c>
      <x:c r="AR66" s="9" t="n">
        <x:f>0</x:f>
        <x:v>0</x:v>
      </x:c>
      <x:c r="AS66" s="9"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x:f>
        <x:v>309.7202524852771</x:v>
      </x:c>
      <x:c r="AT66" s="9"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x:f>
        <x:v>159.22773232045836</x:v>
      </x:c>
      <x:c r="AU66" s="9"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x:f>
        <x:v>169.8404375178821</x:v>
      </x:c>
      <x:c r="AV66" s="9"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x:f>
        <x:v>169.8404375178821</x:v>
      </x:c>
      <x:c r="AW66" s="10"/>
      <x:c r="AX66" s="9" t="n">
        <x:f t="shared" ref="AX66:AX129" si="16">A66</x:f>
        <x:v>-0.467</x:v>
      </x:c>
      <x:c r="AY66" s="9" t="n">
        <x:f>0</x:f>
        <x:v>0</x:v>
      </x:c>
      <x:c r="AZ66" s="9" t="n">
        <x:f>IF(OR(Inputs!$F$6=TRUE,Inputs!$F$6="TRUE",Inputs!$F$6=1),(Inputs!$H$6+Inputs!$L$6*(((Inputs!$I$6+(((A66)+1)/2)*(Inputs!$J$6-Inputs!$I$6)))/Inputs!$K$6)^2),NA())</x:f>
        <x:v>400.872356</x:v>
      </x:c>
      <x:c r="BA66" s="9" t="n">
        <x:f>IF(OR(Inputs!$F$7=TRUE,Inputs!$F$7="TRUE",Inputs!$F$7=1),(Inputs!$H$7+Inputs!$L$7*(((Inputs!$I$7+(((A66)+1)/2)*(Inputs!$J$7-Inputs!$I$7)))/Inputs!$K$7)^2),NA())</x:f>
        <x:v>114.60248500000003</x:v>
      </x:c>
      <x:c r="BB66" s="9" t="n">
        <x:f>IF(OR(Inputs!$F$8=TRUE,Inputs!$F$8="TRUE",Inputs!$F$8=1),(Inputs!$H$8+Inputs!$L$8*(((Inputs!$I$8+(((A66)+1)/2)*(Inputs!$J$8-Inputs!$I$8)))/Inputs!$K$8)^2),NA())</x:f>
        <x:v>245.45588500000008</x:v>
      </x:c>
      <x:c r="BC66" s="9" t="n">
        <x:f>IF(OR(Inputs!$F$9=TRUE,Inputs!$F$9="TRUE",Inputs!$F$9=1),(Inputs!$H$9+Inputs!$L$9*(((Inputs!$I$9+(((A66)+1)/2)*(Inputs!$J$9-Inputs!$I$9)))/Inputs!$K$9)^2),NA())</x:f>
        <x:v>237.63677500000009</x:v>
      </x:c>
      <x:c r="BD66" s="10"/>
      <x:c r="BE66" s="9" t="n">
        <x:f t="shared" ref="BE66:BE129" si="17">A66</x:f>
        <x:v>-0.467</x:v>
      </x:c>
      <x:c r="BF66" s="9" t="n">
        <x:f>0</x:f>
        <x:v>0</x:v>
      </x:c>
      <x:c r="BG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9" t="n">
        <x:f>ROUND(-1+65*2/240,3)</x:f>
        <x:v>-0.458</x:v>
      </x:c>
      <x:c r="B67" s="9" t="n">
        <x:f>IF(OR(Inputs!$F$6=TRUE,Inputs!$F$6="TRUE",Inputs!$F$6=1),(Inputs!$H$6+Inputs!$L$6*(((Inputs!$I$6+(((A67)+1)/2)*(Inputs!$J$6-Inputs!$I$6)))/Inputs!$K$6)^2),NA())</x:f>
        <x:v>400.839056</x:v>
      </x:c>
      <x:c r="C67" s="9" t="n">
        <x:f>IF(OR(Inputs!$F$7=TRUE,Inputs!$F$7="TRUE",Inputs!$F$7=1),(Inputs!$H$7+Inputs!$L$7*(((Inputs!$I$7+(((A67)+1)/2)*(Inputs!$J$7-Inputs!$I$7)))/Inputs!$K$7)^2),NA())</x:f>
        <x:v>111.56385999999999</x:v>
      </x:c>
      <x:c r="D67" s="9" t="n">
        <x:f>IF(OR(Inputs!$F$8=TRUE,Inputs!$F$8="TRUE",Inputs!$F$8=1),(Inputs!$H$8+Inputs!$L$8*(((Inputs!$I$8+(((A67)+1)/2)*(Inputs!$J$8-Inputs!$I$8)))/Inputs!$K$8)^2),NA())</x:f>
        <x:v>237.42225999999997</x:v>
      </x:c>
      <x:c r="E67" s="9" t="n">
        <x:f>IF(OR(Inputs!$F$9=TRUE,Inputs!$F$9="TRUE",Inputs!$F$9=1),(Inputs!$H$9+Inputs!$L$9*(((Inputs!$I$9+(((A67)+1)/2)*(Inputs!$J$9-Inputs!$I$9)))/Inputs!$K$9)^2),NA())</x:f>
        <x:v>229.51989999999998</x:v>
      </x:c>
      <x:c r="F67" s="10"/>
      <x:c r="G67" s="9">
        <x:f t="shared" si="9"/>
        <x:v>-0.45800000000000002</x:v>
      </x:c>
      <x:c r="H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10"/>
      <x:c r="M67" s="9">
        <x:f t="shared" si="10"/>
        <x:v>-0.45800000000000002</x:v>
      </x:c>
      <x:c r="N67" s="9"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9"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9"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9"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10"/>
      <x:c r="S67" s="9">
        <x:f t="shared" si="11"/>
        <x:v>-0.45800000000000002</x:v>
      </x:c>
      <x:c r="T67" s="9" t="n">
        <x:f>(Inputs!$I$6+(((A67)+1)/2)*(Inputs!$J$6-Inputs!$I$6))</x:f>
        <x:v>-27.479999999999997</x:v>
      </x:c>
      <x:c r="U67" s="9" t="n">
        <x:f>(Inputs!$I$7+(((A67)+1)/2)*(Inputs!$J$7-Inputs!$I$7))</x:f>
        <x:v>-183.2</x:v>
      </x:c>
      <x:c r="V67" s="9" t="n">
        <x:f>(Inputs!$I$8+(((A67)+1)/2)*(Inputs!$J$8-Inputs!$I$8))</x:f>
        <x:v>-366.4</x:v>
      </x:c>
      <x:c r="W67" s="9" t="n">
        <x:f>(Inputs!$I$9+(((A67)+1)/2)*(Inputs!$J$9-Inputs!$I$9))</x:f>
        <x:v>-366.4</x:v>
      </x:c>
      <x:c r="X67" s="10"/>
      <x:c r="Y67" s="9">
        <x:f t="shared" si="12"/>
        <x:v>-0.45800000000000002</x:v>
      </x:c>
      <x:c r="Z67" s="9" t="n">
        <x:f>(Inputs!$H$6+Inputs!$L$6*(((Inputs!$I$6+(((A67)+1)/2)*(Inputs!$J$6-Inputs!$I$6)))/Inputs!$K$6)^2)</x:f>
        <x:v>400.839056</x:v>
      </x:c>
      <x:c r="AA67" s="9" t="n">
        <x:f>(Inputs!$H$7+Inputs!$L$7*(((Inputs!$I$7+(((A67)+1)/2)*(Inputs!$J$7-Inputs!$I$7)))/Inputs!$K$7)^2)</x:f>
        <x:v>111.56385999999999</x:v>
      </x:c>
      <x:c r="AB67" s="9" t="n">
        <x:f>(Inputs!$H$8+Inputs!$L$8*(((Inputs!$I$8+(((A67)+1)/2)*(Inputs!$J$8-Inputs!$I$8)))/Inputs!$K$8)^2)</x:f>
        <x:v>237.42225999999997</x:v>
      </x:c>
      <x:c r="AC67" s="9" t="n">
        <x:f>(Inputs!$H$9+Inputs!$L$9*(((Inputs!$I$9+(((A67)+1)/2)*(Inputs!$J$9-Inputs!$I$9)))/Inputs!$K$9)^2)</x:f>
        <x:v>229.51989999999998</x:v>
      </x:c>
      <x:c r="AD67" s="10"/>
      <x:c r="AE67" s="9">
        <x:f t="shared" si="13"/>
        <x:v>-0.45800000000000002</x:v>
      </x:c>
      <x:c r="AF67" s="9"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9"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9"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9"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10"/>
      <x:c r="AK67" s="9">
        <x:f t="shared" si="14"/>
        <x:v>-0.45800000000000002</x:v>
      </x:c>
      <x:c r="AL67" s="9"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9"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9"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9"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10"/>
      <x:c r="AQ67" s="9">
        <x:f t="shared" si="15"/>
        <x:v>-0.45800000000000002</x:v>
      </x:c>
      <x:c r="AR67" s="9" t="n">
        <x:f>0</x:f>
        <x:v>0</x:v>
      </x:c>
      <x:c r="AS67" s="9"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x:f>
        <x:v>291.14730692281495</x:v>
      </x:c>
      <x:c r="AT67" s="9"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x:f>
        <x:v>87.90272205454784</x:v>
      </x:c>
      <x:c r="AU67" s="9"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x:f>
        <x:v>107.46005409193637</x:v>
      </x:c>
      <x:c r="AV67" s="9"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x:f>
        <x:v>107.46005409193637</x:v>
      </x:c>
      <x:c r="AW67" s="10"/>
      <x:c r="AX67" s="9">
        <x:f t="shared" si="16"/>
        <x:v>-0.45800000000000002</x:v>
      </x:c>
      <x:c r="AY67" s="9" t="n">
        <x:f>0</x:f>
        <x:v>0</x:v>
      </x:c>
      <x:c r="AZ67" s="9" t="n">
        <x:f>IF(OR(Inputs!$F$6=TRUE,Inputs!$F$6="TRUE",Inputs!$F$6=1),(Inputs!$H$6+Inputs!$L$6*(((Inputs!$I$6+(((A67)+1)/2)*(Inputs!$J$6-Inputs!$I$6)))/Inputs!$K$6)^2),NA())</x:f>
        <x:v>400.839056</x:v>
      </x:c>
      <x:c r="BA67" s="9" t="n">
        <x:f>IF(OR(Inputs!$F$7=TRUE,Inputs!$F$7="TRUE",Inputs!$F$7=1),(Inputs!$H$7+Inputs!$L$7*(((Inputs!$I$7+(((A67)+1)/2)*(Inputs!$J$7-Inputs!$I$7)))/Inputs!$K$7)^2),NA())</x:f>
        <x:v>111.56385999999999</x:v>
      </x:c>
      <x:c r="BB67" s="9" t="n">
        <x:f>IF(OR(Inputs!$F$8=TRUE,Inputs!$F$8="TRUE",Inputs!$F$8=1),(Inputs!$H$8+Inputs!$L$8*(((Inputs!$I$8+(((A67)+1)/2)*(Inputs!$J$8-Inputs!$I$8)))/Inputs!$K$8)^2),NA())</x:f>
        <x:v>237.42225999999997</x:v>
      </x:c>
      <x:c r="BC67" s="9" t="n">
        <x:f>IF(OR(Inputs!$F$9=TRUE,Inputs!$F$9="TRUE",Inputs!$F$9=1),(Inputs!$H$9+Inputs!$L$9*(((Inputs!$I$9+(((A67)+1)/2)*(Inputs!$J$9-Inputs!$I$9)))/Inputs!$K$9)^2),NA())</x:f>
        <x:v>229.51989999999998</x:v>
      </x:c>
      <x:c r="BD67" s="10"/>
      <x:c r="BE67" s="9">
        <x:f t="shared" si="17"/>
        <x:v>-0.45800000000000002</x:v>
      </x:c>
      <x:c r="BF67" s="9" t="n">
        <x:f>0</x:f>
        <x:v>0</x:v>
      </x:c>
      <x:c r="BG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9" t="n">
        <x:f>ROUND(-1+66*2/240,3)</x:f>
        <x:v>-0.45</x:v>
      </x:c>
      <x:c r="B68" s="9" t="n">
        <x:f>IF(OR(Inputs!$F$6=TRUE,Inputs!$F$6="TRUE",Inputs!$F$6=1),(Inputs!$H$6+Inputs!$L$6*(((Inputs!$I$6+(((A68)+1)/2)*(Inputs!$J$6-Inputs!$I$6)))/Inputs!$K$6)^2),NA())</x:f>
        <x:v>400.81</x:v>
      </x:c>
      <x:c r="C68" s="9" t="n">
        <x:f>IF(OR(Inputs!$F$7=TRUE,Inputs!$F$7="TRUE",Inputs!$F$7=1),(Inputs!$H$7+Inputs!$L$7*(((Inputs!$I$7+(((A68)+1)/2)*(Inputs!$J$7-Inputs!$I$7)))/Inputs!$K$7)^2),NA())</x:f>
        <x:v>108.91249999999998</x:v>
      </x:c>
      <x:c r="D68" s="9" t="n">
        <x:f>IF(OR(Inputs!$F$8=TRUE,Inputs!$F$8="TRUE",Inputs!$F$8=1),(Inputs!$H$8+Inputs!$L$8*(((Inputs!$I$8+(((A68)+1)/2)*(Inputs!$J$8-Inputs!$I$8)))/Inputs!$K$8)^2),NA())</x:f>
        <x:v>230.41249999999997</x:v>
      </x:c>
      <x:c r="E68" s="9" t="n">
        <x:f>IF(OR(Inputs!$F$9=TRUE,Inputs!$F$9="TRUE",Inputs!$F$9=1),(Inputs!$H$9+Inputs!$L$9*(((Inputs!$I$9+(((A68)+1)/2)*(Inputs!$J$9-Inputs!$I$9)))/Inputs!$K$9)^2),NA())</x:f>
        <x:v>222.43749999999997</x:v>
      </x:c>
      <x:c r="F68" s="10"/>
      <x:c r="G68" s="9">
        <x:f t="shared" si="9"/>
        <x:v>-0.45</x:v>
      </x:c>
      <x:c r="H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10"/>
      <x:c r="M68" s="9">
        <x:f t="shared" si="10"/>
        <x:v>-0.45</x:v>
      </x:c>
      <x:c r="N68" s="9"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9"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9"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9"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10"/>
      <x:c r="S68" s="9">
        <x:f t="shared" si="11"/>
        <x:v>-0.45</x:v>
      </x:c>
      <x:c r="T68" s="9" t="n">
        <x:f>(Inputs!$I$6+(((A68)+1)/2)*(Inputs!$J$6-Inputs!$I$6))</x:f>
        <x:v>-27</x:v>
      </x:c>
      <x:c r="U68" s="9" t="n">
        <x:f>(Inputs!$I$7+(((A68)+1)/2)*(Inputs!$J$7-Inputs!$I$7))</x:f>
        <x:v>-179.99999999999997</x:v>
      </x:c>
      <x:c r="V68" s="9" t="n">
        <x:f>(Inputs!$I$8+(((A68)+1)/2)*(Inputs!$J$8-Inputs!$I$8))</x:f>
        <x:v>-359.99999999999994</x:v>
      </x:c>
      <x:c r="W68" s="9" t="n">
        <x:f>(Inputs!$I$9+(((A68)+1)/2)*(Inputs!$J$9-Inputs!$I$9))</x:f>
        <x:v>-359.99999999999994</x:v>
      </x:c>
      <x:c r="X68" s="10"/>
      <x:c r="Y68" s="9">
        <x:f t="shared" si="12"/>
        <x:v>-0.45</x:v>
      </x:c>
      <x:c r="Z68" s="9" t="n">
        <x:f>(Inputs!$H$6+Inputs!$L$6*(((Inputs!$I$6+(((A68)+1)/2)*(Inputs!$J$6-Inputs!$I$6)))/Inputs!$K$6)^2)</x:f>
        <x:v>400.81</x:v>
      </x:c>
      <x:c r="AA68" s="9" t="n">
        <x:f>(Inputs!$H$7+Inputs!$L$7*(((Inputs!$I$7+(((A68)+1)/2)*(Inputs!$J$7-Inputs!$I$7)))/Inputs!$K$7)^2)</x:f>
        <x:v>108.91249999999998</x:v>
      </x:c>
      <x:c r="AB68" s="9" t="n">
        <x:f>(Inputs!$H$8+Inputs!$L$8*(((Inputs!$I$8+(((A68)+1)/2)*(Inputs!$J$8-Inputs!$I$8)))/Inputs!$K$8)^2)</x:f>
        <x:v>230.41249999999997</x:v>
      </x:c>
      <x:c r="AC68" s="9" t="n">
        <x:f>(Inputs!$H$9+Inputs!$L$9*(((Inputs!$I$9+(((A68)+1)/2)*(Inputs!$J$9-Inputs!$I$9)))/Inputs!$K$9)^2)</x:f>
        <x:v>222.43749999999997</x:v>
      </x:c>
      <x:c r="AD68" s="10"/>
      <x:c r="AE68" s="9">
        <x:f t="shared" si="13"/>
        <x:v>-0.45</x:v>
      </x:c>
      <x:c r="AF68" s="9"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9"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9"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9"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10"/>
      <x:c r="AK68" s="9">
        <x:f t="shared" si="14"/>
        <x:v>-0.45</x:v>
      </x:c>
      <x:c r="AL68" s="9"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9"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9"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9"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10"/>
      <x:c r="AQ68" s="9">
        <x:f t="shared" si="15"/>
        <x:v>-0.45</x:v>
      </x:c>
      <x:c r="AR68" s="9" t="n">
        <x:f>0</x:f>
        <x:v>0</x:v>
      </x:c>
      <x:c r="AS68" s="9"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x:f>
        <x:v>289.34226854097847</x:v>
      </x:c>
      <x:c r="AT68" s="9"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x:f>
        <x:v>141.81143429065708</x:v>
      </x:c>
      <x:c r="AU68" s="9"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x:f>
        <x:v>99.30495969282518</x:v>
      </x:c>
      <x:c r="AV68" s="9"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x:f>
        <x:v>99.30495969282518</x:v>
      </x:c>
      <x:c r="AW68" s="10"/>
      <x:c r="AX68" s="9">
        <x:f t="shared" si="16"/>
        <x:v>-0.45</x:v>
      </x:c>
      <x:c r="AY68" s="9" t="n">
        <x:f>0</x:f>
        <x:v>0</x:v>
      </x:c>
      <x:c r="AZ68" s="9" t="n">
        <x:f>IF(OR(Inputs!$F$6=TRUE,Inputs!$F$6="TRUE",Inputs!$F$6=1),(Inputs!$H$6+Inputs!$L$6*(((Inputs!$I$6+(((A68)+1)/2)*(Inputs!$J$6-Inputs!$I$6)))/Inputs!$K$6)^2),NA())</x:f>
        <x:v>400.81</x:v>
      </x:c>
      <x:c r="BA68" s="9" t="n">
        <x:f>IF(OR(Inputs!$F$7=TRUE,Inputs!$F$7="TRUE",Inputs!$F$7=1),(Inputs!$H$7+Inputs!$L$7*(((Inputs!$I$7+(((A68)+1)/2)*(Inputs!$J$7-Inputs!$I$7)))/Inputs!$K$7)^2),NA())</x:f>
        <x:v>108.91249999999998</x:v>
      </x:c>
      <x:c r="BB68" s="9" t="n">
        <x:f>IF(OR(Inputs!$F$8=TRUE,Inputs!$F$8="TRUE",Inputs!$F$8=1),(Inputs!$H$8+Inputs!$L$8*(((Inputs!$I$8+(((A68)+1)/2)*(Inputs!$J$8-Inputs!$I$8)))/Inputs!$K$8)^2),NA())</x:f>
        <x:v>230.41249999999997</x:v>
      </x:c>
      <x:c r="BC68" s="9" t="n">
        <x:f>IF(OR(Inputs!$F$9=TRUE,Inputs!$F$9="TRUE",Inputs!$F$9=1),(Inputs!$H$9+Inputs!$L$9*(((Inputs!$I$9+(((A68)+1)/2)*(Inputs!$J$9-Inputs!$I$9)))/Inputs!$K$9)^2),NA())</x:f>
        <x:v>222.43749999999997</x:v>
      </x:c>
      <x:c r="BD68" s="10"/>
      <x:c r="BE68" s="9">
        <x:f t="shared" si="17"/>
        <x:v>-0.45</x:v>
      </x:c>
      <x:c r="BF68" s="9" t="n">
        <x:f>0</x:f>
        <x:v>0</x:v>
      </x:c>
      <x:c r="BG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9" t="n">
        <x:f>ROUND(-1+67*2/240,3)</x:f>
        <x:v>-0.442</x:v>
      </x:c>
      <x:c r="B69" s="9" t="n">
        <x:f>IF(OR(Inputs!$F$6=TRUE,Inputs!$F$6="TRUE",Inputs!$F$6=1),(Inputs!$H$6+Inputs!$L$6*(((Inputs!$I$6+(((A69)+1)/2)*(Inputs!$J$6-Inputs!$I$6)))/Inputs!$K$6)^2),NA())</x:f>
        <x:v>400.781456</x:v>
      </x:c>
      <x:c r="C69" s="9" t="n">
        <x:f>IF(OR(Inputs!$F$7=TRUE,Inputs!$F$7="TRUE",Inputs!$F$7=1),(Inputs!$H$7+Inputs!$L$7*(((Inputs!$I$7+(((A69)+1)/2)*(Inputs!$J$7-Inputs!$I$7)))/Inputs!$K$7)^2),NA())</x:f>
        <x:v>106.30785999999998</x:v>
      </x:c>
      <x:c r="D69" s="9" t="n">
        <x:f>IF(OR(Inputs!$F$8=TRUE,Inputs!$F$8="TRUE",Inputs!$F$8=1),(Inputs!$H$8+Inputs!$L$8*(((Inputs!$I$8+(((A69)+1)/2)*(Inputs!$J$8-Inputs!$I$8)))/Inputs!$K$8)^2),NA())</x:f>
        <x:v>223.52625999999995</x:v>
      </x:c>
      <x:c r="E69" s="9" t="n">
        <x:f>IF(OR(Inputs!$F$9=TRUE,Inputs!$F$9="TRUE",Inputs!$F$9=1),(Inputs!$H$9+Inputs!$L$9*(((Inputs!$I$9+(((A69)+1)/2)*(Inputs!$J$9-Inputs!$I$9)))/Inputs!$K$9)^2),NA())</x:f>
        <x:v>215.47989999999996</x:v>
      </x:c>
      <x:c r="F69" s="10"/>
      <x:c r="G69" s="9">
        <x:f t="shared" si="9"/>
        <x:v>-0.442</x:v>
      </x:c>
      <x:c r="H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10"/>
      <x:c r="M69" s="9">
        <x:f t="shared" si="10"/>
        <x:v>-0.442</x:v>
      </x:c>
      <x:c r="N69" s="9"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9"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9"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9"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10"/>
      <x:c r="S69" s="9">
        <x:f t="shared" si="11"/>
        <x:v>-0.442</x:v>
      </x:c>
      <x:c r="T69" s="9" t="n">
        <x:f>(Inputs!$I$6+(((A69)+1)/2)*(Inputs!$J$6-Inputs!$I$6))</x:f>
        <x:v>-26.519999999999996</x:v>
      </x:c>
      <x:c r="U69" s="9" t="n">
        <x:f>(Inputs!$I$7+(((A69)+1)/2)*(Inputs!$J$7-Inputs!$I$7))</x:f>
        <x:v>-176.79999999999998</x:v>
      </x:c>
      <x:c r="V69" s="9" t="n">
        <x:f>(Inputs!$I$8+(((A69)+1)/2)*(Inputs!$J$8-Inputs!$I$8))</x:f>
        <x:v>-353.59999999999997</x:v>
      </x:c>
      <x:c r="W69" s="9" t="n">
        <x:f>(Inputs!$I$9+(((A69)+1)/2)*(Inputs!$J$9-Inputs!$I$9))</x:f>
        <x:v>-353.59999999999997</x:v>
      </x:c>
      <x:c r="X69" s="10"/>
      <x:c r="Y69" s="9">
        <x:f t="shared" si="12"/>
        <x:v>-0.442</x:v>
      </x:c>
      <x:c r="Z69" s="9" t="n">
        <x:f>(Inputs!$H$6+Inputs!$L$6*(((Inputs!$I$6+(((A69)+1)/2)*(Inputs!$J$6-Inputs!$I$6)))/Inputs!$K$6)^2)</x:f>
        <x:v>400.781456</x:v>
      </x:c>
      <x:c r="AA69" s="9" t="n">
        <x:f>(Inputs!$H$7+Inputs!$L$7*(((Inputs!$I$7+(((A69)+1)/2)*(Inputs!$J$7-Inputs!$I$7)))/Inputs!$K$7)^2)</x:f>
        <x:v>106.30785999999998</x:v>
      </x:c>
      <x:c r="AB69" s="9" t="n">
        <x:f>(Inputs!$H$8+Inputs!$L$8*(((Inputs!$I$8+(((A69)+1)/2)*(Inputs!$J$8-Inputs!$I$8)))/Inputs!$K$8)^2)</x:f>
        <x:v>223.52625999999995</x:v>
      </x:c>
      <x:c r="AC69" s="9" t="n">
        <x:f>(Inputs!$H$9+Inputs!$L$9*(((Inputs!$I$9+(((A69)+1)/2)*(Inputs!$J$9-Inputs!$I$9)))/Inputs!$K$9)^2)</x:f>
        <x:v>215.47989999999996</x:v>
      </x:c>
      <x:c r="AD69" s="10"/>
      <x:c r="AE69" s="9">
        <x:f t="shared" si="13"/>
        <x:v>-0.442</x:v>
      </x:c>
      <x:c r="AF69" s="9"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9"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9"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9"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10"/>
      <x:c r="AK69" s="9">
        <x:f t="shared" si="14"/>
        <x:v>-0.442</x:v>
      </x:c>
      <x:c r="AL69" s="9"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9"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9"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9"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10"/>
      <x:c r="AQ69" s="9">
        <x:f t="shared" si="15"/>
        <x:v>-0.442</x:v>
      </x:c>
      <x:c r="AR69" s="9" t="n">
        <x:f>0</x:f>
        <x:v>0</x:v>
      </x:c>
      <x:c r="AS69" s="9"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x:f>
        <x:v>274.52106022361886</x:v>
      </x:c>
      <x:c r="AT69" s="9"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x:f>
        <x:v>213.2773726761311</x:v>
      </x:c>
      <x:c r="AU69" s="9"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x:f>
        <x:v>196.89962334566582</x:v>
      </x:c>
      <x:c r="AV69" s="9"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x:f>
        <x:v>196.89962334566582</x:v>
      </x:c>
      <x:c r="AW69" s="10"/>
      <x:c r="AX69" s="9">
        <x:f t="shared" si="16"/>
        <x:v>-0.442</x:v>
      </x:c>
      <x:c r="AY69" s="9" t="n">
        <x:f>0</x:f>
        <x:v>0</x:v>
      </x:c>
      <x:c r="AZ69" s="9" t="n">
        <x:f>IF(OR(Inputs!$F$6=TRUE,Inputs!$F$6="TRUE",Inputs!$F$6=1),(Inputs!$H$6+Inputs!$L$6*(((Inputs!$I$6+(((A69)+1)/2)*(Inputs!$J$6-Inputs!$I$6)))/Inputs!$K$6)^2),NA())</x:f>
        <x:v>400.781456</x:v>
      </x:c>
      <x:c r="BA69" s="9" t="n">
        <x:f>IF(OR(Inputs!$F$7=TRUE,Inputs!$F$7="TRUE",Inputs!$F$7=1),(Inputs!$H$7+Inputs!$L$7*(((Inputs!$I$7+(((A69)+1)/2)*(Inputs!$J$7-Inputs!$I$7)))/Inputs!$K$7)^2),NA())</x:f>
        <x:v>106.30785999999998</x:v>
      </x:c>
      <x:c r="BB69" s="9" t="n">
        <x:f>IF(OR(Inputs!$F$8=TRUE,Inputs!$F$8="TRUE",Inputs!$F$8=1),(Inputs!$H$8+Inputs!$L$8*(((Inputs!$I$8+(((A69)+1)/2)*(Inputs!$J$8-Inputs!$I$8)))/Inputs!$K$8)^2),NA())</x:f>
        <x:v>223.52625999999995</x:v>
      </x:c>
      <x:c r="BC69" s="9" t="n">
        <x:f>IF(OR(Inputs!$F$9=TRUE,Inputs!$F$9="TRUE",Inputs!$F$9=1),(Inputs!$H$9+Inputs!$L$9*(((Inputs!$I$9+(((A69)+1)/2)*(Inputs!$J$9-Inputs!$I$9)))/Inputs!$K$9)^2),NA())</x:f>
        <x:v>215.47989999999996</x:v>
      </x:c>
      <x:c r="BD69" s="10"/>
      <x:c r="BE69" s="9">
        <x:f t="shared" si="17"/>
        <x:v>-0.442</x:v>
      </x:c>
      <x:c r="BF69" s="9" t="n">
        <x:f>0</x:f>
        <x:v>0</x:v>
      </x:c>
      <x:c r="BG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9" t="n">
        <x:f>ROUND(-1+68*2/240,3)</x:f>
        <x:v>-0.433</x:v>
      </x:c>
      <x:c r="B70" s="9" t="n">
        <x:f>IF(OR(Inputs!$F$6=TRUE,Inputs!$F$6="TRUE",Inputs!$F$6=1),(Inputs!$H$6+Inputs!$L$6*(((Inputs!$I$6+(((A70)+1)/2)*(Inputs!$J$6-Inputs!$I$6)))/Inputs!$K$6)^2),NA())</x:f>
        <x:v>400.749956</x:v>
      </x:c>
      <x:c r="C70" s="9" t="n">
        <x:f>IF(OR(Inputs!$F$7=TRUE,Inputs!$F$7="TRUE",Inputs!$F$7=1),(Inputs!$H$7+Inputs!$L$7*(((Inputs!$I$7+(((A70)+1)/2)*(Inputs!$J$7-Inputs!$I$7)))/Inputs!$K$7)^2),NA())</x:f>
        <x:v>103.43348500000002</x:v>
      </x:c>
      <x:c r="D70" s="9" t="n">
        <x:f>IF(OR(Inputs!$F$8=TRUE,Inputs!$F$8="TRUE",Inputs!$F$8=1),(Inputs!$H$8+Inputs!$L$8*(((Inputs!$I$8+(((A70)+1)/2)*(Inputs!$J$8-Inputs!$I$8)))/Inputs!$K$8)^2),NA())</x:f>
        <x:v>215.92688500000006</x:v>
      </x:c>
      <x:c r="E70" s="9" t="n">
        <x:f>IF(OR(Inputs!$F$9=TRUE,Inputs!$F$9="TRUE",Inputs!$F$9=1),(Inputs!$H$9+Inputs!$L$9*(((Inputs!$I$9+(((A70)+1)/2)*(Inputs!$J$9-Inputs!$I$9)))/Inputs!$K$9)^2),NA())</x:f>
        <x:v>207.80177500000005</x:v>
      </x:c>
      <x:c r="F70" s="10"/>
      <x:c r="G70" s="9">
        <x:f t="shared" si="9"/>
        <x:v>-0.433</x:v>
      </x:c>
      <x:c r="H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10"/>
      <x:c r="M70" s="9">
        <x:f t="shared" si="10"/>
        <x:v>-0.433</x:v>
      </x:c>
      <x:c r="N70" s="9"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9"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9"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9"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10"/>
      <x:c r="S70" s="9">
        <x:f t="shared" si="11"/>
        <x:v>-0.433</x:v>
      </x:c>
      <x:c r="T70" s="9" t="n">
        <x:f>(Inputs!$I$6+(((A70)+1)/2)*(Inputs!$J$6-Inputs!$I$6))</x:f>
        <x:v>-25.980000000000004</x:v>
      </x:c>
      <x:c r="U70" s="9" t="n">
        <x:f>(Inputs!$I$7+(((A70)+1)/2)*(Inputs!$J$7-Inputs!$I$7))</x:f>
        <x:v>-173.20000000000002</x:v>
      </x:c>
      <x:c r="V70" s="9" t="n">
        <x:f>(Inputs!$I$8+(((A70)+1)/2)*(Inputs!$J$8-Inputs!$I$8))</x:f>
        <x:v>-346.40000000000003</x:v>
      </x:c>
      <x:c r="W70" s="9" t="n">
        <x:f>(Inputs!$I$9+(((A70)+1)/2)*(Inputs!$J$9-Inputs!$I$9))</x:f>
        <x:v>-346.40000000000003</x:v>
      </x:c>
      <x:c r="X70" s="10"/>
      <x:c r="Y70" s="9">
        <x:f t="shared" si="12"/>
        <x:v>-0.433</x:v>
      </x:c>
      <x:c r="Z70" s="9" t="n">
        <x:f>(Inputs!$H$6+Inputs!$L$6*(((Inputs!$I$6+(((A70)+1)/2)*(Inputs!$J$6-Inputs!$I$6)))/Inputs!$K$6)^2)</x:f>
        <x:v>400.749956</x:v>
      </x:c>
      <x:c r="AA70" s="9" t="n">
        <x:f>(Inputs!$H$7+Inputs!$L$7*(((Inputs!$I$7+(((A70)+1)/2)*(Inputs!$J$7-Inputs!$I$7)))/Inputs!$K$7)^2)</x:f>
        <x:v>103.43348500000002</x:v>
      </x:c>
      <x:c r="AB70" s="9" t="n">
        <x:f>(Inputs!$H$8+Inputs!$L$8*(((Inputs!$I$8+(((A70)+1)/2)*(Inputs!$J$8-Inputs!$I$8)))/Inputs!$K$8)^2)</x:f>
        <x:v>215.92688500000006</x:v>
      </x:c>
      <x:c r="AC70" s="9" t="n">
        <x:f>(Inputs!$H$9+Inputs!$L$9*(((Inputs!$I$9+(((A70)+1)/2)*(Inputs!$J$9-Inputs!$I$9)))/Inputs!$K$9)^2)</x:f>
        <x:v>207.80177500000005</x:v>
      </x:c>
      <x:c r="AD70" s="10"/>
      <x:c r="AE70" s="9">
        <x:f t="shared" si="13"/>
        <x:v>-0.433</x:v>
      </x:c>
      <x:c r="AF70" s="9"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9"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9"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9"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10"/>
      <x:c r="AK70" s="9">
        <x:f t="shared" si="14"/>
        <x:v>-0.433</x:v>
      </x:c>
      <x:c r="AL70" s="9"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9"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9"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9"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10"/>
      <x:c r="AQ70" s="9">
        <x:f t="shared" si="15"/>
        <x:v>-0.433</x:v>
      </x:c>
      <x:c r="AR70" s="9" t="n">
        <x:f>0</x:f>
        <x:v>0</x:v>
      </x:c>
      <x:c r="AS70" s="9"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x:f>
        <x:v>273.4337353871225</x:v>
      </x:c>
      <x:c r="AT70" s="9"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x:f>
        <x:v>174.20048025772203</x:v>
      </x:c>
      <x:c r="AU70" s="9"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x:f>
        <x:v>92.7921672822971</x:v>
      </x:c>
      <x:c r="AV70" s="9"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x:f>
        <x:v>92.7921672822971</x:v>
      </x:c>
      <x:c r="AW70" s="10"/>
      <x:c r="AX70" s="9">
        <x:f t="shared" si="16"/>
        <x:v>-0.433</x:v>
      </x:c>
      <x:c r="AY70" s="9" t="n">
        <x:f>0</x:f>
        <x:v>0</x:v>
      </x:c>
      <x:c r="AZ70" s="9" t="n">
        <x:f>IF(OR(Inputs!$F$6=TRUE,Inputs!$F$6="TRUE",Inputs!$F$6=1),(Inputs!$H$6+Inputs!$L$6*(((Inputs!$I$6+(((A70)+1)/2)*(Inputs!$J$6-Inputs!$I$6)))/Inputs!$K$6)^2),NA())</x:f>
        <x:v>400.749956</x:v>
      </x:c>
      <x:c r="BA70" s="9" t="n">
        <x:f>IF(OR(Inputs!$F$7=TRUE,Inputs!$F$7="TRUE",Inputs!$F$7=1),(Inputs!$H$7+Inputs!$L$7*(((Inputs!$I$7+(((A70)+1)/2)*(Inputs!$J$7-Inputs!$I$7)))/Inputs!$K$7)^2),NA())</x:f>
        <x:v>103.43348500000002</x:v>
      </x:c>
      <x:c r="BB70" s="9" t="n">
        <x:f>IF(OR(Inputs!$F$8=TRUE,Inputs!$F$8="TRUE",Inputs!$F$8=1),(Inputs!$H$8+Inputs!$L$8*(((Inputs!$I$8+(((A70)+1)/2)*(Inputs!$J$8-Inputs!$I$8)))/Inputs!$K$8)^2),NA())</x:f>
        <x:v>215.92688500000006</x:v>
      </x:c>
      <x:c r="BC70" s="9" t="n">
        <x:f>IF(OR(Inputs!$F$9=TRUE,Inputs!$F$9="TRUE",Inputs!$F$9=1),(Inputs!$H$9+Inputs!$L$9*(((Inputs!$I$9+(((A70)+1)/2)*(Inputs!$J$9-Inputs!$I$9)))/Inputs!$K$9)^2),NA())</x:f>
        <x:v>207.80177500000005</x:v>
      </x:c>
      <x:c r="BD70" s="10"/>
      <x:c r="BE70" s="9">
        <x:f t="shared" si="17"/>
        <x:v>-0.433</x:v>
      </x:c>
      <x:c r="BF70" s="9" t="n">
        <x:f>0</x:f>
        <x:v>0</x:v>
      </x:c>
      <x:c r="BG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9" t="n">
        <x:f>ROUND(-1+69*2/240,3)</x:f>
        <x:v>-0.425</x:v>
      </x:c>
      <x:c r="B71" s="9" t="n">
        <x:f>IF(OR(Inputs!$F$6=TRUE,Inputs!$F$6="TRUE",Inputs!$F$6=1),(Inputs!$H$6+Inputs!$L$6*(((Inputs!$I$6+(((A71)+1)/2)*(Inputs!$J$6-Inputs!$I$6)))/Inputs!$K$6)^2),NA())</x:f>
        <x:v>400.7225</x:v>
      </x:c>
      <x:c r="C71" s="9" t="n">
        <x:f>IF(OR(Inputs!$F$7=TRUE,Inputs!$F$7="TRUE",Inputs!$F$7=1),(Inputs!$H$7+Inputs!$L$7*(((Inputs!$I$7+(((A71)+1)/2)*(Inputs!$J$7-Inputs!$I$7)))/Inputs!$K$7)^2),NA())</x:f>
        <x:v>100.92812500000001</x:v>
      </x:c>
      <x:c r="D71" s="9" t="n">
        <x:f>IF(OR(Inputs!$F$8=TRUE,Inputs!$F$8="TRUE",Inputs!$F$8=1),(Inputs!$H$8+Inputs!$L$8*(((Inputs!$I$8+(((A71)+1)/2)*(Inputs!$J$8-Inputs!$I$8)))/Inputs!$K$8)^2),NA())</x:f>
        <x:v>209.30312500000002</x:v>
      </x:c>
      <x:c r="E71" s="9" t="n">
        <x:f>IF(OR(Inputs!$F$9=TRUE,Inputs!$F$9="TRUE",Inputs!$F$9=1),(Inputs!$H$9+Inputs!$L$9*(((Inputs!$I$9+(((A71)+1)/2)*(Inputs!$J$9-Inputs!$I$9)))/Inputs!$K$9)^2),NA())</x:f>
        <x:v>201.10937500000003</x:v>
      </x:c>
      <x:c r="F71" s="10"/>
      <x:c r="G71" s="9">
        <x:f t="shared" si="9"/>
        <x:v>-0.42499999999999999</x:v>
      </x:c>
      <x:c r="H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10"/>
      <x:c r="M71" s="9">
        <x:f t="shared" si="10"/>
        <x:v>-0.42499999999999999</x:v>
      </x:c>
      <x:c r="N71" s="9"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9"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9"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9"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10"/>
      <x:c r="S71" s="9">
        <x:f t="shared" si="11"/>
        <x:v>-0.42499999999999999</x:v>
      </x:c>
      <x:c r="T71" s="9" t="n">
        <x:f>(Inputs!$I$6+(((A71)+1)/2)*(Inputs!$J$6-Inputs!$I$6))</x:f>
        <x:v>-25.5</x:v>
      </x:c>
      <x:c r="U71" s="9" t="n">
        <x:f>(Inputs!$I$7+(((A71)+1)/2)*(Inputs!$J$7-Inputs!$I$7))</x:f>
        <x:v>-170.00000000000003</x:v>
      </x:c>
      <x:c r="V71" s="9" t="n">
        <x:f>(Inputs!$I$8+(((A71)+1)/2)*(Inputs!$J$8-Inputs!$I$8))</x:f>
        <x:v>-340.00000000000006</x:v>
      </x:c>
      <x:c r="W71" s="9" t="n">
        <x:f>(Inputs!$I$9+(((A71)+1)/2)*(Inputs!$J$9-Inputs!$I$9))</x:f>
        <x:v>-340.00000000000006</x:v>
      </x:c>
      <x:c r="X71" s="10"/>
      <x:c r="Y71" s="9">
        <x:f t="shared" si="12"/>
        <x:v>-0.42499999999999999</x:v>
      </x:c>
      <x:c r="Z71" s="9" t="n">
        <x:f>(Inputs!$H$6+Inputs!$L$6*(((Inputs!$I$6+(((A71)+1)/2)*(Inputs!$J$6-Inputs!$I$6)))/Inputs!$K$6)^2)</x:f>
        <x:v>400.7225</x:v>
      </x:c>
      <x:c r="AA71" s="9" t="n">
        <x:f>(Inputs!$H$7+Inputs!$L$7*(((Inputs!$I$7+(((A71)+1)/2)*(Inputs!$J$7-Inputs!$I$7)))/Inputs!$K$7)^2)</x:f>
        <x:v>100.92812500000001</x:v>
      </x:c>
      <x:c r="AB71" s="9" t="n">
        <x:f>(Inputs!$H$8+Inputs!$L$8*(((Inputs!$I$8+(((A71)+1)/2)*(Inputs!$J$8-Inputs!$I$8)))/Inputs!$K$8)^2)</x:f>
        <x:v>209.30312500000002</x:v>
      </x:c>
      <x:c r="AC71" s="9" t="n">
        <x:f>(Inputs!$H$9+Inputs!$L$9*(((Inputs!$I$9+(((A71)+1)/2)*(Inputs!$J$9-Inputs!$I$9)))/Inputs!$K$9)^2)</x:f>
        <x:v>201.10937500000003</x:v>
      </x:c>
      <x:c r="AD71" s="10"/>
      <x:c r="AE71" s="9">
        <x:f t="shared" si="13"/>
        <x:v>-0.42499999999999999</x:v>
      </x:c>
      <x:c r="AF71" s="9"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9"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9"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9"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10"/>
      <x:c r="AK71" s="9">
        <x:f t="shared" si="14"/>
        <x:v>-0.42499999999999999</x:v>
      </x:c>
      <x:c r="AL71" s="9"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9"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9"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9"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10"/>
      <x:c r="AQ71" s="9">
        <x:f t="shared" si="15"/>
        <x:v>-0.42499999999999999</x:v>
      </x:c>
      <x:c r="AR71" s="9" t="n">
        <x:f>0</x:f>
        <x:v>0</x:v>
      </x:c>
      <x:c r="AS71" s="9"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x:f>
        <x:v>271.72277085410076</x:v>
      </x:c>
      <x:c r="AT71" s="9"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x:f>
        <x:v>114.50242234257864</x:v>
      </x:c>
      <x:c r="AU71" s="9"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x:f>
        <x:v>177.9290525886078</x:v>
      </x:c>
      <x:c r="AV71" s="9"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x:f>
        <x:v>177.9290525886078</x:v>
      </x:c>
      <x:c r="AW71" s="10"/>
      <x:c r="AX71" s="9">
        <x:f t="shared" si="16"/>
        <x:v>-0.42499999999999999</x:v>
      </x:c>
      <x:c r="AY71" s="9" t="n">
        <x:f>0</x:f>
        <x:v>0</x:v>
      </x:c>
      <x:c r="AZ71" s="9" t="n">
        <x:f>IF(OR(Inputs!$F$6=TRUE,Inputs!$F$6="TRUE",Inputs!$F$6=1),(Inputs!$H$6+Inputs!$L$6*(((Inputs!$I$6+(((A71)+1)/2)*(Inputs!$J$6-Inputs!$I$6)))/Inputs!$K$6)^2),NA())</x:f>
        <x:v>400.7225</x:v>
      </x:c>
      <x:c r="BA71" s="9" t="n">
        <x:f>IF(OR(Inputs!$F$7=TRUE,Inputs!$F$7="TRUE",Inputs!$F$7=1),(Inputs!$H$7+Inputs!$L$7*(((Inputs!$I$7+(((A71)+1)/2)*(Inputs!$J$7-Inputs!$I$7)))/Inputs!$K$7)^2),NA())</x:f>
        <x:v>100.92812500000001</x:v>
      </x:c>
      <x:c r="BB71" s="9" t="n">
        <x:f>IF(OR(Inputs!$F$8=TRUE,Inputs!$F$8="TRUE",Inputs!$F$8=1),(Inputs!$H$8+Inputs!$L$8*(((Inputs!$I$8+(((A71)+1)/2)*(Inputs!$J$8-Inputs!$I$8)))/Inputs!$K$8)^2),NA())</x:f>
        <x:v>209.30312500000002</x:v>
      </x:c>
      <x:c r="BC71" s="9" t="n">
        <x:f>IF(OR(Inputs!$F$9=TRUE,Inputs!$F$9="TRUE",Inputs!$F$9=1),(Inputs!$H$9+Inputs!$L$9*(((Inputs!$I$9+(((A71)+1)/2)*(Inputs!$J$9-Inputs!$I$9)))/Inputs!$K$9)^2),NA())</x:f>
        <x:v>201.10937500000003</x:v>
      </x:c>
      <x:c r="BD71" s="10"/>
      <x:c r="BE71" s="9">
        <x:f t="shared" si="17"/>
        <x:v>-0.42499999999999999</x:v>
      </x:c>
      <x:c r="BF71" s="9" t="n">
        <x:f>0</x:f>
        <x:v>0</x:v>
      </x:c>
      <x:c r="BG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9" t="n">
        <x:f>ROUND(-1+70*2/240,3)</x:f>
        <x:v>-0.417</x:v>
      </x:c>
      <x:c r="B72" s="9" t="n">
        <x:f>IF(OR(Inputs!$F$6=TRUE,Inputs!$F$6="TRUE",Inputs!$F$6=1),(Inputs!$H$6+Inputs!$L$6*(((Inputs!$I$6+(((A72)+1)/2)*(Inputs!$J$6-Inputs!$I$6)))/Inputs!$K$6)^2),NA())</x:f>
        <x:v>400.695556</x:v>
      </x:c>
      <x:c r="C72" s="9" t="n">
        <x:f>IF(OR(Inputs!$F$7=TRUE,Inputs!$F$7="TRUE",Inputs!$F$7=1),(Inputs!$H$7+Inputs!$L$7*(((Inputs!$I$7+(((A72)+1)/2)*(Inputs!$J$7-Inputs!$I$7)))/Inputs!$K$7)^2),NA())</x:f>
        <x:v>98.46948500000002</x:v>
      </x:c>
      <x:c r="D72" s="9" t="n">
        <x:f>IF(OR(Inputs!$F$8=TRUE,Inputs!$F$8="TRUE",Inputs!$F$8=1),(Inputs!$H$8+Inputs!$L$8*(((Inputs!$I$8+(((A72)+1)/2)*(Inputs!$J$8-Inputs!$I$8)))/Inputs!$K$8)^2),NA())</x:f>
        <x:v>202.80288500000003</x:v>
      </x:c>
      <x:c r="E72" s="9" t="n">
        <x:f>IF(OR(Inputs!$F$9=TRUE,Inputs!$F$9="TRUE",Inputs!$F$9=1),(Inputs!$H$9+Inputs!$L$9*(((Inputs!$I$9+(((A72)+1)/2)*(Inputs!$J$9-Inputs!$I$9)))/Inputs!$K$9)^2),NA())</x:f>
        <x:v>194.54177500000003</x:v>
      </x:c>
      <x:c r="F72" s="10"/>
      <x:c r="G72" s="9">
        <x:f t="shared" si="9"/>
        <x:v>-0.41699999999999998</x:v>
      </x:c>
      <x:c r="H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10"/>
      <x:c r="M72" s="9">
        <x:f t="shared" si="10"/>
        <x:v>-0.41699999999999998</x:v>
      </x:c>
      <x:c r="N72" s="9"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9"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9"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9"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10"/>
      <x:c r="S72" s="9">
        <x:f t="shared" si="11"/>
        <x:v>-0.41699999999999998</x:v>
      </x:c>
      <x:c r="T72" s="9" t="n">
        <x:f>(Inputs!$I$6+(((A72)+1)/2)*(Inputs!$J$6-Inputs!$I$6))</x:f>
        <x:v>-25.020000000000003</x:v>
      </x:c>
      <x:c r="U72" s="9" t="n">
        <x:f>(Inputs!$I$7+(((A72)+1)/2)*(Inputs!$J$7-Inputs!$I$7))</x:f>
        <x:v>-166.8</x:v>
      </x:c>
      <x:c r="V72" s="9" t="n">
        <x:f>(Inputs!$I$8+(((A72)+1)/2)*(Inputs!$J$8-Inputs!$I$8))</x:f>
        <x:v>-333.6</x:v>
      </x:c>
      <x:c r="W72" s="9" t="n">
        <x:f>(Inputs!$I$9+(((A72)+1)/2)*(Inputs!$J$9-Inputs!$I$9))</x:f>
        <x:v>-333.6</x:v>
      </x:c>
      <x:c r="X72" s="10"/>
      <x:c r="Y72" s="9">
        <x:f t="shared" si="12"/>
        <x:v>-0.41699999999999998</x:v>
      </x:c>
      <x:c r="Z72" s="9" t="n">
        <x:f>(Inputs!$H$6+Inputs!$L$6*(((Inputs!$I$6+(((A72)+1)/2)*(Inputs!$J$6-Inputs!$I$6)))/Inputs!$K$6)^2)</x:f>
        <x:v>400.695556</x:v>
      </x:c>
      <x:c r="AA72" s="9" t="n">
        <x:f>(Inputs!$H$7+Inputs!$L$7*(((Inputs!$I$7+(((A72)+1)/2)*(Inputs!$J$7-Inputs!$I$7)))/Inputs!$K$7)^2)</x:f>
        <x:v>98.46948500000002</x:v>
      </x:c>
      <x:c r="AB72" s="9" t="n">
        <x:f>(Inputs!$H$8+Inputs!$L$8*(((Inputs!$I$8+(((A72)+1)/2)*(Inputs!$J$8-Inputs!$I$8)))/Inputs!$K$8)^2)</x:f>
        <x:v>202.80288500000003</x:v>
      </x:c>
      <x:c r="AC72" s="9" t="n">
        <x:f>(Inputs!$H$9+Inputs!$L$9*(((Inputs!$I$9+(((A72)+1)/2)*(Inputs!$J$9-Inputs!$I$9)))/Inputs!$K$9)^2)</x:f>
        <x:v>194.54177500000003</x:v>
      </x:c>
      <x:c r="AD72" s="10"/>
      <x:c r="AE72" s="9">
        <x:f t="shared" si="13"/>
        <x:v>-0.41699999999999998</x:v>
      </x:c>
      <x:c r="AF72" s="9"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9"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9"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9"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10"/>
      <x:c r="AK72" s="9">
        <x:f t="shared" si="14"/>
        <x:v>-0.41699999999999998</x:v>
      </x:c>
      <x:c r="AL72" s="9"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9"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9"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9"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10"/>
      <x:c r="AQ72" s="9">
        <x:f t="shared" si="15"/>
        <x:v>-0.41699999999999998</x:v>
      </x:c>
      <x:c r="AR72" s="9" t="n">
        <x:f>0</x:f>
        <x:v>0</x:v>
      </x:c>
      <x:c r="AS72" s="9"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x:f>
        <x:v>281.1229347309233</x:v>
      </x:c>
      <x:c r="AT72" s="9"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x:f>
        <x:v>81.28578813790453</x:v>
      </x:c>
      <x:c r="AU72" s="9"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x:f>
        <x:v>184.54757753114495</x:v>
      </x:c>
      <x:c r="AV72" s="9"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x:f>
        <x:v>184.54757753114495</x:v>
      </x:c>
      <x:c r="AW72" s="10"/>
      <x:c r="AX72" s="9">
        <x:f t="shared" si="16"/>
        <x:v>-0.41699999999999998</x:v>
      </x:c>
      <x:c r="AY72" s="9" t="n">
        <x:f>0</x:f>
        <x:v>0</x:v>
      </x:c>
      <x:c r="AZ72" s="9" t="n">
        <x:f>IF(OR(Inputs!$F$6=TRUE,Inputs!$F$6="TRUE",Inputs!$F$6=1),(Inputs!$H$6+Inputs!$L$6*(((Inputs!$I$6+(((A72)+1)/2)*(Inputs!$J$6-Inputs!$I$6)))/Inputs!$K$6)^2),NA())</x:f>
        <x:v>400.695556</x:v>
      </x:c>
      <x:c r="BA72" s="9" t="n">
        <x:f>IF(OR(Inputs!$F$7=TRUE,Inputs!$F$7="TRUE",Inputs!$F$7=1),(Inputs!$H$7+Inputs!$L$7*(((Inputs!$I$7+(((A72)+1)/2)*(Inputs!$J$7-Inputs!$I$7)))/Inputs!$K$7)^2),NA())</x:f>
        <x:v>98.46948500000002</x:v>
      </x:c>
      <x:c r="BB72" s="9" t="n">
        <x:f>IF(OR(Inputs!$F$8=TRUE,Inputs!$F$8="TRUE",Inputs!$F$8=1),(Inputs!$H$8+Inputs!$L$8*(((Inputs!$I$8+(((A72)+1)/2)*(Inputs!$J$8-Inputs!$I$8)))/Inputs!$K$8)^2),NA())</x:f>
        <x:v>202.80288500000003</x:v>
      </x:c>
      <x:c r="BC72" s="9" t="n">
        <x:f>IF(OR(Inputs!$F$9=TRUE,Inputs!$F$9="TRUE",Inputs!$F$9=1),(Inputs!$H$9+Inputs!$L$9*(((Inputs!$I$9+(((A72)+1)/2)*(Inputs!$J$9-Inputs!$I$9)))/Inputs!$K$9)^2),NA())</x:f>
        <x:v>194.54177500000003</x:v>
      </x:c>
      <x:c r="BD72" s="10"/>
      <x:c r="BE72" s="9">
        <x:f t="shared" si="17"/>
        <x:v>-0.41699999999999998</x:v>
      </x:c>
      <x:c r="BF72" s="9" t="n">
        <x:f>0</x:f>
        <x:v>0</x:v>
      </x:c>
      <x:c r="BG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9" t="n">
        <x:f>ROUND(-1+71*2/240,3)</x:f>
        <x:v>-0.408</x:v>
      </x:c>
      <x:c r="B73" s="9" t="n">
        <x:f>IF(OR(Inputs!$F$6=TRUE,Inputs!$F$6="TRUE",Inputs!$F$6=1),(Inputs!$H$6+Inputs!$L$6*(((Inputs!$I$6+(((A73)+1)/2)*(Inputs!$J$6-Inputs!$I$6)))/Inputs!$K$6)^2),NA())</x:f>
        <x:v>400.665856</x:v>
      </x:c>
      <x:c r="C73" s="9" t="n">
        <x:f>IF(OR(Inputs!$F$7=TRUE,Inputs!$F$7="TRUE",Inputs!$F$7=1),(Inputs!$H$7+Inputs!$L$7*(((Inputs!$I$7+(((A73)+1)/2)*(Inputs!$J$7-Inputs!$I$7)))/Inputs!$K$7)^2),NA())</x:f>
        <x:v>95.75935999999999</x:v>
      </x:c>
      <x:c r="D73" s="9" t="n">
        <x:f>IF(OR(Inputs!$F$8=TRUE,Inputs!$F$8="TRUE",Inputs!$F$8=1),(Inputs!$H$8+Inputs!$L$8*(((Inputs!$I$8+(((A73)+1)/2)*(Inputs!$J$8-Inputs!$I$8)))/Inputs!$K$8)^2),NA())</x:f>
        <x:v>195.63775999999996</x:v>
      </x:c>
      <x:c r="E73" s="9" t="n">
        <x:f>IF(OR(Inputs!$F$9=TRUE,Inputs!$F$9="TRUE",Inputs!$F$9=1),(Inputs!$H$9+Inputs!$L$9*(((Inputs!$I$9+(((A73)+1)/2)*(Inputs!$J$9-Inputs!$I$9)))/Inputs!$K$9)^2),NA())</x:f>
        <x:v>187.30239999999995</x:v>
      </x:c>
      <x:c r="F73" s="10"/>
      <x:c r="G73" s="9">
        <x:f t="shared" si="9"/>
        <x:v>-0.40799999999999997</x:v>
      </x:c>
      <x:c r="H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10"/>
      <x:c r="M73" s="9">
        <x:f t="shared" si="10"/>
        <x:v>-0.40799999999999997</x:v>
      </x:c>
      <x:c r="N73" s="9"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9"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9"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9"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10"/>
      <x:c r="S73" s="9">
        <x:f t="shared" si="11"/>
        <x:v>-0.40799999999999997</x:v>
      </x:c>
      <x:c r="T73" s="9" t="n">
        <x:f>(Inputs!$I$6+(((A73)+1)/2)*(Inputs!$J$6-Inputs!$I$6))</x:f>
        <x:v>-24.479999999999997</x:v>
      </x:c>
      <x:c r="U73" s="9" t="n">
        <x:f>(Inputs!$I$7+(((A73)+1)/2)*(Inputs!$J$7-Inputs!$I$7))</x:f>
        <x:v>-163.19999999999996</x:v>
      </x:c>
      <x:c r="V73" s="9" t="n">
        <x:f>(Inputs!$I$8+(((A73)+1)/2)*(Inputs!$J$8-Inputs!$I$8))</x:f>
        <x:v>-326.3999999999999</x:v>
      </x:c>
      <x:c r="W73" s="9" t="n">
        <x:f>(Inputs!$I$9+(((A73)+1)/2)*(Inputs!$J$9-Inputs!$I$9))</x:f>
        <x:v>-326.3999999999999</x:v>
      </x:c>
      <x:c r="X73" s="10"/>
      <x:c r="Y73" s="9">
        <x:f t="shared" si="12"/>
        <x:v>-0.40799999999999997</x:v>
      </x:c>
      <x:c r="Z73" s="9" t="n">
        <x:f>(Inputs!$H$6+Inputs!$L$6*(((Inputs!$I$6+(((A73)+1)/2)*(Inputs!$J$6-Inputs!$I$6)))/Inputs!$K$6)^2)</x:f>
        <x:v>400.665856</x:v>
      </x:c>
      <x:c r="AA73" s="9" t="n">
        <x:f>(Inputs!$H$7+Inputs!$L$7*(((Inputs!$I$7+(((A73)+1)/2)*(Inputs!$J$7-Inputs!$I$7)))/Inputs!$K$7)^2)</x:f>
        <x:v>95.75935999999999</x:v>
      </x:c>
      <x:c r="AB73" s="9" t="n">
        <x:f>(Inputs!$H$8+Inputs!$L$8*(((Inputs!$I$8+(((A73)+1)/2)*(Inputs!$J$8-Inputs!$I$8)))/Inputs!$K$8)^2)</x:f>
        <x:v>195.63775999999996</x:v>
      </x:c>
      <x:c r="AC73" s="9" t="n">
        <x:f>(Inputs!$H$9+Inputs!$L$9*(((Inputs!$I$9+(((A73)+1)/2)*(Inputs!$J$9-Inputs!$I$9)))/Inputs!$K$9)^2)</x:f>
        <x:v>187.30239999999995</x:v>
      </x:c>
      <x:c r="AD73" s="10"/>
      <x:c r="AE73" s="9">
        <x:f t="shared" si="13"/>
        <x:v>-0.40799999999999997</x:v>
      </x:c>
      <x:c r="AF73" s="9"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9"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9"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9"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10"/>
      <x:c r="AK73" s="9">
        <x:f t="shared" si="14"/>
        <x:v>-0.40799999999999997</x:v>
      </x:c>
      <x:c r="AL73" s="9"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9"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9"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9"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10"/>
      <x:c r="AQ73" s="9">
        <x:f t="shared" si="15"/>
        <x:v>-0.40799999999999997</x:v>
      </x:c>
      <x:c r="AR73" s="9" t="n">
        <x:f>0</x:f>
        <x:v>0</x:v>
      </x:c>
      <x:c r="AS73" s="9"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x:f>
        <x:v>259.89680022722393</x:v>
      </x:c>
      <x:c r="AT73" s="9"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x:f>
        <x:v>102.95017423788758</x:v>
      </x:c>
      <x:c r="AU73" s="9"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x:f>
        <x:v>86.539393953296</x:v>
      </x:c>
      <x:c r="AV73" s="9"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x:f>
        <x:v>86.539393953296</x:v>
      </x:c>
      <x:c r="AW73" s="10"/>
      <x:c r="AX73" s="9">
        <x:f t="shared" si="16"/>
        <x:v>-0.40799999999999997</x:v>
      </x:c>
      <x:c r="AY73" s="9" t="n">
        <x:f>0</x:f>
        <x:v>0</x:v>
      </x:c>
      <x:c r="AZ73" s="9" t="n">
        <x:f>IF(OR(Inputs!$F$6=TRUE,Inputs!$F$6="TRUE",Inputs!$F$6=1),(Inputs!$H$6+Inputs!$L$6*(((Inputs!$I$6+(((A73)+1)/2)*(Inputs!$J$6-Inputs!$I$6)))/Inputs!$K$6)^2),NA())</x:f>
        <x:v>400.665856</x:v>
      </x:c>
      <x:c r="BA73" s="9" t="n">
        <x:f>IF(OR(Inputs!$F$7=TRUE,Inputs!$F$7="TRUE",Inputs!$F$7=1),(Inputs!$H$7+Inputs!$L$7*(((Inputs!$I$7+(((A73)+1)/2)*(Inputs!$J$7-Inputs!$I$7)))/Inputs!$K$7)^2),NA())</x:f>
        <x:v>95.75935999999999</x:v>
      </x:c>
      <x:c r="BB73" s="9" t="n">
        <x:f>IF(OR(Inputs!$F$8=TRUE,Inputs!$F$8="TRUE",Inputs!$F$8=1),(Inputs!$H$8+Inputs!$L$8*(((Inputs!$I$8+(((A73)+1)/2)*(Inputs!$J$8-Inputs!$I$8)))/Inputs!$K$8)^2),NA())</x:f>
        <x:v>195.63775999999996</x:v>
      </x:c>
      <x:c r="BC73" s="9" t="n">
        <x:f>IF(OR(Inputs!$F$9=TRUE,Inputs!$F$9="TRUE",Inputs!$F$9=1),(Inputs!$H$9+Inputs!$L$9*(((Inputs!$I$9+(((A73)+1)/2)*(Inputs!$J$9-Inputs!$I$9)))/Inputs!$K$9)^2),NA())</x:f>
        <x:v>187.30239999999995</x:v>
      </x:c>
      <x:c r="BD73" s="10"/>
      <x:c r="BE73" s="9">
        <x:f t="shared" si="17"/>
        <x:v>-0.40799999999999997</x:v>
      </x:c>
      <x:c r="BF73" s="9" t="n">
        <x:f>0</x:f>
        <x:v>0</x:v>
      </x:c>
      <x:c r="BG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9" t="n">
        <x:f>ROUND(-1+72*2/240,3)</x:f>
        <x:v>-0.4</x:v>
      </x:c>
      <x:c r="B74" s="9" t="n">
        <x:f>IF(OR(Inputs!$F$6=TRUE,Inputs!$F$6="TRUE",Inputs!$F$6=1),(Inputs!$H$6+Inputs!$L$6*(((Inputs!$I$6+(((A74)+1)/2)*(Inputs!$J$6-Inputs!$I$6)))/Inputs!$K$6)^2),NA())</x:f>
        <x:v>400.64</x:v>
      </x:c>
      <x:c r="C74" s="9" t="n">
        <x:f>IF(OR(Inputs!$F$7=TRUE,Inputs!$F$7="TRUE",Inputs!$F$7=1),(Inputs!$H$7+Inputs!$L$7*(((Inputs!$I$7+(((A74)+1)/2)*(Inputs!$J$7-Inputs!$I$7)))/Inputs!$K$7)^2),NA())</x:f>
        <x:v>93.4</x:v>
      </x:c>
      <x:c r="D74" s="9" t="n">
        <x:f>IF(OR(Inputs!$F$8=TRUE,Inputs!$F$8="TRUE",Inputs!$F$8=1),(Inputs!$H$8+Inputs!$L$8*(((Inputs!$I$8+(((A74)+1)/2)*(Inputs!$J$8-Inputs!$I$8)))/Inputs!$K$8)^2),NA())</x:f>
        <x:v>189.40000000000003</x:v>
      </x:c>
      <x:c r="E74" s="9" t="n">
        <x:f>IF(OR(Inputs!$F$9=TRUE,Inputs!$F$9="TRUE",Inputs!$F$9=1),(Inputs!$H$9+Inputs!$L$9*(((Inputs!$I$9+(((A74)+1)/2)*(Inputs!$J$9-Inputs!$I$9)))/Inputs!$K$9)^2),NA())</x:f>
        <x:v>181.00000000000003</x:v>
      </x:c>
      <x:c r="F74" s="10"/>
      <x:c r="G74" s="9">
        <x:f t="shared" si="9"/>
        <x:v>-0.4</x:v>
      </x:c>
      <x:c r="H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10"/>
      <x:c r="M74" s="9">
        <x:f t="shared" si="10"/>
        <x:v>-0.4</x:v>
      </x:c>
      <x:c r="N74" s="9"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9"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9"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9"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10"/>
      <x:c r="S74" s="9">
        <x:f t="shared" si="11"/>
        <x:v>-0.4</x:v>
      </x:c>
      <x:c r="T74" s="9" t="n">
        <x:f>(Inputs!$I$6+(((A74)+1)/2)*(Inputs!$J$6-Inputs!$I$6))</x:f>
        <x:v>-24</x:v>
      </x:c>
      <x:c r="U74" s="9" t="n">
        <x:f>(Inputs!$I$7+(((A74)+1)/2)*(Inputs!$J$7-Inputs!$I$7))</x:f>
        <x:v>-160</x:v>
      </x:c>
      <x:c r="V74" s="9" t="n">
        <x:f>(Inputs!$I$8+(((A74)+1)/2)*(Inputs!$J$8-Inputs!$I$8))</x:f>
        <x:v>-320</x:v>
      </x:c>
      <x:c r="W74" s="9" t="n">
        <x:f>(Inputs!$I$9+(((A74)+1)/2)*(Inputs!$J$9-Inputs!$I$9))</x:f>
        <x:v>-320</x:v>
      </x:c>
      <x:c r="X74" s="10"/>
      <x:c r="Y74" s="9">
        <x:f t="shared" si="12"/>
        <x:v>-0.4</x:v>
      </x:c>
      <x:c r="Z74" s="9" t="n">
        <x:f>(Inputs!$H$6+Inputs!$L$6*(((Inputs!$I$6+(((A74)+1)/2)*(Inputs!$J$6-Inputs!$I$6)))/Inputs!$K$6)^2)</x:f>
        <x:v>400.64</x:v>
      </x:c>
      <x:c r="AA74" s="9" t="n">
        <x:f>(Inputs!$H$7+Inputs!$L$7*(((Inputs!$I$7+(((A74)+1)/2)*(Inputs!$J$7-Inputs!$I$7)))/Inputs!$K$7)^2)</x:f>
        <x:v>93.4</x:v>
      </x:c>
      <x:c r="AB74" s="9" t="n">
        <x:f>(Inputs!$H$8+Inputs!$L$8*(((Inputs!$I$8+(((A74)+1)/2)*(Inputs!$J$8-Inputs!$I$8)))/Inputs!$K$8)^2)</x:f>
        <x:v>189.40000000000003</x:v>
      </x:c>
      <x:c r="AC74" s="9" t="n">
        <x:f>(Inputs!$H$9+Inputs!$L$9*(((Inputs!$I$9+(((A74)+1)/2)*(Inputs!$J$9-Inputs!$I$9)))/Inputs!$K$9)^2)</x:f>
        <x:v>181.00000000000003</x:v>
      </x:c>
      <x:c r="AD74" s="10"/>
      <x:c r="AE74" s="9">
        <x:f t="shared" si="13"/>
        <x:v>-0.4</x:v>
      </x:c>
      <x:c r="AF74" s="9"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9"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9"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9"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10"/>
      <x:c r="AK74" s="9">
        <x:f t="shared" si="14"/>
        <x:v>-0.4</x:v>
      </x:c>
      <x:c r="AL74" s="9"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9"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9"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9"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10"/>
      <x:c r="AQ74" s="9">
        <x:f t="shared" si="15"/>
        <x:v>-0.4</x:v>
      </x:c>
      <x:c r="AR74" s="9" t="n">
        <x:f>0</x:f>
        <x:v>0</x:v>
      </x:c>
      <x:c r="AS74" s="9"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x:f>
        <x:v>268.5791759815676</x:v>
      </x:c>
      <x:c r="AT74" s="9"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x:f>
        <x:v>138.70370323809672</x:v>
      </x:c>
      <x:c r="AU74" s="9"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x:f>
        <x:v>230.83673823808448</x:v>
      </x:c>
      <x:c r="AV74" s="9"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x:f>
        <x:v>230.83673823808448</x:v>
      </x:c>
      <x:c r="AW74" s="10"/>
      <x:c r="AX74" s="9">
        <x:f t="shared" si="16"/>
        <x:v>-0.4</x:v>
      </x:c>
      <x:c r="AY74" s="9" t="n">
        <x:f>0</x:f>
        <x:v>0</x:v>
      </x:c>
      <x:c r="AZ74" s="9" t="n">
        <x:f>IF(OR(Inputs!$F$6=TRUE,Inputs!$F$6="TRUE",Inputs!$F$6=1),(Inputs!$H$6+Inputs!$L$6*(((Inputs!$I$6+(((A74)+1)/2)*(Inputs!$J$6-Inputs!$I$6)))/Inputs!$K$6)^2),NA())</x:f>
        <x:v>400.64</x:v>
      </x:c>
      <x:c r="BA74" s="9" t="n">
        <x:f>IF(OR(Inputs!$F$7=TRUE,Inputs!$F$7="TRUE",Inputs!$F$7=1),(Inputs!$H$7+Inputs!$L$7*(((Inputs!$I$7+(((A74)+1)/2)*(Inputs!$J$7-Inputs!$I$7)))/Inputs!$K$7)^2),NA())</x:f>
        <x:v>93.4</x:v>
      </x:c>
      <x:c r="BB74" s="9" t="n">
        <x:f>IF(OR(Inputs!$F$8=TRUE,Inputs!$F$8="TRUE",Inputs!$F$8=1),(Inputs!$H$8+Inputs!$L$8*(((Inputs!$I$8+(((A74)+1)/2)*(Inputs!$J$8-Inputs!$I$8)))/Inputs!$K$8)^2),NA())</x:f>
        <x:v>189.40000000000003</x:v>
      </x:c>
      <x:c r="BC74" s="9" t="n">
        <x:f>IF(OR(Inputs!$F$9=TRUE,Inputs!$F$9="TRUE",Inputs!$F$9=1),(Inputs!$H$9+Inputs!$L$9*(((Inputs!$I$9+(((A74)+1)/2)*(Inputs!$J$9-Inputs!$I$9)))/Inputs!$K$9)^2),NA())</x:f>
        <x:v>181.00000000000003</x:v>
      </x:c>
      <x:c r="BD74" s="10"/>
      <x:c r="BE74" s="9">
        <x:f t="shared" si="17"/>
        <x:v>-0.4</x:v>
      </x:c>
      <x:c r="BF74" s="9" t="n">
        <x:f>0</x:f>
        <x:v>0</x:v>
      </x:c>
      <x:c r="BG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9" t="n">
        <x:f>ROUND(-1+73*2/240,3)</x:f>
        <x:v>-0.392</x:v>
      </x:c>
      <x:c r="B75" s="9" t="n">
        <x:f>IF(OR(Inputs!$F$6=TRUE,Inputs!$F$6="TRUE",Inputs!$F$6=1),(Inputs!$H$6+Inputs!$L$6*(((Inputs!$I$6+(((A75)+1)/2)*(Inputs!$J$6-Inputs!$I$6)))/Inputs!$K$6)^2),NA())</x:f>
        <x:v>400.614656</x:v>
      </x:c>
      <x:c r="C75" s="9" t="n">
        <x:f>IF(OR(Inputs!$F$7=TRUE,Inputs!$F$7="TRUE",Inputs!$F$7=1),(Inputs!$H$7+Inputs!$L$7*(((Inputs!$I$7+(((A75)+1)/2)*(Inputs!$J$7-Inputs!$I$7)))/Inputs!$K$7)^2),NA())</x:f>
        <x:v>91.08736000000002</x:v>
      </x:c>
      <x:c r="D75" s="9" t="n">
        <x:f>IF(OR(Inputs!$F$8=TRUE,Inputs!$F$8="TRUE",Inputs!$F$8=1),(Inputs!$H$8+Inputs!$L$8*(((Inputs!$I$8+(((A75)+1)/2)*(Inputs!$J$8-Inputs!$I$8)))/Inputs!$K$8)^2),NA())</x:f>
        <x:v>183.28576</x:v>
      </x:c>
      <x:c r="E75" s="9" t="n">
        <x:f>IF(OR(Inputs!$F$9=TRUE,Inputs!$F$9="TRUE",Inputs!$F$9=1),(Inputs!$H$9+Inputs!$L$9*(((Inputs!$I$9+(((A75)+1)/2)*(Inputs!$J$9-Inputs!$I$9)))/Inputs!$K$9)^2),NA())</x:f>
        <x:v>174.82240000000002</x:v>
      </x:c>
      <x:c r="F75" s="10"/>
      <x:c r="G75" s="9">
        <x:f t="shared" si="9"/>
        <x:v>-0.39200000000000002</x:v>
      </x:c>
      <x:c r="H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10"/>
      <x:c r="M75" s="9">
        <x:f t="shared" si="10"/>
        <x:v>-0.39200000000000002</x:v>
      </x:c>
      <x:c r="N75" s="9"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9"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9"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9"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10"/>
      <x:c r="S75" s="9">
        <x:f t="shared" si="11"/>
        <x:v>-0.39200000000000002</x:v>
      </x:c>
      <x:c r="T75" s="9" t="n">
        <x:f>(Inputs!$I$6+(((A75)+1)/2)*(Inputs!$J$6-Inputs!$I$6))</x:f>
        <x:v>-23.520000000000003</x:v>
      </x:c>
      <x:c r="U75" s="9" t="n">
        <x:f>(Inputs!$I$7+(((A75)+1)/2)*(Inputs!$J$7-Inputs!$I$7))</x:f>
        <x:v>-156.8</x:v>
      </x:c>
      <x:c r="V75" s="9" t="n">
        <x:f>(Inputs!$I$8+(((A75)+1)/2)*(Inputs!$J$8-Inputs!$I$8))</x:f>
        <x:v>-313.6</x:v>
      </x:c>
      <x:c r="W75" s="9" t="n">
        <x:f>(Inputs!$I$9+(((A75)+1)/2)*(Inputs!$J$9-Inputs!$I$9))</x:f>
        <x:v>-313.6</x:v>
      </x:c>
      <x:c r="X75" s="10"/>
      <x:c r="Y75" s="9">
        <x:f t="shared" si="12"/>
        <x:v>-0.39200000000000002</x:v>
      </x:c>
      <x:c r="Z75" s="9" t="n">
        <x:f>(Inputs!$H$6+Inputs!$L$6*(((Inputs!$I$6+(((A75)+1)/2)*(Inputs!$J$6-Inputs!$I$6)))/Inputs!$K$6)^2)</x:f>
        <x:v>400.614656</x:v>
      </x:c>
      <x:c r="AA75" s="9" t="n">
        <x:f>(Inputs!$H$7+Inputs!$L$7*(((Inputs!$I$7+(((A75)+1)/2)*(Inputs!$J$7-Inputs!$I$7)))/Inputs!$K$7)^2)</x:f>
        <x:v>91.08736000000002</x:v>
      </x:c>
      <x:c r="AB75" s="9" t="n">
        <x:f>(Inputs!$H$8+Inputs!$L$8*(((Inputs!$I$8+(((A75)+1)/2)*(Inputs!$J$8-Inputs!$I$8)))/Inputs!$K$8)^2)</x:f>
        <x:v>183.28576</x:v>
      </x:c>
      <x:c r="AC75" s="9" t="n">
        <x:f>(Inputs!$H$9+Inputs!$L$9*(((Inputs!$I$9+(((A75)+1)/2)*(Inputs!$J$9-Inputs!$I$9)))/Inputs!$K$9)^2)</x:f>
        <x:v>174.82240000000002</x:v>
      </x:c>
      <x:c r="AD75" s="10"/>
      <x:c r="AE75" s="9">
        <x:f t="shared" si="13"/>
        <x:v>-0.39200000000000002</x:v>
      </x:c>
      <x:c r="AF75" s="9"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9"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9"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9"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10"/>
      <x:c r="AK75" s="9">
        <x:f t="shared" si="14"/>
        <x:v>-0.39200000000000002</x:v>
      </x:c>
      <x:c r="AL75" s="9"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9"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9"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9"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10"/>
      <x:c r="AQ75" s="9">
        <x:f t="shared" si="15"/>
        <x:v>-0.39200000000000002</x:v>
      </x:c>
      <x:c r="AR75" s="9" t="n">
        <x:f>0</x:f>
        <x:v>0</x:v>
      </x:c>
      <x:c r="AS75" s="9"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x:f>
        <x:v>294.44993900710983</x:v>
      </x:c>
      <x:c r="AT75" s="9"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x:f>
        <x:v>196.08717045831813</x:v>
      </x:c>
      <x:c r="AU75" s="9"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x:f>
        <x:v>100.74451979110265</x:v>
      </x:c>
      <x:c r="AV75" s="9"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x:f>
        <x:v>100.74451979110265</x:v>
      </x:c>
      <x:c r="AW75" s="10"/>
      <x:c r="AX75" s="9">
        <x:f t="shared" si="16"/>
        <x:v>-0.39200000000000002</x:v>
      </x:c>
      <x:c r="AY75" s="9" t="n">
        <x:f>0</x:f>
        <x:v>0</x:v>
      </x:c>
      <x:c r="AZ75" s="9" t="n">
        <x:f>IF(OR(Inputs!$F$6=TRUE,Inputs!$F$6="TRUE",Inputs!$F$6=1),(Inputs!$H$6+Inputs!$L$6*(((Inputs!$I$6+(((A75)+1)/2)*(Inputs!$J$6-Inputs!$I$6)))/Inputs!$K$6)^2),NA())</x:f>
        <x:v>400.614656</x:v>
      </x:c>
      <x:c r="BA75" s="9" t="n">
        <x:f>IF(OR(Inputs!$F$7=TRUE,Inputs!$F$7="TRUE",Inputs!$F$7=1),(Inputs!$H$7+Inputs!$L$7*(((Inputs!$I$7+(((A75)+1)/2)*(Inputs!$J$7-Inputs!$I$7)))/Inputs!$K$7)^2),NA())</x:f>
        <x:v>91.08736000000002</x:v>
      </x:c>
      <x:c r="BB75" s="9" t="n">
        <x:f>IF(OR(Inputs!$F$8=TRUE,Inputs!$F$8="TRUE",Inputs!$F$8=1),(Inputs!$H$8+Inputs!$L$8*(((Inputs!$I$8+(((A75)+1)/2)*(Inputs!$J$8-Inputs!$I$8)))/Inputs!$K$8)^2),NA())</x:f>
        <x:v>183.28576</x:v>
      </x:c>
      <x:c r="BC75" s="9" t="n">
        <x:f>IF(OR(Inputs!$F$9=TRUE,Inputs!$F$9="TRUE",Inputs!$F$9=1),(Inputs!$H$9+Inputs!$L$9*(((Inputs!$I$9+(((A75)+1)/2)*(Inputs!$J$9-Inputs!$I$9)))/Inputs!$K$9)^2),NA())</x:f>
        <x:v>174.82240000000002</x:v>
      </x:c>
      <x:c r="BD75" s="10"/>
      <x:c r="BE75" s="9">
        <x:f t="shared" si="17"/>
        <x:v>-0.39200000000000002</x:v>
      </x:c>
      <x:c r="BF75" s="9" t="n">
        <x:f>0</x:f>
        <x:v>0</x:v>
      </x:c>
      <x:c r="BG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9" t="n">
        <x:f>ROUND(-1+74*2/240,3)</x:f>
        <x:v>-0.383</x:v>
      </x:c>
      <x:c r="B76" s="9" t="n">
        <x:f>IF(OR(Inputs!$F$6=TRUE,Inputs!$F$6="TRUE",Inputs!$F$6=1),(Inputs!$H$6+Inputs!$L$6*(((Inputs!$I$6+(((A76)+1)/2)*(Inputs!$J$6-Inputs!$I$6)))/Inputs!$K$6)^2),NA())</x:f>
        <x:v>400.586756</x:v>
      </x:c>
      <x:c r="C76" s="9" t="n">
        <x:f>IF(OR(Inputs!$F$7=TRUE,Inputs!$F$7="TRUE",Inputs!$F$7=1),(Inputs!$H$7+Inputs!$L$7*(((Inputs!$I$7+(((A76)+1)/2)*(Inputs!$J$7-Inputs!$I$7)))/Inputs!$K$7)^2),NA())</x:f>
        <x:v>88.541485</x:v>
      </x:c>
      <x:c r="D76" s="9" t="n">
        <x:f>IF(OR(Inputs!$F$8=TRUE,Inputs!$F$8="TRUE",Inputs!$F$8=1),(Inputs!$H$8+Inputs!$L$8*(((Inputs!$I$8+(((A76)+1)/2)*(Inputs!$J$8-Inputs!$I$8)))/Inputs!$K$8)^2),NA())</x:f>
        <x:v>176.55488499999996</x:v>
      </x:c>
      <x:c r="E76" s="9" t="n">
        <x:f>IF(OR(Inputs!$F$9=TRUE,Inputs!$F$9="TRUE",Inputs!$F$9=1),(Inputs!$H$9+Inputs!$L$9*(((Inputs!$I$9+(((A76)+1)/2)*(Inputs!$J$9-Inputs!$I$9)))/Inputs!$K$9)^2),NA())</x:f>
        <x:v>168.02177499999996</x:v>
      </x:c>
      <x:c r="F76" s="10"/>
      <x:c r="G76" s="9">
        <x:f t="shared" si="9"/>
        <x:v>-0.38300000000000001</x:v>
      </x:c>
      <x:c r="H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10"/>
      <x:c r="M76" s="9">
        <x:f t="shared" si="10"/>
        <x:v>-0.38300000000000001</x:v>
      </x:c>
      <x:c r="N76" s="9"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9"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9"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9"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10"/>
      <x:c r="S76" s="9">
        <x:f t="shared" si="11"/>
        <x:v>-0.38300000000000001</x:v>
      </x:c>
      <x:c r="T76" s="9" t="n">
        <x:f>(Inputs!$I$6+(((A76)+1)/2)*(Inputs!$J$6-Inputs!$I$6))</x:f>
        <x:v>-22.980000000000004</x:v>
      </x:c>
      <x:c r="U76" s="9" t="n">
        <x:f>(Inputs!$I$7+(((A76)+1)/2)*(Inputs!$J$7-Inputs!$I$7))</x:f>
        <x:v>-153.2</x:v>
      </x:c>
      <x:c r="V76" s="9" t="n">
        <x:f>(Inputs!$I$8+(((A76)+1)/2)*(Inputs!$J$8-Inputs!$I$8))</x:f>
        <x:v>-306.4</x:v>
      </x:c>
      <x:c r="W76" s="9" t="n">
        <x:f>(Inputs!$I$9+(((A76)+1)/2)*(Inputs!$J$9-Inputs!$I$9))</x:f>
        <x:v>-306.4</x:v>
      </x:c>
      <x:c r="X76" s="10"/>
      <x:c r="Y76" s="9">
        <x:f t="shared" si="12"/>
        <x:v>-0.38300000000000001</x:v>
      </x:c>
      <x:c r="Z76" s="9" t="n">
        <x:f>(Inputs!$H$6+Inputs!$L$6*(((Inputs!$I$6+(((A76)+1)/2)*(Inputs!$J$6-Inputs!$I$6)))/Inputs!$K$6)^2)</x:f>
        <x:v>400.586756</x:v>
      </x:c>
      <x:c r="AA76" s="9" t="n">
        <x:f>(Inputs!$H$7+Inputs!$L$7*(((Inputs!$I$7+(((A76)+1)/2)*(Inputs!$J$7-Inputs!$I$7)))/Inputs!$K$7)^2)</x:f>
        <x:v>88.541485</x:v>
      </x:c>
      <x:c r="AB76" s="9" t="n">
        <x:f>(Inputs!$H$8+Inputs!$L$8*(((Inputs!$I$8+(((A76)+1)/2)*(Inputs!$J$8-Inputs!$I$8)))/Inputs!$K$8)^2)</x:f>
        <x:v>176.55488499999996</x:v>
      </x:c>
      <x:c r="AC76" s="9" t="n">
        <x:f>(Inputs!$H$9+Inputs!$L$9*(((Inputs!$I$9+(((A76)+1)/2)*(Inputs!$J$9-Inputs!$I$9)))/Inputs!$K$9)^2)</x:f>
        <x:v>168.02177499999996</x:v>
      </x:c>
      <x:c r="AD76" s="10"/>
      <x:c r="AE76" s="9">
        <x:f t="shared" si="13"/>
        <x:v>-0.38300000000000001</x:v>
      </x:c>
      <x:c r="AF76" s="9"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9"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9"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9"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10"/>
      <x:c r="AK76" s="9">
        <x:f t="shared" si="14"/>
        <x:v>-0.38300000000000001</x:v>
      </x:c>
      <x:c r="AL76" s="9"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9"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9"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9"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10"/>
      <x:c r="AQ76" s="9">
        <x:f t="shared" si="15"/>
        <x:v>-0.38300000000000001</x:v>
      </x:c>
      <x:c r="AR76" s="9" t="n">
        <x:f>0</x:f>
        <x:v>0</x:v>
      </x:c>
      <x:c r="AS76" s="9"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x:f>
        <x:v>282.16327342785746</x:v>
      </x:c>
      <x:c r="AT76" s="9"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x:f>
        <x:v>154.02382606022226</x:v>
      </x:c>
      <x:c r="AU76" s="9"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x:f>
        <x:v>152.82930948380636</x:v>
      </x:c>
      <x:c r="AV76" s="9"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x:f>
        <x:v>152.82930948380636</x:v>
      </x:c>
      <x:c r="AW76" s="10"/>
      <x:c r="AX76" s="9">
        <x:f t="shared" si="16"/>
        <x:v>-0.38300000000000001</x:v>
      </x:c>
      <x:c r="AY76" s="9" t="n">
        <x:f>0</x:f>
        <x:v>0</x:v>
      </x:c>
      <x:c r="AZ76" s="9" t="n">
        <x:f>IF(OR(Inputs!$F$6=TRUE,Inputs!$F$6="TRUE",Inputs!$F$6=1),(Inputs!$H$6+Inputs!$L$6*(((Inputs!$I$6+(((A76)+1)/2)*(Inputs!$J$6-Inputs!$I$6)))/Inputs!$K$6)^2),NA())</x:f>
        <x:v>400.586756</x:v>
      </x:c>
      <x:c r="BA76" s="9" t="n">
        <x:f>IF(OR(Inputs!$F$7=TRUE,Inputs!$F$7="TRUE",Inputs!$F$7=1),(Inputs!$H$7+Inputs!$L$7*(((Inputs!$I$7+(((A76)+1)/2)*(Inputs!$J$7-Inputs!$I$7)))/Inputs!$K$7)^2),NA())</x:f>
        <x:v>88.541485</x:v>
      </x:c>
      <x:c r="BB76" s="9" t="n">
        <x:f>IF(OR(Inputs!$F$8=TRUE,Inputs!$F$8="TRUE",Inputs!$F$8=1),(Inputs!$H$8+Inputs!$L$8*(((Inputs!$I$8+(((A76)+1)/2)*(Inputs!$J$8-Inputs!$I$8)))/Inputs!$K$8)^2),NA())</x:f>
        <x:v>176.55488499999996</x:v>
      </x:c>
      <x:c r="BC76" s="9" t="n">
        <x:f>IF(OR(Inputs!$F$9=TRUE,Inputs!$F$9="TRUE",Inputs!$F$9=1),(Inputs!$H$9+Inputs!$L$9*(((Inputs!$I$9+(((A76)+1)/2)*(Inputs!$J$9-Inputs!$I$9)))/Inputs!$K$9)^2),NA())</x:f>
        <x:v>168.02177499999996</x:v>
      </x:c>
      <x:c r="BD76" s="10"/>
      <x:c r="BE76" s="9">
        <x:f t="shared" si="17"/>
        <x:v>-0.38300000000000001</x:v>
      </x:c>
      <x:c r="BF76" s="9" t="n">
        <x:f>0</x:f>
        <x:v>0</x:v>
      </x:c>
      <x:c r="BG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9" t="n">
        <x:f>ROUND(-1+75*2/240,3)</x:f>
        <x:v>-0.375</x:v>
      </x:c>
      <x:c r="B77" s="9" t="n">
        <x:f>IF(OR(Inputs!$F$6=TRUE,Inputs!$F$6="TRUE",Inputs!$F$6=1),(Inputs!$H$6+Inputs!$L$6*(((Inputs!$I$6+(((A77)+1)/2)*(Inputs!$J$6-Inputs!$I$6)))/Inputs!$K$6)^2),NA())</x:f>
        <x:v>400.5625</x:v>
      </x:c>
      <x:c r="C77" s="9" t="n">
        <x:f>IF(OR(Inputs!$F$7=TRUE,Inputs!$F$7="TRUE",Inputs!$F$7=1),(Inputs!$H$7+Inputs!$L$7*(((Inputs!$I$7+(((A77)+1)/2)*(Inputs!$J$7-Inputs!$I$7)))/Inputs!$K$7)^2),NA())</x:f>
        <x:v>86.328125</x:v>
      </x:c>
      <x:c r="D77" s="9" t="n">
        <x:f>IF(OR(Inputs!$F$8=TRUE,Inputs!$F$8="TRUE",Inputs!$F$8=1),(Inputs!$H$8+Inputs!$L$8*(((Inputs!$I$8+(((A77)+1)/2)*(Inputs!$J$8-Inputs!$I$8)))/Inputs!$K$8)^2),NA())</x:f>
        <x:v>170.703125</x:v>
      </x:c>
      <x:c r="E77" s="9" t="n">
        <x:f>IF(OR(Inputs!$F$9=TRUE,Inputs!$F$9="TRUE",Inputs!$F$9=1),(Inputs!$H$9+Inputs!$L$9*(((Inputs!$I$9+(((A77)+1)/2)*(Inputs!$J$9-Inputs!$I$9)))/Inputs!$K$9)^2),NA())</x:f>
        <x:v>162.109375</x:v>
      </x:c>
      <x:c r="F77" s="10"/>
      <x:c r="G77" s="9">
        <x:f t="shared" si="9"/>
        <x:v>-0.375</x:v>
      </x:c>
      <x:c r="H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10"/>
      <x:c r="M77" s="9">
        <x:f t="shared" si="10"/>
        <x:v>-0.375</x:v>
      </x:c>
      <x:c r="N77" s="9"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9"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9"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9"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10"/>
      <x:c r="S77" s="9">
        <x:f t="shared" si="11"/>
        <x:v>-0.375</x:v>
      </x:c>
      <x:c r="T77" s="9" t="n">
        <x:f>(Inputs!$I$6+(((A77)+1)/2)*(Inputs!$J$6-Inputs!$I$6))</x:f>
        <x:v>-22.5</x:v>
      </x:c>
      <x:c r="U77" s="9" t="n">
        <x:f>(Inputs!$I$7+(((A77)+1)/2)*(Inputs!$J$7-Inputs!$I$7))</x:f>
        <x:v>-150</x:v>
      </x:c>
      <x:c r="V77" s="9" t="n">
        <x:f>(Inputs!$I$8+(((A77)+1)/2)*(Inputs!$J$8-Inputs!$I$8))</x:f>
        <x:v>-300</x:v>
      </x:c>
      <x:c r="W77" s="9" t="n">
        <x:f>(Inputs!$I$9+(((A77)+1)/2)*(Inputs!$J$9-Inputs!$I$9))</x:f>
        <x:v>-300</x:v>
      </x:c>
      <x:c r="X77" s="10"/>
      <x:c r="Y77" s="9">
        <x:f t="shared" si="12"/>
        <x:v>-0.375</x:v>
      </x:c>
      <x:c r="Z77" s="9" t="n">
        <x:f>(Inputs!$H$6+Inputs!$L$6*(((Inputs!$I$6+(((A77)+1)/2)*(Inputs!$J$6-Inputs!$I$6)))/Inputs!$K$6)^2)</x:f>
        <x:v>400.5625</x:v>
      </x:c>
      <x:c r="AA77" s="9" t="n">
        <x:f>(Inputs!$H$7+Inputs!$L$7*(((Inputs!$I$7+(((A77)+1)/2)*(Inputs!$J$7-Inputs!$I$7)))/Inputs!$K$7)^2)</x:f>
        <x:v>86.328125</x:v>
      </x:c>
      <x:c r="AB77" s="9" t="n">
        <x:f>(Inputs!$H$8+Inputs!$L$8*(((Inputs!$I$8+(((A77)+1)/2)*(Inputs!$J$8-Inputs!$I$8)))/Inputs!$K$8)^2)</x:f>
        <x:v>170.703125</x:v>
      </x:c>
      <x:c r="AC77" s="9" t="n">
        <x:f>(Inputs!$H$9+Inputs!$L$9*(((Inputs!$I$9+(((A77)+1)/2)*(Inputs!$J$9-Inputs!$I$9)))/Inputs!$K$9)^2)</x:f>
        <x:v>162.109375</x:v>
      </x:c>
      <x:c r="AD77" s="10"/>
      <x:c r="AE77" s="9">
        <x:f t="shared" si="13"/>
        <x:v>-0.375</x:v>
      </x:c>
      <x:c r="AF77" s="9"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9"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9"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9"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10"/>
      <x:c r="AK77" s="9">
        <x:f t="shared" si="14"/>
        <x:v>-0.375</x:v>
      </x:c>
      <x:c r="AL77" s="9"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9"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9"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9"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10"/>
      <x:c r="AQ77" s="9">
        <x:f t="shared" si="15"/>
        <x:v>-0.375</x:v>
      </x:c>
      <x:c r="AR77" s="9" t="n">
        <x:f>0</x:f>
        <x:v>0</x:v>
      </x:c>
      <x:c r="AS77" s="9"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x:f>
        <x:v>286.69936407981004</x:v>
      </x:c>
      <x:c r="AT77" s="9"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x:f>
        <x:v>62.28555176667266</x:v>
      </x:c>
      <x:c r="AU77" s="9"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x:f>
        <x:v>172.6892729513056</x:v>
      </x:c>
      <x:c r="AV77" s="9"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x:f>
        <x:v>172.6892729513056</x:v>
      </x:c>
      <x:c r="AW77" s="10"/>
      <x:c r="AX77" s="9">
        <x:f t="shared" si="16"/>
        <x:v>-0.375</x:v>
      </x:c>
      <x:c r="AY77" s="9" t="n">
        <x:f>0</x:f>
        <x:v>0</x:v>
      </x:c>
      <x:c r="AZ77" s="9" t="n">
        <x:f>IF(OR(Inputs!$F$6=TRUE,Inputs!$F$6="TRUE",Inputs!$F$6=1),(Inputs!$H$6+Inputs!$L$6*(((Inputs!$I$6+(((A77)+1)/2)*(Inputs!$J$6-Inputs!$I$6)))/Inputs!$K$6)^2),NA())</x:f>
        <x:v>400.5625</x:v>
      </x:c>
      <x:c r="BA77" s="9" t="n">
        <x:f>IF(OR(Inputs!$F$7=TRUE,Inputs!$F$7="TRUE",Inputs!$F$7=1),(Inputs!$H$7+Inputs!$L$7*(((Inputs!$I$7+(((A77)+1)/2)*(Inputs!$J$7-Inputs!$I$7)))/Inputs!$K$7)^2),NA())</x:f>
        <x:v>86.328125</x:v>
      </x:c>
      <x:c r="BB77" s="9" t="n">
        <x:f>IF(OR(Inputs!$F$8=TRUE,Inputs!$F$8="TRUE",Inputs!$F$8=1),(Inputs!$H$8+Inputs!$L$8*(((Inputs!$I$8+(((A77)+1)/2)*(Inputs!$J$8-Inputs!$I$8)))/Inputs!$K$8)^2),NA())</x:f>
        <x:v>170.703125</x:v>
      </x:c>
      <x:c r="BC77" s="9" t="n">
        <x:f>IF(OR(Inputs!$F$9=TRUE,Inputs!$F$9="TRUE",Inputs!$F$9=1),(Inputs!$H$9+Inputs!$L$9*(((Inputs!$I$9+(((A77)+1)/2)*(Inputs!$J$9-Inputs!$I$9)))/Inputs!$K$9)^2),NA())</x:f>
        <x:v>162.109375</x:v>
      </x:c>
      <x:c r="BD77" s="10"/>
      <x:c r="BE77" s="9">
        <x:f t="shared" si="17"/>
        <x:v>-0.375</x:v>
      </x:c>
      <x:c r="BF77" s="9" t="n">
        <x:f>0</x:f>
        <x:v>0</x:v>
      </x:c>
      <x:c r="BG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9" t="n">
        <x:f>ROUND(-1+76*2/240,3)</x:f>
        <x:v>-0.367</x:v>
      </x:c>
      <x:c r="B78" s="9" t="n">
        <x:f>IF(OR(Inputs!$F$6=TRUE,Inputs!$F$6="TRUE",Inputs!$F$6=1),(Inputs!$H$6+Inputs!$L$6*(((Inputs!$I$6+(((A78)+1)/2)*(Inputs!$J$6-Inputs!$I$6)))/Inputs!$K$6)^2),NA())</x:f>
        <x:v>400.538756</x:v>
      </x:c>
      <x:c r="C78" s="9" t="n">
        <x:f>IF(OR(Inputs!$F$7=TRUE,Inputs!$F$7="TRUE",Inputs!$F$7=1),(Inputs!$H$7+Inputs!$L$7*(((Inputs!$I$7+(((A78)+1)/2)*(Inputs!$J$7-Inputs!$I$7)))/Inputs!$K$7)^2),NA())</x:f>
        <x:v>84.16148500000001</x:v>
      </x:c>
      <x:c r="D78" s="9" t="n">
        <x:f>IF(OR(Inputs!$F$8=TRUE,Inputs!$F$8="TRUE",Inputs!$F$8=1),(Inputs!$H$8+Inputs!$L$8*(((Inputs!$I$8+(((A78)+1)/2)*(Inputs!$J$8-Inputs!$I$8)))/Inputs!$K$8)^2),NA())</x:f>
        <x:v>164.97488500000003</x:v>
      </x:c>
      <x:c r="E78" s="9" t="n">
        <x:f>IF(OR(Inputs!$F$9=TRUE,Inputs!$F$9="TRUE",Inputs!$F$9=1),(Inputs!$H$9+Inputs!$L$9*(((Inputs!$I$9+(((A78)+1)/2)*(Inputs!$J$9-Inputs!$I$9)))/Inputs!$K$9)^2),NA())</x:f>
        <x:v>156.32177500000003</x:v>
      </x:c>
      <x:c r="F78" s="10"/>
      <x:c r="G78" s="9">
        <x:f t="shared" si="9"/>
        <x:v>-0.36699999999999999</x:v>
      </x:c>
      <x:c r="H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10"/>
      <x:c r="M78" s="9">
        <x:f t="shared" si="10"/>
        <x:v>-0.36699999999999999</x:v>
      </x:c>
      <x:c r="N78" s="9"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9"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9"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9"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10"/>
      <x:c r="S78" s="9">
        <x:f t="shared" si="11"/>
        <x:v>-0.36699999999999999</x:v>
      </x:c>
      <x:c r="T78" s="9" t="n">
        <x:f>(Inputs!$I$6+(((A78)+1)/2)*(Inputs!$J$6-Inputs!$I$6))</x:f>
        <x:v>-22.019999999999996</x:v>
      </x:c>
      <x:c r="U78" s="9" t="n">
        <x:f>(Inputs!$I$7+(((A78)+1)/2)*(Inputs!$J$7-Inputs!$I$7))</x:f>
        <x:v>-146.8</x:v>
      </x:c>
      <x:c r="V78" s="9" t="n">
        <x:f>(Inputs!$I$8+(((A78)+1)/2)*(Inputs!$J$8-Inputs!$I$8))</x:f>
        <x:v>-293.6</x:v>
      </x:c>
      <x:c r="W78" s="9" t="n">
        <x:f>(Inputs!$I$9+(((A78)+1)/2)*(Inputs!$J$9-Inputs!$I$9))</x:f>
        <x:v>-293.6</x:v>
      </x:c>
      <x:c r="X78" s="10"/>
      <x:c r="Y78" s="9">
        <x:f t="shared" si="12"/>
        <x:v>-0.36699999999999999</x:v>
      </x:c>
      <x:c r="Z78" s="9" t="n">
        <x:f>(Inputs!$H$6+Inputs!$L$6*(((Inputs!$I$6+(((A78)+1)/2)*(Inputs!$J$6-Inputs!$I$6)))/Inputs!$K$6)^2)</x:f>
        <x:v>400.538756</x:v>
      </x:c>
      <x:c r="AA78" s="9" t="n">
        <x:f>(Inputs!$H$7+Inputs!$L$7*(((Inputs!$I$7+(((A78)+1)/2)*(Inputs!$J$7-Inputs!$I$7)))/Inputs!$K$7)^2)</x:f>
        <x:v>84.16148500000001</x:v>
      </x:c>
      <x:c r="AB78" s="9" t="n">
        <x:f>(Inputs!$H$8+Inputs!$L$8*(((Inputs!$I$8+(((A78)+1)/2)*(Inputs!$J$8-Inputs!$I$8)))/Inputs!$K$8)^2)</x:f>
        <x:v>164.97488500000003</x:v>
      </x:c>
      <x:c r="AC78" s="9" t="n">
        <x:f>(Inputs!$H$9+Inputs!$L$9*(((Inputs!$I$9+(((A78)+1)/2)*(Inputs!$J$9-Inputs!$I$9)))/Inputs!$K$9)^2)</x:f>
        <x:v>156.32177500000003</x:v>
      </x:c>
      <x:c r="AD78" s="10"/>
      <x:c r="AE78" s="9">
        <x:f t="shared" si="13"/>
        <x:v>-0.36699999999999999</x:v>
      </x:c>
      <x:c r="AF78" s="9"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9"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9"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9"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10"/>
      <x:c r="AK78" s="9">
        <x:f t="shared" si="14"/>
        <x:v>-0.36699999999999999</x:v>
      </x:c>
      <x:c r="AL78" s="9"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9"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9"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9"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10"/>
      <x:c r="AQ78" s="9">
        <x:f t="shared" si="15"/>
        <x:v>-0.36699999999999999</x:v>
      </x:c>
      <x:c r="AR78" s="9" t="n">
        <x:f>0</x:f>
        <x:v>0</x:v>
      </x:c>
      <x:c r="AS78" s="9"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x:f>
        <x:v>310.91396483385586</x:v>
      </x:c>
      <x:c r="AT78" s="9"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x:f>
        <x:v>77.53288374729674</x:v>
      </x:c>
      <x:c r="AU78" s="9"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x:f>
        <x:v>95.83689312889756</x:v>
      </x:c>
      <x:c r="AV78" s="9"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x:f>
        <x:v>95.83689312889756</x:v>
      </x:c>
      <x:c r="AW78" s="10"/>
      <x:c r="AX78" s="9">
        <x:f t="shared" si="16"/>
        <x:v>-0.36699999999999999</x:v>
      </x:c>
      <x:c r="AY78" s="9" t="n">
        <x:f>0</x:f>
        <x:v>0</x:v>
      </x:c>
      <x:c r="AZ78" s="9" t="n">
        <x:f>IF(OR(Inputs!$F$6=TRUE,Inputs!$F$6="TRUE",Inputs!$F$6=1),(Inputs!$H$6+Inputs!$L$6*(((Inputs!$I$6+(((A78)+1)/2)*(Inputs!$J$6-Inputs!$I$6)))/Inputs!$K$6)^2),NA())</x:f>
        <x:v>400.538756</x:v>
      </x:c>
      <x:c r="BA78" s="9" t="n">
        <x:f>IF(OR(Inputs!$F$7=TRUE,Inputs!$F$7="TRUE",Inputs!$F$7=1),(Inputs!$H$7+Inputs!$L$7*(((Inputs!$I$7+(((A78)+1)/2)*(Inputs!$J$7-Inputs!$I$7)))/Inputs!$K$7)^2),NA())</x:f>
        <x:v>84.16148500000001</x:v>
      </x:c>
      <x:c r="BB78" s="9" t="n">
        <x:f>IF(OR(Inputs!$F$8=TRUE,Inputs!$F$8="TRUE",Inputs!$F$8=1),(Inputs!$H$8+Inputs!$L$8*(((Inputs!$I$8+(((A78)+1)/2)*(Inputs!$J$8-Inputs!$I$8)))/Inputs!$K$8)^2),NA())</x:f>
        <x:v>164.97488500000003</x:v>
      </x:c>
      <x:c r="BC78" s="9" t="n">
        <x:f>IF(OR(Inputs!$F$9=TRUE,Inputs!$F$9="TRUE",Inputs!$F$9=1),(Inputs!$H$9+Inputs!$L$9*(((Inputs!$I$9+(((A78)+1)/2)*(Inputs!$J$9-Inputs!$I$9)))/Inputs!$K$9)^2),NA())</x:f>
        <x:v>156.32177500000003</x:v>
      </x:c>
      <x:c r="BD78" s="10"/>
      <x:c r="BE78" s="9">
        <x:f t="shared" si="17"/>
        <x:v>-0.36699999999999999</x:v>
      </x:c>
      <x:c r="BF78" s="9" t="n">
        <x:f>0</x:f>
        <x:v>0</x:v>
      </x:c>
      <x:c r="BG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9" t="n">
        <x:f>ROUND(-1+77*2/240,3)</x:f>
        <x:v>-0.358</x:v>
      </x:c>
      <x:c r="B79" s="9" t="n">
        <x:f>IF(OR(Inputs!$F$6=TRUE,Inputs!$F$6="TRUE",Inputs!$F$6=1),(Inputs!$H$6+Inputs!$L$6*(((Inputs!$I$6+(((A79)+1)/2)*(Inputs!$J$6-Inputs!$I$6)))/Inputs!$K$6)^2),NA())</x:f>
        <x:v>400.512656</x:v>
      </x:c>
      <x:c r="C79" s="9" t="n">
        <x:f>IF(OR(Inputs!$F$7=TRUE,Inputs!$F$7="TRUE",Inputs!$F$7=1),(Inputs!$H$7+Inputs!$L$7*(((Inputs!$I$7+(((A79)+1)/2)*(Inputs!$J$7-Inputs!$I$7)))/Inputs!$K$7)^2),NA())</x:f>
        <x:v>81.77986</x:v>
      </x:c>
      <x:c r="D79" s="9" t="n">
        <x:f>IF(OR(Inputs!$F$8=TRUE,Inputs!$F$8="TRUE",Inputs!$F$8=1),(Inputs!$H$8+Inputs!$L$8*(((Inputs!$I$8+(((A79)+1)/2)*(Inputs!$J$8-Inputs!$I$8)))/Inputs!$K$8)^2),NA())</x:f>
        <x:v>158.67826</x:v>
      </x:c>
      <x:c r="E79" s="9" t="n">
        <x:f>IF(OR(Inputs!$F$9=TRUE,Inputs!$F$9="TRUE",Inputs!$F$9=1),(Inputs!$H$9+Inputs!$L$9*(((Inputs!$I$9+(((A79)+1)/2)*(Inputs!$J$9-Inputs!$I$9)))/Inputs!$K$9)^2),NA())</x:f>
        <x:v>149.9599</x:v>
      </x:c>
      <x:c r="F79" s="10"/>
      <x:c r="G79" s="9">
        <x:f t="shared" si="9"/>
        <x:v>-0.35799999999999998</x:v>
      </x:c>
      <x:c r="H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10"/>
      <x:c r="M79" s="9">
        <x:f t="shared" si="10"/>
        <x:v>-0.35799999999999998</x:v>
      </x:c>
      <x:c r="N79" s="9"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9"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9"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9"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10"/>
      <x:c r="S79" s="9">
        <x:f t="shared" si="11"/>
        <x:v>-0.35799999999999998</x:v>
      </x:c>
      <x:c r="T79" s="9" t="n">
        <x:f>(Inputs!$I$6+(((A79)+1)/2)*(Inputs!$J$6-Inputs!$I$6))</x:f>
        <x:v>-21.479999999999997</x:v>
      </x:c>
      <x:c r="U79" s="9" t="n">
        <x:f>(Inputs!$I$7+(((A79)+1)/2)*(Inputs!$J$7-Inputs!$I$7))</x:f>
        <x:v>-143.2</x:v>
      </x:c>
      <x:c r="V79" s="9" t="n">
        <x:f>(Inputs!$I$8+(((A79)+1)/2)*(Inputs!$J$8-Inputs!$I$8))</x:f>
        <x:v>-286.4</x:v>
      </x:c>
      <x:c r="W79" s="9" t="n">
        <x:f>(Inputs!$I$9+(((A79)+1)/2)*(Inputs!$J$9-Inputs!$I$9))</x:f>
        <x:v>-286.4</x:v>
      </x:c>
      <x:c r="X79" s="10"/>
      <x:c r="Y79" s="9">
        <x:f t="shared" si="12"/>
        <x:v>-0.35799999999999998</x:v>
      </x:c>
      <x:c r="Z79" s="9" t="n">
        <x:f>(Inputs!$H$6+Inputs!$L$6*(((Inputs!$I$6+(((A79)+1)/2)*(Inputs!$J$6-Inputs!$I$6)))/Inputs!$K$6)^2)</x:f>
        <x:v>400.512656</x:v>
      </x:c>
      <x:c r="AA79" s="9" t="n">
        <x:f>(Inputs!$H$7+Inputs!$L$7*(((Inputs!$I$7+(((A79)+1)/2)*(Inputs!$J$7-Inputs!$I$7)))/Inputs!$K$7)^2)</x:f>
        <x:v>81.77986</x:v>
      </x:c>
      <x:c r="AB79" s="9" t="n">
        <x:f>(Inputs!$H$8+Inputs!$L$8*(((Inputs!$I$8+(((A79)+1)/2)*(Inputs!$J$8-Inputs!$I$8)))/Inputs!$K$8)^2)</x:f>
        <x:v>158.67826</x:v>
      </x:c>
      <x:c r="AC79" s="9" t="n">
        <x:f>(Inputs!$H$9+Inputs!$L$9*(((Inputs!$I$9+(((A79)+1)/2)*(Inputs!$J$9-Inputs!$I$9)))/Inputs!$K$9)^2)</x:f>
        <x:v>149.9599</x:v>
      </x:c>
      <x:c r="AD79" s="10"/>
      <x:c r="AE79" s="9">
        <x:f t="shared" si="13"/>
        <x:v>-0.35799999999999998</x:v>
      </x:c>
      <x:c r="AF79" s="9"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9"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9"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9"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10"/>
      <x:c r="AK79" s="9">
        <x:f t="shared" si="14"/>
        <x:v>-0.35799999999999998</x:v>
      </x:c>
      <x:c r="AL79" s="9"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9"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9"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9"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10"/>
      <x:c r="AQ79" s="9">
        <x:f t="shared" si="15"/>
        <x:v>-0.35799999999999998</x:v>
      </x:c>
      <x:c r="AR79" s="9" t="n">
        <x:f>0</x:f>
        <x:v>0</x:v>
      </x:c>
      <x:c r="AS79" s="9"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x:f>
        <x:v>332.09835231911904</x:v>
      </x:c>
      <x:c r="AT79" s="9"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x:f>
        <x:v>174.06783789927727</x:v>
      </x:c>
      <x:c r="AU79" s="9"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x:f>
        <x:v>168.78610805388928</x:v>
      </x:c>
      <x:c r="AV79" s="9"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x:f>
        <x:v>168.78610805388928</x:v>
      </x:c>
      <x:c r="AW79" s="10"/>
      <x:c r="AX79" s="9">
        <x:f t="shared" si="16"/>
        <x:v>-0.35799999999999998</x:v>
      </x:c>
      <x:c r="AY79" s="9" t="n">
        <x:f>0</x:f>
        <x:v>0</x:v>
      </x:c>
      <x:c r="AZ79" s="9" t="n">
        <x:f>IF(OR(Inputs!$F$6=TRUE,Inputs!$F$6="TRUE",Inputs!$F$6=1),(Inputs!$H$6+Inputs!$L$6*(((Inputs!$I$6+(((A79)+1)/2)*(Inputs!$J$6-Inputs!$I$6)))/Inputs!$K$6)^2),NA())</x:f>
        <x:v>400.512656</x:v>
      </x:c>
      <x:c r="BA79" s="9" t="n">
        <x:f>IF(OR(Inputs!$F$7=TRUE,Inputs!$F$7="TRUE",Inputs!$F$7=1),(Inputs!$H$7+Inputs!$L$7*(((Inputs!$I$7+(((A79)+1)/2)*(Inputs!$J$7-Inputs!$I$7)))/Inputs!$K$7)^2),NA())</x:f>
        <x:v>81.77986</x:v>
      </x:c>
      <x:c r="BB79" s="9" t="n">
        <x:f>IF(OR(Inputs!$F$8=TRUE,Inputs!$F$8="TRUE",Inputs!$F$8=1),(Inputs!$H$8+Inputs!$L$8*(((Inputs!$I$8+(((A79)+1)/2)*(Inputs!$J$8-Inputs!$I$8)))/Inputs!$K$8)^2),NA())</x:f>
        <x:v>158.67826</x:v>
      </x:c>
      <x:c r="BC79" s="9" t="n">
        <x:f>IF(OR(Inputs!$F$9=TRUE,Inputs!$F$9="TRUE",Inputs!$F$9=1),(Inputs!$H$9+Inputs!$L$9*(((Inputs!$I$9+(((A79)+1)/2)*(Inputs!$J$9-Inputs!$I$9)))/Inputs!$K$9)^2),NA())</x:f>
        <x:v>149.9599</x:v>
      </x:c>
      <x:c r="BD79" s="10"/>
      <x:c r="BE79" s="9">
        <x:f t="shared" si="17"/>
        <x:v>-0.35799999999999998</x:v>
      </x:c>
      <x:c r="BF79" s="9" t="n">
        <x:f>0</x:f>
        <x:v>0</x:v>
      </x:c>
      <x:c r="BG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9" t="n">
        <x:f>ROUND(-1+78*2/240,3)</x:f>
        <x:v>-0.35</x:v>
      </x:c>
      <x:c r="B80" s="9" t="n">
        <x:f>IF(OR(Inputs!$F$6=TRUE,Inputs!$F$6="TRUE",Inputs!$F$6=1),(Inputs!$H$6+Inputs!$L$6*(((Inputs!$I$6+(((A80)+1)/2)*(Inputs!$J$6-Inputs!$I$6)))/Inputs!$K$6)^2),NA())</x:f>
        <x:v>400.49</x:v>
      </x:c>
      <x:c r="C80" s="9" t="n">
        <x:f>IF(OR(Inputs!$F$7=TRUE,Inputs!$F$7="TRUE",Inputs!$F$7=1),(Inputs!$H$7+Inputs!$L$7*(((Inputs!$I$7+(((A80)+1)/2)*(Inputs!$J$7-Inputs!$I$7)))/Inputs!$K$7)^2),NA())</x:f>
        <x:v>79.71249999999999</x:v>
      </x:c>
      <x:c r="D80" s="9" t="n">
        <x:f>IF(OR(Inputs!$F$8=TRUE,Inputs!$F$8="TRUE",Inputs!$F$8=1),(Inputs!$H$8+Inputs!$L$8*(((Inputs!$I$8+(((A80)+1)/2)*(Inputs!$J$8-Inputs!$I$8)))/Inputs!$K$8)^2),NA())</x:f>
        <x:v>153.21249999999998</x:v>
      </x:c>
      <x:c r="E80" s="9" t="n">
        <x:f>IF(OR(Inputs!$F$9=TRUE,Inputs!$F$9="TRUE",Inputs!$F$9=1),(Inputs!$H$9+Inputs!$L$9*(((Inputs!$I$9+(((A80)+1)/2)*(Inputs!$J$9-Inputs!$I$9)))/Inputs!$K$9)^2),NA())</x:f>
        <x:v>144.4375</x:v>
      </x:c>
      <x:c r="F80" s="10"/>
      <x:c r="G80" s="9">
        <x:f t="shared" si="9"/>
        <x:v>-0.35</x:v>
      </x:c>
      <x:c r="H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10"/>
      <x:c r="M80" s="9">
        <x:f t="shared" si="10"/>
        <x:v>-0.35</x:v>
      </x:c>
      <x:c r="N80" s="9"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9"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9"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9"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10"/>
      <x:c r="S80" s="9">
        <x:f t="shared" si="11"/>
        <x:v>-0.35</x:v>
      </x:c>
      <x:c r="T80" s="9" t="n">
        <x:f>(Inputs!$I$6+(((A80)+1)/2)*(Inputs!$J$6-Inputs!$I$6))</x:f>
        <x:v>-21</x:v>
      </x:c>
      <x:c r="U80" s="9" t="n">
        <x:f>(Inputs!$I$7+(((A80)+1)/2)*(Inputs!$J$7-Inputs!$I$7))</x:f>
        <x:v>-140</x:v>
      </x:c>
      <x:c r="V80" s="9" t="n">
        <x:f>(Inputs!$I$8+(((A80)+1)/2)*(Inputs!$J$8-Inputs!$I$8))</x:f>
        <x:v>-280</x:v>
      </x:c>
      <x:c r="W80" s="9" t="n">
        <x:f>(Inputs!$I$9+(((A80)+1)/2)*(Inputs!$J$9-Inputs!$I$9))</x:f>
        <x:v>-280</x:v>
      </x:c>
      <x:c r="X80" s="10"/>
      <x:c r="Y80" s="9">
        <x:f t="shared" si="12"/>
        <x:v>-0.35</x:v>
      </x:c>
      <x:c r="Z80" s="9" t="n">
        <x:f>(Inputs!$H$6+Inputs!$L$6*(((Inputs!$I$6+(((A80)+1)/2)*(Inputs!$J$6-Inputs!$I$6)))/Inputs!$K$6)^2)</x:f>
        <x:v>400.49</x:v>
      </x:c>
      <x:c r="AA80" s="9" t="n">
        <x:f>(Inputs!$H$7+Inputs!$L$7*(((Inputs!$I$7+(((A80)+1)/2)*(Inputs!$J$7-Inputs!$I$7)))/Inputs!$K$7)^2)</x:f>
        <x:v>79.71249999999999</x:v>
      </x:c>
      <x:c r="AB80" s="9" t="n">
        <x:f>(Inputs!$H$8+Inputs!$L$8*(((Inputs!$I$8+(((A80)+1)/2)*(Inputs!$J$8-Inputs!$I$8)))/Inputs!$K$8)^2)</x:f>
        <x:v>153.21249999999998</x:v>
      </x:c>
      <x:c r="AC80" s="9" t="n">
        <x:f>(Inputs!$H$9+Inputs!$L$9*(((Inputs!$I$9+(((A80)+1)/2)*(Inputs!$J$9-Inputs!$I$9)))/Inputs!$K$9)^2)</x:f>
        <x:v>144.4375</x:v>
      </x:c>
      <x:c r="AD80" s="10"/>
      <x:c r="AE80" s="9">
        <x:f t="shared" si="13"/>
        <x:v>-0.35</x:v>
      </x:c>
      <x:c r="AF80" s="9"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9"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9"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9"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10"/>
      <x:c r="AK80" s="9">
        <x:f t="shared" si="14"/>
        <x:v>-0.35</x:v>
      </x:c>
      <x:c r="AL80" s="9"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9"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9"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9"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10"/>
      <x:c r="AQ80" s="9">
        <x:f t="shared" si="15"/>
        <x:v>-0.35</x:v>
      </x:c>
      <x:c r="AR80" s="9" t="n">
        <x:f>0</x:f>
        <x:v>0</x:v>
      </x:c>
      <x:c r="AS80" s="9"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x:f>
        <x:v>317.91812880175183</x:v>
      </x:c>
      <x:c r="AT80" s="9"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x:f>
        <x:v>204.7986580113276</x:v>
      </x:c>
      <x:c r="AU80" s="9"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x:f>
        <x:v>165.51370619149404</x:v>
      </x:c>
      <x:c r="AV80" s="9"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x:f>
        <x:v>165.51370619149404</x:v>
      </x:c>
      <x:c r="AW80" s="10"/>
      <x:c r="AX80" s="9">
        <x:f t="shared" si="16"/>
        <x:v>-0.35</x:v>
      </x:c>
      <x:c r="AY80" s="9" t="n">
        <x:f>0</x:f>
        <x:v>0</x:v>
      </x:c>
      <x:c r="AZ80" s="9" t="n">
        <x:f>IF(OR(Inputs!$F$6=TRUE,Inputs!$F$6="TRUE",Inputs!$F$6=1),(Inputs!$H$6+Inputs!$L$6*(((Inputs!$I$6+(((A80)+1)/2)*(Inputs!$J$6-Inputs!$I$6)))/Inputs!$K$6)^2),NA())</x:f>
        <x:v>400.49</x:v>
      </x:c>
      <x:c r="BA80" s="9" t="n">
        <x:f>IF(OR(Inputs!$F$7=TRUE,Inputs!$F$7="TRUE",Inputs!$F$7=1),(Inputs!$H$7+Inputs!$L$7*(((Inputs!$I$7+(((A80)+1)/2)*(Inputs!$J$7-Inputs!$I$7)))/Inputs!$K$7)^2),NA())</x:f>
        <x:v>79.71249999999999</x:v>
      </x:c>
      <x:c r="BB80" s="9" t="n">
        <x:f>IF(OR(Inputs!$F$8=TRUE,Inputs!$F$8="TRUE",Inputs!$F$8=1),(Inputs!$H$8+Inputs!$L$8*(((Inputs!$I$8+(((A80)+1)/2)*(Inputs!$J$8-Inputs!$I$8)))/Inputs!$K$8)^2),NA())</x:f>
        <x:v>153.21249999999998</x:v>
      </x:c>
      <x:c r="BC80" s="9" t="n">
        <x:f>IF(OR(Inputs!$F$9=TRUE,Inputs!$F$9="TRUE",Inputs!$F$9=1),(Inputs!$H$9+Inputs!$L$9*(((Inputs!$I$9+(((A80)+1)/2)*(Inputs!$J$9-Inputs!$I$9)))/Inputs!$K$9)^2),NA())</x:f>
        <x:v>144.4375</x:v>
      </x:c>
      <x:c r="BD80" s="10"/>
      <x:c r="BE80" s="9">
        <x:f t="shared" si="17"/>
        <x:v>-0.35</x:v>
      </x:c>
      <x:c r="BF80" s="9" t="n">
        <x:f>0</x:f>
        <x:v>0</x:v>
      </x:c>
      <x:c r="BG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9" t="n">
        <x:f>ROUND(-1+79*2/240,3)</x:f>
        <x:v>-0.342</x:v>
      </x:c>
      <x:c r="B81" s="9" t="n">
        <x:f>IF(OR(Inputs!$F$6=TRUE,Inputs!$F$6="TRUE",Inputs!$F$6=1),(Inputs!$H$6+Inputs!$L$6*(((Inputs!$I$6+(((A81)+1)/2)*(Inputs!$J$6-Inputs!$I$6)))/Inputs!$K$6)^2),NA())</x:f>
        <x:v>400.467856</x:v>
      </x:c>
      <x:c r="C81" s="9" t="n">
        <x:f>IF(OR(Inputs!$F$7=TRUE,Inputs!$F$7="TRUE",Inputs!$F$7=1),(Inputs!$H$7+Inputs!$L$7*(((Inputs!$I$7+(((A81)+1)/2)*(Inputs!$J$7-Inputs!$I$7)))/Inputs!$K$7)^2),NA())</x:f>
        <x:v>77.69186</x:v>
      </x:c>
      <x:c r="D81" s="9" t="n">
        <x:f>IF(OR(Inputs!$F$8=TRUE,Inputs!$F$8="TRUE",Inputs!$F$8=1),(Inputs!$H$8+Inputs!$L$8*(((Inputs!$I$8+(((A81)+1)/2)*(Inputs!$J$8-Inputs!$I$8)))/Inputs!$K$8)^2),NA())</x:f>
        <x:v>147.87026000000003</x:v>
      </x:c>
      <x:c r="E81" s="9" t="n">
        <x:f>IF(OR(Inputs!$F$9=TRUE,Inputs!$F$9="TRUE",Inputs!$F$9=1),(Inputs!$H$9+Inputs!$L$9*(((Inputs!$I$9+(((A81)+1)/2)*(Inputs!$J$9-Inputs!$I$9)))/Inputs!$K$9)^2),NA())</x:f>
        <x:v>139.03990000000002</x:v>
      </x:c>
      <x:c r="F81" s="10"/>
      <x:c r="G81" s="9">
        <x:f t="shared" si="9"/>
        <x:v>-0.34200000000000003</x:v>
      </x:c>
      <x:c r="H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10"/>
      <x:c r="M81" s="9">
        <x:f t="shared" si="10"/>
        <x:v>-0.34200000000000003</x:v>
      </x:c>
      <x:c r="N81" s="9"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9"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9"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9"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10"/>
      <x:c r="S81" s="9">
        <x:f t="shared" si="11"/>
        <x:v>-0.34200000000000003</x:v>
      </x:c>
      <x:c r="T81" s="9" t="n">
        <x:f>(Inputs!$I$6+(((A81)+1)/2)*(Inputs!$J$6-Inputs!$I$6))</x:f>
        <x:v>-20.520000000000003</x:v>
      </x:c>
      <x:c r="U81" s="9" t="n">
        <x:f>(Inputs!$I$7+(((A81)+1)/2)*(Inputs!$J$7-Inputs!$I$7))</x:f>
        <x:v>-136.8</x:v>
      </x:c>
      <x:c r="V81" s="9" t="n">
        <x:f>(Inputs!$I$8+(((A81)+1)/2)*(Inputs!$J$8-Inputs!$I$8))</x:f>
        <x:v>-273.6</x:v>
      </x:c>
      <x:c r="W81" s="9" t="n">
        <x:f>(Inputs!$I$9+(((A81)+1)/2)*(Inputs!$J$9-Inputs!$I$9))</x:f>
        <x:v>-273.6</x:v>
      </x:c>
      <x:c r="X81" s="10"/>
      <x:c r="Y81" s="9">
        <x:f t="shared" si="12"/>
        <x:v>-0.34200000000000003</x:v>
      </x:c>
      <x:c r="Z81" s="9" t="n">
        <x:f>(Inputs!$H$6+Inputs!$L$6*(((Inputs!$I$6+(((A81)+1)/2)*(Inputs!$J$6-Inputs!$I$6)))/Inputs!$K$6)^2)</x:f>
        <x:v>400.467856</x:v>
      </x:c>
      <x:c r="AA81" s="9" t="n">
        <x:f>(Inputs!$H$7+Inputs!$L$7*(((Inputs!$I$7+(((A81)+1)/2)*(Inputs!$J$7-Inputs!$I$7)))/Inputs!$K$7)^2)</x:f>
        <x:v>77.69186</x:v>
      </x:c>
      <x:c r="AB81" s="9" t="n">
        <x:f>(Inputs!$H$8+Inputs!$L$8*(((Inputs!$I$8+(((A81)+1)/2)*(Inputs!$J$8-Inputs!$I$8)))/Inputs!$K$8)^2)</x:f>
        <x:v>147.87026000000003</x:v>
      </x:c>
      <x:c r="AC81" s="9" t="n">
        <x:f>(Inputs!$H$9+Inputs!$L$9*(((Inputs!$I$9+(((A81)+1)/2)*(Inputs!$J$9-Inputs!$I$9)))/Inputs!$K$9)^2)</x:f>
        <x:v>139.03990000000002</x:v>
      </x:c>
      <x:c r="AD81" s="10"/>
      <x:c r="AE81" s="9">
        <x:f t="shared" si="13"/>
        <x:v>-0.34200000000000003</x:v>
      </x:c>
      <x:c r="AF81" s="9"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9"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9"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9"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10"/>
      <x:c r="AK81" s="9">
        <x:f t="shared" si="14"/>
        <x:v>-0.34200000000000003</x:v>
      </x:c>
      <x:c r="AL81" s="9"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9"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9"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9"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10"/>
      <x:c r="AQ81" s="9">
        <x:f t="shared" si="15"/>
        <x:v>-0.34200000000000003</x:v>
      </x:c>
      <x:c r="AR81" s="9" t="n">
        <x:f>0</x:f>
        <x:v>0</x:v>
      </x:c>
      <x:c r="AS81" s="9"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x:f>
        <x:v>339.4113234312429</x:v>
      </x:c>
      <x:c r="AT81" s="9"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x:f>
        <x:v>162.32750479230745</x:v>
      </x:c>
      <x:c r="AU81" s="9"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x:f>
        <x:v>122.27219530903733</x:v>
      </x:c>
      <x:c r="AV81" s="9"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x:f>
        <x:v>122.27219530903733</x:v>
      </x:c>
      <x:c r="AW81" s="10"/>
      <x:c r="AX81" s="9">
        <x:f t="shared" si="16"/>
        <x:v>-0.34200000000000003</x:v>
      </x:c>
      <x:c r="AY81" s="9" t="n">
        <x:f>0</x:f>
        <x:v>0</x:v>
      </x:c>
      <x:c r="AZ81" s="9" t="n">
        <x:f>IF(OR(Inputs!$F$6=TRUE,Inputs!$F$6="TRUE",Inputs!$F$6=1),(Inputs!$H$6+Inputs!$L$6*(((Inputs!$I$6+(((A81)+1)/2)*(Inputs!$J$6-Inputs!$I$6)))/Inputs!$K$6)^2),NA())</x:f>
        <x:v>400.467856</x:v>
      </x:c>
      <x:c r="BA81" s="9" t="n">
        <x:f>IF(OR(Inputs!$F$7=TRUE,Inputs!$F$7="TRUE",Inputs!$F$7=1),(Inputs!$H$7+Inputs!$L$7*(((Inputs!$I$7+(((A81)+1)/2)*(Inputs!$J$7-Inputs!$I$7)))/Inputs!$K$7)^2),NA())</x:f>
        <x:v>77.69186</x:v>
      </x:c>
      <x:c r="BB81" s="9" t="n">
        <x:f>IF(OR(Inputs!$F$8=TRUE,Inputs!$F$8="TRUE",Inputs!$F$8=1),(Inputs!$H$8+Inputs!$L$8*(((Inputs!$I$8+(((A81)+1)/2)*(Inputs!$J$8-Inputs!$I$8)))/Inputs!$K$8)^2),NA())</x:f>
        <x:v>147.87026000000003</x:v>
      </x:c>
      <x:c r="BC81" s="9" t="n">
        <x:f>IF(OR(Inputs!$F$9=TRUE,Inputs!$F$9="TRUE",Inputs!$F$9=1),(Inputs!$H$9+Inputs!$L$9*(((Inputs!$I$9+(((A81)+1)/2)*(Inputs!$J$9-Inputs!$I$9)))/Inputs!$K$9)^2),NA())</x:f>
        <x:v>139.03990000000002</x:v>
      </x:c>
      <x:c r="BD81" s="10"/>
      <x:c r="BE81" s="9">
        <x:f t="shared" si="17"/>
        <x:v>-0.34200000000000003</x:v>
      </x:c>
      <x:c r="BF81" s="9" t="n">
        <x:f>0</x:f>
        <x:v>0</x:v>
      </x:c>
      <x:c r="BG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9" t="n">
        <x:f>ROUND(-1+80*2/240,3)</x:f>
        <x:v>-0.333</x:v>
      </x:c>
      <x:c r="B82" s="9" t="n">
        <x:f>IF(OR(Inputs!$F$6=TRUE,Inputs!$F$6="TRUE",Inputs!$F$6=1),(Inputs!$H$6+Inputs!$L$6*(((Inputs!$I$6+(((A82)+1)/2)*(Inputs!$J$6-Inputs!$I$6)))/Inputs!$K$6)^2),NA())</x:f>
        <x:v>400.443556</x:v>
      </x:c>
      <x:c r="C82" s="9" t="n">
        <x:f>IF(OR(Inputs!$F$7=TRUE,Inputs!$F$7="TRUE",Inputs!$F$7=1),(Inputs!$H$7+Inputs!$L$7*(((Inputs!$I$7+(((A82)+1)/2)*(Inputs!$J$7-Inputs!$I$7)))/Inputs!$K$7)^2),NA())</x:f>
        <x:v>75.47448499999999</x:v>
      </x:c>
      <x:c r="D82" s="9" t="n">
        <x:f>IF(OR(Inputs!$F$8=TRUE,Inputs!$F$8="TRUE",Inputs!$F$8=1),(Inputs!$H$8+Inputs!$L$8*(((Inputs!$I$8+(((A82)+1)/2)*(Inputs!$J$8-Inputs!$I$8)))/Inputs!$K$8)^2),NA())</x:f>
        <x:v>142.007885</x:v>
      </x:c>
      <x:c r="E82" s="9" t="n">
        <x:f>IF(OR(Inputs!$F$9=TRUE,Inputs!$F$9="TRUE",Inputs!$F$9=1),(Inputs!$H$9+Inputs!$L$9*(((Inputs!$I$9+(((A82)+1)/2)*(Inputs!$J$9-Inputs!$I$9)))/Inputs!$K$9)^2),NA())</x:f>
        <x:v>133.11677499999996</x:v>
      </x:c>
      <x:c r="F82" s="10"/>
      <x:c r="G82" s="9">
        <x:f t="shared" si="9"/>
        <x:v>-0.33300000000000002</x:v>
      </x:c>
      <x:c r="H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10"/>
      <x:c r="M82" s="9">
        <x:f t="shared" si="10"/>
        <x:v>-0.33300000000000002</x:v>
      </x:c>
      <x:c r="N82" s="9"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9"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9"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9"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10"/>
      <x:c r="S82" s="9">
        <x:f t="shared" si="11"/>
        <x:v>-0.33300000000000002</x:v>
      </x:c>
      <x:c r="T82" s="9" t="n">
        <x:f>(Inputs!$I$6+(((A82)+1)/2)*(Inputs!$J$6-Inputs!$I$6))</x:f>
        <x:v>-19.979999999999997</x:v>
      </x:c>
      <x:c r="U82" s="9" t="n">
        <x:f>(Inputs!$I$7+(((A82)+1)/2)*(Inputs!$J$7-Inputs!$I$7))</x:f>
        <x:v>-133.2</x:v>
      </x:c>
      <x:c r="V82" s="9" t="n">
        <x:f>(Inputs!$I$8+(((A82)+1)/2)*(Inputs!$J$8-Inputs!$I$8))</x:f>
        <x:v>-266.4</x:v>
      </x:c>
      <x:c r="W82" s="9" t="n">
        <x:f>(Inputs!$I$9+(((A82)+1)/2)*(Inputs!$J$9-Inputs!$I$9))</x:f>
        <x:v>-266.4</x:v>
      </x:c>
      <x:c r="X82" s="10"/>
      <x:c r="Y82" s="9">
        <x:f t="shared" si="12"/>
        <x:v>-0.33300000000000002</x:v>
      </x:c>
      <x:c r="Z82" s="9" t="n">
        <x:f>(Inputs!$H$6+Inputs!$L$6*(((Inputs!$I$6+(((A82)+1)/2)*(Inputs!$J$6-Inputs!$I$6)))/Inputs!$K$6)^2)</x:f>
        <x:v>400.443556</x:v>
      </x:c>
      <x:c r="AA82" s="9" t="n">
        <x:f>(Inputs!$H$7+Inputs!$L$7*(((Inputs!$I$7+(((A82)+1)/2)*(Inputs!$J$7-Inputs!$I$7)))/Inputs!$K$7)^2)</x:f>
        <x:v>75.47448499999999</x:v>
      </x:c>
      <x:c r="AB82" s="9" t="n">
        <x:f>(Inputs!$H$8+Inputs!$L$8*(((Inputs!$I$8+(((A82)+1)/2)*(Inputs!$J$8-Inputs!$I$8)))/Inputs!$K$8)^2)</x:f>
        <x:v>142.007885</x:v>
      </x:c>
      <x:c r="AC82" s="9" t="n">
        <x:f>(Inputs!$H$9+Inputs!$L$9*(((Inputs!$I$9+(((A82)+1)/2)*(Inputs!$J$9-Inputs!$I$9)))/Inputs!$K$9)^2)</x:f>
        <x:v>133.11677499999996</x:v>
      </x:c>
      <x:c r="AD82" s="10"/>
      <x:c r="AE82" s="9">
        <x:f t="shared" si="13"/>
        <x:v>-0.33300000000000002</x:v>
      </x:c>
      <x:c r="AF82" s="9"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9"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9"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9"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10"/>
      <x:c r="AK82" s="9">
        <x:f t="shared" si="14"/>
        <x:v>-0.33300000000000002</x:v>
      </x:c>
      <x:c r="AL82" s="9"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9"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9"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9"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10"/>
      <x:c r="AQ82" s="9">
        <x:f t="shared" si="15"/>
        <x:v>-0.33300000000000002</x:v>
      </x:c>
      <x:c r="AR82" s="9" t="n">
        <x:f>0</x:f>
        <x:v>0</x:v>
      </x:c>
      <x:c r="AS82" s="9"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x:f>
        <x:v>340.4623013664275</x:v>
      </x:c>
      <x:c r="AT82" s="9"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x:f>
        <x:v>106.55345093398108</x:v>
      </x:c>
      <x:c r="AU82" s="9"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x:f>
        <x:v>189.5685678542016</x:v>
      </x:c>
      <x:c r="AV82" s="9"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x:f>
        <x:v>189.5685678542016</x:v>
      </x:c>
      <x:c r="AW82" s="10"/>
      <x:c r="AX82" s="9">
        <x:f t="shared" si="16"/>
        <x:v>-0.33300000000000002</x:v>
      </x:c>
      <x:c r="AY82" s="9" t="n">
        <x:f>0</x:f>
        <x:v>0</x:v>
      </x:c>
      <x:c r="AZ82" s="9" t="n">
        <x:f>IF(OR(Inputs!$F$6=TRUE,Inputs!$F$6="TRUE",Inputs!$F$6=1),(Inputs!$H$6+Inputs!$L$6*(((Inputs!$I$6+(((A82)+1)/2)*(Inputs!$J$6-Inputs!$I$6)))/Inputs!$K$6)^2),NA())</x:f>
        <x:v>400.443556</x:v>
      </x:c>
      <x:c r="BA82" s="9" t="n">
        <x:f>IF(OR(Inputs!$F$7=TRUE,Inputs!$F$7="TRUE",Inputs!$F$7=1),(Inputs!$H$7+Inputs!$L$7*(((Inputs!$I$7+(((A82)+1)/2)*(Inputs!$J$7-Inputs!$I$7)))/Inputs!$K$7)^2),NA())</x:f>
        <x:v>75.47448499999999</x:v>
      </x:c>
      <x:c r="BB82" s="9" t="n">
        <x:f>IF(OR(Inputs!$F$8=TRUE,Inputs!$F$8="TRUE",Inputs!$F$8=1),(Inputs!$H$8+Inputs!$L$8*(((Inputs!$I$8+(((A82)+1)/2)*(Inputs!$J$8-Inputs!$I$8)))/Inputs!$K$8)^2),NA())</x:f>
        <x:v>142.007885</x:v>
      </x:c>
      <x:c r="BC82" s="9" t="n">
        <x:f>IF(OR(Inputs!$F$9=TRUE,Inputs!$F$9="TRUE",Inputs!$F$9=1),(Inputs!$H$9+Inputs!$L$9*(((Inputs!$I$9+(((A82)+1)/2)*(Inputs!$J$9-Inputs!$I$9)))/Inputs!$K$9)^2),NA())</x:f>
        <x:v>133.11677499999996</x:v>
      </x:c>
      <x:c r="BD82" s="10"/>
      <x:c r="BE82" s="9">
        <x:f t="shared" si="17"/>
        <x:v>-0.33300000000000002</x:v>
      </x:c>
      <x:c r="BF82" s="9" t="n">
        <x:f>0</x:f>
        <x:v>0</x:v>
      </x:c>
      <x:c r="BG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9" t="n">
        <x:f>ROUND(-1+81*2/240,3)</x:f>
        <x:v>-0.325</x:v>
      </x:c>
      <x:c r="B83" s="9" t="n">
        <x:f>IF(OR(Inputs!$F$6=TRUE,Inputs!$F$6="TRUE",Inputs!$F$6=1),(Inputs!$H$6+Inputs!$L$6*(((Inputs!$I$6+(((A83)+1)/2)*(Inputs!$J$6-Inputs!$I$6)))/Inputs!$K$6)^2),NA())</x:f>
        <x:v>400.4225</x:v>
      </x:c>
      <x:c r="C83" s="9" t="n">
        <x:f>IF(OR(Inputs!$F$7=TRUE,Inputs!$F$7="TRUE",Inputs!$F$7=1),(Inputs!$H$7+Inputs!$L$7*(((Inputs!$I$7+(((A83)+1)/2)*(Inputs!$J$7-Inputs!$I$7)))/Inputs!$K$7)^2),NA())</x:f>
        <x:v>73.553125</x:v>
      </x:c>
      <x:c r="D83" s="9" t="n">
        <x:f>IF(OR(Inputs!$F$8=TRUE,Inputs!$F$8="TRUE",Inputs!$F$8=1),(Inputs!$H$8+Inputs!$L$8*(((Inputs!$I$8+(((A83)+1)/2)*(Inputs!$J$8-Inputs!$I$8)))/Inputs!$K$8)^2),NA())</x:f>
        <x:v>136.92812500000002</x:v>
      </x:c>
      <x:c r="E83" s="9" t="n">
        <x:f>IF(OR(Inputs!$F$9=TRUE,Inputs!$F$9="TRUE",Inputs!$F$9=1),(Inputs!$H$9+Inputs!$L$9*(((Inputs!$I$9+(((A83)+1)/2)*(Inputs!$J$9-Inputs!$I$9)))/Inputs!$K$9)^2),NA())</x:f>
        <x:v>127.98437500000001</x:v>
      </x:c>
      <x:c r="F83" s="10"/>
      <x:c r="G83" s="9">
        <x:f t="shared" si="9"/>
        <x:v>-0.32500000000000001</x:v>
      </x:c>
      <x:c r="H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10"/>
      <x:c r="M83" s="9">
        <x:f t="shared" si="10"/>
        <x:v>-0.32500000000000001</x:v>
      </x:c>
      <x:c r="N83" s="9"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9"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9"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9"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10"/>
      <x:c r="S83" s="9">
        <x:f t="shared" si="11"/>
        <x:v>-0.32500000000000001</x:v>
      </x:c>
      <x:c r="T83" s="9" t="n">
        <x:f>(Inputs!$I$6+(((A83)+1)/2)*(Inputs!$J$6-Inputs!$I$6))</x:f>
        <x:v>-19.5</x:v>
      </x:c>
      <x:c r="U83" s="9" t="n">
        <x:f>(Inputs!$I$7+(((A83)+1)/2)*(Inputs!$J$7-Inputs!$I$7))</x:f>
        <x:v>-130</x:v>
      </x:c>
      <x:c r="V83" s="9" t="n">
        <x:f>(Inputs!$I$8+(((A83)+1)/2)*(Inputs!$J$8-Inputs!$I$8))</x:f>
        <x:v>-260</x:v>
      </x:c>
      <x:c r="W83" s="9" t="n">
        <x:f>(Inputs!$I$9+(((A83)+1)/2)*(Inputs!$J$9-Inputs!$I$9))</x:f>
        <x:v>-260</x:v>
      </x:c>
      <x:c r="X83" s="10"/>
      <x:c r="Y83" s="9">
        <x:f t="shared" si="12"/>
        <x:v>-0.32500000000000001</x:v>
      </x:c>
      <x:c r="Z83" s="9" t="n">
        <x:f>(Inputs!$H$6+Inputs!$L$6*(((Inputs!$I$6+(((A83)+1)/2)*(Inputs!$J$6-Inputs!$I$6)))/Inputs!$K$6)^2)</x:f>
        <x:v>400.4225</x:v>
      </x:c>
      <x:c r="AA83" s="9" t="n">
        <x:f>(Inputs!$H$7+Inputs!$L$7*(((Inputs!$I$7+(((A83)+1)/2)*(Inputs!$J$7-Inputs!$I$7)))/Inputs!$K$7)^2)</x:f>
        <x:v>73.553125</x:v>
      </x:c>
      <x:c r="AB83" s="9" t="n">
        <x:f>(Inputs!$H$8+Inputs!$L$8*(((Inputs!$I$8+(((A83)+1)/2)*(Inputs!$J$8-Inputs!$I$8)))/Inputs!$K$8)^2)</x:f>
        <x:v>136.92812500000002</x:v>
      </x:c>
      <x:c r="AC83" s="9" t="n">
        <x:f>(Inputs!$H$9+Inputs!$L$9*(((Inputs!$I$9+(((A83)+1)/2)*(Inputs!$J$9-Inputs!$I$9)))/Inputs!$K$9)^2)</x:f>
        <x:v>127.98437500000001</x:v>
      </x:c>
      <x:c r="AD83" s="10"/>
      <x:c r="AE83" s="9">
        <x:f t="shared" si="13"/>
        <x:v>-0.32500000000000001</x:v>
      </x:c>
      <x:c r="AF83" s="9"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9"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9"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9"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10"/>
      <x:c r="AK83" s="9">
        <x:f t="shared" si="14"/>
        <x:v>-0.32500000000000001</x:v>
      </x:c>
      <x:c r="AL83" s="9"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9"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9"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9"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10"/>
      <x:c r="AQ83" s="9">
        <x:f t="shared" si="15"/>
        <x:v>-0.32500000000000001</x:v>
      </x:c>
      <x:c r="AR83" s="9" t="n">
        <x:f>0</x:f>
        <x:v>0</x:v>
      </x:c>
      <x:c r="AS83" s="9"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x:f>
        <x:v>363.81454233496186</x:v>
      </x:c>
      <x:c r="AT83" s="9"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x:f>
        <x:v>117.5912562060257</x:v>
      </x:c>
      <x:c r="AU83" s="9"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x:f>
        <x:v>175.19977595405177</x:v>
      </x:c>
      <x:c r="AV83" s="9"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x:f>
        <x:v>175.19977595405177</x:v>
      </x:c>
      <x:c r="AW83" s="10"/>
      <x:c r="AX83" s="9">
        <x:f t="shared" si="16"/>
        <x:v>-0.32500000000000001</x:v>
      </x:c>
      <x:c r="AY83" s="9" t="n">
        <x:f>0</x:f>
        <x:v>0</x:v>
      </x:c>
      <x:c r="AZ83" s="9" t="n">
        <x:f>IF(OR(Inputs!$F$6=TRUE,Inputs!$F$6="TRUE",Inputs!$F$6=1),(Inputs!$H$6+Inputs!$L$6*(((Inputs!$I$6+(((A83)+1)/2)*(Inputs!$J$6-Inputs!$I$6)))/Inputs!$K$6)^2),NA())</x:f>
        <x:v>400.4225</x:v>
      </x:c>
      <x:c r="BA83" s="9" t="n">
        <x:f>IF(OR(Inputs!$F$7=TRUE,Inputs!$F$7="TRUE",Inputs!$F$7=1),(Inputs!$H$7+Inputs!$L$7*(((Inputs!$I$7+(((A83)+1)/2)*(Inputs!$J$7-Inputs!$I$7)))/Inputs!$K$7)^2),NA())</x:f>
        <x:v>73.553125</x:v>
      </x:c>
      <x:c r="BB83" s="9" t="n">
        <x:f>IF(OR(Inputs!$F$8=TRUE,Inputs!$F$8="TRUE",Inputs!$F$8=1),(Inputs!$H$8+Inputs!$L$8*(((Inputs!$I$8+(((A83)+1)/2)*(Inputs!$J$8-Inputs!$I$8)))/Inputs!$K$8)^2),NA())</x:f>
        <x:v>136.92812500000002</x:v>
      </x:c>
      <x:c r="BC83" s="9" t="n">
        <x:f>IF(OR(Inputs!$F$9=TRUE,Inputs!$F$9="TRUE",Inputs!$F$9=1),(Inputs!$H$9+Inputs!$L$9*(((Inputs!$I$9+(((A83)+1)/2)*(Inputs!$J$9-Inputs!$I$9)))/Inputs!$K$9)^2),NA())</x:f>
        <x:v>127.98437500000001</x:v>
      </x:c>
      <x:c r="BD83" s="10"/>
      <x:c r="BE83" s="9">
        <x:f t="shared" si="17"/>
        <x:v>-0.32500000000000001</x:v>
      </x:c>
      <x:c r="BF83" s="9" t="n">
        <x:f>0</x:f>
        <x:v>0</x:v>
      </x:c>
      <x:c r="BG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9" t="n">
        <x:f>ROUND(-1+82*2/240,3)</x:f>
        <x:v>-0.317</x:v>
      </x:c>
      <x:c r="B84" s="9" t="n">
        <x:f>IF(OR(Inputs!$F$6=TRUE,Inputs!$F$6="TRUE",Inputs!$F$6=1),(Inputs!$H$6+Inputs!$L$6*(((Inputs!$I$6+(((A84)+1)/2)*(Inputs!$J$6-Inputs!$I$6)))/Inputs!$K$6)^2),NA())</x:f>
        <x:v>400.401956</x:v>
      </x:c>
      <x:c r="C84" s="9" t="n">
        <x:f>IF(OR(Inputs!$F$7=TRUE,Inputs!$F$7="TRUE",Inputs!$F$7=1),(Inputs!$H$7+Inputs!$L$7*(((Inputs!$I$7+(((A84)+1)/2)*(Inputs!$J$7-Inputs!$I$7)))/Inputs!$K$7)^2),NA())</x:f>
        <x:v>71.67848499999997</x:v>
      </x:c>
      <x:c r="D84" s="9" t="n">
        <x:f>IF(OR(Inputs!$F$8=TRUE,Inputs!$F$8="TRUE",Inputs!$F$8=1),(Inputs!$H$8+Inputs!$L$8*(((Inputs!$I$8+(((A84)+1)/2)*(Inputs!$J$8-Inputs!$I$8)))/Inputs!$K$8)^2),NA())</x:f>
        <x:v>131.97188499999993</x:v>
      </x:c>
      <x:c r="E84" s="9" t="n">
        <x:f>IF(OR(Inputs!$F$9=TRUE,Inputs!$F$9="TRUE",Inputs!$F$9=1),(Inputs!$H$9+Inputs!$L$9*(((Inputs!$I$9+(((A84)+1)/2)*(Inputs!$J$9-Inputs!$I$9)))/Inputs!$K$9)^2),NA())</x:f>
        <x:v>122.97677499999993</x:v>
      </x:c>
      <x:c r="F84" s="10"/>
      <x:c r="G84" s="9">
        <x:f t="shared" si="9"/>
        <x:v>-0.317</x:v>
      </x:c>
      <x:c r="H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10"/>
      <x:c r="M84" s="9">
        <x:f t="shared" si="10"/>
        <x:v>-0.317</x:v>
      </x:c>
      <x:c r="N84" s="9"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9"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9"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9"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10"/>
      <x:c r="S84" s="9">
        <x:f t="shared" si="11"/>
        <x:v>-0.317</x:v>
      </x:c>
      <x:c r="T84" s="9" t="n">
        <x:f>(Inputs!$I$6+(((A84)+1)/2)*(Inputs!$J$6-Inputs!$I$6))</x:f>
        <x:v>-19.019999999999996</x:v>
      </x:c>
      <x:c r="U84" s="9" t="n">
        <x:f>(Inputs!$I$7+(((A84)+1)/2)*(Inputs!$J$7-Inputs!$I$7))</x:f>
        <x:v>-126.79999999999995</x:v>
      </x:c>
      <x:c r="V84" s="9" t="n">
        <x:f>(Inputs!$I$8+(((A84)+1)/2)*(Inputs!$J$8-Inputs!$I$8))</x:f>
        <x:v>-253.5999999999999</x:v>
      </x:c>
      <x:c r="W84" s="9" t="n">
        <x:f>(Inputs!$I$9+(((A84)+1)/2)*(Inputs!$J$9-Inputs!$I$9))</x:f>
        <x:v>-253.5999999999999</x:v>
      </x:c>
      <x:c r="X84" s="10"/>
      <x:c r="Y84" s="9">
        <x:f t="shared" si="12"/>
        <x:v>-0.317</x:v>
      </x:c>
      <x:c r="Z84" s="9" t="n">
        <x:f>(Inputs!$H$6+Inputs!$L$6*(((Inputs!$I$6+(((A84)+1)/2)*(Inputs!$J$6-Inputs!$I$6)))/Inputs!$K$6)^2)</x:f>
        <x:v>400.401956</x:v>
      </x:c>
      <x:c r="AA84" s="9" t="n">
        <x:f>(Inputs!$H$7+Inputs!$L$7*(((Inputs!$I$7+(((A84)+1)/2)*(Inputs!$J$7-Inputs!$I$7)))/Inputs!$K$7)^2)</x:f>
        <x:v>71.67848499999997</x:v>
      </x:c>
      <x:c r="AB84" s="9" t="n">
        <x:f>(Inputs!$H$8+Inputs!$L$8*(((Inputs!$I$8+(((A84)+1)/2)*(Inputs!$J$8-Inputs!$I$8)))/Inputs!$K$8)^2)</x:f>
        <x:v>131.97188499999993</x:v>
      </x:c>
      <x:c r="AC84" s="9" t="n">
        <x:f>(Inputs!$H$9+Inputs!$L$9*(((Inputs!$I$9+(((A84)+1)/2)*(Inputs!$J$9-Inputs!$I$9)))/Inputs!$K$9)^2)</x:f>
        <x:v>122.97677499999993</x:v>
      </x:c>
      <x:c r="AD84" s="10"/>
      <x:c r="AE84" s="9">
        <x:f t="shared" si="13"/>
        <x:v>-0.317</x:v>
      </x:c>
      <x:c r="AF84" s="9"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9"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9"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9"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10"/>
      <x:c r="AK84" s="9">
        <x:f t="shared" si="14"/>
        <x:v>-0.317</x:v>
      </x:c>
      <x:c r="AL84" s="9"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9"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9"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9"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10"/>
      <x:c r="AQ84" s="9">
        <x:f t="shared" si="15"/>
        <x:v>-0.317</x:v>
      </x:c>
      <x:c r="AR84" s="9" t="n">
        <x:f>0</x:f>
        <x:v>0</x:v>
      </x:c>
      <x:c r="AS84" s="9"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x:f>
        <x:v>361.8338049067382</x:v>
      </x:c>
      <x:c r="AT84" s="9"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x:f>
        <x:v>173.73194471752504</x:v>
      </x:c>
      <x:c r="AU84" s="9"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x:f>
        <x:v>106.5081984940548</x:v>
      </x:c>
      <x:c r="AV84" s="9"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x:f>
        <x:v>106.5081984940548</x:v>
      </x:c>
      <x:c r="AW84" s="10"/>
      <x:c r="AX84" s="9">
        <x:f t="shared" si="16"/>
        <x:v>-0.317</x:v>
      </x:c>
      <x:c r="AY84" s="9" t="n">
        <x:f>0</x:f>
        <x:v>0</x:v>
      </x:c>
      <x:c r="AZ84" s="9" t="n">
        <x:f>IF(OR(Inputs!$F$6=TRUE,Inputs!$F$6="TRUE",Inputs!$F$6=1),(Inputs!$H$6+Inputs!$L$6*(((Inputs!$I$6+(((A84)+1)/2)*(Inputs!$J$6-Inputs!$I$6)))/Inputs!$K$6)^2),NA())</x:f>
        <x:v>400.401956</x:v>
      </x:c>
      <x:c r="BA84" s="9" t="n">
        <x:f>IF(OR(Inputs!$F$7=TRUE,Inputs!$F$7="TRUE",Inputs!$F$7=1),(Inputs!$H$7+Inputs!$L$7*(((Inputs!$I$7+(((A84)+1)/2)*(Inputs!$J$7-Inputs!$I$7)))/Inputs!$K$7)^2),NA())</x:f>
        <x:v>71.67848499999997</x:v>
      </x:c>
      <x:c r="BB84" s="9" t="n">
        <x:f>IF(OR(Inputs!$F$8=TRUE,Inputs!$F$8="TRUE",Inputs!$F$8=1),(Inputs!$H$8+Inputs!$L$8*(((Inputs!$I$8+(((A84)+1)/2)*(Inputs!$J$8-Inputs!$I$8)))/Inputs!$K$8)^2),NA())</x:f>
        <x:v>131.97188499999993</x:v>
      </x:c>
      <x:c r="BC84" s="9" t="n">
        <x:f>IF(OR(Inputs!$F$9=TRUE,Inputs!$F$9="TRUE",Inputs!$F$9=1),(Inputs!$H$9+Inputs!$L$9*(((Inputs!$I$9+(((A84)+1)/2)*(Inputs!$J$9-Inputs!$I$9)))/Inputs!$K$9)^2),NA())</x:f>
        <x:v>122.97677499999993</x:v>
      </x:c>
      <x:c r="BD84" s="10"/>
      <x:c r="BE84" s="9">
        <x:f t="shared" si="17"/>
        <x:v>-0.317</x:v>
      </x:c>
      <x:c r="BF84" s="9" t="n">
        <x:f>0</x:f>
        <x:v>0</x:v>
      </x:c>
      <x:c r="BG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9" t="n">
        <x:f>ROUND(-1+83*2/240,3)</x:f>
        <x:v>-0.308</x:v>
      </x:c>
      <x:c r="B85" s="9" t="n">
        <x:f>IF(OR(Inputs!$F$6=TRUE,Inputs!$F$6="TRUE",Inputs!$F$6=1),(Inputs!$H$6+Inputs!$L$6*(((Inputs!$I$6+(((A85)+1)/2)*(Inputs!$J$6-Inputs!$I$6)))/Inputs!$K$6)^2),NA())</x:f>
        <x:v>400.379456</x:v>
      </x:c>
      <x:c r="C85" s="9" t="n">
        <x:f>IF(OR(Inputs!$F$7=TRUE,Inputs!$F$7="TRUE",Inputs!$F$7=1),(Inputs!$H$7+Inputs!$L$7*(((Inputs!$I$7+(((A85)+1)/2)*(Inputs!$J$7-Inputs!$I$7)))/Inputs!$K$7)^2),NA())</x:f>
        <x:v>69.62536000000003</x:v>
      </x:c>
      <x:c r="D85" s="9" t="n">
        <x:f>IF(OR(Inputs!$F$8=TRUE,Inputs!$F$8="TRUE",Inputs!$F$8=1),(Inputs!$H$8+Inputs!$L$8*(((Inputs!$I$8+(((A85)+1)/2)*(Inputs!$J$8-Inputs!$I$8)))/Inputs!$K$8)^2),NA())</x:f>
        <x:v>126.54376000000006</x:v>
      </x:c>
      <x:c r="E85" s="9" t="n">
        <x:f>IF(OR(Inputs!$F$9=TRUE,Inputs!$F$9="TRUE",Inputs!$F$9=1),(Inputs!$H$9+Inputs!$L$9*(((Inputs!$I$9+(((A85)+1)/2)*(Inputs!$J$9-Inputs!$I$9)))/Inputs!$K$9)^2),NA())</x:f>
        <x:v>117.49240000000006</x:v>
      </x:c>
      <x:c r="F85" s="10"/>
      <x:c r="G85" s="9">
        <x:f t="shared" si="9"/>
        <x:v>-0.308</x:v>
      </x:c>
      <x:c r="H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10"/>
      <x:c r="M85" s="9">
        <x:f t="shared" si="10"/>
        <x:v>-0.308</x:v>
      </x:c>
      <x:c r="N85" s="9"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9"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9"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9"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10"/>
      <x:c r="S85" s="9">
        <x:f t="shared" si="11"/>
        <x:v>-0.308</x:v>
      </x:c>
      <x:c r="T85" s="9" t="n">
        <x:f>(Inputs!$I$6+(((A85)+1)/2)*(Inputs!$J$6-Inputs!$I$6))</x:f>
        <x:v>-18.480000000000004</x:v>
      </x:c>
      <x:c r="U85" s="9" t="n">
        <x:f>(Inputs!$I$7+(((A85)+1)/2)*(Inputs!$J$7-Inputs!$I$7))</x:f>
        <x:v>-123.20000000000005</x:v>
      </x:c>
      <x:c r="V85" s="9" t="n">
        <x:f>(Inputs!$I$8+(((A85)+1)/2)*(Inputs!$J$8-Inputs!$I$8))</x:f>
        <x:v>-246.4000000000001</x:v>
      </x:c>
      <x:c r="W85" s="9" t="n">
        <x:f>(Inputs!$I$9+(((A85)+1)/2)*(Inputs!$J$9-Inputs!$I$9))</x:f>
        <x:v>-246.4000000000001</x:v>
      </x:c>
      <x:c r="X85" s="10"/>
      <x:c r="Y85" s="9">
        <x:f t="shared" si="12"/>
        <x:v>-0.308</x:v>
      </x:c>
      <x:c r="Z85" s="9" t="n">
        <x:f>(Inputs!$H$6+Inputs!$L$6*(((Inputs!$I$6+(((A85)+1)/2)*(Inputs!$J$6-Inputs!$I$6)))/Inputs!$K$6)^2)</x:f>
        <x:v>400.379456</x:v>
      </x:c>
      <x:c r="AA85" s="9" t="n">
        <x:f>(Inputs!$H$7+Inputs!$L$7*(((Inputs!$I$7+(((A85)+1)/2)*(Inputs!$J$7-Inputs!$I$7)))/Inputs!$K$7)^2)</x:f>
        <x:v>69.62536000000003</x:v>
      </x:c>
      <x:c r="AB85" s="9" t="n">
        <x:f>(Inputs!$H$8+Inputs!$L$8*(((Inputs!$I$8+(((A85)+1)/2)*(Inputs!$J$8-Inputs!$I$8)))/Inputs!$K$8)^2)</x:f>
        <x:v>126.54376000000006</x:v>
      </x:c>
      <x:c r="AC85" s="9" t="n">
        <x:f>(Inputs!$H$9+Inputs!$L$9*(((Inputs!$I$9+(((A85)+1)/2)*(Inputs!$J$9-Inputs!$I$9)))/Inputs!$K$9)^2)</x:f>
        <x:v>117.49240000000006</x:v>
      </x:c>
      <x:c r="AD85" s="10"/>
      <x:c r="AE85" s="9">
        <x:f t="shared" si="13"/>
        <x:v>-0.308</x:v>
      </x:c>
      <x:c r="AF85" s="9"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9"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9"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9"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10"/>
      <x:c r="AK85" s="9">
        <x:f t="shared" si="14"/>
        <x:v>-0.308</x:v>
      </x:c>
      <x:c r="AL85" s="9"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9"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9"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9"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10"/>
      <x:c r="AQ85" s="9">
        <x:f t="shared" si="15"/>
        <x:v>-0.308</x:v>
      </x:c>
      <x:c r="AR85" s="9" t="n">
        <x:f>0</x:f>
        <x:v>0</x:v>
      </x:c>
      <x:c r="AS85" s="9"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x:f>
        <x:v>379.8713470592348</x:v>
      </x:c>
      <x:c r="AT85" s="9"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x:f>
        <x:v>191.20807783550785</x:v>
      </x:c>
      <x:c r="AU85" s="9"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x:f>
        <x:v>220.2565592212486</x:v>
      </x:c>
      <x:c r="AV85" s="9"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x:f>
        <x:v>220.2565592212486</x:v>
      </x:c>
      <x:c r="AW85" s="10"/>
      <x:c r="AX85" s="9">
        <x:f t="shared" si="16"/>
        <x:v>-0.308</x:v>
      </x:c>
      <x:c r="AY85" s="9" t="n">
        <x:f>0</x:f>
        <x:v>0</x:v>
      </x:c>
      <x:c r="AZ85" s="9" t="n">
        <x:f>IF(OR(Inputs!$F$6=TRUE,Inputs!$F$6="TRUE",Inputs!$F$6=1),(Inputs!$H$6+Inputs!$L$6*(((Inputs!$I$6+(((A85)+1)/2)*(Inputs!$J$6-Inputs!$I$6)))/Inputs!$K$6)^2),NA())</x:f>
        <x:v>400.379456</x:v>
      </x:c>
      <x:c r="BA85" s="9" t="n">
        <x:f>IF(OR(Inputs!$F$7=TRUE,Inputs!$F$7="TRUE",Inputs!$F$7=1),(Inputs!$H$7+Inputs!$L$7*(((Inputs!$I$7+(((A85)+1)/2)*(Inputs!$J$7-Inputs!$I$7)))/Inputs!$K$7)^2),NA())</x:f>
        <x:v>69.62536000000003</x:v>
      </x:c>
      <x:c r="BB85" s="9" t="n">
        <x:f>IF(OR(Inputs!$F$8=TRUE,Inputs!$F$8="TRUE",Inputs!$F$8=1),(Inputs!$H$8+Inputs!$L$8*(((Inputs!$I$8+(((A85)+1)/2)*(Inputs!$J$8-Inputs!$I$8)))/Inputs!$K$8)^2),NA())</x:f>
        <x:v>126.54376000000006</x:v>
      </x:c>
      <x:c r="BC85" s="9" t="n">
        <x:f>IF(OR(Inputs!$F$9=TRUE,Inputs!$F$9="TRUE",Inputs!$F$9=1),(Inputs!$H$9+Inputs!$L$9*(((Inputs!$I$9+(((A85)+1)/2)*(Inputs!$J$9-Inputs!$I$9)))/Inputs!$K$9)^2),NA())</x:f>
        <x:v>117.49240000000006</x:v>
      </x:c>
      <x:c r="BD85" s="10"/>
      <x:c r="BE85" s="9">
        <x:f t="shared" si="17"/>
        <x:v>-0.308</x:v>
      </x:c>
      <x:c r="BF85" s="9" t="n">
        <x:f>0</x:f>
        <x:v>0</x:v>
      </x:c>
      <x:c r="BG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9" t="n">
        <x:f>ROUND(-1+84*2/240,3)</x:f>
        <x:v>-0.3</x:v>
      </x:c>
      <x:c r="B86" s="9" t="n">
        <x:f>IF(OR(Inputs!$F$6=TRUE,Inputs!$F$6="TRUE",Inputs!$F$6=1),(Inputs!$H$6+Inputs!$L$6*(((Inputs!$I$6+(((A86)+1)/2)*(Inputs!$J$6-Inputs!$I$6)))/Inputs!$K$6)^2),NA())</x:f>
        <x:v>400.36</x:v>
      </x:c>
      <x:c r="C86" s="9" t="n">
        <x:f>IF(OR(Inputs!$F$7=TRUE,Inputs!$F$7="TRUE",Inputs!$F$7=1),(Inputs!$H$7+Inputs!$L$7*(((Inputs!$I$7+(((A86)+1)/2)*(Inputs!$J$7-Inputs!$I$7)))/Inputs!$K$7)^2),NA())</x:f>
        <x:v>67.85</x:v>
      </x:c>
      <x:c r="D86" s="9" t="n">
        <x:f>IF(OR(Inputs!$F$8=TRUE,Inputs!$F$8="TRUE",Inputs!$F$8=1),(Inputs!$H$8+Inputs!$L$8*(((Inputs!$I$8+(((A86)+1)/2)*(Inputs!$J$8-Inputs!$I$8)))/Inputs!$K$8)^2),NA())</x:f>
        <x:v>121.85</x:v>
      </x:c>
      <x:c r="E86" s="9" t="n">
        <x:f>IF(OR(Inputs!$F$9=TRUE,Inputs!$F$9="TRUE",Inputs!$F$9=1),(Inputs!$H$9+Inputs!$L$9*(((Inputs!$I$9+(((A86)+1)/2)*(Inputs!$J$9-Inputs!$I$9)))/Inputs!$K$9)^2),NA())</x:f>
        <x:v>112.75</x:v>
      </x:c>
      <x:c r="F86" s="10"/>
      <x:c r="G86" s="9">
        <x:f t="shared" si="9"/>
        <x:v>-0.3</x:v>
      </x:c>
      <x:c r="H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10"/>
      <x:c r="M86" s="9">
        <x:f t="shared" si="10"/>
        <x:v>-0.3</x:v>
      </x:c>
      <x:c r="N86" s="9"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9"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9"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9"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10"/>
      <x:c r="S86" s="9">
        <x:f t="shared" si="11"/>
        <x:v>-0.3</x:v>
      </x:c>
      <x:c r="T86" s="9" t="n">
        <x:f>(Inputs!$I$6+(((A86)+1)/2)*(Inputs!$J$6-Inputs!$I$6))</x:f>
        <x:v>-18</x:v>
      </x:c>
      <x:c r="U86" s="9" t="n">
        <x:f>(Inputs!$I$7+(((A86)+1)/2)*(Inputs!$J$7-Inputs!$I$7))</x:f>
        <x:v>-120</x:v>
      </x:c>
      <x:c r="V86" s="9" t="n">
        <x:f>(Inputs!$I$8+(((A86)+1)/2)*(Inputs!$J$8-Inputs!$I$8))</x:f>
        <x:v>-240</x:v>
      </x:c>
      <x:c r="W86" s="9" t="n">
        <x:f>(Inputs!$I$9+(((A86)+1)/2)*(Inputs!$J$9-Inputs!$I$9))</x:f>
        <x:v>-240</x:v>
      </x:c>
      <x:c r="X86" s="10"/>
      <x:c r="Y86" s="9">
        <x:f t="shared" si="12"/>
        <x:v>-0.3</x:v>
      </x:c>
      <x:c r="Z86" s="9" t="n">
        <x:f>(Inputs!$H$6+Inputs!$L$6*(((Inputs!$I$6+(((A86)+1)/2)*(Inputs!$J$6-Inputs!$I$6)))/Inputs!$K$6)^2)</x:f>
        <x:v>400.36</x:v>
      </x:c>
      <x:c r="AA86" s="9" t="n">
        <x:f>(Inputs!$H$7+Inputs!$L$7*(((Inputs!$I$7+(((A86)+1)/2)*(Inputs!$J$7-Inputs!$I$7)))/Inputs!$K$7)^2)</x:f>
        <x:v>67.85</x:v>
      </x:c>
      <x:c r="AB86" s="9" t="n">
        <x:f>(Inputs!$H$8+Inputs!$L$8*(((Inputs!$I$8+(((A86)+1)/2)*(Inputs!$J$8-Inputs!$I$8)))/Inputs!$K$8)^2)</x:f>
        <x:v>121.85</x:v>
      </x:c>
      <x:c r="AC86" s="9" t="n">
        <x:f>(Inputs!$H$9+Inputs!$L$9*(((Inputs!$I$9+(((A86)+1)/2)*(Inputs!$J$9-Inputs!$I$9)))/Inputs!$K$9)^2)</x:f>
        <x:v>112.75</x:v>
      </x:c>
      <x:c r="AD86" s="10"/>
      <x:c r="AE86" s="9">
        <x:f t="shared" si="13"/>
        <x:v>-0.3</x:v>
      </x:c>
      <x:c r="AF86" s="9"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9"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9"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9"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10"/>
      <x:c r="AK86" s="9">
        <x:f t="shared" si="14"/>
        <x:v>-0.3</x:v>
      </x:c>
      <x:c r="AL86" s="9"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9"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9"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9"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10"/>
      <x:c r="AQ86" s="9">
        <x:f t="shared" si="15"/>
        <x:v>-0.3</x:v>
      </x:c>
      <x:c r="AR86" s="9" t="n">
        <x:f>0</x:f>
        <x:v>0</x:v>
      </x:c>
      <x:c r="AS86" s="9"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x:f>
        <x:v>392.0220541536099</x:v>
      </x:c>
      <x:c r="AT86" s="9"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x:f>
        <x:v>187.74824264735327</x:v>
      </x:c>
      <x:c r="AU86" s="9"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x:f>
        <x:v>69.60354848630779</x:v>
      </x:c>
      <x:c r="AV86" s="9"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x:f>
        <x:v>69.60354848630779</x:v>
      </x:c>
      <x:c r="AW86" s="10"/>
      <x:c r="AX86" s="9">
        <x:f t="shared" si="16"/>
        <x:v>-0.3</x:v>
      </x:c>
      <x:c r="AY86" s="9" t="n">
        <x:f>0</x:f>
        <x:v>0</x:v>
      </x:c>
      <x:c r="AZ86" s="9" t="n">
        <x:f>IF(OR(Inputs!$F$6=TRUE,Inputs!$F$6="TRUE",Inputs!$F$6=1),(Inputs!$H$6+Inputs!$L$6*(((Inputs!$I$6+(((A86)+1)/2)*(Inputs!$J$6-Inputs!$I$6)))/Inputs!$K$6)^2),NA())</x:f>
        <x:v>400.36</x:v>
      </x:c>
      <x:c r="BA86" s="9" t="n">
        <x:f>IF(OR(Inputs!$F$7=TRUE,Inputs!$F$7="TRUE",Inputs!$F$7=1),(Inputs!$H$7+Inputs!$L$7*(((Inputs!$I$7+(((A86)+1)/2)*(Inputs!$J$7-Inputs!$I$7)))/Inputs!$K$7)^2),NA())</x:f>
        <x:v>67.85</x:v>
      </x:c>
      <x:c r="BB86" s="9" t="n">
        <x:f>IF(OR(Inputs!$F$8=TRUE,Inputs!$F$8="TRUE",Inputs!$F$8=1),(Inputs!$H$8+Inputs!$L$8*(((Inputs!$I$8+(((A86)+1)/2)*(Inputs!$J$8-Inputs!$I$8)))/Inputs!$K$8)^2),NA())</x:f>
        <x:v>121.85</x:v>
      </x:c>
      <x:c r="BC86" s="9" t="n">
        <x:f>IF(OR(Inputs!$F$9=TRUE,Inputs!$F$9="TRUE",Inputs!$F$9=1),(Inputs!$H$9+Inputs!$L$9*(((Inputs!$I$9+(((A86)+1)/2)*(Inputs!$J$9-Inputs!$I$9)))/Inputs!$K$9)^2),NA())</x:f>
        <x:v>112.75</x:v>
      </x:c>
      <x:c r="BD86" s="10"/>
      <x:c r="BE86" s="9">
        <x:f t="shared" si="17"/>
        <x:v>-0.3</x:v>
      </x:c>
      <x:c r="BF86" s="9" t="n">
        <x:f>0</x:f>
        <x:v>0</x:v>
      </x:c>
      <x:c r="BG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9" t="n">
        <x:f>ROUND(-1+85*2/240,3)</x:f>
        <x:v>-0.292</x:v>
      </x:c>
      <x:c r="B87" s="9" t="n">
        <x:f>IF(OR(Inputs!$F$6=TRUE,Inputs!$F$6="TRUE",Inputs!$F$6=1),(Inputs!$H$6+Inputs!$L$6*(((Inputs!$I$6+(((A87)+1)/2)*(Inputs!$J$6-Inputs!$I$6)))/Inputs!$K$6)^2),NA())</x:f>
        <x:v>400.341056</x:v>
      </x:c>
      <x:c r="C87" s="9" t="n">
        <x:f>IF(OR(Inputs!$F$7=TRUE,Inputs!$F$7="TRUE",Inputs!$F$7=1),(Inputs!$H$7+Inputs!$L$7*(((Inputs!$I$7+(((A87)+1)/2)*(Inputs!$J$7-Inputs!$I$7)))/Inputs!$K$7)^2),NA())</x:f>
        <x:v>66.12136000000001</x:v>
      </x:c>
      <x:c r="D87" s="9" t="n">
        <x:f>IF(OR(Inputs!$F$8=TRUE,Inputs!$F$8="TRUE",Inputs!$F$8=1),(Inputs!$H$8+Inputs!$L$8*(((Inputs!$I$8+(((A87)+1)/2)*(Inputs!$J$8-Inputs!$I$8)))/Inputs!$K$8)^2),NA())</x:f>
        <x:v>117.27976000000002</x:v>
      </x:c>
      <x:c r="E87" s="9" t="n">
        <x:f>IF(OR(Inputs!$F$9=TRUE,Inputs!$F$9="TRUE",Inputs!$F$9=1),(Inputs!$H$9+Inputs!$L$9*(((Inputs!$I$9+(((A87)+1)/2)*(Inputs!$J$9-Inputs!$I$9)))/Inputs!$K$9)^2),NA())</x:f>
        <x:v>108.13240000000002</x:v>
      </x:c>
      <x:c r="F87" s="10"/>
      <x:c r="G87" s="9">
        <x:f t="shared" si="9"/>
        <x:v>-0.29199999999999998</x:v>
      </x:c>
      <x:c r="H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10"/>
      <x:c r="M87" s="9">
        <x:f t="shared" si="10"/>
        <x:v>-0.29199999999999998</x:v>
      </x:c>
      <x:c r="N87" s="9"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9"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9"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9"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10"/>
      <x:c r="S87" s="9">
        <x:f t="shared" si="11"/>
        <x:v>-0.29199999999999998</x:v>
      </x:c>
      <x:c r="T87" s="9" t="n">
        <x:f>(Inputs!$I$6+(((A87)+1)/2)*(Inputs!$J$6-Inputs!$I$6))</x:f>
        <x:v>-17.520000000000003</x:v>
      </x:c>
      <x:c r="U87" s="9" t="n">
        <x:f>(Inputs!$I$7+(((A87)+1)/2)*(Inputs!$J$7-Inputs!$I$7))</x:f>
        <x:v>-116.80000000000001</x:v>
      </x:c>
      <x:c r="V87" s="9" t="n">
        <x:f>(Inputs!$I$8+(((A87)+1)/2)*(Inputs!$J$8-Inputs!$I$8))</x:f>
        <x:v>-233.60000000000002</x:v>
      </x:c>
      <x:c r="W87" s="9" t="n">
        <x:f>(Inputs!$I$9+(((A87)+1)/2)*(Inputs!$J$9-Inputs!$I$9))</x:f>
        <x:v>-233.60000000000002</x:v>
      </x:c>
      <x:c r="X87" s="10"/>
      <x:c r="Y87" s="9">
        <x:f t="shared" si="12"/>
        <x:v>-0.29199999999999998</x:v>
      </x:c>
      <x:c r="Z87" s="9" t="n">
        <x:f>(Inputs!$H$6+Inputs!$L$6*(((Inputs!$I$6+(((A87)+1)/2)*(Inputs!$J$6-Inputs!$I$6)))/Inputs!$K$6)^2)</x:f>
        <x:v>400.341056</x:v>
      </x:c>
      <x:c r="AA87" s="9" t="n">
        <x:f>(Inputs!$H$7+Inputs!$L$7*(((Inputs!$I$7+(((A87)+1)/2)*(Inputs!$J$7-Inputs!$I$7)))/Inputs!$K$7)^2)</x:f>
        <x:v>66.12136000000001</x:v>
      </x:c>
      <x:c r="AB87" s="9" t="n">
        <x:f>(Inputs!$H$8+Inputs!$L$8*(((Inputs!$I$8+(((A87)+1)/2)*(Inputs!$J$8-Inputs!$I$8)))/Inputs!$K$8)^2)</x:f>
        <x:v>117.27976000000002</x:v>
      </x:c>
      <x:c r="AC87" s="9" t="n">
        <x:f>(Inputs!$H$9+Inputs!$L$9*(((Inputs!$I$9+(((A87)+1)/2)*(Inputs!$J$9-Inputs!$I$9)))/Inputs!$K$9)^2)</x:f>
        <x:v>108.13240000000002</x:v>
      </x:c>
      <x:c r="AD87" s="10"/>
      <x:c r="AE87" s="9">
        <x:f t="shared" si="13"/>
        <x:v>-0.29199999999999998</x:v>
      </x:c>
      <x:c r="AF87" s="9"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9"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9"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9"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10"/>
      <x:c r="AK87" s="9">
        <x:f t="shared" si="14"/>
        <x:v>-0.29199999999999998</x:v>
      </x:c>
      <x:c r="AL87" s="9"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9"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9"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9"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10"/>
      <x:c r="AQ87" s="9">
        <x:f t="shared" si="15"/>
        <x:v>-0.29199999999999998</x:v>
      </x:c>
      <x:c r="AR87" s="9" t="n">
        <x:f>0</x:f>
        <x:v>0</x:v>
      </x:c>
      <x:c r="AS87" s="9"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x:f>
        <x:v>395.37288831251874</x:v>
      </x:c>
      <x:c r="AT87" s="9"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x:f>
        <x:v>166.1708306315741</x:v>
      </x:c>
      <x:c r="AU87" s="9"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x:f>
        <x:v>142.71283057846875</x:v>
      </x:c>
      <x:c r="AV87" s="9"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x:f>
        <x:v>142.71283057846875</x:v>
      </x:c>
      <x:c r="AW87" s="10"/>
      <x:c r="AX87" s="9">
        <x:f t="shared" si="16"/>
        <x:v>-0.29199999999999998</x:v>
      </x:c>
      <x:c r="AY87" s="9" t="n">
        <x:f>0</x:f>
        <x:v>0</x:v>
      </x:c>
      <x:c r="AZ87" s="9" t="n">
        <x:f>IF(OR(Inputs!$F$6=TRUE,Inputs!$F$6="TRUE",Inputs!$F$6=1),(Inputs!$H$6+Inputs!$L$6*(((Inputs!$I$6+(((A87)+1)/2)*(Inputs!$J$6-Inputs!$I$6)))/Inputs!$K$6)^2),NA())</x:f>
        <x:v>400.341056</x:v>
      </x:c>
      <x:c r="BA87" s="9" t="n">
        <x:f>IF(OR(Inputs!$F$7=TRUE,Inputs!$F$7="TRUE",Inputs!$F$7=1),(Inputs!$H$7+Inputs!$L$7*(((Inputs!$I$7+(((A87)+1)/2)*(Inputs!$J$7-Inputs!$I$7)))/Inputs!$K$7)^2),NA())</x:f>
        <x:v>66.12136000000001</x:v>
      </x:c>
      <x:c r="BB87" s="9" t="n">
        <x:f>IF(OR(Inputs!$F$8=TRUE,Inputs!$F$8="TRUE",Inputs!$F$8=1),(Inputs!$H$8+Inputs!$L$8*(((Inputs!$I$8+(((A87)+1)/2)*(Inputs!$J$8-Inputs!$I$8)))/Inputs!$K$8)^2),NA())</x:f>
        <x:v>117.27976000000002</x:v>
      </x:c>
      <x:c r="BC87" s="9" t="n">
        <x:f>IF(OR(Inputs!$F$9=TRUE,Inputs!$F$9="TRUE",Inputs!$F$9=1),(Inputs!$H$9+Inputs!$L$9*(((Inputs!$I$9+(((A87)+1)/2)*(Inputs!$J$9-Inputs!$I$9)))/Inputs!$K$9)^2),NA())</x:f>
        <x:v>108.13240000000002</x:v>
      </x:c>
      <x:c r="BD87" s="10"/>
      <x:c r="BE87" s="9">
        <x:f t="shared" si="17"/>
        <x:v>-0.29199999999999998</x:v>
      </x:c>
      <x:c r="BF87" s="9" t="n">
        <x:f>0</x:f>
        <x:v>0</x:v>
      </x:c>
      <x:c r="BG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9" t="n">
        <x:f>ROUND(-1+86*2/240,3)</x:f>
        <x:v>-0.283</x:v>
      </x:c>
      <x:c r="B88" s="9" t="n">
        <x:f>IF(OR(Inputs!$F$6=TRUE,Inputs!$F$6="TRUE",Inputs!$F$6=1),(Inputs!$H$6+Inputs!$L$6*(((Inputs!$I$6+(((A88)+1)/2)*(Inputs!$J$6-Inputs!$I$6)))/Inputs!$K$6)^2),NA())</x:f>
        <x:v>400.320356</x:v>
      </x:c>
      <x:c r="C88" s="9" t="n">
        <x:f>IF(OR(Inputs!$F$7=TRUE,Inputs!$F$7="TRUE",Inputs!$F$7=1),(Inputs!$H$7+Inputs!$L$7*(((Inputs!$I$7+(((A88)+1)/2)*(Inputs!$J$7-Inputs!$I$7)))/Inputs!$K$7)^2),NA())</x:f>
        <x:v>64.232485</x:v>
      </x:c>
      <x:c r="D88" s="9" t="n">
        <x:f>IF(OR(Inputs!$F$8=TRUE,Inputs!$F$8="TRUE",Inputs!$F$8=1),(Inputs!$H$8+Inputs!$L$8*(((Inputs!$I$8+(((A88)+1)/2)*(Inputs!$J$8-Inputs!$I$8)))/Inputs!$K$8)^2),NA())</x:f>
        <x:v>112.28588499999998</x:v>
      </x:c>
      <x:c r="E88" s="9" t="n">
        <x:f>IF(OR(Inputs!$F$9=TRUE,Inputs!$F$9="TRUE",Inputs!$F$9=1),(Inputs!$H$9+Inputs!$L$9*(((Inputs!$I$9+(((A88)+1)/2)*(Inputs!$J$9-Inputs!$I$9)))/Inputs!$K$9)^2),NA())</x:f>
        <x:v>103.08677499999997</x:v>
      </x:c>
      <x:c r="F88" s="10"/>
      <x:c r="G88" s="9">
        <x:f t="shared" si="9"/>
        <x:v>-0.28299999999999997</x:v>
      </x:c>
      <x:c r="H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10"/>
      <x:c r="M88" s="9">
        <x:f t="shared" si="10"/>
        <x:v>-0.28299999999999997</x:v>
      </x:c>
      <x:c r="N88" s="9"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9"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9"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9"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10"/>
      <x:c r="S88" s="9">
        <x:f t="shared" si="11"/>
        <x:v>-0.28299999999999997</x:v>
      </x:c>
      <x:c r="T88" s="9" t="n">
        <x:f>(Inputs!$I$6+(((A88)+1)/2)*(Inputs!$J$6-Inputs!$I$6))</x:f>
        <x:v>-16.979999999999997</x:v>
      </x:c>
      <x:c r="U88" s="9" t="n">
        <x:f>(Inputs!$I$7+(((A88)+1)/2)*(Inputs!$J$7-Inputs!$I$7))</x:f>
        <x:v>-113.19999999999999</x:v>
      </x:c>
      <x:c r="V88" s="9" t="n">
        <x:f>(Inputs!$I$8+(((A88)+1)/2)*(Inputs!$J$8-Inputs!$I$8))</x:f>
        <x:v>-226.39999999999998</x:v>
      </x:c>
      <x:c r="W88" s="9" t="n">
        <x:f>(Inputs!$I$9+(((A88)+1)/2)*(Inputs!$J$9-Inputs!$I$9))</x:f>
        <x:v>-226.39999999999998</x:v>
      </x:c>
      <x:c r="X88" s="10"/>
      <x:c r="Y88" s="9">
        <x:f t="shared" si="12"/>
        <x:v>-0.28299999999999997</x:v>
      </x:c>
      <x:c r="Z88" s="9" t="n">
        <x:f>(Inputs!$H$6+Inputs!$L$6*(((Inputs!$I$6+(((A88)+1)/2)*(Inputs!$J$6-Inputs!$I$6)))/Inputs!$K$6)^2)</x:f>
        <x:v>400.320356</x:v>
      </x:c>
      <x:c r="AA88" s="9" t="n">
        <x:f>(Inputs!$H$7+Inputs!$L$7*(((Inputs!$I$7+(((A88)+1)/2)*(Inputs!$J$7-Inputs!$I$7)))/Inputs!$K$7)^2)</x:f>
        <x:v>64.232485</x:v>
      </x:c>
      <x:c r="AB88" s="9" t="n">
        <x:f>(Inputs!$H$8+Inputs!$L$8*(((Inputs!$I$8+(((A88)+1)/2)*(Inputs!$J$8-Inputs!$I$8)))/Inputs!$K$8)^2)</x:f>
        <x:v>112.28588499999998</x:v>
      </x:c>
      <x:c r="AC88" s="9" t="n">
        <x:f>(Inputs!$H$9+Inputs!$L$9*(((Inputs!$I$9+(((A88)+1)/2)*(Inputs!$J$9-Inputs!$I$9)))/Inputs!$K$9)^2)</x:f>
        <x:v>103.08677499999997</x:v>
      </x:c>
      <x:c r="AD88" s="10"/>
      <x:c r="AE88" s="9">
        <x:f t="shared" si="13"/>
        <x:v>-0.28299999999999997</x:v>
      </x:c>
      <x:c r="AF88" s="9"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9"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9"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9"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10"/>
      <x:c r="AK88" s="9">
        <x:f t="shared" si="14"/>
        <x:v>-0.28299999999999997</x:v>
      </x:c>
      <x:c r="AL88" s="9"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9"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9"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9"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10"/>
      <x:c r="AQ88" s="9">
        <x:f t="shared" si="15"/>
        <x:v>-0.28299999999999997</x:v>
      </x:c>
      <x:c r="AR88" s="9" t="n">
        <x:f>0</x:f>
        <x:v>0</x:v>
      </x:c>
      <x:c r="AS88" s="9"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x:f>
        <x:v>391.83521152426374</x:v>
      </x:c>
      <x:c r="AT88" s="9"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x:f>
        <x:v>106.97667359655283</x:v>
      </x:c>
      <x:c r="AU88" s="9"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x:f>
        <x:v>144.72885879136467</x:v>
      </x:c>
      <x:c r="AV88" s="9"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x:f>
        <x:v>144.72885879136467</x:v>
      </x:c>
      <x:c r="AW88" s="10"/>
      <x:c r="AX88" s="9">
        <x:f t="shared" si="16"/>
        <x:v>-0.28299999999999997</x:v>
      </x:c>
      <x:c r="AY88" s="9" t="n">
        <x:f>0</x:f>
        <x:v>0</x:v>
      </x:c>
      <x:c r="AZ88" s="9" t="n">
        <x:f>IF(OR(Inputs!$F$6=TRUE,Inputs!$F$6="TRUE",Inputs!$F$6=1),(Inputs!$H$6+Inputs!$L$6*(((Inputs!$I$6+(((A88)+1)/2)*(Inputs!$J$6-Inputs!$I$6)))/Inputs!$K$6)^2),NA())</x:f>
        <x:v>400.320356</x:v>
      </x:c>
      <x:c r="BA88" s="9" t="n">
        <x:f>IF(OR(Inputs!$F$7=TRUE,Inputs!$F$7="TRUE",Inputs!$F$7=1),(Inputs!$H$7+Inputs!$L$7*(((Inputs!$I$7+(((A88)+1)/2)*(Inputs!$J$7-Inputs!$I$7)))/Inputs!$K$7)^2),NA())</x:f>
        <x:v>64.232485</x:v>
      </x:c>
      <x:c r="BB88" s="9" t="n">
        <x:f>IF(OR(Inputs!$F$8=TRUE,Inputs!$F$8="TRUE",Inputs!$F$8=1),(Inputs!$H$8+Inputs!$L$8*(((Inputs!$I$8+(((A88)+1)/2)*(Inputs!$J$8-Inputs!$I$8)))/Inputs!$K$8)^2),NA())</x:f>
        <x:v>112.28588499999998</x:v>
      </x:c>
      <x:c r="BC88" s="9" t="n">
        <x:f>IF(OR(Inputs!$F$9=TRUE,Inputs!$F$9="TRUE",Inputs!$F$9=1),(Inputs!$H$9+Inputs!$L$9*(((Inputs!$I$9+(((A88)+1)/2)*(Inputs!$J$9-Inputs!$I$9)))/Inputs!$K$9)^2),NA())</x:f>
        <x:v>103.08677499999997</x:v>
      </x:c>
      <x:c r="BD88" s="10"/>
      <x:c r="BE88" s="9">
        <x:f t="shared" si="17"/>
        <x:v>-0.28299999999999997</x:v>
      </x:c>
      <x:c r="BF88" s="9" t="n">
        <x:f>0</x:f>
        <x:v>0</x:v>
      </x:c>
      <x:c r="BG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9" t="n">
        <x:f>ROUND(-1+87*2/240,3)</x:f>
        <x:v>-0.275</x:v>
      </x:c>
      <x:c r="B89" s="9" t="n">
        <x:f>IF(OR(Inputs!$F$6=TRUE,Inputs!$F$6="TRUE",Inputs!$F$6=1),(Inputs!$H$6+Inputs!$L$6*(((Inputs!$I$6+(((A89)+1)/2)*(Inputs!$J$6-Inputs!$I$6)))/Inputs!$K$6)^2),NA())</x:f>
        <x:v>400.3025</x:v>
      </x:c>
      <x:c r="C89" s="9" t="n">
        <x:f>IF(OR(Inputs!$F$7=TRUE,Inputs!$F$7="TRUE",Inputs!$F$7=1),(Inputs!$H$7+Inputs!$L$7*(((Inputs!$I$7+(((A89)+1)/2)*(Inputs!$J$7-Inputs!$I$7)))/Inputs!$K$7)^2),NA())</x:f>
        <x:v>62.603125000000006</x:v>
      </x:c>
      <x:c r="D89" s="9" t="n">
        <x:f>IF(OR(Inputs!$F$8=TRUE,Inputs!$F$8="TRUE",Inputs!$F$8=1),(Inputs!$H$8+Inputs!$L$8*(((Inputs!$I$8+(((A89)+1)/2)*(Inputs!$J$8-Inputs!$I$8)))/Inputs!$K$8)^2),NA())</x:f>
        <x:v>107.978125</x:v>
      </x:c>
      <x:c r="E89" s="9" t="n">
        <x:f>IF(OR(Inputs!$F$9=TRUE,Inputs!$F$9="TRUE",Inputs!$F$9=1),(Inputs!$H$9+Inputs!$L$9*(((Inputs!$I$9+(((A89)+1)/2)*(Inputs!$J$9-Inputs!$I$9)))/Inputs!$K$9)^2),NA())</x:f>
        <x:v>98.73437500000001</x:v>
      </x:c>
      <x:c r="F89" s="10"/>
      <x:c r="G89" s="9">
        <x:f t="shared" si="9"/>
        <x:v>-0.27500000000000002</x:v>
      </x:c>
      <x:c r="H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10"/>
      <x:c r="M89" s="9">
        <x:f t="shared" si="10"/>
        <x:v>-0.27500000000000002</x:v>
      </x:c>
      <x:c r="N89" s="9"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9"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9"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9"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10"/>
      <x:c r="S89" s="9">
        <x:f t="shared" si="11"/>
        <x:v>-0.27500000000000002</x:v>
      </x:c>
      <x:c r="T89" s="9" t="n">
        <x:f>(Inputs!$I$6+(((A89)+1)/2)*(Inputs!$J$6-Inputs!$I$6))</x:f>
        <x:v>-16.5</x:v>
      </x:c>
      <x:c r="U89" s="9" t="n">
        <x:f>(Inputs!$I$7+(((A89)+1)/2)*(Inputs!$J$7-Inputs!$I$7))</x:f>
        <x:v>-110</x:v>
      </x:c>
      <x:c r="V89" s="9" t="n">
        <x:f>(Inputs!$I$8+(((A89)+1)/2)*(Inputs!$J$8-Inputs!$I$8))</x:f>
        <x:v>-220</x:v>
      </x:c>
      <x:c r="W89" s="9" t="n">
        <x:f>(Inputs!$I$9+(((A89)+1)/2)*(Inputs!$J$9-Inputs!$I$9))</x:f>
        <x:v>-220</x:v>
      </x:c>
      <x:c r="X89" s="10"/>
      <x:c r="Y89" s="9">
        <x:f t="shared" si="12"/>
        <x:v>-0.27500000000000002</x:v>
      </x:c>
      <x:c r="Z89" s="9" t="n">
        <x:f>(Inputs!$H$6+Inputs!$L$6*(((Inputs!$I$6+(((A89)+1)/2)*(Inputs!$J$6-Inputs!$I$6)))/Inputs!$K$6)^2)</x:f>
        <x:v>400.3025</x:v>
      </x:c>
      <x:c r="AA89" s="9" t="n">
        <x:f>(Inputs!$H$7+Inputs!$L$7*(((Inputs!$I$7+(((A89)+1)/2)*(Inputs!$J$7-Inputs!$I$7)))/Inputs!$K$7)^2)</x:f>
        <x:v>62.603125000000006</x:v>
      </x:c>
      <x:c r="AB89" s="9" t="n">
        <x:f>(Inputs!$H$8+Inputs!$L$8*(((Inputs!$I$8+(((A89)+1)/2)*(Inputs!$J$8-Inputs!$I$8)))/Inputs!$K$8)^2)</x:f>
        <x:v>107.978125</x:v>
      </x:c>
      <x:c r="AC89" s="9" t="n">
        <x:f>(Inputs!$H$9+Inputs!$L$9*(((Inputs!$I$9+(((A89)+1)/2)*(Inputs!$J$9-Inputs!$I$9)))/Inputs!$K$9)^2)</x:f>
        <x:v>98.73437500000001</x:v>
      </x:c>
      <x:c r="AD89" s="10"/>
      <x:c r="AE89" s="9">
        <x:f t="shared" si="13"/>
        <x:v>-0.27500000000000002</x:v>
      </x:c>
      <x:c r="AF89" s="9"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9"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9"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9"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10"/>
      <x:c r="AK89" s="9">
        <x:f t="shared" si="14"/>
        <x:v>-0.27500000000000002</x:v>
      </x:c>
      <x:c r="AL89" s="9"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9"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9"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9"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10"/>
      <x:c r="AQ89" s="9">
        <x:f t="shared" si="15"/>
        <x:v>-0.27500000000000002</x:v>
      </x:c>
      <x:c r="AR89" s="9" t="n">
        <x:f>0</x:f>
        <x:v>0</x:v>
      </x:c>
      <x:c r="AS89" s="9"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x:f>
        <x:v>387.1431058674635</x:v>
      </x:c>
      <x:c r="AT89" s="9"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x:f>
        <x:v>119.85391272646716</x:v>
      </x:c>
      <x:c r="AU89" s="9"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x:f>
        <x:v>59.09231307218772</x:v>
      </x:c>
      <x:c r="AV89" s="9"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x:f>
        <x:v>59.09231307218772</x:v>
      </x:c>
      <x:c r="AW89" s="10"/>
      <x:c r="AX89" s="9">
        <x:f t="shared" si="16"/>
        <x:v>-0.27500000000000002</x:v>
      </x:c>
      <x:c r="AY89" s="9" t="n">
        <x:f>0</x:f>
        <x:v>0</x:v>
      </x:c>
      <x:c r="AZ89" s="9" t="n">
        <x:f>IF(OR(Inputs!$F$6=TRUE,Inputs!$F$6="TRUE",Inputs!$F$6=1),(Inputs!$H$6+Inputs!$L$6*(((Inputs!$I$6+(((A89)+1)/2)*(Inputs!$J$6-Inputs!$I$6)))/Inputs!$K$6)^2),NA())</x:f>
        <x:v>400.3025</x:v>
      </x:c>
      <x:c r="BA89" s="9" t="n">
        <x:f>IF(OR(Inputs!$F$7=TRUE,Inputs!$F$7="TRUE",Inputs!$F$7=1),(Inputs!$H$7+Inputs!$L$7*(((Inputs!$I$7+(((A89)+1)/2)*(Inputs!$J$7-Inputs!$I$7)))/Inputs!$K$7)^2),NA())</x:f>
        <x:v>62.603125000000006</x:v>
      </x:c>
      <x:c r="BB89" s="9" t="n">
        <x:f>IF(OR(Inputs!$F$8=TRUE,Inputs!$F$8="TRUE",Inputs!$F$8=1),(Inputs!$H$8+Inputs!$L$8*(((Inputs!$I$8+(((A89)+1)/2)*(Inputs!$J$8-Inputs!$I$8)))/Inputs!$K$8)^2),NA())</x:f>
        <x:v>107.978125</x:v>
      </x:c>
      <x:c r="BC89" s="9" t="n">
        <x:f>IF(OR(Inputs!$F$9=TRUE,Inputs!$F$9="TRUE",Inputs!$F$9=1),(Inputs!$H$9+Inputs!$L$9*(((Inputs!$I$9+(((A89)+1)/2)*(Inputs!$J$9-Inputs!$I$9)))/Inputs!$K$9)^2),NA())</x:f>
        <x:v>98.73437500000001</x:v>
      </x:c>
      <x:c r="BD89" s="10"/>
      <x:c r="BE89" s="9">
        <x:f t="shared" si="17"/>
        <x:v>-0.27500000000000002</x:v>
      </x:c>
      <x:c r="BF89" s="9" t="n">
        <x:f>0</x:f>
        <x:v>0</x:v>
      </x:c>
      <x:c r="BG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9" t="n">
        <x:f>ROUND(-1+88*2/240,3)</x:f>
        <x:v>-0.267</x:v>
      </x:c>
      <x:c r="B90" s="9" t="n">
        <x:f>IF(OR(Inputs!$F$6=TRUE,Inputs!$F$6="TRUE",Inputs!$F$6=1),(Inputs!$H$6+Inputs!$L$6*(((Inputs!$I$6+(((A90)+1)/2)*(Inputs!$J$6-Inputs!$I$6)))/Inputs!$K$6)^2),NA())</x:f>
        <x:v>400.285156</x:v>
      </x:c>
      <x:c r="C90" s="9" t="n">
        <x:f>IF(OR(Inputs!$F$7=TRUE,Inputs!$F$7="TRUE",Inputs!$F$7=1),(Inputs!$H$7+Inputs!$L$7*(((Inputs!$I$7+(((A90)+1)/2)*(Inputs!$J$7-Inputs!$I$7)))/Inputs!$K$7)^2),NA())</x:f>
        <x:v>61.020485</x:v>
      </x:c>
      <x:c r="D90" s="9" t="n">
        <x:f>IF(OR(Inputs!$F$8=TRUE,Inputs!$F$8="TRUE",Inputs!$F$8=1),(Inputs!$H$8+Inputs!$L$8*(((Inputs!$I$8+(((A90)+1)/2)*(Inputs!$J$8-Inputs!$I$8)))/Inputs!$K$8)^2),NA())</x:f>
        <x:v>103.793885</x:v>
      </x:c>
      <x:c r="E90" s="9" t="n">
        <x:f>IF(OR(Inputs!$F$9=TRUE,Inputs!$F$9="TRUE",Inputs!$F$9=1),(Inputs!$H$9+Inputs!$L$9*(((Inputs!$I$9+(((A90)+1)/2)*(Inputs!$J$9-Inputs!$I$9)))/Inputs!$K$9)^2),NA())</x:f>
        <x:v>94.506775</x:v>
      </x:c>
      <x:c r="F90" s="10"/>
      <x:c r="G90" s="9">
        <x:f t="shared" si="9"/>
        <x:v>-0.26700000000000002</x:v>
      </x:c>
      <x:c r="H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10"/>
      <x:c r="M90" s="9">
        <x:f t="shared" si="10"/>
        <x:v>-0.26700000000000002</x:v>
      </x:c>
      <x:c r="N90" s="9"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9"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9"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9"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10"/>
      <x:c r="S90" s="9">
        <x:f t="shared" si="11"/>
        <x:v>-0.26700000000000002</x:v>
      </x:c>
      <x:c r="T90" s="9" t="n">
        <x:f>(Inputs!$I$6+(((A90)+1)/2)*(Inputs!$J$6-Inputs!$I$6))</x:f>
        <x:v>-16.020000000000003</x:v>
      </x:c>
      <x:c r="U90" s="9" t="n">
        <x:f>(Inputs!$I$7+(((A90)+1)/2)*(Inputs!$J$7-Inputs!$I$7))</x:f>
        <x:v>-106.80000000000001</x:v>
      </x:c>
      <x:c r="V90" s="9" t="n">
        <x:f>(Inputs!$I$8+(((A90)+1)/2)*(Inputs!$J$8-Inputs!$I$8))</x:f>
        <x:v>-213.60000000000002</x:v>
      </x:c>
      <x:c r="W90" s="9" t="n">
        <x:f>(Inputs!$I$9+(((A90)+1)/2)*(Inputs!$J$9-Inputs!$I$9))</x:f>
        <x:v>-213.60000000000002</x:v>
      </x:c>
      <x:c r="X90" s="10"/>
      <x:c r="Y90" s="9">
        <x:f t="shared" si="12"/>
        <x:v>-0.26700000000000002</x:v>
      </x:c>
      <x:c r="Z90" s="9" t="n">
        <x:f>(Inputs!$H$6+Inputs!$L$6*(((Inputs!$I$6+(((A90)+1)/2)*(Inputs!$J$6-Inputs!$I$6)))/Inputs!$K$6)^2)</x:f>
        <x:v>400.285156</x:v>
      </x:c>
      <x:c r="AA90" s="9" t="n">
        <x:f>(Inputs!$H$7+Inputs!$L$7*(((Inputs!$I$7+(((A90)+1)/2)*(Inputs!$J$7-Inputs!$I$7)))/Inputs!$K$7)^2)</x:f>
        <x:v>61.020485</x:v>
      </x:c>
      <x:c r="AB90" s="9" t="n">
        <x:f>(Inputs!$H$8+Inputs!$L$8*(((Inputs!$I$8+(((A90)+1)/2)*(Inputs!$J$8-Inputs!$I$8)))/Inputs!$K$8)^2)</x:f>
        <x:v>103.793885</x:v>
      </x:c>
      <x:c r="AC90" s="9" t="n">
        <x:f>(Inputs!$H$9+Inputs!$L$9*(((Inputs!$I$9+(((A90)+1)/2)*(Inputs!$J$9-Inputs!$I$9)))/Inputs!$K$9)^2)</x:f>
        <x:v>94.506775</x:v>
      </x:c>
      <x:c r="AD90" s="10"/>
      <x:c r="AE90" s="9">
        <x:f t="shared" si="13"/>
        <x:v>-0.26700000000000002</x:v>
      </x:c>
      <x:c r="AF90" s="9"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9"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9"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9"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10"/>
      <x:c r="AK90" s="9">
        <x:f t="shared" si="14"/>
        <x:v>-0.26700000000000002</x:v>
      </x:c>
      <x:c r="AL90" s="9"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9"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9"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9"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10"/>
      <x:c r="AQ90" s="9">
        <x:f t="shared" si="15"/>
        <x:v>-0.26700000000000002</x:v>
      </x:c>
      <x:c r="AR90" s="9" t="n">
        <x:f>0</x:f>
        <x:v>0</x:v>
      </x:c>
      <x:c r="AS90" s="9"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x:f>
        <x:v>411.95834992609537</x:v>
      </x:c>
      <x:c r="AT90" s="9"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x:f>
        <x:v>170.54952463049938</x:v>
      </x:c>
      <x:c r="AU90" s="9"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x:f>
        <x:v>183.09682132314393</x:v>
      </x:c>
      <x:c r="AV90" s="9"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x:f>
        <x:v>183.09682132314393</x:v>
      </x:c>
      <x:c r="AW90" s="10"/>
      <x:c r="AX90" s="9">
        <x:f t="shared" si="16"/>
        <x:v>-0.26700000000000002</x:v>
      </x:c>
      <x:c r="AY90" s="9" t="n">
        <x:f>0</x:f>
        <x:v>0</x:v>
      </x:c>
      <x:c r="AZ90" s="9" t="n">
        <x:f>IF(OR(Inputs!$F$6=TRUE,Inputs!$F$6="TRUE",Inputs!$F$6=1),(Inputs!$H$6+Inputs!$L$6*(((Inputs!$I$6+(((A90)+1)/2)*(Inputs!$J$6-Inputs!$I$6)))/Inputs!$K$6)^2),NA())</x:f>
        <x:v>400.285156</x:v>
      </x:c>
      <x:c r="BA90" s="9" t="n">
        <x:f>IF(OR(Inputs!$F$7=TRUE,Inputs!$F$7="TRUE",Inputs!$F$7=1),(Inputs!$H$7+Inputs!$L$7*(((Inputs!$I$7+(((A90)+1)/2)*(Inputs!$J$7-Inputs!$I$7)))/Inputs!$K$7)^2),NA())</x:f>
        <x:v>61.020485</x:v>
      </x:c>
      <x:c r="BB90" s="9" t="n">
        <x:f>IF(OR(Inputs!$F$8=TRUE,Inputs!$F$8="TRUE",Inputs!$F$8=1),(Inputs!$H$8+Inputs!$L$8*(((Inputs!$I$8+(((A90)+1)/2)*(Inputs!$J$8-Inputs!$I$8)))/Inputs!$K$8)^2),NA())</x:f>
        <x:v>103.793885</x:v>
      </x:c>
      <x:c r="BC90" s="9" t="n">
        <x:f>IF(OR(Inputs!$F$9=TRUE,Inputs!$F$9="TRUE",Inputs!$F$9=1),(Inputs!$H$9+Inputs!$L$9*(((Inputs!$I$9+(((A90)+1)/2)*(Inputs!$J$9-Inputs!$I$9)))/Inputs!$K$9)^2),NA())</x:f>
        <x:v>94.506775</x:v>
      </x:c>
      <x:c r="BD90" s="10"/>
      <x:c r="BE90" s="9">
        <x:f t="shared" si="17"/>
        <x:v>-0.26700000000000002</x:v>
      </x:c>
      <x:c r="BF90" s="9" t="n">
        <x:f>0</x:f>
        <x:v>0</x:v>
      </x:c>
      <x:c r="BG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9" t="n">
        <x:f>ROUND(-1+89*2/240,3)</x:f>
        <x:v>-0.258</x:v>
      </x:c>
      <x:c r="B91" s="9" t="n">
        <x:f>IF(OR(Inputs!$F$6=TRUE,Inputs!$F$6="TRUE",Inputs!$F$6=1),(Inputs!$H$6+Inputs!$L$6*(((Inputs!$I$6+(((A91)+1)/2)*(Inputs!$J$6-Inputs!$I$6)))/Inputs!$K$6)^2),NA())</x:f>
        <x:v>400.266256</x:v>
      </x:c>
      <x:c r="C91" s="9" t="n">
        <x:f>IF(OR(Inputs!$F$7=TRUE,Inputs!$F$7="TRUE",Inputs!$F$7=1),(Inputs!$H$7+Inputs!$L$7*(((Inputs!$I$7+(((A91)+1)/2)*(Inputs!$J$7-Inputs!$I$7)))/Inputs!$K$7)^2),NA())</x:f>
        <x:v>59.29585999999999</x:v>
      </x:c>
      <x:c r="D91" s="9" t="n">
        <x:f>IF(OR(Inputs!$F$8=TRUE,Inputs!$F$8="TRUE",Inputs!$F$8=1),(Inputs!$H$8+Inputs!$L$8*(((Inputs!$I$8+(((A91)+1)/2)*(Inputs!$J$8-Inputs!$I$8)))/Inputs!$K$8)^2),NA())</x:f>
        <x:v>99.23425999999998</x:v>
      </x:c>
      <x:c r="E91" s="9" t="n">
        <x:f>IF(OR(Inputs!$F$9=TRUE,Inputs!$F$9="TRUE",Inputs!$F$9=1),(Inputs!$H$9+Inputs!$L$9*(((Inputs!$I$9+(((A91)+1)/2)*(Inputs!$J$9-Inputs!$I$9)))/Inputs!$K$9)^2),NA())</x:f>
        <x:v>89.89989999999997</x:v>
      </x:c>
      <x:c r="F91" s="10"/>
      <x:c r="G91" s="9">
        <x:f t="shared" si="9"/>
        <x:v>-0.25800000000000001</x:v>
      </x:c>
      <x:c r="H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10"/>
      <x:c r="M91" s="9">
        <x:f t="shared" si="10"/>
        <x:v>-0.25800000000000001</x:v>
      </x:c>
      <x:c r="N91" s="9"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9"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9"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9"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10"/>
      <x:c r="S91" s="9">
        <x:f t="shared" si="11"/>
        <x:v>-0.25800000000000001</x:v>
      </x:c>
      <x:c r="T91" s="9" t="n">
        <x:f>(Inputs!$I$6+(((A91)+1)/2)*(Inputs!$J$6-Inputs!$I$6))</x:f>
        <x:v>-15.480000000000004</x:v>
      </x:c>
      <x:c r="U91" s="9" t="n">
        <x:f>(Inputs!$I$7+(((A91)+1)/2)*(Inputs!$J$7-Inputs!$I$7))</x:f>
        <x:v>-103.19999999999999</x:v>
      </x:c>
      <x:c r="V91" s="9" t="n">
        <x:f>(Inputs!$I$8+(((A91)+1)/2)*(Inputs!$J$8-Inputs!$I$8))</x:f>
        <x:v>-206.39999999999998</x:v>
      </x:c>
      <x:c r="W91" s="9" t="n">
        <x:f>(Inputs!$I$9+(((A91)+1)/2)*(Inputs!$J$9-Inputs!$I$9))</x:f>
        <x:v>-206.39999999999998</x:v>
      </x:c>
      <x:c r="X91" s="10"/>
      <x:c r="Y91" s="9">
        <x:f t="shared" si="12"/>
        <x:v>-0.25800000000000001</x:v>
      </x:c>
      <x:c r="Z91" s="9" t="n">
        <x:f>(Inputs!$H$6+Inputs!$L$6*(((Inputs!$I$6+(((A91)+1)/2)*(Inputs!$J$6-Inputs!$I$6)))/Inputs!$K$6)^2)</x:f>
        <x:v>400.266256</x:v>
      </x:c>
      <x:c r="AA91" s="9" t="n">
        <x:f>(Inputs!$H$7+Inputs!$L$7*(((Inputs!$I$7+(((A91)+1)/2)*(Inputs!$J$7-Inputs!$I$7)))/Inputs!$K$7)^2)</x:f>
        <x:v>59.29585999999999</x:v>
      </x:c>
      <x:c r="AB91" s="9" t="n">
        <x:f>(Inputs!$H$8+Inputs!$L$8*(((Inputs!$I$8+(((A91)+1)/2)*(Inputs!$J$8-Inputs!$I$8)))/Inputs!$K$8)^2)</x:f>
        <x:v>99.23425999999998</x:v>
      </x:c>
      <x:c r="AC91" s="9" t="n">
        <x:f>(Inputs!$H$9+Inputs!$L$9*(((Inputs!$I$9+(((A91)+1)/2)*(Inputs!$J$9-Inputs!$I$9)))/Inputs!$K$9)^2)</x:f>
        <x:v>89.89989999999997</x:v>
      </x:c>
      <x:c r="AD91" s="10"/>
      <x:c r="AE91" s="9">
        <x:f t="shared" si="13"/>
        <x:v>-0.25800000000000001</x:v>
      </x:c>
      <x:c r="AF91" s="9"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9"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9"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9"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10"/>
      <x:c r="AK91" s="9">
        <x:f t="shared" si="14"/>
        <x:v>-0.25800000000000001</x:v>
      </x:c>
      <x:c r="AL91" s="9"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9"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9"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9"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10"/>
      <x:c r="AQ91" s="9">
        <x:f t="shared" si="15"/>
        <x:v>-0.25800000000000001</x:v>
      </x:c>
      <x:c r="AR91" s="9" t="n">
        <x:f>0</x:f>
        <x:v>0</x:v>
      </x:c>
      <x:c r="AS91" s="9"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x:f>
        <x:v>398.02576729991495</x:v>
      </x:c>
      <x:c r="AT91" s="9"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x:f>
        <x:v>184.56314417059855</x:v>
      </x:c>
      <x:c r="AU91" s="9"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x:f>
        <x:v>121.8970743858531</x:v>
      </x:c>
      <x:c r="AV91" s="9"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x:f>
        <x:v>121.8970743858531</x:v>
      </x:c>
      <x:c r="AW91" s="10"/>
      <x:c r="AX91" s="9">
        <x:f t="shared" si="16"/>
        <x:v>-0.25800000000000001</x:v>
      </x:c>
      <x:c r="AY91" s="9" t="n">
        <x:f>0</x:f>
        <x:v>0</x:v>
      </x:c>
      <x:c r="AZ91" s="9" t="n">
        <x:f>IF(OR(Inputs!$F$6=TRUE,Inputs!$F$6="TRUE",Inputs!$F$6=1),(Inputs!$H$6+Inputs!$L$6*(((Inputs!$I$6+(((A91)+1)/2)*(Inputs!$J$6-Inputs!$I$6)))/Inputs!$K$6)^2),NA())</x:f>
        <x:v>400.266256</x:v>
      </x:c>
      <x:c r="BA91" s="9" t="n">
        <x:f>IF(OR(Inputs!$F$7=TRUE,Inputs!$F$7="TRUE",Inputs!$F$7=1),(Inputs!$H$7+Inputs!$L$7*(((Inputs!$I$7+(((A91)+1)/2)*(Inputs!$J$7-Inputs!$I$7)))/Inputs!$K$7)^2),NA())</x:f>
        <x:v>59.29585999999999</x:v>
      </x:c>
      <x:c r="BB91" s="9" t="n">
        <x:f>IF(OR(Inputs!$F$8=TRUE,Inputs!$F$8="TRUE",Inputs!$F$8=1),(Inputs!$H$8+Inputs!$L$8*(((Inputs!$I$8+(((A91)+1)/2)*(Inputs!$J$8-Inputs!$I$8)))/Inputs!$K$8)^2),NA())</x:f>
        <x:v>99.23425999999998</x:v>
      </x:c>
      <x:c r="BC91" s="9" t="n">
        <x:f>IF(OR(Inputs!$F$9=TRUE,Inputs!$F$9="TRUE",Inputs!$F$9=1),(Inputs!$H$9+Inputs!$L$9*(((Inputs!$I$9+(((A91)+1)/2)*(Inputs!$J$9-Inputs!$I$9)))/Inputs!$K$9)^2),NA())</x:f>
        <x:v>89.89989999999997</x:v>
      </x:c>
      <x:c r="BD91" s="10"/>
      <x:c r="BE91" s="9">
        <x:f t="shared" si="17"/>
        <x:v>-0.25800000000000001</x:v>
      </x:c>
      <x:c r="BF91" s="9" t="n">
        <x:f>0</x:f>
        <x:v>0</x:v>
      </x:c>
      <x:c r="BG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9" t="n">
        <x:f>ROUND(-1+90*2/240,3)</x:f>
        <x:v>-0.25</x:v>
      </x:c>
      <x:c r="B92" s="9" t="n">
        <x:f>IF(OR(Inputs!$F$6=TRUE,Inputs!$F$6="TRUE",Inputs!$F$6=1),(Inputs!$H$6+Inputs!$L$6*(((Inputs!$I$6+(((A92)+1)/2)*(Inputs!$J$6-Inputs!$I$6)))/Inputs!$K$6)^2),NA())</x:f>
        <x:v>400.25</x:v>
      </x:c>
      <x:c r="C92" s="9" t="n">
        <x:f>IF(OR(Inputs!$F$7=TRUE,Inputs!$F$7="TRUE",Inputs!$F$7=1),(Inputs!$H$7+Inputs!$L$7*(((Inputs!$I$7+(((A92)+1)/2)*(Inputs!$J$7-Inputs!$I$7)))/Inputs!$K$7)^2),NA())</x:f>
        <x:v>57.8125</x:v>
      </x:c>
      <x:c r="D92" s="9" t="n">
        <x:f>IF(OR(Inputs!$F$8=TRUE,Inputs!$F$8="TRUE",Inputs!$F$8=1),(Inputs!$H$8+Inputs!$L$8*(((Inputs!$I$8+(((A92)+1)/2)*(Inputs!$J$8-Inputs!$I$8)))/Inputs!$K$8)^2),NA())</x:f>
        <x:v>95.3125</x:v>
      </x:c>
      <x:c r="E92" s="9" t="n">
        <x:f>IF(OR(Inputs!$F$9=TRUE,Inputs!$F$9="TRUE",Inputs!$F$9=1),(Inputs!$H$9+Inputs!$L$9*(((Inputs!$I$9+(((A92)+1)/2)*(Inputs!$J$9-Inputs!$I$9)))/Inputs!$K$9)^2),NA())</x:f>
        <x:v>85.9375</x:v>
      </x:c>
      <x:c r="F92" s="10"/>
      <x:c r="G92" s="9">
        <x:f t="shared" si="9"/>
        <x:v>-0.25</x:v>
      </x:c>
      <x:c r="H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10"/>
      <x:c r="M92" s="9">
        <x:f t="shared" si="10"/>
        <x:v>-0.25</x:v>
      </x:c>
      <x:c r="N92" s="9"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9"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9"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9"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10"/>
      <x:c r="S92" s="9">
        <x:f t="shared" si="11"/>
        <x:v>-0.25</x:v>
      </x:c>
      <x:c r="T92" s="9" t="n">
        <x:f>(Inputs!$I$6+(((A92)+1)/2)*(Inputs!$J$6-Inputs!$I$6))</x:f>
        <x:v>-15</x:v>
      </x:c>
      <x:c r="U92" s="9" t="n">
        <x:f>(Inputs!$I$7+(((A92)+1)/2)*(Inputs!$J$7-Inputs!$I$7))</x:f>
        <x:v>-100</x:v>
      </x:c>
      <x:c r="V92" s="9" t="n">
        <x:f>(Inputs!$I$8+(((A92)+1)/2)*(Inputs!$J$8-Inputs!$I$8))</x:f>
        <x:v>-200</x:v>
      </x:c>
      <x:c r="W92" s="9" t="n">
        <x:f>(Inputs!$I$9+(((A92)+1)/2)*(Inputs!$J$9-Inputs!$I$9))</x:f>
        <x:v>-200</x:v>
      </x:c>
      <x:c r="X92" s="10"/>
      <x:c r="Y92" s="9">
        <x:f t="shared" si="12"/>
        <x:v>-0.25</x:v>
      </x:c>
      <x:c r="Z92" s="9" t="n">
        <x:f>(Inputs!$H$6+Inputs!$L$6*(((Inputs!$I$6+(((A92)+1)/2)*(Inputs!$J$6-Inputs!$I$6)))/Inputs!$K$6)^2)</x:f>
        <x:v>400.25</x:v>
      </x:c>
      <x:c r="AA92" s="9" t="n">
        <x:f>(Inputs!$H$7+Inputs!$L$7*(((Inputs!$I$7+(((A92)+1)/2)*(Inputs!$J$7-Inputs!$I$7)))/Inputs!$K$7)^2)</x:f>
        <x:v>57.8125</x:v>
      </x:c>
      <x:c r="AB92" s="9" t="n">
        <x:f>(Inputs!$H$8+Inputs!$L$8*(((Inputs!$I$8+(((A92)+1)/2)*(Inputs!$J$8-Inputs!$I$8)))/Inputs!$K$8)^2)</x:f>
        <x:v>95.3125</x:v>
      </x:c>
      <x:c r="AC92" s="9" t="n">
        <x:f>(Inputs!$H$9+Inputs!$L$9*(((Inputs!$I$9+(((A92)+1)/2)*(Inputs!$J$9-Inputs!$I$9)))/Inputs!$K$9)^2)</x:f>
        <x:v>85.9375</x:v>
      </x:c>
      <x:c r="AD92" s="10"/>
      <x:c r="AE92" s="9">
        <x:f t="shared" si="13"/>
        <x:v>-0.25</x:v>
      </x:c>
      <x:c r="AF92" s="9"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9"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9"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9"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10"/>
      <x:c r="AK92" s="9">
        <x:f t="shared" si="14"/>
        <x:v>-0.25</x:v>
      </x:c>
      <x:c r="AL92" s="9"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9"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9"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9"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10"/>
      <x:c r="AQ92" s="9">
        <x:f t="shared" si="15"/>
        <x:v>-0.25</x:v>
      </x:c>
      <x:c r="AR92" s="9" t="n">
        <x:f>0</x:f>
        <x:v>0</x:v>
      </x:c>
      <x:c r="AS92" s="9"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x:f>
        <x:v>416.63024006091615</x:v>
      </x:c>
      <x:c r="AT92" s="9"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x:f>
        <x:v>150.02974859207296</x:v>
      </x:c>
      <x:c r="AU92" s="9"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x:f>
        <x:v>148.2272687423736</x:v>
      </x:c>
      <x:c r="AV92" s="9"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x:f>
        <x:v>148.2272687423736</x:v>
      </x:c>
      <x:c r="AW92" s="10"/>
      <x:c r="AX92" s="9">
        <x:f t="shared" si="16"/>
        <x:v>-0.25</x:v>
      </x:c>
      <x:c r="AY92" s="9" t="n">
        <x:f>0</x:f>
        <x:v>0</x:v>
      </x:c>
      <x:c r="AZ92" s="9" t="n">
        <x:f>IF(OR(Inputs!$F$6=TRUE,Inputs!$F$6="TRUE",Inputs!$F$6=1),(Inputs!$H$6+Inputs!$L$6*(((Inputs!$I$6+(((A92)+1)/2)*(Inputs!$J$6-Inputs!$I$6)))/Inputs!$K$6)^2),NA())</x:f>
        <x:v>400.25</x:v>
      </x:c>
      <x:c r="BA92" s="9" t="n">
        <x:f>IF(OR(Inputs!$F$7=TRUE,Inputs!$F$7="TRUE",Inputs!$F$7=1),(Inputs!$H$7+Inputs!$L$7*(((Inputs!$I$7+(((A92)+1)/2)*(Inputs!$J$7-Inputs!$I$7)))/Inputs!$K$7)^2),NA())</x:f>
        <x:v>57.8125</x:v>
      </x:c>
      <x:c r="BB92" s="9" t="n">
        <x:f>IF(OR(Inputs!$F$8=TRUE,Inputs!$F$8="TRUE",Inputs!$F$8=1),(Inputs!$H$8+Inputs!$L$8*(((Inputs!$I$8+(((A92)+1)/2)*(Inputs!$J$8-Inputs!$I$8)))/Inputs!$K$8)^2),NA())</x:f>
        <x:v>95.3125</x:v>
      </x:c>
      <x:c r="BC92" s="9" t="n">
        <x:f>IF(OR(Inputs!$F$9=TRUE,Inputs!$F$9="TRUE",Inputs!$F$9=1),(Inputs!$H$9+Inputs!$L$9*(((Inputs!$I$9+(((A92)+1)/2)*(Inputs!$J$9-Inputs!$I$9)))/Inputs!$K$9)^2),NA())</x:f>
        <x:v>85.9375</x:v>
      </x:c>
      <x:c r="BD92" s="10"/>
      <x:c r="BE92" s="9">
        <x:f t="shared" si="17"/>
        <x:v>-0.25</x:v>
      </x:c>
      <x:c r="BF92" s="9" t="n">
        <x:f>0</x:f>
        <x:v>0</x:v>
      </x:c>
      <x:c r="BG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9" t="n">
        <x:f>ROUND(-1+91*2/240,3)</x:f>
        <x:v>-0.242</x:v>
      </x:c>
      <x:c r="B93" s="9" t="n">
        <x:f>IF(OR(Inputs!$F$6=TRUE,Inputs!$F$6="TRUE",Inputs!$F$6=1),(Inputs!$H$6+Inputs!$L$6*(((Inputs!$I$6+(((A93)+1)/2)*(Inputs!$J$6-Inputs!$I$6)))/Inputs!$K$6)^2),NA())</x:f>
        <x:v>400.234256</x:v>
      </x:c>
      <x:c r="C93" s="9" t="n">
        <x:f>IF(OR(Inputs!$F$7=TRUE,Inputs!$F$7="TRUE",Inputs!$F$7=1),(Inputs!$H$7+Inputs!$L$7*(((Inputs!$I$7+(((A93)+1)/2)*(Inputs!$J$7-Inputs!$I$7)))/Inputs!$K$7)^2),NA())</x:f>
        <x:v>56.37586</x:v>
      </x:c>
      <x:c r="D93" s="9" t="n">
        <x:f>IF(OR(Inputs!$F$8=TRUE,Inputs!$F$8="TRUE",Inputs!$F$8=1),(Inputs!$H$8+Inputs!$L$8*(((Inputs!$I$8+(((A93)+1)/2)*(Inputs!$J$8-Inputs!$I$8)))/Inputs!$K$8)^2),NA())</x:f>
        <x:v>91.51426000000001</x:v>
      </x:c>
      <x:c r="E93" s="9" t="n">
        <x:f>IF(OR(Inputs!$F$9=TRUE,Inputs!$F$9="TRUE",Inputs!$F$9=1),(Inputs!$H$9+Inputs!$L$9*(((Inputs!$I$9+(((A93)+1)/2)*(Inputs!$J$9-Inputs!$I$9)))/Inputs!$K$9)^2),NA())</x:f>
        <x:v>82.09990000000002</x:v>
      </x:c>
      <x:c r="F93" s="10"/>
      <x:c r="G93" s="9">
        <x:f t="shared" si="9"/>
        <x:v>-0.24199999999999999</x:v>
      </x:c>
      <x:c r="H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10"/>
      <x:c r="M93" s="9">
        <x:f t="shared" si="10"/>
        <x:v>-0.24199999999999999</x:v>
      </x:c>
      <x:c r="N93" s="9"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9"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9"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9"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10"/>
      <x:c r="S93" s="9">
        <x:f t="shared" si="11"/>
        <x:v>-0.24199999999999999</x:v>
      </x:c>
      <x:c r="T93" s="9" t="n">
        <x:f>(Inputs!$I$6+(((A93)+1)/2)*(Inputs!$J$6-Inputs!$I$6))</x:f>
        <x:v>-14.519999999999996</x:v>
      </x:c>
      <x:c r="U93" s="9" t="n">
        <x:f>(Inputs!$I$7+(((A93)+1)/2)*(Inputs!$J$7-Inputs!$I$7))</x:f>
        <x:v>-96.80000000000001</x:v>
      </x:c>
      <x:c r="V93" s="9" t="n">
        <x:f>(Inputs!$I$8+(((A93)+1)/2)*(Inputs!$J$8-Inputs!$I$8))</x:f>
        <x:v>-193.60000000000002</x:v>
      </x:c>
      <x:c r="W93" s="9" t="n">
        <x:f>(Inputs!$I$9+(((A93)+1)/2)*(Inputs!$J$9-Inputs!$I$9))</x:f>
        <x:v>-193.60000000000002</x:v>
      </x:c>
      <x:c r="X93" s="10"/>
      <x:c r="Y93" s="9">
        <x:f t="shared" si="12"/>
        <x:v>-0.24199999999999999</x:v>
      </x:c>
      <x:c r="Z93" s="9" t="n">
        <x:f>(Inputs!$H$6+Inputs!$L$6*(((Inputs!$I$6+(((A93)+1)/2)*(Inputs!$J$6-Inputs!$I$6)))/Inputs!$K$6)^2)</x:f>
        <x:v>400.234256</x:v>
      </x:c>
      <x:c r="AA93" s="9" t="n">
        <x:f>(Inputs!$H$7+Inputs!$L$7*(((Inputs!$I$7+(((A93)+1)/2)*(Inputs!$J$7-Inputs!$I$7)))/Inputs!$K$7)^2)</x:f>
        <x:v>56.37586</x:v>
      </x:c>
      <x:c r="AB93" s="9" t="n">
        <x:f>(Inputs!$H$8+Inputs!$L$8*(((Inputs!$I$8+(((A93)+1)/2)*(Inputs!$J$8-Inputs!$I$8)))/Inputs!$K$8)^2)</x:f>
        <x:v>91.51426000000001</x:v>
      </x:c>
      <x:c r="AC93" s="9" t="n">
        <x:f>(Inputs!$H$9+Inputs!$L$9*(((Inputs!$I$9+(((A93)+1)/2)*(Inputs!$J$9-Inputs!$I$9)))/Inputs!$K$9)^2)</x:f>
        <x:v>82.09990000000002</x:v>
      </x:c>
      <x:c r="AD93" s="10"/>
      <x:c r="AE93" s="9">
        <x:f t="shared" si="13"/>
        <x:v>-0.24199999999999999</x:v>
      </x:c>
      <x:c r="AF93" s="9"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9"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9"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9"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10"/>
      <x:c r="AK93" s="9">
        <x:f t="shared" si="14"/>
        <x:v>-0.24199999999999999</x:v>
      </x:c>
      <x:c r="AL93" s="9"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9"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9"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9"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10"/>
      <x:c r="AQ93" s="9">
        <x:f t="shared" si="15"/>
        <x:v>-0.24199999999999999</x:v>
      </x:c>
      <x:c r="AR93" s="9" t="n">
        <x:f>0</x:f>
        <x:v>0</x:v>
      </x:c>
      <x:c r="AS93" s="9"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x:f>
        <x:v>411.80681282193876</x:v>
      </x:c>
      <x:c r="AT93" s="9"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x:f>
        <x:v>80.77763409112393</x:v>
      </x:c>
      <x:c r="AU93" s="9"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x:f>
        <x:v>177.31758154206727</x:v>
      </x:c>
      <x:c r="AV93" s="9"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x:f>
        <x:v>177.31758154206727</x:v>
      </x:c>
      <x:c r="AW93" s="10"/>
      <x:c r="AX93" s="9">
        <x:f t="shared" si="16"/>
        <x:v>-0.24199999999999999</x:v>
      </x:c>
      <x:c r="AY93" s="9" t="n">
        <x:f>0</x:f>
        <x:v>0</x:v>
      </x:c>
      <x:c r="AZ93" s="9" t="n">
        <x:f>IF(OR(Inputs!$F$6=TRUE,Inputs!$F$6="TRUE",Inputs!$F$6=1),(Inputs!$H$6+Inputs!$L$6*(((Inputs!$I$6+(((A93)+1)/2)*(Inputs!$J$6-Inputs!$I$6)))/Inputs!$K$6)^2),NA())</x:f>
        <x:v>400.234256</x:v>
      </x:c>
      <x:c r="BA93" s="9" t="n">
        <x:f>IF(OR(Inputs!$F$7=TRUE,Inputs!$F$7="TRUE",Inputs!$F$7=1),(Inputs!$H$7+Inputs!$L$7*(((Inputs!$I$7+(((A93)+1)/2)*(Inputs!$J$7-Inputs!$I$7)))/Inputs!$K$7)^2),NA())</x:f>
        <x:v>56.37586</x:v>
      </x:c>
      <x:c r="BB93" s="9" t="n">
        <x:f>IF(OR(Inputs!$F$8=TRUE,Inputs!$F$8="TRUE",Inputs!$F$8=1),(Inputs!$H$8+Inputs!$L$8*(((Inputs!$I$8+(((A93)+1)/2)*(Inputs!$J$8-Inputs!$I$8)))/Inputs!$K$8)^2),NA())</x:f>
        <x:v>91.51426000000001</x:v>
      </x:c>
      <x:c r="BC93" s="9" t="n">
        <x:f>IF(OR(Inputs!$F$9=TRUE,Inputs!$F$9="TRUE",Inputs!$F$9=1),(Inputs!$H$9+Inputs!$L$9*(((Inputs!$I$9+(((A93)+1)/2)*(Inputs!$J$9-Inputs!$I$9)))/Inputs!$K$9)^2),NA())</x:f>
        <x:v>82.09990000000002</x:v>
      </x:c>
      <x:c r="BD93" s="10"/>
      <x:c r="BE93" s="9">
        <x:f t="shared" si="17"/>
        <x:v>-0.24199999999999999</x:v>
      </x:c>
      <x:c r="BF93" s="9" t="n">
        <x:f>0</x:f>
        <x:v>0</x:v>
      </x:c>
      <x:c r="BG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9" t="n">
        <x:f>ROUND(-1+92*2/240,3)</x:f>
        <x:v>-0.233</x:v>
      </x:c>
      <x:c r="B94" s="9" t="n">
        <x:f>IF(OR(Inputs!$F$6=TRUE,Inputs!$F$6="TRUE",Inputs!$F$6=1),(Inputs!$H$6+Inputs!$L$6*(((Inputs!$I$6+(((A94)+1)/2)*(Inputs!$J$6-Inputs!$I$6)))/Inputs!$K$6)^2),NA())</x:f>
        <x:v>400.217156</x:v>
      </x:c>
      <x:c r="C94" s="9" t="n">
        <x:f>IF(OR(Inputs!$F$7=TRUE,Inputs!$F$7="TRUE",Inputs!$F$7=1),(Inputs!$H$7+Inputs!$L$7*(((Inputs!$I$7+(((A94)+1)/2)*(Inputs!$J$7-Inputs!$I$7)))/Inputs!$K$7)^2),NA())</x:f>
        <x:v>54.815484999999995</x:v>
      </x:c>
      <x:c r="D94" s="9" t="n">
        <x:f>IF(OR(Inputs!$F$8=TRUE,Inputs!$F$8="TRUE",Inputs!$F$8=1),(Inputs!$H$8+Inputs!$L$8*(((Inputs!$I$8+(((A94)+1)/2)*(Inputs!$J$8-Inputs!$I$8)))/Inputs!$K$8)^2),NA())</x:f>
        <x:v>87.38888499999999</x:v>
      </x:c>
      <x:c r="E94" s="9" t="n">
        <x:f>IF(OR(Inputs!$F$9=TRUE,Inputs!$F$9="TRUE",Inputs!$F$9=1),(Inputs!$H$9+Inputs!$L$9*(((Inputs!$I$9+(((A94)+1)/2)*(Inputs!$J$9-Inputs!$I$9)))/Inputs!$K$9)^2),NA())</x:f>
        <x:v>77.93177499999999</x:v>
      </x:c>
      <x:c r="F94" s="10"/>
      <x:c r="G94" s="9">
        <x:f t="shared" si="9"/>
        <x:v>-0.23300000000000001</x:v>
      </x:c>
      <x:c r="H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10"/>
      <x:c r="M94" s="9">
        <x:f t="shared" si="10"/>
        <x:v>-0.23300000000000001</x:v>
      </x:c>
      <x:c r="N94" s="9"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9"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9"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9"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10"/>
      <x:c r="S94" s="9">
        <x:f t="shared" si="11"/>
        <x:v>-0.23300000000000001</x:v>
      </x:c>
      <x:c r="T94" s="9" t="n">
        <x:f>(Inputs!$I$6+(((A94)+1)/2)*(Inputs!$J$6-Inputs!$I$6))</x:f>
        <x:v>-13.979999999999997</x:v>
      </x:c>
      <x:c r="U94" s="9" t="n">
        <x:f>(Inputs!$I$7+(((A94)+1)/2)*(Inputs!$J$7-Inputs!$I$7))</x:f>
        <x:v>-93.19999999999999</x:v>
      </x:c>
      <x:c r="V94" s="9" t="n">
        <x:f>(Inputs!$I$8+(((A94)+1)/2)*(Inputs!$J$8-Inputs!$I$8))</x:f>
        <x:v>-186.39999999999998</x:v>
      </x:c>
      <x:c r="W94" s="9" t="n">
        <x:f>(Inputs!$I$9+(((A94)+1)/2)*(Inputs!$J$9-Inputs!$I$9))</x:f>
        <x:v>-186.39999999999998</x:v>
      </x:c>
      <x:c r="X94" s="10"/>
      <x:c r="Y94" s="9">
        <x:f t="shared" si="12"/>
        <x:v>-0.23300000000000001</x:v>
      </x:c>
      <x:c r="Z94" s="9" t="n">
        <x:f>(Inputs!$H$6+Inputs!$L$6*(((Inputs!$I$6+(((A94)+1)/2)*(Inputs!$J$6-Inputs!$I$6)))/Inputs!$K$6)^2)</x:f>
        <x:v>400.217156</x:v>
      </x:c>
      <x:c r="AA94" s="9" t="n">
        <x:f>(Inputs!$H$7+Inputs!$L$7*(((Inputs!$I$7+(((A94)+1)/2)*(Inputs!$J$7-Inputs!$I$7)))/Inputs!$K$7)^2)</x:f>
        <x:v>54.815484999999995</x:v>
      </x:c>
      <x:c r="AB94" s="9" t="n">
        <x:f>(Inputs!$H$8+Inputs!$L$8*(((Inputs!$I$8+(((A94)+1)/2)*(Inputs!$J$8-Inputs!$I$8)))/Inputs!$K$8)^2)</x:f>
        <x:v>87.38888499999999</x:v>
      </x:c>
      <x:c r="AC94" s="9" t="n">
        <x:f>(Inputs!$H$9+Inputs!$L$9*(((Inputs!$I$9+(((A94)+1)/2)*(Inputs!$J$9-Inputs!$I$9)))/Inputs!$K$9)^2)</x:f>
        <x:v>77.93177499999999</x:v>
      </x:c>
      <x:c r="AD94" s="10"/>
      <x:c r="AE94" s="9">
        <x:f t="shared" si="13"/>
        <x:v>-0.23300000000000001</x:v>
      </x:c>
      <x:c r="AF94" s="9"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9"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9"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9"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10"/>
      <x:c r="AK94" s="9">
        <x:f t="shared" si="14"/>
        <x:v>-0.23300000000000001</x:v>
      </x:c>
      <x:c r="AL94" s="9"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9"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9"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9"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10"/>
      <x:c r="AQ94" s="9">
        <x:f t="shared" si="15"/>
        <x:v>-0.23300000000000001</x:v>
      </x:c>
      <x:c r="AR94" s="9" t="n">
        <x:f>0</x:f>
        <x:v>0</x:v>
      </x:c>
      <x:c r="AS94" s="9"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x:f>
        <x:v>419.99717181292027</x:v>
      </x:c>
      <x:c r="AT94" s="9"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x:f>
        <x:v>102.00835262265619</x:v>
      </x:c>
      <x:c r="AU94" s="9"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x:f>
        <x:v>139.93519543295716</x:v>
      </x:c>
      <x:c r="AV94" s="9"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x:f>
        <x:v>139.93519543295716</x:v>
      </x:c>
      <x:c r="AW94" s="10"/>
      <x:c r="AX94" s="9">
        <x:f t="shared" si="16"/>
        <x:v>-0.23300000000000001</x:v>
      </x:c>
      <x:c r="AY94" s="9" t="n">
        <x:f>0</x:f>
        <x:v>0</x:v>
      </x:c>
      <x:c r="AZ94" s="9" t="n">
        <x:f>IF(OR(Inputs!$F$6=TRUE,Inputs!$F$6="TRUE",Inputs!$F$6=1),(Inputs!$H$6+Inputs!$L$6*(((Inputs!$I$6+(((A94)+1)/2)*(Inputs!$J$6-Inputs!$I$6)))/Inputs!$K$6)^2),NA())</x:f>
        <x:v>400.217156</x:v>
      </x:c>
      <x:c r="BA94" s="9" t="n">
        <x:f>IF(OR(Inputs!$F$7=TRUE,Inputs!$F$7="TRUE",Inputs!$F$7=1),(Inputs!$H$7+Inputs!$L$7*(((Inputs!$I$7+(((A94)+1)/2)*(Inputs!$J$7-Inputs!$I$7)))/Inputs!$K$7)^2),NA())</x:f>
        <x:v>54.815484999999995</x:v>
      </x:c>
      <x:c r="BB94" s="9" t="n">
        <x:f>IF(OR(Inputs!$F$8=TRUE,Inputs!$F$8="TRUE",Inputs!$F$8=1),(Inputs!$H$8+Inputs!$L$8*(((Inputs!$I$8+(((A94)+1)/2)*(Inputs!$J$8-Inputs!$I$8)))/Inputs!$K$8)^2),NA())</x:f>
        <x:v>87.38888499999999</x:v>
      </x:c>
      <x:c r="BC94" s="9" t="n">
        <x:f>IF(OR(Inputs!$F$9=TRUE,Inputs!$F$9="TRUE",Inputs!$F$9=1),(Inputs!$H$9+Inputs!$L$9*(((Inputs!$I$9+(((A94)+1)/2)*(Inputs!$J$9-Inputs!$I$9)))/Inputs!$K$9)^2),NA())</x:f>
        <x:v>77.93177499999999</x:v>
      </x:c>
      <x:c r="BD94" s="10"/>
      <x:c r="BE94" s="9">
        <x:f t="shared" si="17"/>
        <x:v>-0.23300000000000001</x:v>
      </x:c>
      <x:c r="BF94" s="9" t="n">
        <x:f>0</x:f>
        <x:v>0</x:v>
      </x:c>
      <x:c r="BG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9" t="n">
        <x:f>ROUND(-1+93*2/240,3)</x:f>
        <x:v>-0.225</x:v>
      </x:c>
      <x:c r="B95" s="9" t="n">
        <x:f>IF(OR(Inputs!$F$6=TRUE,Inputs!$F$6="TRUE",Inputs!$F$6=1),(Inputs!$H$6+Inputs!$L$6*(((Inputs!$I$6+(((A95)+1)/2)*(Inputs!$J$6-Inputs!$I$6)))/Inputs!$K$6)^2),NA())</x:f>
        <x:v>400.2025</x:v>
      </x:c>
      <x:c r="C95" s="9" t="n">
        <x:f>IF(OR(Inputs!$F$7=TRUE,Inputs!$F$7="TRUE",Inputs!$F$7=1),(Inputs!$H$7+Inputs!$L$7*(((Inputs!$I$7+(((A95)+1)/2)*(Inputs!$J$7-Inputs!$I$7)))/Inputs!$K$7)^2),NA())</x:f>
        <x:v>53.478125000000006</x:v>
      </x:c>
      <x:c r="D95" s="9" t="n">
        <x:f>IF(OR(Inputs!$F$8=TRUE,Inputs!$F$8="TRUE",Inputs!$F$8=1),(Inputs!$H$8+Inputs!$L$8*(((Inputs!$I$8+(((A95)+1)/2)*(Inputs!$J$8-Inputs!$I$8)))/Inputs!$K$8)^2),NA())</x:f>
        <x:v>83.853125</x:v>
      </x:c>
      <x:c r="E95" s="9" t="n">
        <x:f>IF(OR(Inputs!$F$9=TRUE,Inputs!$F$9="TRUE",Inputs!$F$9=1),(Inputs!$H$9+Inputs!$L$9*(((Inputs!$I$9+(((A95)+1)/2)*(Inputs!$J$9-Inputs!$I$9)))/Inputs!$K$9)^2),NA())</x:f>
        <x:v>74.359375</x:v>
      </x:c>
      <x:c r="F95" s="10"/>
      <x:c r="G95" s="9">
        <x:f t="shared" si="9"/>
        <x:v>-0.22500000000000001</x:v>
      </x:c>
      <x:c r="H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10"/>
      <x:c r="M95" s="9">
        <x:f t="shared" si="10"/>
        <x:v>-0.22500000000000001</x:v>
      </x:c>
      <x:c r="N95" s="9"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9"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9"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9"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10"/>
      <x:c r="S95" s="9">
        <x:f t="shared" si="11"/>
        <x:v>-0.22500000000000001</x:v>
      </x:c>
      <x:c r="T95" s="9" t="n">
        <x:f>(Inputs!$I$6+(((A95)+1)/2)*(Inputs!$J$6-Inputs!$I$6))</x:f>
        <x:v>-13.5</x:v>
      </x:c>
      <x:c r="U95" s="9" t="n">
        <x:f>(Inputs!$I$7+(((A95)+1)/2)*(Inputs!$J$7-Inputs!$I$7))</x:f>
        <x:v>-90</x:v>
      </x:c>
      <x:c r="V95" s="9" t="n">
        <x:f>(Inputs!$I$8+(((A95)+1)/2)*(Inputs!$J$8-Inputs!$I$8))</x:f>
        <x:v>-180</x:v>
      </x:c>
      <x:c r="W95" s="9" t="n">
        <x:f>(Inputs!$I$9+(((A95)+1)/2)*(Inputs!$J$9-Inputs!$I$9))</x:f>
        <x:v>-180</x:v>
      </x:c>
      <x:c r="X95" s="10"/>
      <x:c r="Y95" s="9">
        <x:f t="shared" si="12"/>
        <x:v>-0.22500000000000001</x:v>
      </x:c>
      <x:c r="Z95" s="9" t="n">
        <x:f>(Inputs!$H$6+Inputs!$L$6*(((Inputs!$I$6+(((A95)+1)/2)*(Inputs!$J$6-Inputs!$I$6)))/Inputs!$K$6)^2)</x:f>
        <x:v>400.2025</x:v>
      </x:c>
      <x:c r="AA95" s="9" t="n">
        <x:f>(Inputs!$H$7+Inputs!$L$7*(((Inputs!$I$7+(((A95)+1)/2)*(Inputs!$J$7-Inputs!$I$7)))/Inputs!$K$7)^2)</x:f>
        <x:v>53.478125000000006</x:v>
      </x:c>
      <x:c r="AB95" s="9" t="n">
        <x:f>(Inputs!$H$8+Inputs!$L$8*(((Inputs!$I$8+(((A95)+1)/2)*(Inputs!$J$8-Inputs!$I$8)))/Inputs!$K$8)^2)</x:f>
        <x:v>83.853125</x:v>
      </x:c>
      <x:c r="AC95" s="9" t="n">
        <x:f>(Inputs!$H$9+Inputs!$L$9*(((Inputs!$I$9+(((A95)+1)/2)*(Inputs!$J$9-Inputs!$I$9)))/Inputs!$K$9)^2)</x:f>
        <x:v>74.359375</x:v>
      </x:c>
      <x:c r="AD95" s="10"/>
      <x:c r="AE95" s="9">
        <x:f t="shared" si="13"/>
        <x:v>-0.22500000000000001</x:v>
      </x:c>
      <x:c r="AF95" s="9"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9"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9"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9"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10"/>
      <x:c r="AK95" s="9">
        <x:f t="shared" si="14"/>
        <x:v>-0.22500000000000001</x:v>
      </x:c>
      <x:c r="AL95" s="9"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9"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9"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9"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10"/>
      <x:c r="AQ95" s="9">
        <x:f t="shared" si="15"/>
        <x:v>-0.22500000000000001</x:v>
      </x:c>
      <x:c r="AR95" s="9" t="n">
        <x:f>0</x:f>
        <x:v>0</x:v>
      </x:c>
      <x:c r="AS95" s="9"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x:f>
        <x:v>418.7700178970381</x:v>
      </x:c>
      <x:c r="AT95" s="9"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x:f>
        <x:v>107.95718028019085</x:v>
      </x:c>
      <x:c r="AU95" s="9"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x:f>
        <x:v>141.8114340348771</x:v>
      </x:c>
      <x:c r="AV95" s="9"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x:f>
        <x:v>141.8114340348771</x:v>
      </x:c>
      <x:c r="AW95" s="10"/>
      <x:c r="AX95" s="9">
        <x:f t="shared" si="16"/>
        <x:v>-0.22500000000000001</x:v>
      </x:c>
      <x:c r="AY95" s="9" t="n">
        <x:f>0</x:f>
        <x:v>0</x:v>
      </x:c>
      <x:c r="AZ95" s="9" t="n">
        <x:f>IF(OR(Inputs!$F$6=TRUE,Inputs!$F$6="TRUE",Inputs!$F$6=1),(Inputs!$H$6+Inputs!$L$6*(((Inputs!$I$6+(((A95)+1)/2)*(Inputs!$J$6-Inputs!$I$6)))/Inputs!$K$6)^2),NA())</x:f>
        <x:v>400.2025</x:v>
      </x:c>
      <x:c r="BA95" s="9" t="n">
        <x:f>IF(OR(Inputs!$F$7=TRUE,Inputs!$F$7="TRUE",Inputs!$F$7=1),(Inputs!$H$7+Inputs!$L$7*(((Inputs!$I$7+(((A95)+1)/2)*(Inputs!$J$7-Inputs!$I$7)))/Inputs!$K$7)^2),NA())</x:f>
        <x:v>53.478125000000006</x:v>
      </x:c>
      <x:c r="BB95" s="9" t="n">
        <x:f>IF(OR(Inputs!$F$8=TRUE,Inputs!$F$8="TRUE",Inputs!$F$8=1),(Inputs!$H$8+Inputs!$L$8*(((Inputs!$I$8+(((A95)+1)/2)*(Inputs!$J$8-Inputs!$I$8)))/Inputs!$K$8)^2),NA())</x:f>
        <x:v>83.853125</x:v>
      </x:c>
      <x:c r="BC95" s="9" t="n">
        <x:f>IF(OR(Inputs!$F$9=TRUE,Inputs!$F$9="TRUE",Inputs!$F$9=1),(Inputs!$H$9+Inputs!$L$9*(((Inputs!$I$9+(((A95)+1)/2)*(Inputs!$J$9-Inputs!$I$9)))/Inputs!$K$9)^2),NA())</x:f>
        <x:v>74.359375</x:v>
      </x:c>
      <x:c r="BD95" s="10"/>
      <x:c r="BE95" s="9">
        <x:f t="shared" si="17"/>
        <x:v>-0.22500000000000001</x:v>
      </x:c>
      <x:c r="BF95" s="9" t="n">
        <x:f>0</x:f>
        <x:v>0</x:v>
      </x:c>
      <x:c r="BG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9" t="n">
        <x:f>ROUND(-1+94*2/240,3)</x:f>
        <x:v>-0.217</x:v>
      </x:c>
      <x:c r="B96" s="9" t="n">
        <x:f>IF(OR(Inputs!$F$6=TRUE,Inputs!$F$6="TRUE",Inputs!$F$6=1),(Inputs!$H$6+Inputs!$L$6*(((Inputs!$I$6+(((A96)+1)/2)*(Inputs!$J$6-Inputs!$I$6)))/Inputs!$K$6)^2),NA())</x:f>
        <x:v>400.188356</x:v>
      </x:c>
      <x:c r="C96" s="9" t="n">
        <x:f>IF(OR(Inputs!$F$7=TRUE,Inputs!$F$7="TRUE",Inputs!$F$7=1),(Inputs!$H$7+Inputs!$L$7*(((Inputs!$I$7+(((A96)+1)/2)*(Inputs!$J$7-Inputs!$I$7)))/Inputs!$K$7)^2),NA())</x:f>
        <x:v>52.18748500000001</x:v>
      </x:c>
      <x:c r="D96" s="9" t="n">
        <x:f>IF(OR(Inputs!$F$8=TRUE,Inputs!$F$8="TRUE",Inputs!$F$8=1),(Inputs!$H$8+Inputs!$L$8*(((Inputs!$I$8+(((A96)+1)/2)*(Inputs!$J$8-Inputs!$I$8)))/Inputs!$K$8)^2),NA())</x:f>
        <x:v>80.44088500000001</x:v>
      </x:c>
      <x:c r="E96" s="9" t="n">
        <x:f>IF(OR(Inputs!$F$9=TRUE,Inputs!$F$9="TRUE",Inputs!$F$9=1),(Inputs!$H$9+Inputs!$L$9*(((Inputs!$I$9+(((A96)+1)/2)*(Inputs!$J$9-Inputs!$I$9)))/Inputs!$K$9)^2),NA())</x:f>
        <x:v>70.911775</x:v>
      </x:c>
      <x:c r="F96" s="10"/>
      <x:c r="G96" s="9">
        <x:f t="shared" si="9"/>
        <x:v>-0.217</x:v>
      </x:c>
      <x:c r="H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10"/>
      <x:c r="M96" s="9">
        <x:f t="shared" si="10"/>
        <x:v>-0.217</x:v>
      </x:c>
      <x:c r="N96" s="9"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9"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9"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9"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10"/>
      <x:c r="S96" s="9">
        <x:f t="shared" si="11"/>
        <x:v>-0.217</x:v>
      </x:c>
      <x:c r="T96" s="9" t="n">
        <x:f>(Inputs!$I$6+(((A96)+1)/2)*(Inputs!$J$6-Inputs!$I$6))</x:f>
        <x:v>-13.019999999999996</x:v>
      </x:c>
      <x:c r="U96" s="9" t="n">
        <x:f>(Inputs!$I$7+(((A96)+1)/2)*(Inputs!$J$7-Inputs!$I$7))</x:f>
        <x:v>-86.80000000000001</x:v>
      </x:c>
      <x:c r="V96" s="9" t="n">
        <x:f>(Inputs!$I$8+(((A96)+1)/2)*(Inputs!$J$8-Inputs!$I$8))</x:f>
        <x:v>-173.60000000000002</x:v>
      </x:c>
      <x:c r="W96" s="9" t="n">
        <x:f>(Inputs!$I$9+(((A96)+1)/2)*(Inputs!$J$9-Inputs!$I$9))</x:f>
        <x:v>-173.60000000000002</x:v>
      </x:c>
      <x:c r="X96" s="10"/>
      <x:c r="Y96" s="9">
        <x:f t="shared" si="12"/>
        <x:v>-0.217</x:v>
      </x:c>
      <x:c r="Z96" s="9" t="n">
        <x:f>(Inputs!$H$6+Inputs!$L$6*(((Inputs!$I$6+(((A96)+1)/2)*(Inputs!$J$6-Inputs!$I$6)))/Inputs!$K$6)^2)</x:f>
        <x:v>400.188356</x:v>
      </x:c>
      <x:c r="AA96" s="9" t="n">
        <x:f>(Inputs!$H$7+Inputs!$L$7*(((Inputs!$I$7+(((A96)+1)/2)*(Inputs!$J$7-Inputs!$I$7)))/Inputs!$K$7)^2)</x:f>
        <x:v>52.18748500000001</x:v>
      </x:c>
      <x:c r="AB96" s="9" t="n">
        <x:f>(Inputs!$H$8+Inputs!$L$8*(((Inputs!$I$8+(((A96)+1)/2)*(Inputs!$J$8-Inputs!$I$8)))/Inputs!$K$8)^2)</x:f>
        <x:v>80.44088500000001</x:v>
      </x:c>
      <x:c r="AC96" s="9" t="n">
        <x:f>(Inputs!$H$9+Inputs!$L$9*(((Inputs!$I$9+(((A96)+1)/2)*(Inputs!$J$9-Inputs!$I$9)))/Inputs!$K$9)^2)</x:f>
        <x:v>70.911775</x:v>
      </x:c>
      <x:c r="AD96" s="10"/>
      <x:c r="AE96" s="9">
        <x:f t="shared" si="13"/>
        <x:v>-0.217</x:v>
      </x:c>
      <x:c r="AF96" s="9"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9"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9"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9"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10"/>
      <x:c r="AK96" s="9">
        <x:f t="shared" si="14"/>
        <x:v>-0.217</x:v>
      </x:c>
      <x:c r="AL96" s="9"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9"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9"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9"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10"/>
      <x:c r="AQ96" s="9">
        <x:f t="shared" si="15"/>
        <x:v>-0.217</x:v>
      </x:c>
      <x:c r="AR96" s="9" t="n">
        <x:f>0</x:f>
        <x:v>0</x:v>
      </x:c>
      <x:c r="AS96" s="9"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x:f>
        <x:v>426.3413775091645</x:v>
      </x:c>
      <x:c r="AT96" s="9"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x:f>
        <x:v>138.72213165552463</x:v>
      </x:c>
      <x:c r="AU96" s="9"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x:f>
        <x:v>197.49591161858112</x:v>
      </x:c>
      <x:c r="AV96" s="9"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x:f>
        <x:v>197.49591161858112</x:v>
      </x:c>
      <x:c r="AW96" s="10"/>
      <x:c r="AX96" s="9">
        <x:f t="shared" si="16"/>
        <x:v>-0.217</x:v>
      </x:c>
      <x:c r="AY96" s="9" t="n">
        <x:f>0</x:f>
        <x:v>0</x:v>
      </x:c>
      <x:c r="AZ96" s="9" t="n">
        <x:f>IF(OR(Inputs!$F$6=TRUE,Inputs!$F$6="TRUE",Inputs!$F$6=1),(Inputs!$H$6+Inputs!$L$6*(((Inputs!$I$6+(((A96)+1)/2)*(Inputs!$J$6-Inputs!$I$6)))/Inputs!$K$6)^2),NA())</x:f>
        <x:v>400.188356</x:v>
      </x:c>
      <x:c r="BA96" s="9" t="n">
        <x:f>IF(OR(Inputs!$F$7=TRUE,Inputs!$F$7="TRUE",Inputs!$F$7=1),(Inputs!$H$7+Inputs!$L$7*(((Inputs!$I$7+(((A96)+1)/2)*(Inputs!$J$7-Inputs!$I$7)))/Inputs!$K$7)^2),NA())</x:f>
        <x:v>52.18748500000001</x:v>
      </x:c>
      <x:c r="BB96" s="9" t="n">
        <x:f>IF(OR(Inputs!$F$8=TRUE,Inputs!$F$8="TRUE",Inputs!$F$8=1),(Inputs!$H$8+Inputs!$L$8*(((Inputs!$I$8+(((A96)+1)/2)*(Inputs!$J$8-Inputs!$I$8)))/Inputs!$K$8)^2),NA())</x:f>
        <x:v>80.44088500000001</x:v>
      </x:c>
      <x:c r="BC96" s="9" t="n">
        <x:f>IF(OR(Inputs!$F$9=TRUE,Inputs!$F$9="TRUE",Inputs!$F$9=1),(Inputs!$H$9+Inputs!$L$9*(((Inputs!$I$9+(((A96)+1)/2)*(Inputs!$J$9-Inputs!$I$9)))/Inputs!$K$9)^2),NA())</x:f>
        <x:v>70.911775</x:v>
      </x:c>
      <x:c r="BD96" s="10"/>
      <x:c r="BE96" s="9">
        <x:f t="shared" si="17"/>
        <x:v>-0.217</x:v>
      </x:c>
      <x:c r="BF96" s="9" t="n">
        <x:f>0</x:f>
        <x:v>0</x:v>
      </x:c>
      <x:c r="BG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9" t="n">
        <x:f>ROUND(-1+95*2/240,3)</x:f>
        <x:v>-0.208</x:v>
      </x:c>
      <x:c r="B97" s="9" t="n">
        <x:f>IF(OR(Inputs!$F$6=TRUE,Inputs!$F$6="TRUE",Inputs!$F$6=1),(Inputs!$H$6+Inputs!$L$6*(((Inputs!$I$6+(((A97)+1)/2)*(Inputs!$J$6-Inputs!$I$6)))/Inputs!$K$6)^2),NA())</x:f>
        <x:v>400.173056</x:v>
      </x:c>
      <x:c r="C97" s="9" t="n">
        <x:f>IF(OR(Inputs!$F$7=TRUE,Inputs!$F$7="TRUE",Inputs!$F$7=1),(Inputs!$H$7+Inputs!$L$7*(((Inputs!$I$7+(((A97)+1)/2)*(Inputs!$J$7-Inputs!$I$7)))/Inputs!$K$7)^2),NA())</x:f>
        <x:v>50.79136</x:v>
      </x:c>
      <x:c r="D97" s="9" t="n">
        <x:f>IF(OR(Inputs!$F$8=TRUE,Inputs!$F$8="TRUE",Inputs!$F$8=1),(Inputs!$H$8+Inputs!$L$8*(((Inputs!$I$8+(((A97)+1)/2)*(Inputs!$J$8-Inputs!$I$8)))/Inputs!$K$8)^2),NA())</x:f>
        <x:v>76.74975999999998</x:v>
      </x:c>
      <x:c r="E97" s="9" t="n">
        <x:f>IF(OR(Inputs!$F$9=TRUE,Inputs!$F$9="TRUE",Inputs!$F$9=1),(Inputs!$H$9+Inputs!$L$9*(((Inputs!$I$9+(((A97)+1)/2)*(Inputs!$J$9-Inputs!$I$9)))/Inputs!$K$9)^2),NA())</x:f>
        <x:v>67.18239999999997</x:v>
      </x:c>
      <x:c r="F97" s="10"/>
      <x:c r="G97" s="9">
        <x:f t="shared" si="9"/>
        <x:v>-0.20799999999999999</x:v>
      </x:c>
      <x:c r="H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10"/>
      <x:c r="M97" s="9">
        <x:f t="shared" si="10"/>
        <x:v>-0.20799999999999999</x:v>
      </x:c>
      <x:c r="N97" s="9"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9"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9"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9"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10"/>
      <x:c r="S97" s="9">
        <x:f t="shared" si="11"/>
        <x:v>-0.20799999999999999</x:v>
      </x:c>
      <x:c r="T97" s="9" t="n">
        <x:f>(Inputs!$I$6+(((A97)+1)/2)*(Inputs!$J$6-Inputs!$I$6))</x:f>
        <x:v>-12.479999999999997</x:v>
      </x:c>
      <x:c r="U97" s="9" t="n">
        <x:f>(Inputs!$I$7+(((A97)+1)/2)*(Inputs!$J$7-Inputs!$I$7))</x:f>
        <x:v>-83.19999999999999</x:v>
      </x:c>
      <x:c r="V97" s="9" t="n">
        <x:f>(Inputs!$I$8+(((A97)+1)/2)*(Inputs!$J$8-Inputs!$I$8))</x:f>
        <x:v>-166.39999999999998</x:v>
      </x:c>
      <x:c r="W97" s="9" t="n">
        <x:f>(Inputs!$I$9+(((A97)+1)/2)*(Inputs!$J$9-Inputs!$I$9))</x:f>
        <x:v>-166.39999999999998</x:v>
      </x:c>
      <x:c r="X97" s="10"/>
      <x:c r="Y97" s="9">
        <x:f t="shared" si="12"/>
        <x:v>-0.20799999999999999</x:v>
      </x:c>
      <x:c r="Z97" s="9" t="n">
        <x:f>(Inputs!$H$6+Inputs!$L$6*(((Inputs!$I$6+(((A97)+1)/2)*(Inputs!$J$6-Inputs!$I$6)))/Inputs!$K$6)^2)</x:f>
        <x:v>400.173056</x:v>
      </x:c>
      <x:c r="AA97" s="9" t="n">
        <x:f>(Inputs!$H$7+Inputs!$L$7*(((Inputs!$I$7+(((A97)+1)/2)*(Inputs!$J$7-Inputs!$I$7)))/Inputs!$K$7)^2)</x:f>
        <x:v>50.79136</x:v>
      </x:c>
      <x:c r="AB97" s="9" t="n">
        <x:f>(Inputs!$H$8+Inputs!$L$8*(((Inputs!$I$8+(((A97)+1)/2)*(Inputs!$J$8-Inputs!$I$8)))/Inputs!$K$8)^2)</x:f>
        <x:v>76.74975999999998</x:v>
      </x:c>
      <x:c r="AC97" s="9" t="n">
        <x:f>(Inputs!$H$9+Inputs!$L$9*(((Inputs!$I$9+(((A97)+1)/2)*(Inputs!$J$9-Inputs!$I$9)))/Inputs!$K$9)^2)</x:f>
        <x:v>67.18239999999997</x:v>
      </x:c>
      <x:c r="AD97" s="10"/>
      <x:c r="AE97" s="9">
        <x:f t="shared" si="13"/>
        <x:v>-0.20799999999999999</x:v>
      </x:c>
      <x:c r="AF97" s="9"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9"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9"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9"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10"/>
      <x:c r="AK97" s="9">
        <x:f t="shared" si="14"/>
        <x:v>-0.20799999999999999</x:v>
      </x:c>
      <x:c r="AL97" s="9"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9"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9"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9"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10"/>
      <x:c r="AQ97" s="9">
        <x:f t="shared" si="15"/>
        <x:v>-0.20799999999999999</x:v>
      </x:c>
      <x:c r="AR97" s="9" t="n">
        <x:f>0</x:f>
        <x:v>0</x:v>
      </x:c>
      <x:c r="AS97" s="9"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x:f>
        <x:v>451.4582991196683</x:v>
      </x:c>
      <x:c r="AT97" s="9"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x:f>
        <x:v>192.0339669891648</x:v>
      </x:c>
      <x:c r="AU97" s="9"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x:f>
        <x:v>91.15467776318724</x:v>
      </x:c>
      <x:c r="AV97" s="9"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x:f>
        <x:v>91.15467776318724</x:v>
      </x:c>
      <x:c r="AW97" s="10"/>
      <x:c r="AX97" s="9">
        <x:f t="shared" si="16"/>
        <x:v>-0.20799999999999999</x:v>
      </x:c>
      <x:c r="AY97" s="9" t="n">
        <x:f>0</x:f>
        <x:v>0</x:v>
      </x:c>
      <x:c r="AZ97" s="9" t="n">
        <x:f>IF(OR(Inputs!$F$6=TRUE,Inputs!$F$6="TRUE",Inputs!$F$6=1),(Inputs!$H$6+Inputs!$L$6*(((Inputs!$I$6+(((A97)+1)/2)*(Inputs!$J$6-Inputs!$I$6)))/Inputs!$K$6)^2),NA())</x:f>
        <x:v>400.173056</x:v>
      </x:c>
      <x:c r="BA97" s="9" t="n">
        <x:f>IF(OR(Inputs!$F$7=TRUE,Inputs!$F$7="TRUE",Inputs!$F$7=1),(Inputs!$H$7+Inputs!$L$7*(((Inputs!$I$7+(((A97)+1)/2)*(Inputs!$J$7-Inputs!$I$7)))/Inputs!$K$7)^2),NA())</x:f>
        <x:v>50.79136</x:v>
      </x:c>
      <x:c r="BB97" s="9" t="n">
        <x:f>IF(OR(Inputs!$F$8=TRUE,Inputs!$F$8="TRUE",Inputs!$F$8=1),(Inputs!$H$8+Inputs!$L$8*(((Inputs!$I$8+(((A97)+1)/2)*(Inputs!$J$8-Inputs!$I$8)))/Inputs!$K$8)^2),NA())</x:f>
        <x:v>76.74975999999998</x:v>
      </x:c>
      <x:c r="BC97" s="9" t="n">
        <x:f>IF(OR(Inputs!$F$9=TRUE,Inputs!$F$9="TRUE",Inputs!$F$9=1),(Inputs!$H$9+Inputs!$L$9*(((Inputs!$I$9+(((A97)+1)/2)*(Inputs!$J$9-Inputs!$I$9)))/Inputs!$K$9)^2),NA())</x:f>
        <x:v>67.18239999999997</x:v>
      </x:c>
      <x:c r="BD97" s="10"/>
      <x:c r="BE97" s="9">
        <x:f t="shared" si="17"/>
        <x:v>-0.20799999999999999</x:v>
      </x:c>
      <x:c r="BF97" s="9" t="n">
        <x:f>0</x:f>
        <x:v>0</x:v>
      </x:c>
      <x:c r="BG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9" t="n">
        <x:f>ROUND(-1+96*2/240,3)</x:f>
        <x:v>-0.2</x:v>
      </x:c>
      <x:c r="B98" s="9" t="n">
        <x:f>IF(OR(Inputs!$F$6=TRUE,Inputs!$F$6="TRUE",Inputs!$F$6=1),(Inputs!$H$6+Inputs!$L$6*(((Inputs!$I$6+(((A98)+1)/2)*(Inputs!$J$6-Inputs!$I$6)))/Inputs!$K$6)^2),NA())</x:f>
        <x:v>400.16</x:v>
      </x:c>
      <x:c r="C98" s="9" t="n">
        <x:f>IF(OR(Inputs!$F$7=TRUE,Inputs!$F$7="TRUE",Inputs!$F$7=1),(Inputs!$H$7+Inputs!$L$7*(((Inputs!$I$7+(((A98)+1)/2)*(Inputs!$J$7-Inputs!$I$7)))/Inputs!$K$7)^2),NA())</x:f>
        <x:v>49.6</x:v>
      </x:c>
      <x:c r="D98" s="9" t="n">
        <x:f>IF(OR(Inputs!$F$8=TRUE,Inputs!$F$8="TRUE",Inputs!$F$8=1),(Inputs!$H$8+Inputs!$L$8*(((Inputs!$I$8+(((A98)+1)/2)*(Inputs!$J$8-Inputs!$I$8)))/Inputs!$K$8)^2),NA())</x:f>
        <x:v>73.60000000000001</x:v>
      </x:c>
      <x:c r="E98" s="9" t="n">
        <x:f>IF(OR(Inputs!$F$9=TRUE,Inputs!$F$9="TRUE",Inputs!$F$9=1),(Inputs!$H$9+Inputs!$L$9*(((Inputs!$I$9+(((A98)+1)/2)*(Inputs!$J$9-Inputs!$I$9)))/Inputs!$K$9)^2),NA())</x:f>
        <x:v>64</x:v>
      </x:c>
      <x:c r="F98" s="10"/>
      <x:c r="G98" s="9">
        <x:f t="shared" si="9"/>
        <x:v>-0.2</x:v>
      </x:c>
      <x:c r="H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10"/>
      <x:c r="M98" s="9">
        <x:f t="shared" si="10"/>
        <x:v>-0.2</x:v>
      </x:c>
      <x:c r="N98" s="9"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9"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9"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9"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10"/>
      <x:c r="S98" s="9">
        <x:f t="shared" si="11"/>
        <x:v>-0.2</x:v>
      </x:c>
      <x:c r="T98" s="9" t="n">
        <x:f>(Inputs!$I$6+(((A98)+1)/2)*(Inputs!$J$6-Inputs!$I$6))</x:f>
        <x:v>-12</x:v>
      </x:c>
      <x:c r="U98" s="9" t="n">
        <x:f>(Inputs!$I$7+(((A98)+1)/2)*(Inputs!$J$7-Inputs!$I$7))</x:f>
        <x:v>-80</x:v>
      </x:c>
      <x:c r="V98" s="9" t="n">
        <x:f>(Inputs!$I$8+(((A98)+1)/2)*(Inputs!$J$8-Inputs!$I$8))</x:f>
        <x:v>-160</x:v>
      </x:c>
      <x:c r="W98" s="9" t="n">
        <x:f>(Inputs!$I$9+(((A98)+1)/2)*(Inputs!$J$9-Inputs!$I$9))</x:f>
        <x:v>-160</x:v>
      </x:c>
      <x:c r="X98" s="10"/>
      <x:c r="Y98" s="9">
        <x:f t="shared" si="12"/>
        <x:v>-0.2</x:v>
      </x:c>
      <x:c r="Z98" s="9" t="n">
        <x:f>(Inputs!$H$6+Inputs!$L$6*(((Inputs!$I$6+(((A98)+1)/2)*(Inputs!$J$6-Inputs!$I$6)))/Inputs!$K$6)^2)</x:f>
        <x:v>400.16</x:v>
      </x:c>
      <x:c r="AA98" s="9" t="n">
        <x:f>(Inputs!$H$7+Inputs!$L$7*(((Inputs!$I$7+(((A98)+1)/2)*(Inputs!$J$7-Inputs!$I$7)))/Inputs!$K$7)^2)</x:f>
        <x:v>49.6</x:v>
      </x:c>
      <x:c r="AB98" s="9" t="n">
        <x:f>(Inputs!$H$8+Inputs!$L$8*(((Inputs!$I$8+(((A98)+1)/2)*(Inputs!$J$8-Inputs!$I$8)))/Inputs!$K$8)^2)</x:f>
        <x:v>73.60000000000001</x:v>
      </x:c>
      <x:c r="AC98" s="9" t="n">
        <x:f>(Inputs!$H$9+Inputs!$L$9*(((Inputs!$I$9+(((A98)+1)/2)*(Inputs!$J$9-Inputs!$I$9)))/Inputs!$K$9)^2)</x:f>
        <x:v>64</x:v>
      </x:c>
      <x:c r="AD98" s="10"/>
      <x:c r="AE98" s="9">
        <x:f t="shared" si="13"/>
        <x:v>-0.2</x:v>
      </x:c>
      <x:c r="AF98" s="9"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9"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9"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9"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10"/>
      <x:c r="AK98" s="9">
        <x:f t="shared" si="14"/>
        <x:v>-0.2</x:v>
      </x:c>
      <x:c r="AL98" s="9"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9"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9"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9"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10"/>
      <x:c r="AQ98" s="9">
        <x:f t="shared" si="15"/>
        <x:v>-0.2</x:v>
      </x:c>
      <x:c r="AR98" s="9" t="n">
        <x:f>0</x:f>
        <x:v>0</x:v>
      </x:c>
      <x:c r="AS98" s="9"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x:f>
        <x:v>437.9918993099811</x:v>
      </x:c>
      <x:c r="AT98" s="9"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x:f>
        <x:v>156.5351614447042</x:v>
      </x:c>
      <x:c r="AU98" s="9"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x:f>
        <x:v>138.70370323809672</x:v>
      </x:c>
      <x:c r="AV98" s="9"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x:f>
        <x:v>138.70370323809672</x:v>
      </x:c>
      <x:c r="AW98" s="10"/>
      <x:c r="AX98" s="9">
        <x:f t="shared" si="16"/>
        <x:v>-0.2</x:v>
      </x:c>
      <x:c r="AY98" s="9" t="n">
        <x:f>0</x:f>
        <x:v>0</x:v>
      </x:c>
      <x:c r="AZ98" s="9" t="n">
        <x:f>IF(OR(Inputs!$F$6=TRUE,Inputs!$F$6="TRUE",Inputs!$F$6=1),(Inputs!$H$6+Inputs!$L$6*(((Inputs!$I$6+(((A98)+1)/2)*(Inputs!$J$6-Inputs!$I$6)))/Inputs!$K$6)^2),NA())</x:f>
        <x:v>400.16</x:v>
      </x:c>
      <x:c r="BA98" s="9" t="n">
        <x:f>IF(OR(Inputs!$F$7=TRUE,Inputs!$F$7="TRUE",Inputs!$F$7=1),(Inputs!$H$7+Inputs!$L$7*(((Inputs!$I$7+(((A98)+1)/2)*(Inputs!$J$7-Inputs!$I$7)))/Inputs!$K$7)^2),NA())</x:f>
        <x:v>49.6</x:v>
      </x:c>
      <x:c r="BB98" s="9" t="n">
        <x:f>IF(OR(Inputs!$F$8=TRUE,Inputs!$F$8="TRUE",Inputs!$F$8=1),(Inputs!$H$8+Inputs!$L$8*(((Inputs!$I$8+(((A98)+1)/2)*(Inputs!$J$8-Inputs!$I$8)))/Inputs!$K$8)^2),NA())</x:f>
        <x:v>73.60000000000001</x:v>
      </x:c>
      <x:c r="BC98" s="9" t="n">
        <x:f>IF(OR(Inputs!$F$9=TRUE,Inputs!$F$9="TRUE",Inputs!$F$9=1),(Inputs!$H$9+Inputs!$L$9*(((Inputs!$I$9+(((A98)+1)/2)*(Inputs!$J$9-Inputs!$I$9)))/Inputs!$K$9)^2),NA())</x:f>
        <x:v>64</x:v>
      </x:c>
      <x:c r="BD98" s="10"/>
      <x:c r="BE98" s="9">
        <x:f t="shared" si="17"/>
        <x:v>-0.2</x:v>
      </x:c>
      <x:c r="BF98" s="9" t="n">
        <x:f>0</x:f>
        <x:v>0</x:v>
      </x:c>
      <x:c r="BG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9" t="n">
        <x:f>ROUND(-1+97*2/240,3)</x:f>
        <x:v>-0.192</x:v>
      </x:c>
      <x:c r="B99" s="9" t="n">
        <x:f>IF(OR(Inputs!$F$6=TRUE,Inputs!$F$6="TRUE",Inputs!$F$6=1),(Inputs!$H$6+Inputs!$L$6*(((Inputs!$I$6+(((A99)+1)/2)*(Inputs!$J$6-Inputs!$I$6)))/Inputs!$K$6)^2),NA())</x:f>
        <x:v>400.147456</x:v>
      </x:c>
      <x:c r="C99" s="9" t="n">
        <x:f>IF(OR(Inputs!$F$7=TRUE,Inputs!$F$7="TRUE",Inputs!$F$7=1),(Inputs!$H$7+Inputs!$L$7*(((Inputs!$I$7+(((A99)+1)/2)*(Inputs!$J$7-Inputs!$I$7)))/Inputs!$K$7)^2),NA())</x:f>
        <x:v>48.455359999999985</x:v>
      </x:c>
      <x:c r="D99" s="9" t="n">
        <x:f>IF(OR(Inputs!$F$8=TRUE,Inputs!$F$8="TRUE",Inputs!$F$8=1),(Inputs!$H$8+Inputs!$L$8*(((Inputs!$I$8+(((A99)+1)/2)*(Inputs!$J$8-Inputs!$I$8)))/Inputs!$K$8)^2),NA())</x:f>
        <x:v>70.57375999999996</x:v>
      </x:c>
      <x:c r="E99" s="9" t="n">
        <x:f>IF(OR(Inputs!$F$9=TRUE,Inputs!$F$9="TRUE",Inputs!$F$9=1),(Inputs!$H$9+Inputs!$L$9*(((Inputs!$I$9+(((A99)+1)/2)*(Inputs!$J$9-Inputs!$I$9)))/Inputs!$K$9)^2),NA())</x:f>
        <x:v>60.942399999999964</x:v>
      </x:c>
      <x:c r="F99" s="10"/>
      <x:c r="G99" s="9">
        <x:f t="shared" si="9"/>
        <x:v>-0.192</x:v>
      </x:c>
      <x:c r="H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10"/>
      <x:c r="M99" s="9">
        <x:f t="shared" si="10"/>
        <x:v>-0.192</x:v>
      </x:c>
      <x:c r="N99" s="9"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9"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9"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9"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10"/>
      <x:c r="S99" s="9">
        <x:f t="shared" si="11"/>
        <x:v>-0.192</x:v>
      </x:c>
      <x:c r="T99" s="9" t="n">
        <x:f>(Inputs!$I$6+(((A99)+1)/2)*(Inputs!$J$6-Inputs!$I$6))</x:f>
        <x:v>-11.519999999999996</x:v>
      </x:c>
      <x:c r="U99" s="9" t="n">
        <x:f>(Inputs!$I$7+(((A99)+1)/2)*(Inputs!$J$7-Inputs!$I$7))</x:f>
        <x:v>-76.79999999999995</x:v>
      </x:c>
      <x:c r="V99" s="9" t="n">
        <x:f>(Inputs!$I$8+(((A99)+1)/2)*(Inputs!$J$8-Inputs!$I$8))</x:f>
        <x:v>-153.5999999999999</x:v>
      </x:c>
      <x:c r="W99" s="9" t="n">
        <x:f>(Inputs!$I$9+(((A99)+1)/2)*(Inputs!$J$9-Inputs!$I$9))</x:f>
        <x:v>-153.5999999999999</x:v>
      </x:c>
      <x:c r="X99" s="10"/>
      <x:c r="Y99" s="9">
        <x:f t="shared" si="12"/>
        <x:v>-0.192</x:v>
      </x:c>
      <x:c r="Z99" s="9" t="n">
        <x:f>(Inputs!$H$6+Inputs!$L$6*(((Inputs!$I$6+(((A99)+1)/2)*(Inputs!$J$6-Inputs!$I$6)))/Inputs!$K$6)^2)</x:f>
        <x:v>400.147456</x:v>
      </x:c>
      <x:c r="AA99" s="9" t="n">
        <x:f>(Inputs!$H$7+Inputs!$L$7*(((Inputs!$I$7+(((A99)+1)/2)*(Inputs!$J$7-Inputs!$I$7)))/Inputs!$K$7)^2)</x:f>
        <x:v>48.455359999999985</x:v>
      </x:c>
      <x:c r="AB99" s="9" t="n">
        <x:f>(Inputs!$H$8+Inputs!$L$8*(((Inputs!$I$8+(((A99)+1)/2)*(Inputs!$J$8-Inputs!$I$8)))/Inputs!$K$8)^2)</x:f>
        <x:v>70.57375999999996</x:v>
      </x:c>
      <x:c r="AC99" s="9" t="n">
        <x:f>(Inputs!$H$9+Inputs!$L$9*(((Inputs!$I$9+(((A99)+1)/2)*(Inputs!$J$9-Inputs!$I$9)))/Inputs!$K$9)^2)</x:f>
        <x:v>60.942399999999964</x:v>
      </x:c>
      <x:c r="AD99" s="10"/>
      <x:c r="AE99" s="9">
        <x:f t="shared" si="13"/>
        <x:v>-0.192</x:v>
      </x:c>
      <x:c r="AF99" s="9"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9"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9"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9"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10"/>
      <x:c r="AK99" s="9">
        <x:f t="shared" si="14"/>
        <x:v>-0.192</x:v>
      </x:c>
      <x:c r="AL99" s="9"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9"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9"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9"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10"/>
      <x:c r="AQ99" s="9">
        <x:f t="shared" si="15"/>
        <x:v>-0.192</x:v>
      </x:c>
      <x:c r="AR99" s="9" t="n">
        <x:f>0</x:f>
        <x:v>0</x:v>
      </x:c>
      <x:c r="AS99" s="9"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x:f>
        <x:v>460.56683649359337</x:v>
      </x:c>
      <x:c r="AT99" s="9"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x:f>
        <x:v>83.71092690752916</x:v>
      </x:c>
      <x:c r="AU99" s="9"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x:f>
        <x:v>161.20300469800478</x:v>
      </x:c>
      <x:c r="AV99" s="9"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x:f>
        <x:v>161.20300469800478</x:v>
      </x:c>
      <x:c r="AW99" s="10"/>
      <x:c r="AX99" s="9">
        <x:f t="shared" si="16"/>
        <x:v>-0.192</x:v>
      </x:c>
      <x:c r="AY99" s="9" t="n">
        <x:f>0</x:f>
        <x:v>0</x:v>
      </x:c>
      <x:c r="AZ99" s="9" t="n">
        <x:f>IF(OR(Inputs!$F$6=TRUE,Inputs!$F$6="TRUE",Inputs!$F$6=1),(Inputs!$H$6+Inputs!$L$6*(((Inputs!$I$6+(((A99)+1)/2)*(Inputs!$J$6-Inputs!$I$6)))/Inputs!$K$6)^2),NA())</x:f>
        <x:v>400.147456</x:v>
      </x:c>
      <x:c r="BA99" s="9" t="n">
        <x:f>IF(OR(Inputs!$F$7=TRUE,Inputs!$F$7="TRUE",Inputs!$F$7=1),(Inputs!$H$7+Inputs!$L$7*(((Inputs!$I$7+(((A99)+1)/2)*(Inputs!$J$7-Inputs!$I$7)))/Inputs!$K$7)^2),NA())</x:f>
        <x:v>48.455359999999985</x:v>
      </x:c>
      <x:c r="BB99" s="9" t="n">
        <x:f>IF(OR(Inputs!$F$8=TRUE,Inputs!$F$8="TRUE",Inputs!$F$8=1),(Inputs!$H$8+Inputs!$L$8*(((Inputs!$I$8+(((A99)+1)/2)*(Inputs!$J$8-Inputs!$I$8)))/Inputs!$K$8)^2),NA())</x:f>
        <x:v>70.57375999999996</x:v>
      </x:c>
      <x:c r="BC99" s="9" t="n">
        <x:f>IF(OR(Inputs!$F$9=TRUE,Inputs!$F$9="TRUE",Inputs!$F$9=1),(Inputs!$H$9+Inputs!$L$9*(((Inputs!$I$9+(((A99)+1)/2)*(Inputs!$J$9-Inputs!$I$9)))/Inputs!$K$9)^2),NA())</x:f>
        <x:v>60.942399999999964</x:v>
      </x:c>
      <x:c r="BD99" s="10"/>
      <x:c r="BE99" s="9">
        <x:f t="shared" si="17"/>
        <x:v>-0.192</x:v>
      </x:c>
      <x:c r="BF99" s="9" t="n">
        <x:f>0</x:f>
        <x:v>0</x:v>
      </x:c>
      <x:c r="BG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9" t="n">
        <x:f>ROUND(-1+98*2/240,3)</x:f>
        <x:v>-0.183</x:v>
      </x:c>
      <x:c r="B100" s="9" t="n">
        <x:f>IF(OR(Inputs!$F$6=TRUE,Inputs!$F$6="TRUE",Inputs!$F$6=1),(Inputs!$H$6+Inputs!$L$6*(((Inputs!$I$6+(((A100)+1)/2)*(Inputs!$J$6-Inputs!$I$6)))/Inputs!$K$6)^2),NA())</x:f>
        <x:v>400.133956</x:v>
      </x:c>
      <x:c r="C100" s="9" t="n">
        <x:f>IF(OR(Inputs!$F$7=TRUE,Inputs!$F$7="TRUE",Inputs!$F$7=1),(Inputs!$H$7+Inputs!$L$7*(((Inputs!$I$7+(((A100)+1)/2)*(Inputs!$J$7-Inputs!$I$7)))/Inputs!$K$7)^2),NA())</x:f>
        <x:v>47.22348500000001</x:v>
      </x:c>
      <x:c r="D100" s="9" t="n">
        <x:f>IF(OR(Inputs!$F$8=TRUE,Inputs!$F$8="TRUE",Inputs!$F$8=1),(Inputs!$H$8+Inputs!$L$8*(((Inputs!$I$8+(((A100)+1)/2)*(Inputs!$J$8-Inputs!$I$8)))/Inputs!$K$8)^2),NA())</x:f>
        <x:v>67.31688500000004</x:v>
      </x:c>
      <x:c r="E100" s="9" t="n">
        <x:f>IF(OR(Inputs!$F$9=TRUE,Inputs!$F$9="TRUE",Inputs!$F$9=1),(Inputs!$H$9+Inputs!$L$9*(((Inputs!$I$9+(((A100)+1)/2)*(Inputs!$J$9-Inputs!$I$9)))/Inputs!$K$9)^2),NA())</x:f>
        <x:v>57.651775000000036</x:v>
      </x:c>
      <x:c r="F100" s="10"/>
      <x:c r="G100" s="9">
        <x:f t="shared" si="9"/>
        <x:v>-0.183</x:v>
      </x:c>
      <x:c r="H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10"/>
      <x:c r="M100" s="9">
        <x:f t="shared" si="10"/>
        <x:v>-0.183</x:v>
      </x:c>
      <x:c r="N100" s="9"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9"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9"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9"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10"/>
      <x:c r="S100" s="9">
        <x:f t="shared" si="11"/>
        <x:v>-0.183</x:v>
      </x:c>
      <x:c r="T100" s="9" t="n">
        <x:f>(Inputs!$I$6+(((A100)+1)/2)*(Inputs!$J$6-Inputs!$I$6))</x:f>
        <x:v>-10.980000000000004</x:v>
      </x:c>
      <x:c r="U100" s="9" t="n">
        <x:f>(Inputs!$I$7+(((A100)+1)/2)*(Inputs!$J$7-Inputs!$I$7))</x:f>
        <x:v>-73.20000000000005</x:v>
      </x:c>
      <x:c r="V100" s="9" t="n">
        <x:f>(Inputs!$I$8+(((A100)+1)/2)*(Inputs!$J$8-Inputs!$I$8))</x:f>
        <x:v>-146.4000000000001</x:v>
      </x:c>
      <x:c r="W100" s="9" t="n">
        <x:f>(Inputs!$I$9+(((A100)+1)/2)*(Inputs!$J$9-Inputs!$I$9))</x:f>
        <x:v>-146.4000000000001</x:v>
      </x:c>
      <x:c r="X100" s="10"/>
      <x:c r="Y100" s="9">
        <x:f t="shared" si="12"/>
        <x:v>-0.183</x:v>
      </x:c>
      <x:c r="Z100" s="9" t="n">
        <x:f>(Inputs!$H$6+Inputs!$L$6*(((Inputs!$I$6+(((A100)+1)/2)*(Inputs!$J$6-Inputs!$I$6)))/Inputs!$K$6)^2)</x:f>
        <x:v>400.133956</x:v>
      </x:c>
      <x:c r="AA100" s="9" t="n">
        <x:f>(Inputs!$H$7+Inputs!$L$7*(((Inputs!$I$7+(((A100)+1)/2)*(Inputs!$J$7-Inputs!$I$7)))/Inputs!$K$7)^2)</x:f>
        <x:v>47.22348500000001</x:v>
      </x:c>
      <x:c r="AB100" s="9" t="n">
        <x:f>(Inputs!$H$8+Inputs!$L$8*(((Inputs!$I$8+(((A100)+1)/2)*(Inputs!$J$8-Inputs!$I$8)))/Inputs!$K$8)^2)</x:f>
        <x:v>67.31688500000004</x:v>
      </x:c>
      <x:c r="AC100" s="9" t="n">
        <x:f>(Inputs!$H$9+Inputs!$L$9*(((Inputs!$I$9+(((A100)+1)/2)*(Inputs!$J$9-Inputs!$I$9)))/Inputs!$K$9)^2)</x:f>
        <x:v>57.651775000000036</x:v>
      </x:c>
      <x:c r="AD100" s="10"/>
      <x:c r="AE100" s="9">
        <x:f t="shared" si="13"/>
        <x:v>-0.183</x:v>
      </x:c>
      <x:c r="AF100" s="9"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9"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9"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9"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10"/>
      <x:c r="AK100" s="9">
        <x:f t="shared" si="14"/>
        <x:v>-0.183</x:v>
      </x:c>
      <x:c r="AL100" s="9"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9"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9"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9"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10"/>
      <x:c r="AQ100" s="9">
        <x:f t="shared" si="15"/>
        <x:v>-0.183</x:v>
      </x:c>
      <x:c r="AR100" s="9" t="n">
        <x:f>0</x:f>
        <x:v>0</x:v>
      </x:c>
      <x:c r="AS100" s="9"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x:f>
        <x:v>453.35905784425717</x:v>
      </x:c>
      <x:c r="AT100" s="9"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x:f>
        <x:v>100.11600821376301</x:v>
      </x:c>
      <x:c r="AU100" s="9"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x:f>
        <x:v>89.83401143233425</x:v>
      </x:c>
      <x:c r="AV100" s="9"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x:f>
        <x:v>89.83401143233425</x:v>
      </x:c>
      <x:c r="AW100" s="10"/>
      <x:c r="AX100" s="9">
        <x:f t="shared" si="16"/>
        <x:v>-0.183</x:v>
      </x:c>
      <x:c r="AY100" s="9" t="n">
        <x:f>0</x:f>
        <x:v>0</x:v>
      </x:c>
      <x:c r="AZ100" s="9" t="n">
        <x:f>IF(OR(Inputs!$F$6=TRUE,Inputs!$F$6="TRUE",Inputs!$F$6=1),(Inputs!$H$6+Inputs!$L$6*(((Inputs!$I$6+(((A100)+1)/2)*(Inputs!$J$6-Inputs!$I$6)))/Inputs!$K$6)^2),NA())</x:f>
        <x:v>400.133956</x:v>
      </x:c>
      <x:c r="BA100" s="9" t="n">
        <x:f>IF(OR(Inputs!$F$7=TRUE,Inputs!$F$7="TRUE",Inputs!$F$7=1),(Inputs!$H$7+Inputs!$L$7*(((Inputs!$I$7+(((A100)+1)/2)*(Inputs!$J$7-Inputs!$I$7)))/Inputs!$K$7)^2),NA())</x:f>
        <x:v>47.22348500000001</x:v>
      </x:c>
      <x:c r="BB100" s="9" t="n">
        <x:f>IF(OR(Inputs!$F$8=TRUE,Inputs!$F$8="TRUE",Inputs!$F$8=1),(Inputs!$H$8+Inputs!$L$8*(((Inputs!$I$8+(((A100)+1)/2)*(Inputs!$J$8-Inputs!$I$8)))/Inputs!$K$8)^2),NA())</x:f>
        <x:v>67.31688500000004</x:v>
      </x:c>
      <x:c r="BC100" s="9" t="n">
        <x:f>IF(OR(Inputs!$F$9=TRUE,Inputs!$F$9="TRUE",Inputs!$F$9=1),(Inputs!$H$9+Inputs!$L$9*(((Inputs!$I$9+(((A100)+1)/2)*(Inputs!$J$9-Inputs!$I$9)))/Inputs!$K$9)^2),NA())</x:f>
        <x:v>57.651775000000036</x:v>
      </x:c>
      <x:c r="BD100" s="10"/>
      <x:c r="BE100" s="9">
        <x:f t="shared" si="17"/>
        <x:v>-0.183</x:v>
      </x:c>
      <x:c r="BF100" s="9" t="n">
        <x:f>0</x:f>
        <x:v>0</x:v>
      </x:c>
      <x:c r="BG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9" t="n">
        <x:f>ROUND(-1+99*2/240,3)</x:f>
        <x:v>-0.175</x:v>
      </x:c>
      <x:c r="B101" s="9" t="n">
        <x:f>IF(OR(Inputs!$F$6=TRUE,Inputs!$F$6="TRUE",Inputs!$F$6=1),(Inputs!$H$6+Inputs!$L$6*(((Inputs!$I$6+(((A101)+1)/2)*(Inputs!$J$6-Inputs!$I$6)))/Inputs!$K$6)^2),NA())</x:f>
        <x:v>400.1225</x:v>
      </x:c>
      <x:c r="C101" s="9" t="n">
        <x:f>IF(OR(Inputs!$F$7=TRUE,Inputs!$F$7="TRUE",Inputs!$F$7=1),(Inputs!$H$7+Inputs!$L$7*(((Inputs!$I$7+(((A101)+1)/2)*(Inputs!$J$7-Inputs!$I$7)))/Inputs!$K$7)^2),NA())</x:f>
        <x:v>46.178124999999994</x:v>
      </x:c>
      <x:c r="D101" s="9" t="n">
        <x:f>IF(OR(Inputs!$F$8=TRUE,Inputs!$F$8="TRUE",Inputs!$F$8=1),(Inputs!$H$8+Inputs!$L$8*(((Inputs!$I$8+(((A101)+1)/2)*(Inputs!$J$8-Inputs!$I$8)))/Inputs!$K$8)^2),NA())</x:f>
        <x:v>64.553125</x:v>
      </x:c>
      <x:c r="E101" s="9" t="n">
        <x:f>IF(OR(Inputs!$F$9=TRUE,Inputs!$F$9="TRUE",Inputs!$F$9=1),(Inputs!$H$9+Inputs!$L$9*(((Inputs!$I$9+(((A101)+1)/2)*(Inputs!$J$9-Inputs!$I$9)))/Inputs!$K$9)^2),NA())</x:f>
        <x:v>54.859375</x:v>
      </x:c>
      <x:c r="F101" s="10"/>
      <x:c r="G101" s="9">
        <x:f t="shared" si="9"/>
        <x:v>-0.17499999999999999</x:v>
      </x:c>
      <x:c r="H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10"/>
      <x:c r="M101" s="9">
        <x:f t="shared" si="10"/>
        <x:v>-0.17499999999999999</x:v>
      </x:c>
      <x:c r="N101" s="9"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9"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9"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9"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10"/>
      <x:c r="S101" s="9">
        <x:f t="shared" si="11"/>
        <x:v>-0.17499999999999999</x:v>
      </x:c>
      <x:c r="T101" s="9" t="n">
        <x:f>(Inputs!$I$6+(((A101)+1)/2)*(Inputs!$J$6-Inputs!$I$6))</x:f>
        <x:v>-10.5</x:v>
      </x:c>
      <x:c r="U101" s="9" t="n">
        <x:f>(Inputs!$I$7+(((A101)+1)/2)*(Inputs!$J$7-Inputs!$I$7))</x:f>
        <x:v>-70</x:v>
      </x:c>
      <x:c r="V101" s="9" t="n">
        <x:f>(Inputs!$I$8+(((A101)+1)/2)*(Inputs!$J$8-Inputs!$I$8))</x:f>
        <x:v>-140</x:v>
      </x:c>
      <x:c r="W101" s="9" t="n">
        <x:f>(Inputs!$I$9+(((A101)+1)/2)*(Inputs!$J$9-Inputs!$I$9))</x:f>
        <x:v>-140</x:v>
      </x:c>
      <x:c r="X101" s="10"/>
      <x:c r="Y101" s="9">
        <x:f t="shared" si="12"/>
        <x:v>-0.17499999999999999</x:v>
      </x:c>
      <x:c r="Z101" s="9" t="n">
        <x:f>(Inputs!$H$6+Inputs!$L$6*(((Inputs!$I$6+(((A101)+1)/2)*(Inputs!$J$6-Inputs!$I$6)))/Inputs!$K$6)^2)</x:f>
        <x:v>400.1225</x:v>
      </x:c>
      <x:c r="AA101" s="9" t="n">
        <x:f>(Inputs!$H$7+Inputs!$L$7*(((Inputs!$I$7+(((A101)+1)/2)*(Inputs!$J$7-Inputs!$I$7)))/Inputs!$K$7)^2)</x:f>
        <x:v>46.178124999999994</x:v>
      </x:c>
      <x:c r="AB101" s="9" t="n">
        <x:f>(Inputs!$H$8+Inputs!$L$8*(((Inputs!$I$8+(((A101)+1)/2)*(Inputs!$J$8-Inputs!$I$8)))/Inputs!$K$8)^2)</x:f>
        <x:v>64.553125</x:v>
      </x:c>
      <x:c r="AC101" s="9" t="n">
        <x:f>(Inputs!$H$9+Inputs!$L$9*(((Inputs!$I$9+(((A101)+1)/2)*(Inputs!$J$9-Inputs!$I$9)))/Inputs!$K$9)^2)</x:f>
        <x:v>54.859375</x:v>
      </x:c>
      <x:c r="AD101" s="10"/>
      <x:c r="AE101" s="9">
        <x:f t="shared" si="13"/>
        <x:v>-0.17499999999999999</x:v>
      </x:c>
      <x:c r="AF101" s="9"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9"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9"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9"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10"/>
      <x:c r="AK101" s="9">
        <x:f t="shared" si="14"/>
        <x:v>-0.17499999999999999</x:v>
      </x:c>
      <x:c r="AL101" s="9"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9"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9"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9"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10"/>
      <x:c r="AQ101" s="9">
        <x:f t="shared" si="15"/>
        <x:v>-0.17499999999999999</x:v>
      </x:c>
      <x:c r="AR101" s="9" t="n">
        <x:f>0</x:f>
        <x:v>0</x:v>
      </x:c>
      <x:c r="AS101" s="9"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x:f>
        <x:v>470.10163194835394</x:v>
      </x:c>
      <x:c r="AT101" s="9"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x:f>
        <x:v>196.96306248477907</x:v>
      </x:c>
      <x:c r="AU101" s="9"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x:f>
        <x:v>204.7986580113276</x:v>
      </x:c>
      <x:c r="AV101" s="9"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x:f>
        <x:v>204.7986580113276</x:v>
      </x:c>
      <x:c r="AW101" s="10"/>
      <x:c r="AX101" s="9">
        <x:f t="shared" si="16"/>
        <x:v>-0.17499999999999999</x:v>
      </x:c>
      <x:c r="AY101" s="9" t="n">
        <x:f>0</x:f>
        <x:v>0</x:v>
      </x:c>
      <x:c r="AZ101" s="9" t="n">
        <x:f>IF(OR(Inputs!$F$6=TRUE,Inputs!$F$6="TRUE",Inputs!$F$6=1),(Inputs!$H$6+Inputs!$L$6*(((Inputs!$I$6+(((A101)+1)/2)*(Inputs!$J$6-Inputs!$I$6)))/Inputs!$K$6)^2),NA())</x:f>
        <x:v>400.1225</x:v>
      </x:c>
      <x:c r="BA101" s="9" t="n">
        <x:f>IF(OR(Inputs!$F$7=TRUE,Inputs!$F$7="TRUE",Inputs!$F$7=1),(Inputs!$H$7+Inputs!$L$7*(((Inputs!$I$7+(((A101)+1)/2)*(Inputs!$J$7-Inputs!$I$7)))/Inputs!$K$7)^2),NA())</x:f>
        <x:v>46.178124999999994</x:v>
      </x:c>
      <x:c r="BB101" s="9" t="n">
        <x:f>IF(OR(Inputs!$F$8=TRUE,Inputs!$F$8="TRUE",Inputs!$F$8=1),(Inputs!$H$8+Inputs!$L$8*(((Inputs!$I$8+(((A101)+1)/2)*(Inputs!$J$8-Inputs!$I$8)))/Inputs!$K$8)^2),NA())</x:f>
        <x:v>64.553125</x:v>
      </x:c>
      <x:c r="BC101" s="9" t="n">
        <x:f>IF(OR(Inputs!$F$9=TRUE,Inputs!$F$9="TRUE",Inputs!$F$9=1),(Inputs!$H$9+Inputs!$L$9*(((Inputs!$I$9+(((A101)+1)/2)*(Inputs!$J$9-Inputs!$I$9)))/Inputs!$K$9)^2),NA())</x:f>
        <x:v>54.859375</x:v>
      </x:c>
      <x:c r="BD101" s="10"/>
      <x:c r="BE101" s="9">
        <x:f t="shared" si="17"/>
        <x:v>-0.17499999999999999</x:v>
      </x:c>
      <x:c r="BF101" s="9" t="n">
        <x:f>0</x:f>
        <x:v>0</x:v>
      </x:c>
      <x:c r="BG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9" t="n">
        <x:f>ROUND(-1+100*2/240,3)</x:f>
        <x:v>-0.167</x:v>
      </x:c>
      <x:c r="B102" s="9" t="n">
        <x:f>IF(OR(Inputs!$F$6=TRUE,Inputs!$F$6="TRUE",Inputs!$F$6=1),(Inputs!$H$6+Inputs!$L$6*(((Inputs!$I$6+(((A102)+1)/2)*(Inputs!$J$6-Inputs!$I$6)))/Inputs!$K$6)^2),NA())</x:f>
        <x:v>400.111556</x:v>
      </x:c>
      <x:c r="C102" s="9" t="n">
        <x:f>IF(OR(Inputs!$F$7=TRUE,Inputs!$F$7="TRUE",Inputs!$F$7=1),(Inputs!$H$7+Inputs!$L$7*(((Inputs!$I$7+(((A102)+1)/2)*(Inputs!$J$7-Inputs!$I$7)))/Inputs!$K$7)^2),NA())</x:f>
        <x:v>45.179485</x:v>
      </x:c>
      <x:c r="D102" s="9" t="n">
        <x:f>IF(OR(Inputs!$F$8=TRUE,Inputs!$F$8="TRUE",Inputs!$F$8=1),(Inputs!$H$8+Inputs!$L$8*(((Inputs!$I$8+(((A102)+1)/2)*(Inputs!$J$8-Inputs!$I$8)))/Inputs!$K$8)^2),NA())</x:f>
        <x:v>61.91288500000001</x:v>
      </x:c>
      <x:c r="E102" s="9" t="n">
        <x:f>IF(OR(Inputs!$F$9=TRUE,Inputs!$F$9="TRUE",Inputs!$F$9=1),(Inputs!$H$9+Inputs!$L$9*(((Inputs!$I$9+(((A102)+1)/2)*(Inputs!$J$9-Inputs!$I$9)))/Inputs!$K$9)^2),NA())</x:f>
        <x:v>52.19177500000001</x:v>
      </x:c>
      <x:c r="F102" s="10"/>
      <x:c r="G102" s="9">
        <x:f t="shared" si="9"/>
        <x:v>-0.16700000000000001</x:v>
      </x:c>
      <x:c r="H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10"/>
      <x:c r="M102" s="9">
        <x:f t="shared" si="10"/>
        <x:v>-0.16700000000000001</x:v>
      </x:c>
      <x:c r="N102" s="9"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9"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9"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9"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10"/>
      <x:c r="S102" s="9">
        <x:f t="shared" si="11"/>
        <x:v>-0.16700000000000001</x:v>
      </x:c>
      <x:c r="T102" s="9" t="n">
        <x:f>(Inputs!$I$6+(((A102)+1)/2)*(Inputs!$J$6-Inputs!$I$6))</x:f>
        <x:v>-10.020000000000003</x:v>
      </x:c>
      <x:c r="U102" s="9" t="n">
        <x:f>(Inputs!$I$7+(((A102)+1)/2)*(Inputs!$J$7-Inputs!$I$7))</x:f>
        <x:v>-66.80000000000001</x:v>
      </x:c>
      <x:c r="V102" s="9" t="n">
        <x:f>(Inputs!$I$8+(((A102)+1)/2)*(Inputs!$J$8-Inputs!$I$8))</x:f>
        <x:v>-133.60000000000002</x:v>
      </x:c>
      <x:c r="W102" s="9" t="n">
        <x:f>(Inputs!$I$9+(((A102)+1)/2)*(Inputs!$J$9-Inputs!$I$9))</x:f>
        <x:v>-133.60000000000002</x:v>
      </x:c>
      <x:c r="X102" s="10"/>
      <x:c r="Y102" s="9">
        <x:f t="shared" si="12"/>
        <x:v>-0.16700000000000001</x:v>
      </x:c>
      <x:c r="Z102" s="9" t="n">
        <x:f>(Inputs!$H$6+Inputs!$L$6*(((Inputs!$I$6+(((A102)+1)/2)*(Inputs!$J$6-Inputs!$I$6)))/Inputs!$K$6)^2)</x:f>
        <x:v>400.111556</x:v>
      </x:c>
      <x:c r="AA102" s="9" t="n">
        <x:f>(Inputs!$H$7+Inputs!$L$7*(((Inputs!$I$7+(((A102)+1)/2)*(Inputs!$J$7-Inputs!$I$7)))/Inputs!$K$7)^2)</x:f>
        <x:v>45.179485</x:v>
      </x:c>
      <x:c r="AB102" s="9" t="n">
        <x:f>(Inputs!$H$8+Inputs!$L$8*(((Inputs!$I$8+(((A102)+1)/2)*(Inputs!$J$8-Inputs!$I$8)))/Inputs!$K$8)^2)</x:f>
        <x:v>61.91288500000001</x:v>
      </x:c>
      <x:c r="AC102" s="9" t="n">
        <x:f>(Inputs!$H$9+Inputs!$L$9*(((Inputs!$I$9+(((A102)+1)/2)*(Inputs!$J$9-Inputs!$I$9)))/Inputs!$K$9)^2)</x:f>
        <x:v>52.19177500000001</x:v>
      </x:c>
      <x:c r="AD102" s="10"/>
      <x:c r="AE102" s="9">
        <x:f t="shared" si="13"/>
        <x:v>-0.16700000000000001</x:v>
      </x:c>
      <x:c r="AF102" s="9"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9"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9"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9"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10"/>
      <x:c r="AK102" s="9">
        <x:f t="shared" si="14"/>
        <x:v>-0.16700000000000001</x:v>
      </x:c>
      <x:c r="AL102" s="9"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9"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9"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9"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10"/>
      <x:c r="AQ102" s="9">
        <x:f t="shared" si="15"/>
        <x:v>-0.16700000000000001</x:v>
      </x:c>
      <x:c r="AR102" s="9" t="n">
        <x:f>0</x:f>
        <x:v>0</x:v>
      </x:c>
      <x:c r="AS102" s="9"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x:f>
        <x:v>463.94875984945276</x:v>
      </x:c>
      <x:c r="AT102" s="9"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x:f>
        <x:v>218.3616731290067</x:v>
      </x:c>
      <x:c r="AU102" s="9"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x:f>
        <x:v>121.5271229913207</x:v>
      </x:c>
      <x:c r="AV102" s="9"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x:f>
        <x:v>121.5271229913207</x:v>
      </x:c>
      <x:c r="AW102" s="10"/>
      <x:c r="AX102" s="9">
        <x:f t="shared" si="16"/>
        <x:v>-0.16700000000000001</x:v>
      </x:c>
      <x:c r="AY102" s="9" t="n">
        <x:f>0</x:f>
        <x:v>0</x:v>
      </x:c>
      <x:c r="AZ102" s="9" t="n">
        <x:f>IF(OR(Inputs!$F$6=TRUE,Inputs!$F$6="TRUE",Inputs!$F$6=1),(Inputs!$H$6+Inputs!$L$6*(((Inputs!$I$6+(((A102)+1)/2)*(Inputs!$J$6-Inputs!$I$6)))/Inputs!$K$6)^2),NA())</x:f>
        <x:v>400.111556</x:v>
      </x:c>
      <x:c r="BA102" s="9" t="n">
        <x:f>IF(OR(Inputs!$F$7=TRUE,Inputs!$F$7="TRUE",Inputs!$F$7=1),(Inputs!$H$7+Inputs!$L$7*(((Inputs!$I$7+(((A102)+1)/2)*(Inputs!$J$7-Inputs!$I$7)))/Inputs!$K$7)^2),NA())</x:f>
        <x:v>45.179485</x:v>
      </x:c>
      <x:c r="BB102" s="9" t="n">
        <x:f>IF(OR(Inputs!$F$8=TRUE,Inputs!$F$8="TRUE",Inputs!$F$8=1),(Inputs!$H$8+Inputs!$L$8*(((Inputs!$I$8+(((A102)+1)/2)*(Inputs!$J$8-Inputs!$I$8)))/Inputs!$K$8)^2),NA())</x:f>
        <x:v>61.91288500000001</x:v>
      </x:c>
      <x:c r="BC102" s="9" t="n">
        <x:f>IF(OR(Inputs!$F$9=TRUE,Inputs!$F$9="TRUE",Inputs!$F$9=1),(Inputs!$H$9+Inputs!$L$9*(((Inputs!$I$9+(((A102)+1)/2)*(Inputs!$J$9-Inputs!$I$9)))/Inputs!$K$9)^2),NA())</x:f>
        <x:v>52.19177500000001</x:v>
      </x:c>
      <x:c r="BD102" s="10"/>
      <x:c r="BE102" s="9">
        <x:f t="shared" si="17"/>
        <x:v>-0.16700000000000001</x:v>
      </x:c>
      <x:c r="BF102" s="9" t="n">
        <x:f>0</x:f>
        <x:v>0</x:v>
      </x:c>
      <x:c r="BG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9" t="n">
        <x:f>ROUND(-1+101*2/240,3)</x:f>
        <x:v>-0.158</x:v>
      </x:c>
      <x:c r="B103" s="9" t="n">
        <x:f>IF(OR(Inputs!$F$6=TRUE,Inputs!$F$6="TRUE",Inputs!$F$6=1),(Inputs!$H$6+Inputs!$L$6*(((Inputs!$I$6+(((A103)+1)/2)*(Inputs!$J$6-Inputs!$I$6)))/Inputs!$K$6)^2),NA())</x:f>
        <x:v>400.099856</x:v>
      </x:c>
      <x:c r="C103" s="9" t="n">
        <x:f>IF(OR(Inputs!$F$7=TRUE,Inputs!$F$7="TRUE",Inputs!$F$7=1),(Inputs!$H$7+Inputs!$L$7*(((Inputs!$I$7+(((A103)+1)/2)*(Inputs!$J$7-Inputs!$I$7)))/Inputs!$K$7)^2),NA())</x:f>
        <x:v>44.11186</x:v>
      </x:c>
      <x:c r="D103" s="9" t="n">
        <x:f>IF(OR(Inputs!$F$8=TRUE,Inputs!$F$8="TRUE",Inputs!$F$8=1),(Inputs!$H$8+Inputs!$L$8*(((Inputs!$I$8+(((A103)+1)/2)*(Inputs!$J$8-Inputs!$I$8)))/Inputs!$K$8)^2),NA())</x:f>
        <x:v>59.090259999999994</x:v>
      </x:c>
      <x:c r="E103" s="9" t="n">
        <x:f>IF(OR(Inputs!$F$9=TRUE,Inputs!$F$9="TRUE",Inputs!$F$9=1),(Inputs!$H$9+Inputs!$L$9*(((Inputs!$I$9+(((A103)+1)/2)*(Inputs!$J$9-Inputs!$I$9)))/Inputs!$K$9)^2),NA())</x:f>
        <x:v>49.33989999999999</x:v>
      </x:c>
      <x:c r="F103" s="10"/>
      <x:c r="G103" s="9">
        <x:f t="shared" si="9"/>
        <x:v>-0.158</x:v>
      </x:c>
      <x:c r="H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10"/>
      <x:c r="M103" s="9">
        <x:f t="shared" si="10"/>
        <x:v>-0.158</x:v>
      </x:c>
      <x:c r="N103" s="9"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9"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9"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9"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10"/>
      <x:c r="S103" s="9">
        <x:f t="shared" si="11"/>
        <x:v>-0.158</x:v>
      </x:c>
      <x:c r="T103" s="9" t="n">
        <x:f>(Inputs!$I$6+(((A103)+1)/2)*(Inputs!$J$6-Inputs!$I$6))</x:f>
        <x:v>-9.480000000000004</x:v>
      </x:c>
      <x:c r="U103" s="9" t="n">
        <x:f>(Inputs!$I$7+(((A103)+1)/2)*(Inputs!$J$7-Inputs!$I$7))</x:f>
        <x:v>-63.19999999999999</x:v>
      </x:c>
      <x:c r="V103" s="9" t="n">
        <x:f>(Inputs!$I$8+(((A103)+1)/2)*(Inputs!$J$8-Inputs!$I$8))</x:f>
        <x:v>-126.39999999999998</x:v>
      </x:c>
      <x:c r="W103" s="9" t="n">
        <x:f>(Inputs!$I$9+(((A103)+1)/2)*(Inputs!$J$9-Inputs!$I$9))</x:f>
        <x:v>-126.39999999999998</x:v>
      </x:c>
      <x:c r="X103" s="10"/>
      <x:c r="Y103" s="9">
        <x:f t="shared" si="12"/>
        <x:v>-0.158</x:v>
      </x:c>
      <x:c r="Z103" s="9" t="n">
        <x:f>(Inputs!$H$6+Inputs!$L$6*(((Inputs!$I$6+(((A103)+1)/2)*(Inputs!$J$6-Inputs!$I$6)))/Inputs!$K$6)^2)</x:f>
        <x:v>400.099856</x:v>
      </x:c>
      <x:c r="AA103" s="9" t="n">
        <x:f>(Inputs!$H$7+Inputs!$L$7*(((Inputs!$I$7+(((A103)+1)/2)*(Inputs!$J$7-Inputs!$I$7)))/Inputs!$K$7)^2)</x:f>
        <x:v>44.11186</x:v>
      </x:c>
      <x:c r="AB103" s="9" t="n">
        <x:f>(Inputs!$H$8+Inputs!$L$8*(((Inputs!$I$8+(((A103)+1)/2)*(Inputs!$J$8-Inputs!$I$8)))/Inputs!$K$8)^2)</x:f>
        <x:v>59.090259999999994</x:v>
      </x:c>
      <x:c r="AC103" s="9" t="n">
        <x:f>(Inputs!$H$9+Inputs!$L$9*(((Inputs!$I$9+(((A103)+1)/2)*(Inputs!$J$9-Inputs!$I$9)))/Inputs!$K$9)^2)</x:f>
        <x:v>49.33989999999999</x:v>
      </x:c>
      <x:c r="AD103" s="10"/>
      <x:c r="AE103" s="9">
        <x:f t="shared" si="13"/>
        <x:v>-0.158</x:v>
      </x:c>
      <x:c r="AF103" s="9"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9"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9"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9"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10"/>
      <x:c r="AK103" s="9">
        <x:f t="shared" si="14"/>
        <x:v>-0.158</x:v>
      </x:c>
      <x:c r="AL103" s="9"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9"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9"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9"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10"/>
      <x:c r="AQ103" s="9">
        <x:f t="shared" si="15"/>
        <x:v>-0.158</x:v>
      </x:c>
      <x:c r="AR103" s="9" t="n">
        <x:f>0</x:f>
        <x:v>0</x:v>
      </x:c>
      <x:c r="AS103" s="9"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x:f>
        <x:v>463.79010570511156</x:v>
      </x:c>
      <x:c r="AT103" s="9"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x:f>
        <x:v>154.66089405905174</x:v>
      </x:c>
      <x:c r="AU103" s="9"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x:f>
        <x:v>168.45952248322774</x:v>
      </x:c>
      <x:c r="AV103" s="9"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x:f>
        <x:v>168.45952248322774</x:v>
      </x:c>
      <x:c r="AW103" s="10"/>
      <x:c r="AX103" s="9">
        <x:f t="shared" si="16"/>
        <x:v>-0.158</x:v>
      </x:c>
      <x:c r="AY103" s="9" t="n">
        <x:f>0</x:f>
        <x:v>0</x:v>
      </x:c>
      <x:c r="AZ103" s="9" t="n">
        <x:f>IF(OR(Inputs!$F$6=TRUE,Inputs!$F$6="TRUE",Inputs!$F$6=1),(Inputs!$H$6+Inputs!$L$6*(((Inputs!$I$6+(((A103)+1)/2)*(Inputs!$J$6-Inputs!$I$6)))/Inputs!$K$6)^2),NA())</x:f>
        <x:v>400.099856</x:v>
      </x:c>
      <x:c r="BA103" s="9" t="n">
        <x:f>IF(OR(Inputs!$F$7=TRUE,Inputs!$F$7="TRUE",Inputs!$F$7=1),(Inputs!$H$7+Inputs!$L$7*(((Inputs!$I$7+(((A103)+1)/2)*(Inputs!$J$7-Inputs!$I$7)))/Inputs!$K$7)^2),NA())</x:f>
        <x:v>44.11186</x:v>
      </x:c>
      <x:c r="BB103" s="9" t="n">
        <x:f>IF(OR(Inputs!$F$8=TRUE,Inputs!$F$8="TRUE",Inputs!$F$8=1),(Inputs!$H$8+Inputs!$L$8*(((Inputs!$I$8+(((A103)+1)/2)*(Inputs!$J$8-Inputs!$I$8)))/Inputs!$K$8)^2),NA())</x:f>
        <x:v>59.090259999999994</x:v>
      </x:c>
      <x:c r="BC103" s="9" t="n">
        <x:f>IF(OR(Inputs!$F$9=TRUE,Inputs!$F$9="TRUE",Inputs!$F$9=1),(Inputs!$H$9+Inputs!$L$9*(((Inputs!$I$9+(((A103)+1)/2)*(Inputs!$J$9-Inputs!$I$9)))/Inputs!$K$9)^2),NA())</x:f>
        <x:v>49.33989999999999</x:v>
      </x:c>
      <x:c r="BD103" s="10"/>
      <x:c r="BE103" s="9">
        <x:f t="shared" si="17"/>
        <x:v>-0.158</x:v>
      </x:c>
      <x:c r="BF103" s="9" t="n">
        <x:f>0</x:f>
        <x:v>0</x:v>
      </x:c>
      <x:c r="BG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9" t="n">
        <x:f>ROUND(-1+102*2/240,3)</x:f>
        <x:v>-0.15</x:v>
      </x:c>
      <x:c r="B104" s="9" t="n">
        <x:f>IF(OR(Inputs!$F$6=TRUE,Inputs!$F$6="TRUE",Inputs!$F$6=1),(Inputs!$H$6+Inputs!$L$6*(((Inputs!$I$6+(((A104)+1)/2)*(Inputs!$J$6-Inputs!$I$6)))/Inputs!$K$6)^2),NA())</x:f>
        <x:v>400.09</x:v>
      </x:c>
      <x:c r="C104" s="9" t="n">
        <x:f>IF(OR(Inputs!$F$7=TRUE,Inputs!$F$7="TRUE",Inputs!$F$7=1),(Inputs!$H$7+Inputs!$L$7*(((Inputs!$I$7+(((A104)+1)/2)*(Inputs!$J$7-Inputs!$I$7)))/Inputs!$K$7)^2),NA())</x:f>
        <x:v>43.2125</x:v>
      </x:c>
      <x:c r="D104" s="9" t="n">
        <x:f>IF(OR(Inputs!$F$8=TRUE,Inputs!$F$8="TRUE",Inputs!$F$8=1),(Inputs!$H$8+Inputs!$L$8*(((Inputs!$I$8+(((A104)+1)/2)*(Inputs!$J$8-Inputs!$I$8)))/Inputs!$K$8)^2),NA())</x:f>
        <x:v>56.7125</x:v>
      </x:c>
      <x:c r="E104" s="9" t="n">
        <x:f>IF(OR(Inputs!$F$9=TRUE,Inputs!$F$9="TRUE",Inputs!$F$9=1),(Inputs!$H$9+Inputs!$L$9*(((Inputs!$I$9+(((A104)+1)/2)*(Inputs!$J$9-Inputs!$I$9)))/Inputs!$K$9)^2),NA())</x:f>
        <x:v>46.9375</x:v>
      </x:c>
      <x:c r="F104" s="10"/>
      <x:c r="G104" s="9">
        <x:f t="shared" si="9"/>
        <x:v>-0.15</x:v>
      </x:c>
      <x:c r="H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10"/>
      <x:c r="M104" s="9">
        <x:f t="shared" si="10"/>
        <x:v>-0.15</x:v>
      </x:c>
      <x:c r="N104" s="9"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9"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9"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9"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10"/>
      <x:c r="S104" s="9">
        <x:f t="shared" si="11"/>
        <x:v>-0.15</x:v>
      </x:c>
      <x:c r="T104" s="9" t="n">
        <x:f>(Inputs!$I$6+(((A104)+1)/2)*(Inputs!$J$6-Inputs!$I$6))</x:f>
        <x:v>-9</x:v>
      </x:c>
      <x:c r="U104" s="9" t="n">
        <x:f>(Inputs!$I$7+(((A104)+1)/2)*(Inputs!$J$7-Inputs!$I$7))</x:f>
        <x:v>-60</x:v>
      </x:c>
      <x:c r="V104" s="9" t="n">
        <x:f>(Inputs!$I$8+(((A104)+1)/2)*(Inputs!$J$8-Inputs!$I$8))</x:f>
        <x:v>-120</x:v>
      </x:c>
      <x:c r="W104" s="9" t="n">
        <x:f>(Inputs!$I$9+(((A104)+1)/2)*(Inputs!$J$9-Inputs!$I$9))</x:f>
        <x:v>-120</x:v>
      </x:c>
      <x:c r="X104" s="10"/>
      <x:c r="Y104" s="9">
        <x:f t="shared" si="12"/>
        <x:v>-0.15</x:v>
      </x:c>
      <x:c r="Z104" s="9" t="n">
        <x:f>(Inputs!$H$6+Inputs!$L$6*(((Inputs!$I$6+(((A104)+1)/2)*(Inputs!$J$6-Inputs!$I$6)))/Inputs!$K$6)^2)</x:f>
        <x:v>400.09</x:v>
      </x:c>
      <x:c r="AA104" s="9" t="n">
        <x:f>(Inputs!$H$7+Inputs!$L$7*(((Inputs!$I$7+(((A104)+1)/2)*(Inputs!$J$7-Inputs!$I$7)))/Inputs!$K$7)^2)</x:f>
        <x:v>43.2125</x:v>
      </x:c>
      <x:c r="AB104" s="9" t="n">
        <x:f>(Inputs!$H$8+Inputs!$L$8*(((Inputs!$I$8+(((A104)+1)/2)*(Inputs!$J$8-Inputs!$I$8)))/Inputs!$K$8)^2)</x:f>
        <x:v>56.7125</x:v>
      </x:c>
      <x:c r="AC104" s="9" t="n">
        <x:f>(Inputs!$H$9+Inputs!$L$9*(((Inputs!$I$9+(((A104)+1)/2)*(Inputs!$J$9-Inputs!$I$9)))/Inputs!$K$9)^2)</x:f>
        <x:v>46.9375</x:v>
      </x:c>
      <x:c r="AD104" s="10"/>
      <x:c r="AE104" s="9">
        <x:f t="shared" si="13"/>
        <x:v>-0.15</x:v>
      </x:c>
      <x:c r="AF104" s="9"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9"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9"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9"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10"/>
      <x:c r="AK104" s="9">
        <x:f t="shared" si="14"/>
        <x:v>-0.15</x:v>
      </x:c>
      <x:c r="AL104" s="9"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9"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9"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9"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10"/>
      <x:c r="AQ104" s="9">
        <x:f t="shared" si="15"/>
        <x:v>-0.15</x:v>
      </x:c>
      <x:c r="AR104" s="9" t="n">
        <x:f>0</x:f>
        <x:v>0</x:v>
      </x:c>
      <x:c r="AS104" s="9"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x:f>
        <x:v>480.618285675218</x:v>
      </x:c>
      <x:c r="AT104" s="9"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x:f>
        <x:v>119.42638570504096</x:v>
      </x:c>
      <x:c r="AU104" s="9"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x:f>
        <x:v>187.74824264735327</x:v>
      </x:c>
      <x:c r="AV104" s="9"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x:f>
        <x:v>187.74824264735327</x:v>
      </x:c>
      <x:c r="AW104" s="10"/>
      <x:c r="AX104" s="9">
        <x:f t="shared" si="16"/>
        <x:v>-0.15</x:v>
      </x:c>
      <x:c r="AY104" s="9" t="n">
        <x:f>0</x:f>
        <x:v>0</x:v>
      </x:c>
      <x:c r="AZ104" s="9" t="n">
        <x:f>IF(OR(Inputs!$F$6=TRUE,Inputs!$F$6="TRUE",Inputs!$F$6=1),(Inputs!$H$6+Inputs!$L$6*(((Inputs!$I$6+(((A104)+1)/2)*(Inputs!$J$6-Inputs!$I$6)))/Inputs!$K$6)^2),NA())</x:f>
        <x:v>400.09</x:v>
      </x:c>
      <x:c r="BA104" s="9" t="n">
        <x:f>IF(OR(Inputs!$F$7=TRUE,Inputs!$F$7="TRUE",Inputs!$F$7=1),(Inputs!$H$7+Inputs!$L$7*(((Inputs!$I$7+(((A104)+1)/2)*(Inputs!$J$7-Inputs!$I$7)))/Inputs!$K$7)^2),NA())</x:f>
        <x:v>43.2125</x:v>
      </x:c>
      <x:c r="BB104" s="9" t="n">
        <x:f>IF(OR(Inputs!$F$8=TRUE,Inputs!$F$8="TRUE",Inputs!$F$8=1),(Inputs!$H$8+Inputs!$L$8*(((Inputs!$I$8+(((A104)+1)/2)*(Inputs!$J$8-Inputs!$I$8)))/Inputs!$K$8)^2),NA())</x:f>
        <x:v>56.7125</x:v>
      </x:c>
      <x:c r="BC104" s="9" t="n">
        <x:f>IF(OR(Inputs!$F$9=TRUE,Inputs!$F$9="TRUE",Inputs!$F$9=1),(Inputs!$H$9+Inputs!$L$9*(((Inputs!$I$9+(((A104)+1)/2)*(Inputs!$J$9-Inputs!$I$9)))/Inputs!$K$9)^2),NA())</x:f>
        <x:v>46.9375</x:v>
      </x:c>
      <x:c r="BD104" s="10"/>
      <x:c r="BE104" s="9">
        <x:f t="shared" si="17"/>
        <x:v>-0.15</x:v>
      </x:c>
      <x:c r="BF104" s="9" t="n">
        <x:f>0</x:f>
        <x:v>0</x:v>
      </x:c>
      <x:c r="BG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9" t="n">
        <x:f>ROUND(-1+103*2/240,3)</x:f>
        <x:v>-0.142</x:v>
      </x:c>
      <x:c r="B105" s="9" t="n">
        <x:f>IF(OR(Inputs!$F$6=TRUE,Inputs!$F$6="TRUE",Inputs!$F$6=1),(Inputs!$H$6+Inputs!$L$6*(((Inputs!$I$6+(((A105)+1)/2)*(Inputs!$J$6-Inputs!$I$6)))/Inputs!$K$6)^2),NA())</x:f>
        <x:v>400.080656</x:v>
      </x:c>
      <x:c r="C105" s="9" t="n">
        <x:f>IF(OR(Inputs!$F$7=TRUE,Inputs!$F$7="TRUE",Inputs!$F$7=1),(Inputs!$H$7+Inputs!$L$7*(((Inputs!$I$7+(((A105)+1)/2)*(Inputs!$J$7-Inputs!$I$7)))/Inputs!$K$7)^2),NA())</x:f>
        <x:v>42.359860000000005</x:v>
      </x:c>
      <x:c r="D105" s="9" t="n">
        <x:f>IF(OR(Inputs!$F$8=TRUE,Inputs!$F$8="TRUE",Inputs!$F$8=1),(Inputs!$H$8+Inputs!$L$8*(((Inputs!$I$8+(((A105)+1)/2)*(Inputs!$J$8-Inputs!$I$8)))/Inputs!$K$8)^2),NA())</x:f>
        <x:v>54.45826000000001</x:v>
      </x:c>
      <x:c r="E105" s="9" t="n">
        <x:f>IF(OR(Inputs!$F$9=TRUE,Inputs!$F$9="TRUE",Inputs!$F$9=1),(Inputs!$H$9+Inputs!$L$9*(((Inputs!$I$9+(((A105)+1)/2)*(Inputs!$J$9-Inputs!$I$9)))/Inputs!$K$9)^2),NA())</x:f>
        <x:v>44.65990000000001</x:v>
      </x:c>
      <x:c r="F105" s="10"/>
      <x:c r="G105" s="9">
        <x:f t="shared" si="9"/>
        <x:v>-0.14199999999999999</x:v>
      </x:c>
      <x:c r="H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10"/>
      <x:c r="M105" s="9">
        <x:f t="shared" si="10"/>
        <x:v>-0.14199999999999999</x:v>
      </x:c>
      <x:c r="N105" s="9"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9"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9"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9"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10"/>
      <x:c r="S105" s="9">
        <x:f t="shared" si="11"/>
        <x:v>-0.14199999999999999</x:v>
      </x:c>
      <x:c r="T105" s="9" t="n">
        <x:f>(Inputs!$I$6+(((A105)+1)/2)*(Inputs!$J$6-Inputs!$I$6))</x:f>
        <x:v>-8.520000000000003</x:v>
      </x:c>
      <x:c r="U105" s="9" t="n">
        <x:f>(Inputs!$I$7+(((A105)+1)/2)*(Inputs!$J$7-Inputs!$I$7))</x:f>
        <x:v>-56.80000000000001</x:v>
      </x:c>
      <x:c r="V105" s="9" t="n">
        <x:f>(Inputs!$I$8+(((A105)+1)/2)*(Inputs!$J$8-Inputs!$I$8))</x:f>
        <x:v>-113.60000000000002</x:v>
      </x:c>
      <x:c r="W105" s="9" t="n">
        <x:f>(Inputs!$I$9+(((A105)+1)/2)*(Inputs!$J$9-Inputs!$I$9))</x:f>
        <x:v>-113.60000000000002</x:v>
      </x:c>
      <x:c r="X105" s="10"/>
      <x:c r="Y105" s="9">
        <x:f t="shared" si="12"/>
        <x:v>-0.14199999999999999</x:v>
      </x:c>
      <x:c r="Z105" s="9" t="n">
        <x:f>(Inputs!$H$6+Inputs!$L$6*(((Inputs!$I$6+(((A105)+1)/2)*(Inputs!$J$6-Inputs!$I$6)))/Inputs!$K$6)^2)</x:f>
        <x:v>400.080656</x:v>
      </x:c>
      <x:c r="AA105" s="9" t="n">
        <x:f>(Inputs!$H$7+Inputs!$L$7*(((Inputs!$I$7+(((A105)+1)/2)*(Inputs!$J$7-Inputs!$I$7)))/Inputs!$K$7)^2)</x:f>
        <x:v>42.359860000000005</x:v>
      </x:c>
      <x:c r="AB105" s="9" t="n">
        <x:f>(Inputs!$H$8+Inputs!$L$8*(((Inputs!$I$8+(((A105)+1)/2)*(Inputs!$J$8-Inputs!$I$8)))/Inputs!$K$8)^2)</x:f>
        <x:v>54.45826000000001</x:v>
      </x:c>
      <x:c r="AC105" s="9" t="n">
        <x:f>(Inputs!$H$9+Inputs!$L$9*(((Inputs!$I$9+(((A105)+1)/2)*(Inputs!$J$9-Inputs!$I$9)))/Inputs!$K$9)^2)</x:f>
        <x:v>44.65990000000001</x:v>
      </x:c>
      <x:c r="AD105" s="10"/>
      <x:c r="AE105" s="9">
        <x:f t="shared" si="13"/>
        <x:v>-0.14199999999999999</x:v>
      </x:c>
      <x:c r="AF105" s="9"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9"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9"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9"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10"/>
      <x:c r="AK105" s="9">
        <x:f t="shared" si="14"/>
        <x:v>-0.14199999999999999</x:v>
      </x:c>
      <x:c r="AL105" s="9"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9"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9"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9"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10"/>
      <x:c r="AQ105" s="9">
        <x:f t="shared" si="15"/>
        <x:v>-0.14199999999999999</x:v>
      </x:c>
      <x:c r="AR105" s="9" t="n">
        <x:f>0</x:f>
        <x:v>0</x:v>
      </x:c>
      <x:c r="AS105" s="9"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x:f>
        <x:v>472.3343784605022</x:v>
      </x:c>
      <x:c r="AT105" s="9"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x:f>
        <x:v>145.9535394897241</x:v>
      </x:c>
      <x:c r="AU105" s="9"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x:f>
        <x:v>116.3409478722638</x:v>
      </x:c>
      <x:c r="AV105" s="9"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x:f>
        <x:v>116.3409478722638</x:v>
      </x:c>
      <x:c r="AW105" s="10"/>
      <x:c r="AX105" s="9">
        <x:f t="shared" si="16"/>
        <x:v>-0.14199999999999999</x:v>
      </x:c>
      <x:c r="AY105" s="9" t="n">
        <x:f>0</x:f>
        <x:v>0</x:v>
      </x:c>
      <x:c r="AZ105" s="9" t="n">
        <x:f>IF(OR(Inputs!$F$6=TRUE,Inputs!$F$6="TRUE",Inputs!$F$6=1),(Inputs!$H$6+Inputs!$L$6*(((Inputs!$I$6+(((A105)+1)/2)*(Inputs!$J$6-Inputs!$I$6)))/Inputs!$K$6)^2),NA())</x:f>
        <x:v>400.080656</x:v>
      </x:c>
      <x:c r="BA105" s="9" t="n">
        <x:f>IF(OR(Inputs!$F$7=TRUE,Inputs!$F$7="TRUE",Inputs!$F$7=1),(Inputs!$H$7+Inputs!$L$7*(((Inputs!$I$7+(((A105)+1)/2)*(Inputs!$J$7-Inputs!$I$7)))/Inputs!$K$7)^2),NA())</x:f>
        <x:v>42.359860000000005</x:v>
      </x:c>
      <x:c r="BB105" s="9" t="n">
        <x:f>IF(OR(Inputs!$F$8=TRUE,Inputs!$F$8="TRUE",Inputs!$F$8=1),(Inputs!$H$8+Inputs!$L$8*(((Inputs!$I$8+(((A105)+1)/2)*(Inputs!$J$8-Inputs!$I$8)))/Inputs!$K$8)^2),NA())</x:f>
        <x:v>54.45826000000001</x:v>
      </x:c>
      <x:c r="BC105" s="9" t="n">
        <x:f>IF(OR(Inputs!$F$9=TRUE,Inputs!$F$9="TRUE",Inputs!$F$9=1),(Inputs!$H$9+Inputs!$L$9*(((Inputs!$I$9+(((A105)+1)/2)*(Inputs!$J$9-Inputs!$I$9)))/Inputs!$K$9)^2),NA())</x:f>
        <x:v>44.65990000000001</x:v>
      </x:c>
      <x:c r="BD105" s="10"/>
      <x:c r="BE105" s="9">
        <x:f t="shared" si="17"/>
        <x:v>-0.14199999999999999</x:v>
      </x:c>
      <x:c r="BF105" s="9" t="n">
        <x:f>0</x:f>
        <x:v>0</x:v>
      </x:c>
      <x:c r="BG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9" t="n">
        <x:f>ROUND(-1+104*2/240,3)</x:f>
        <x:v>-0.133</x:v>
      </x:c>
      <x:c r="B106" s="9" t="n">
        <x:f>IF(OR(Inputs!$F$6=TRUE,Inputs!$F$6="TRUE",Inputs!$F$6=1),(Inputs!$H$6+Inputs!$L$6*(((Inputs!$I$6+(((A106)+1)/2)*(Inputs!$J$6-Inputs!$I$6)))/Inputs!$K$6)^2),NA())</x:f>
        <x:v>400.070756</x:v>
      </x:c>
      <x:c r="C106" s="9" t="n">
        <x:f>IF(OR(Inputs!$F$7=TRUE,Inputs!$F$7="TRUE",Inputs!$F$7=1),(Inputs!$H$7+Inputs!$L$7*(((Inputs!$I$7+(((A106)+1)/2)*(Inputs!$J$7-Inputs!$I$7)))/Inputs!$K$7)^2),NA())</x:f>
        <x:v>41.456485</x:v>
      </x:c>
      <x:c r="D106" s="9" t="n">
        <x:f>IF(OR(Inputs!$F$8=TRUE,Inputs!$F$8="TRUE",Inputs!$F$8=1),(Inputs!$H$8+Inputs!$L$8*(((Inputs!$I$8+(((A106)+1)/2)*(Inputs!$J$8-Inputs!$I$8)))/Inputs!$K$8)^2),NA())</x:f>
        <x:v>52.06988499999999</x:v>
      </x:c>
      <x:c r="E106" s="9" t="n">
        <x:f>IF(OR(Inputs!$F$9=TRUE,Inputs!$F$9="TRUE",Inputs!$F$9=1),(Inputs!$H$9+Inputs!$L$9*(((Inputs!$I$9+(((A106)+1)/2)*(Inputs!$J$9-Inputs!$I$9)))/Inputs!$K$9)^2),NA())</x:f>
        <x:v>42.24677499999999</x:v>
      </x:c>
      <x:c r="F106" s="10"/>
      <x:c r="G106" s="9">
        <x:f t="shared" si="9"/>
        <x:v>-0.13300000000000001</x:v>
      </x:c>
      <x:c r="H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10"/>
      <x:c r="M106" s="9">
        <x:f t="shared" si="10"/>
        <x:v>-0.13300000000000001</x:v>
      </x:c>
      <x:c r="N106" s="9"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9"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9"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9"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10"/>
      <x:c r="S106" s="9">
        <x:f t="shared" si="11"/>
        <x:v>-0.13300000000000001</x:v>
      </x:c>
      <x:c r="T106" s="9" t="n">
        <x:f>(Inputs!$I$6+(((A106)+1)/2)*(Inputs!$J$6-Inputs!$I$6))</x:f>
        <x:v>-7.980000000000004</x:v>
      </x:c>
      <x:c r="U106" s="9" t="n">
        <x:f>(Inputs!$I$7+(((A106)+1)/2)*(Inputs!$J$7-Inputs!$I$7))</x:f>
        <x:v>-53.19999999999999</x:v>
      </x:c>
      <x:c r="V106" s="9" t="n">
        <x:f>(Inputs!$I$8+(((A106)+1)/2)*(Inputs!$J$8-Inputs!$I$8))</x:f>
        <x:v>-106.39999999999998</x:v>
      </x:c>
      <x:c r="W106" s="9" t="n">
        <x:f>(Inputs!$I$9+(((A106)+1)/2)*(Inputs!$J$9-Inputs!$I$9))</x:f>
        <x:v>-106.39999999999998</x:v>
      </x:c>
      <x:c r="X106" s="10"/>
      <x:c r="Y106" s="9">
        <x:f t="shared" si="12"/>
        <x:v>-0.13300000000000001</x:v>
      </x:c>
      <x:c r="Z106" s="9" t="n">
        <x:f>(Inputs!$H$6+Inputs!$L$6*(((Inputs!$I$6+(((A106)+1)/2)*(Inputs!$J$6-Inputs!$I$6)))/Inputs!$K$6)^2)</x:f>
        <x:v>400.070756</x:v>
      </x:c>
      <x:c r="AA106" s="9" t="n">
        <x:f>(Inputs!$H$7+Inputs!$L$7*(((Inputs!$I$7+(((A106)+1)/2)*(Inputs!$J$7-Inputs!$I$7)))/Inputs!$K$7)^2)</x:f>
        <x:v>41.456485</x:v>
      </x:c>
      <x:c r="AB106" s="9" t="n">
        <x:f>(Inputs!$H$8+Inputs!$L$8*(((Inputs!$I$8+(((A106)+1)/2)*(Inputs!$J$8-Inputs!$I$8)))/Inputs!$K$8)^2)</x:f>
        <x:v>52.06988499999999</x:v>
      </x:c>
      <x:c r="AC106" s="9" t="n">
        <x:f>(Inputs!$H$9+Inputs!$L$9*(((Inputs!$I$9+(((A106)+1)/2)*(Inputs!$J$9-Inputs!$I$9)))/Inputs!$K$9)^2)</x:f>
        <x:v>42.24677499999999</x:v>
      </x:c>
      <x:c r="AD106" s="10"/>
      <x:c r="AE106" s="9">
        <x:f t="shared" si="13"/>
        <x:v>-0.13300000000000001</x:v>
      </x:c>
      <x:c r="AF106" s="9"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9"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9"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9"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10"/>
      <x:c r="AK106" s="9">
        <x:f t="shared" si="14"/>
        <x:v>-0.13300000000000001</x:v>
      </x:c>
      <x:c r="AL106" s="9"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9"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9"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9"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10"/>
      <x:c r="AQ106" s="9">
        <x:f t="shared" si="15"/>
        <x:v>-0.13300000000000001</x:v>
      </x:c>
      <x:c r="AR106" s="9" t="n">
        <x:f>0</x:f>
        <x:v>0</x:v>
      </x:c>
      <x:c r="AS106" s="9"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x:f>
        <x:v>453.6399764700884</x:v>
      </x:c>
      <x:c r="AT106" s="9"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x:f>
        <x:v>225.85584980731934</x:v>
      </x:c>
      <x:c r="AU106" s="9"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x:f>
        <x:v>181.11559070301047</x:v>
      </x:c>
      <x:c r="AV106" s="9"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x:f>
        <x:v>181.11559070301047</x:v>
      </x:c>
      <x:c r="AW106" s="10"/>
      <x:c r="AX106" s="9">
        <x:f t="shared" si="16"/>
        <x:v>-0.13300000000000001</x:v>
      </x:c>
      <x:c r="AY106" s="9" t="n">
        <x:f>0</x:f>
        <x:v>0</x:v>
      </x:c>
      <x:c r="AZ106" s="9" t="n">
        <x:f>IF(OR(Inputs!$F$6=TRUE,Inputs!$F$6="TRUE",Inputs!$F$6=1),(Inputs!$H$6+Inputs!$L$6*(((Inputs!$I$6+(((A106)+1)/2)*(Inputs!$J$6-Inputs!$I$6)))/Inputs!$K$6)^2),NA())</x:f>
        <x:v>400.070756</x:v>
      </x:c>
      <x:c r="BA106" s="9" t="n">
        <x:f>IF(OR(Inputs!$F$7=TRUE,Inputs!$F$7="TRUE",Inputs!$F$7=1),(Inputs!$H$7+Inputs!$L$7*(((Inputs!$I$7+(((A106)+1)/2)*(Inputs!$J$7-Inputs!$I$7)))/Inputs!$K$7)^2),NA())</x:f>
        <x:v>41.456485</x:v>
      </x:c>
      <x:c r="BB106" s="9" t="n">
        <x:f>IF(OR(Inputs!$F$8=TRUE,Inputs!$F$8="TRUE",Inputs!$F$8=1),(Inputs!$H$8+Inputs!$L$8*(((Inputs!$I$8+(((A106)+1)/2)*(Inputs!$J$8-Inputs!$I$8)))/Inputs!$K$8)^2),NA())</x:f>
        <x:v>52.06988499999999</x:v>
      </x:c>
      <x:c r="BC106" s="9" t="n">
        <x:f>IF(OR(Inputs!$F$9=TRUE,Inputs!$F$9="TRUE",Inputs!$F$9=1),(Inputs!$H$9+Inputs!$L$9*(((Inputs!$I$9+(((A106)+1)/2)*(Inputs!$J$9-Inputs!$I$9)))/Inputs!$K$9)^2),NA())</x:f>
        <x:v>42.24677499999999</x:v>
      </x:c>
      <x:c r="BD106" s="10"/>
      <x:c r="BE106" s="9">
        <x:f t="shared" si="17"/>
        <x:v>-0.13300000000000001</x:v>
      </x:c>
      <x:c r="BF106" s="9" t="n">
        <x:f>0</x:f>
        <x:v>0</x:v>
      </x:c>
      <x:c r="BG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9" t="n">
        <x:f>ROUND(-1+105*2/240,3)</x:f>
        <x:v>-0.125</x:v>
      </x:c>
      <x:c r="B107" s="9" t="n">
        <x:f>IF(OR(Inputs!$F$6=TRUE,Inputs!$F$6="TRUE",Inputs!$F$6=1),(Inputs!$H$6+Inputs!$L$6*(((Inputs!$I$6+(((A107)+1)/2)*(Inputs!$J$6-Inputs!$I$6)))/Inputs!$K$6)^2),NA())</x:f>
        <x:v>400.0625</x:v>
      </x:c>
      <x:c r="C107" s="9" t="n">
        <x:f>IF(OR(Inputs!$F$7=TRUE,Inputs!$F$7="TRUE",Inputs!$F$7=1),(Inputs!$H$7+Inputs!$L$7*(((Inputs!$I$7+(((A107)+1)/2)*(Inputs!$J$7-Inputs!$I$7)))/Inputs!$K$7)^2),NA())</x:f>
        <x:v>40.703125</x:v>
      </x:c>
      <x:c r="D107" s="9" t="n">
        <x:f>IF(OR(Inputs!$F$8=TRUE,Inputs!$F$8="TRUE",Inputs!$F$8=1),(Inputs!$H$8+Inputs!$L$8*(((Inputs!$I$8+(((A107)+1)/2)*(Inputs!$J$8-Inputs!$I$8)))/Inputs!$K$8)^2),NA())</x:f>
        <x:v>50.078125</x:v>
      </x:c>
      <x:c r="E107" s="9" t="n">
        <x:f>IF(OR(Inputs!$F$9=TRUE,Inputs!$F$9="TRUE",Inputs!$F$9=1),(Inputs!$H$9+Inputs!$L$9*(((Inputs!$I$9+(((A107)+1)/2)*(Inputs!$J$9-Inputs!$I$9)))/Inputs!$K$9)^2),NA())</x:f>
        <x:v>40.234375</x:v>
      </x:c>
      <x:c r="F107" s="10"/>
      <x:c r="G107" s="9">
        <x:f t="shared" si="9"/>
        <x:v>-0.125</x:v>
      </x:c>
      <x:c r="H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10"/>
      <x:c r="M107" s="9">
        <x:f t="shared" si="10"/>
        <x:v>-0.125</x:v>
      </x:c>
      <x:c r="N107" s="9"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9"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9"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9"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10"/>
      <x:c r="S107" s="9">
        <x:f t="shared" si="11"/>
        <x:v>-0.125</x:v>
      </x:c>
      <x:c r="T107" s="9" t="n">
        <x:f>(Inputs!$I$6+(((A107)+1)/2)*(Inputs!$J$6-Inputs!$I$6))</x:f>
        <x:v>-7.5</x:v>
      </x:c>
      <x:c r="U107" s="9" t="n">
        <x:f>(Inputs!$I$7+(((A107)+1)/2)*(Inputs!$J$7-Inputs!$I$7))</x:f>
        <x:v>-50</x:v>
      </x:c>
      <x:c r="V107" s="9" t="n">
        <x:f>(Inputs!$I$8+(((A107)+1)/2)*(Inputs!$J$8-Inputs!$I$8))</x:f>
        <x:v>-100</x:v>
      </x:c>
      <x:c r="W107" s="9" t="n">
        <x:f>(Inputs!$I$9+(((A107)+1)/2)*(Inputs!$J$9-Inputs!$I$9))</x:f>
        <x:v>-100</x:v>
      </x:c>
      <x:c r="X107" s="10"/>
      <x:c r="Y107" s="9">
        <x:f t="shared" si="12"/>
        <x:v>-0.125</x:v>
      </x:c>
      <x:c r="Z107" s="9" t="n">
        <x:f>(Inputs!$H$6+Inputs!$L$6*(((Inputs!$I$6+(((A107)+1)/2)*(Inputs!$J$6-Inputs!$I$6)))/Inputs!$K$6)^2)</x:f>
        <x:v>400.0625</x:v>
      </x:c>
      <x:c r="AA107" s="9" t="n">
        <x:f>(Inputs!$H$7+Inputs!$L$7*(((Inputs!$I$7+(((A107)+1)/2)*(Inputs!$J$7-Inputs!$I$7)))/Inputs!$K$7)^2)</x:f>
        <x:v>40.703125</x:v>
      </x:c>
      <x:c r="AB107" s="9" t="n">
        <x:f>(Inputs!$H$8+Inputs!$L$8*(((Inputs!$I$8+(((A107)+1)/2)*(Inputs!$J$8-Inputs!$I$8)))/Inputs!$K$8)^2)</x:f>
        <x:v>50.078125</x:v>
      </x:c>
      <x:c r="AC107" s="9" t="n">
        <x:f>(Inputs!$H$9+Inputs!$L$9*(((Inputs!$I$9+(((A107)+1)/2)*(Inputs!$J$9-Inputs!$I$9)))/Inputs!$K$9)^2)</x:f>
        <x:v>40.234375</x:v>
      </x:c>
      <x:c r="AD107" s="10"/>
      <x:c r="AE107" s="9">
        <x:f t="shared" si="13"/>
        <x:v>-0.125</x:v>
      </x:c>
      <x:c r="AF107" s="9"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9"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9"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9"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10"/>
      <x:c r="AK107" s="9">
        <x:f t="shared" si="14"/>
        <x:v>-0.125</x:v>
      </x:c>
      <x:c r="AL107" s="9"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9"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9"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9"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10"/>
      <x:c r="AQ107" s="9">
        <x:f t="shared" si="15"/>
        <x:v>-0.125</x:v>
      </x:c>
      <x:c r="AR107" s="9" t="n">
        <x:f>0</x:f>
        <x:v>0</x:v>
      </x:c>
      <x:c r="AS107" s="9"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x:f>
        <x:v>470.2640951439132</x:v>
      </x:c>
      <x:c r="AT107" s="9"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x:f>
        <x:v>273.71504099052385</x:v>
      </x:c>
      <x:c r="AU107" s="9"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x:f>
        <x:v>150.02974859207296</x:v>
      </x:c>
      <x:c r="AV107" s="9"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x:f>
        <x:v>150.02974859207296</x:v>
      </x:c>
      <x:c r="AW107" s="10"/>
      <x:c r="AX107" s="9">
        <x:f t="shared" si="16"/>
        <x:v>-0.125</x:v>
      </x:c>
      <x:c r="AY107" s="9" t="n">
        <x:f>0</x:f>
        <x:v>0</x:v>
      </x:c>
      <x:c r="AZ107" s="9" t="n">
        <x:f>IF(OR(Inputs!$F$6=TRUE,Inputs!$F$6="TRUE",Inputs!$F$6=1),(Inputs!$H$6+Inputs!$L$6*(((Inputs!$I$6+(((A107)+1)/2)*(Inputs!$J$6-Inputs!$I$6)))/Inputs!$K$6)^2),NA())</x:f>
        <x:v>400.0625</x:v>
      </x:c>
      <x:c r="BA107" s="9" t="n">
        <x:f>IF(OR(Inputs!$F$7=TRUE,Inputs!$F$7="TRUE",Inputs!$F$7=1),(Inputs!$H$7+Inputs!$L$7*(((Inputs!$I$7+(((A107)+1)/2)*(Inputs!$J$7-Inputs!$I$7)))/Inputs!$K$7)^2),NA())</x:f>
        <x:v>40.703125</x:v>
      </x:c>
      <x:c r="BB107" s="9" t="n">
        <x:f>IF(OR(Inputs!$F$8=TRUE,Inputs!$F$8="TRUE",Inputs!$F$8=1),(Inputs!$H$8+Inputs!$L$8*(((Inputs!$I$8+(((A107)+1)/2)*(Inputs!$J$8-Inputs!$I$8)))/Inputs!$K$8)^2),NA())</x:f>
        <x:v>50.078125</x:v>
      </x:c>
      <x:c r="BC107" s="9" t="n">
        <x:f>IF(OR(Inputs!$F$9=TRUE,Inputs!$F$9="TRUE",Inputs!$F$9=1),(Inputs!$H$9+Inputs!$L$9*(((Inputs!$I$9+(((A107)+1)/2)*(Inputs!$J$9-Inputs!$I$9)))/Inputs!$K$9)^2),NA())</x:f>
        <x:v>40.234375</x:v>
      </x:c>
      <x:c r="BD107" s="10"/>
      <x:c r="BE107" s="9">
        <x:f t="shared" si="17"/>
        <x:v>-0.125</x:v>
      </x:c>
      <x:c r="BF107" s="9" t="n">
        <x:f>0</x:f>
        <x:v>0</x:v>
      </x:c>
      <x:c r="BG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9" t="n">
        <x:f>ROUND(-1+106*2/240,3)</x:f>
        <x:v>-0.117</x:v>
      </x:c>
      <x:c r="B108" s="9" t="n">
        <x:f>IF(OR(Inputs!$F$6=TRUE,Inputs!$F$6="TRUE",Inputs!$F$6=1),(Inputs!$H$6+Inputs!$L$6*(((Inputs!$I$6+(((A108)+1)/2)*(Inputs!$J$6-Inputs!$I$6)))/Inputs!$K$6)^2),NA())</x:f>
        <x:v>400.054756</x:v>
      </x:c>
      <x:c r="C108" s="9" t="n">
        <x:f>IF(OR(Inputs!$F$7=TRUE,Inputs!$F$7="TRUE",Inputs!$F$7=1),(Inputs!$H$7+Inputs!$L$7*(((Inputs!$I$7+(((A108)+1)/2)*(Inputs!$J$7-Inputs!$I$7)))/Inputs!$K$7)^2),NA())</x:f>
        <x:v>39.99648500000001</x:v>
      </x:c>
      <x:c r="D108" s="9" t="n">
        <x:f>IF(OR(Inputs!$F$8=TRUE,Inputs!$F$8="TRUE",Inputs!$F$8=1),(Inputs!$H$8+Inputs!$L$8*(((Inputs!$I$8+(((A108)+1)/2)*(Inputs!$J$8-Inputs!$I$8)))/Inputs!$K$8)^2),NA())</x:f>
        <x:v>48.20988500000001</x:v>
      </x:c>
      <x:c r="E108" s="9" t="n">
        <x:f>IF(OR(Inputs!$F$9=TRUE,Inputs!$F$9="TRUE",Inputs!$F$9=1),(Inputs!$H$9+Inputs!$L$9*(((Inputs!$I$9+(((A108)+1)/2)*(Inputs!$J$9-Inputs!$I$9)))/Inputs!$K$9)^2),NA())</x:f>
        <x:v>38.34677500000001</x:v>
      </x:c>
      <x:c r="F108" s="10"/>
      <x:c r="G108" s="9">
        <x:f t="shared" si="9"/>
        <x:v>-0.11700000000000001</x:v>
      </x:c>
      <x:c r="H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10"/>
      <x:c r="M108" s="9">
        <x:f t="shared" si="10"/>
        <x:v>-0.11700000000000001</x:v>
      </x:c>
      <x:c r="N108" s="9"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9"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9"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9"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10"/>
      <x:c r="S108" s="9">
        <x:f t="shared" si="11"/>
        <x:v>-0.11700000000000001</x:v>
      </x:c>
      <x:c r="T108" s="9" t="n">
        <x:f>(Inputs!$I$6+(((A108)+1)/2)*(Inputs!$J$6-Inputs!$I$6))</x:f>
        <x:v>-7.019999999999996</x:v>
      </x:c>
      <x:c r="U108" s="9" t="n">
        <x:f>(Inputs!$I$7+(((A108)+1)/2)*(Inputs!$J$7-Inputs!$I$7))</x:f>
        <x:v>-46.80000000000001</x:v>
      </x:c>
      <x:c r="V108" s="9" t="n">
        <x:f>(Inputs!$I$8+(((A108)+1)/2)*(Inputs!$J$8-Inputs!$I$8))</x:f>
        <x:v>-93.60000000000002</x:v>
      </x:c>
      <x:c r="W108" s="9" t="n">
        <x:f>(Inputs!$I$9+(((A108)+1)/2)*(Inputs!$J$9-Inputs!$I$9))</x:f>
        <x:v>-93.60000000000002</x:v>
      </x:c>
      <x:c r="X108" s="10"/>
      <x:c r="Y108" s="9">
        <x:f t="shared" si="12"/>
        <x:v>-0.11700000000000001</x:v>
      </x:c>
      <x:c r="Z108" s="9" t="n">
        <x:f>(Inputs!$H$6+Inputs!$L$6*(((Inputs!$I$6+(((A108)+1)/2)*(Inputs!$J$6-Inputs!$I$6)))/Inputs!$K$6)^2)</x:f>
        <x:v>400.054756</x:v>
      </x:c>
      <x:c r="AA108" s="9" t="n">
        <x:f>(Inputs!$H$7+Inputs!$L$7*(((Inputs!$I$7+(((A108)+1)/2)*(Inputs!$J$7-Inputs!$I$7)))/Inputs!$K$7)^2)</x:f>
        <x:v>39.99648500000001</x:v>
      </x:c>
      <x:c r="AB108" s="9" t="n">
        <x:f>(Inputs!$H$8+Inputs!$L$8*(((Inputs!$I$8+(((A108)+1)/2)*(Inputs!$J$8-Inputs!$I$8)))/Inputs!$K$8)^2)</x:f>
        <x:v>48.20988500000001</x:v>
      </x:c>
      <x:c r="AC108" s="9" t="n">
        <x:f>(Inputs!$H$9+Inputs!$L$9*(((Inputs!$I$9+(((A108)+1)/2)*(Inputs!$J$9-Inputs!$I$9)))/Inputs!$K$9)^2)</x:f>
        <x:v>38.34677500000001</x:v>
      </x:c>
      <x:c r="AD108" s="10"/>
      <x:c r="AE108" s="9">
        <x:f t="shared" si="13"/>
        <x:v>-0.11700000000000001</x:v>
      </x:c>
      <x:c r="AF108" s="9"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9"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9"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9"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10"/>
      <x:c r="AK108" s="9">
        <x:f t="shared" si="14"/>
        <x:v>-0.11700000000000001</x:v>
      </x:c>
      <x:c r="AL108" s="9"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9"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9"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9"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10"/>
      <x:c r="AQ108" s="9">
        <x:f t="shared" si="15"/>
        <x:v>-0.11700000000000001</x:v>
      </x:c>
      <x:c r="AR108" s="9" t="n">
        <x:f>0</x:f>
        <x:v>0</x:v>
      </x:c>
      <x:c r="AS108" s="9"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x:f>
        <x:v>457.71586844855193</x:v>
      </x:c>
      <x:c r="AT108" s="9"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x:f>
        <x:v>241.3197670230771</x:v>
      </x:c>
      <x:c r="AU108" s="9"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x:f>
        <x:v>94.37597104725926</x:v>
      </x:c>
      <x:c r="AV108" s="9"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x:f>
        <x:v>94.37597104725926</x:v>
      </x:c>
      <x:c r="AW108" s="10"/>
      <x:c r="AX108" s="9">
        <x:f t="shared" si="16"/>
        <x:v>-0.11700000000000001</x:v>
      </x:c>
      <x:c r="AY108" s="9" t="n">
        <x:f>0</x:f>
        <x:v>0</x:v>
      </x:c>
      <x:c r="AZ108" s="9" t="n">
        <x:f>IF(OR(Inputs!$F$6=TRUE,Inputs!$F$6="TRUE",Inputs!$F$6=1),(Inputs!$H$6+Inputs!$L$6*(((Inputs!$I$6+(((A108)+1)/2)*(Inputs!$J$6-Inputs!$I$6)))/Inputs!$K$6)^2),NA())</x:f>
        <x:v>400.054756</x:v>
      </x:c>
      <x:c r="BA108" s="9" t="n">
        <x:f>IF(OR(Inputs!$F$7=TRUE,Inputs!$F$7="TRUE",Inputs!$F$7=1),(Inputs!$H$7+Inputs!$L$7*(((Inputs!$I$7+(((A108)+1)/2)*(Inputs!$J$7-Inputs!$I$7)))/Inputs!$K$7)^2),NA())</x:f>
        <x:v>39.99648500000001</x:v>
      </x:c>
      <x:c r="BB108" s="9" t="n">
        <x:f>IF(OR(Inputs!$F$8=TRUE,Inputs!$F$8="TRUE",Inputs!$F$8=1),(Inputs!$H$8+Inputs!$L$8*(((Inputs!$I$8+(((A108)+1)/2)*(Inputs!$J$8-Inputs!$I$8)))/Inputs!$K$8)^2),NA())</x:f>
        <x:v>48.20988500000001</x:v>
      </x:c>
      <x:c r="BC108" s="9" t="n">
        <x:f>IF(OR(Inputs!$F$9=TRUE,Inputs!$F$9="TRUE",Inputs!$F$9=1),(Inputs!$H$9+Inputs!$L$9*(((Inputs!$I$9+(((A108)+1)/2)*(Inputs!$J$9-Inputs!$I$9)))/Inputs!$K$9)^2),NA())</x:f>
        <x:v>38.34677500000001</x:v>
      </x:c>
      <x:c r="BD108" s="10"/>
      <x:c r="BE108" s="9">
        <x:f t="shared" si="17"/>
        <x:v>-0.11700000000000001</x:v>
      </x:c>
      <x:c r="BF108" s="9" t="n">
        <x:f>0</x:f>
        <x:v>0</x:v>
      </x:c>
      <x:c r="BG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9" t="n">
        <x:f>ROUND(-1+107*2/240,3)</x:f>
        <x:v>-0.108</x:v>
      </x:c>
      <x:c r="B109" s="9" t="n">
        <x:f>IF(OR(Inputs!$F$6=TRUE,Inputs!$F$6="TRUE",Inputs!$F$6=1),(Inputs!$H$6+Inputs!$L$6*(((Inputs!$I$6+(((A109)+1)/2)*(Inputs!$J$6-Inputs!$I$6)))/Inputs!$K$6)^2),NA())</x:f>
        <x:v>400.046656</x:v>
      </x:c>
      <x:c r="C109" s="9" t="n">
        <x:f>IF(OR(Inputs!$F$7=TRUE,Inputs!$F$7="TRUE",Inputs!$F$7=1),(Inputs!$H$7+Inputs!$L$7*(((Inputs!$I$7+(((A109)+1)/2)*(Inputs!$J$7-Inputs!$I$7)))/Inputs!$K$7)^2),NA())</x:f>
        <x:v>39.25736</x:v>
      </x:c>
      <x:c r="D109" s="9" t="n">
        <x:f>IF(OR(Inputs!$F$8=TRUE,Inputs!$F$8="TRUE",Inputs!$F$8=1),(Inputs!$H$8+Inputs!$L$8*(((Inputs!$I$8+(((A109)+1)/2)*(Inputs!$J$8-Inputs!$I$8)))/Inputs!$K$8)^2),NA())</x:f>
        <x:v>46.255759999999995</x:v>
      </x:c>
      <x:c r="E109" s="9" t="n">
        <x:f>IF(OR(Inputs!$F$9=TRUE,Inputs!$F$9="TRUE",Inputs!$F$9=1),(Inputs!$H$9+Inputs!$L$9*(((Inputs!$I$9+(((A109)+1)/2)*(Inputs!$J$9-Inputs!$I$9)))/Inputs!$K$9)^2),NA())</x:f>
        <x:v>36.37239999999999</x:v>
      </x:c>
      <x:c r="F109" s="10"/>
      <x:c r="G109" s="9">
        <x:f t="shared" si="9"/>
        <x:v>-0.108</x:v>
      </x:c>
      <x:c r="H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10"/>
      <x:c r="M109" s="9">
        <x:f t="shared" si="10"/>
        <x:v>-0.108</x:v>
      </x:c>
      <x:c r="N109" s="9"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9"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9"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9"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10"/>
      <x:c r="S109" s="9">
        <x:f t="shared" si="11"/>
        <x:v>-0.108</x:v>
      </x:c>
      <x:c r="T109" s="9" t="n">
        <x:f>(Inputs!$I$6+(((A109)+1)/2)*(Inputs!$J$6-Inputs!$I$6))</x:f>
        <x:v>-6.479999999999997</x:v>
      </x:c>
      <x:c r="U109" s="9" t="n">
        <x:f>(Inputs!$I$7+(((A109)+1)/2)*(Inputs!$J$7-Inputs!$I$7))</x:f>
        <x:v>-43.19999999999999</x:v>
      </x:c>
      <x:c r="V109" s="9" t="n">
        <x:f>(Inputs!$I$8+(((A109)+1)/2)*(Inputs!$J$8-Inputs!$I$8))</x:f>
        <x:v>-86.39999999999998</x:v>
      </x:c>
      <x:c r="W109" s="9" t="n">
        <x:f>(Inputs!$I$9+(((A109)+1)/2)*(Inputs!$J$9-Inputs!$I$9))</x:f>
        <x:v>-86.39999999999998</x:v>
      </x:c>
      <x:c r="X109" s="10"/>
      <x:c r="Y109" s="9">
        <x:f t="shared" si="12"/>
        <x:v>-0.108</x:v>
      </x:c>
      <x:c r="Z109" s="9" t="n">
        <x:f>(Inputs!$H$6+Inputs!$L$6*(((Inputs!$I$6+(((A109)+1)/2)*(Inputs!$J$6-Inputs!$I$6)))/Inputs!$K$6)^2)</x:f>
        <x:v>400.046656</x:v>
      </x:c>
      <x:c r="AA109" s="9" t="n">
        <x:f>(Inputs!$H$7+Inputs!$L$7*(((Inputs!$I$7+(((A109)+1)/2)*(Inputs!$J$7-Inputs!$I$7)))/Inputs!$K$7)^2)</x:f>
        <x:v>39.25736</x:v>
      </x:c>
      <x:c r="AB109" s="9" t="n">
        <x:f>(Inputs!$H$8+Inputs!$L$8*(((Inputs!$I$8+(((A109)+1)/2)*(Inputs!$J$8-Inputs!$I$8)))/Inputs!$K$8)^2)</x:f>
        <x:v>46.255759999999995</x:v>
      </x:c>
      <x:c r="AC109" s="9" t="n">
        <x:f>(Inputs!$H$9+Inputs!$L$9*(((Inputs!$I$9+(((A109)+1)/2)*(Inputs!$J$9-Inputs!$I$9)))/Inputs!$K$9)^2)</x:f>
        <x:v>36.37239999999999</x:v>
      </x:c>
      <x:c r="AD109" s="10"/>
      <x:c r="AE109" s="9">
        <x:f t="shared" si="13"/>
        <x:v>-0.108</x:v>
      </x:c>
      <x:c r="AF109" s="9"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9"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9"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9"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10"/>
      <x:c r="AK109" s="9">
        <x:f t="shared" si="14"/>
        <x:v>-0.108</x:v>
      </x:c>
      <x:c r="AL109" s="9"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9"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9"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9"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10"/>
      <x:c r="AQ109" s="9">
        <x:f t="shared" si="15"/>
        <x:v>-0.108</x:v>
      </x:c>
      <x:c r="AR109" s="9" t="n">
        <x:f>0</x:f>
        <x:v>0</x:v>
      </x:c>
      <x:c r="AS109" s="9"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x:f>
        <x:v>444.0644465219527</x:v>
      </x:c>
      <x:c r="AT109" s="9"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x:f>
        <x:v>192.25438093115514</x:v>
      </x:c>
      <x:c r="AU109" s="9"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x:f>
        <x:v>152.19304949418353</x:v>
      </x:c>
      <x:c r="AV109" s="9"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x:f>
        <x:v>152.19304949418353</x:v>
      </x:c>
      <x:c r="AW109" s="10"/>
      <x:c r="AX109" s="9">
        <x:f t="shared" si="16"/>
        <x:v>-0.108</x:v>
      </x:c>
      <x:c r="AY109" s="9" t="n">
        <x:f>0</x:f>
        <x:v>0</x:v>
      </x:c>
      <x:c r="AZ109" s="9" t="n">
        <x:f>IF(OR(Inputs!$F$6=TRUE,Inputs!$F$6="TRUE",Inputs!$F$6=1),(Inputs!$H$6+Inputs!$L$6*(((Inputs!$I$6+(((A109)+1)/2)*(Inputs!$J$6-Inputs!$I$6)))/Inputs!$K$6)^2),NA())</x:f>
        <x:v>400.046656</x:v>
      </x:c>
      <x:c r="BA109" s="9" t="n">
        <x:f>IF(OR(Inputs!$F$7=TRUE,Inputs!$F$7="TRUE",Inputs!$F$7=1),(Inputs!$H$7+Inputs!$L$7*(((Inputs!$I$7+(((A109)+1)/2)*(Inputs!$J$7-Inputs!$I$7)))/Inputs!$K$7)^2),NA())</x:f>
        <x:v>39.25736</x:v>
      </x:c>
      <x:c r="BB109" s="9" t="n">
        <x:f>IF(OR(Inputs!$F$8=TRUE,Inputs!$F$8="TRUE",Inputs!$F$8=1),(Inputs!$H$8+Inputs!$L$8*(((Inputs!$I$8+(((A109)+1)/2)*(Inputs!$J$8-Inputs!$I$8)))/Inputs!$K$8)^2),NA())</x:f>
        <x:v>46.255759999999995</x:v>
      </x:c>
      <x:c r="BC109" s="9" t="n">
        <x:f>IF(OR(Inputs!$F$9=TRUE,Inputs!$F$9="TRUE",Inputs!$F$9=1),(Inputs!$H$9+Inputs!$L$9*(((Inputs!$I$9+(((A109)+1)/2)*(Inputs!$J$9-Inputs!$I$9)))/Inputs!$K$9)^2),NA())</x:f>
        <x:v>36.37239999999999</x:v>
      </x:c>
      <x:c r="BD109" s="10"/>
      <x:c r="BE109" s="9">
        <x:f t="shared" si="17"/>
        <x:v>-0.108</x:v>
      </x:c>
      <x:c r="BF109" s="9" t="n">
        <x:f>0</x:f>
        <x:v>0</x:v>
      </x:c>
      <x:c r="BG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9" t="n">
        <x:f>ROUND(-1+108*2/240,3)</x:f>
        <x:v>-0.1</x:v>
      </x:c>
      <x:c r="B110" s="9" t="n">
        <x:f>IF(OR(Inputs!$F$6=TRUE,Inputs!$F$6="TRUE",Inputs!$F$6=1),(Inputs!$H$6+Inputs!$L$6*(((Inputs!$I$6+(((A110)+1)/2)*(Inputs!$J$6-Inputs!$I$6)))/Inputs!$K$6)^2),NA())</x:f>
        <x:v>400.04</x:v>
      </x:c>
      <x:c r="C110" s="9" t="n">
        <x:f>IF(OR(Inputs!$F$7=TRUE,Inputs!$F$7="TRUE",Inputs!$F$7=1),(Inputs!$H$7+Inputs!$L$7*(((Inputs!$I$7+(((A110)+1)/2)*(Inputs!$J$7-Inputs!$I$7)))/Inputs!$K$7)^2),NA())</x:f>
        <x:v>38.65</x:v>
      </x:c>
      <x:c r="D110" s="9" t="n">
        <x:f>IF(OR(Inputs!$F$8=TRUE,Inputs!$F$8="TRUE",Inputs!$F$8=1),(Inputs!$H$8+Inputs!$L$8*(((Inputs!$I$8+(((A110)+1)/2)*(Inputs!$J$8-Inputs!$I$8)))/Inputs!$K$8)^2),NA())</x:f>
        <x:v>44.650000000000006</x:v>
      </x:c>
      <x:c r="E110" s="9" t="n">
        <x:f>IF(OR(Inputs!$F$9=TRUE,Inputs!$F$9="TRUE",Inputs!$F$9=1),(Inputs!$H$9+Inputs!$L$9*(((Inputs!$I$9+(((A110)+1)/2)*(Inputs!$J$9-Inputs!$I$9)))/Inputs!$K$9)^2),NA())</x:f>
        <x:v>34.75</x:v>
      </x:c>
      <x:c r="F110" s="10"/>
      <x:c r="G110" s="9">
        <x:f t="shared" si="9"/>
        <x:v>-0.1</x:v>
      </x:c>
      <x:c r="H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10"/>
      <x:c r="M110" s="9">
        <x:f t="shared" si="10"/>
        <x:v>-0.1</x:v>
      </x:c>
      <x:c r="N110" s="9"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9"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9"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9"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10"/>
      <x:c r="S110" s="9">
        <x:f t="shared" si="11"/>
        <x:v>-0.1</x:v>
      </x:c>
      <x:c r="T110" s="9" t="n">
        <x:f>(Inputs!$I$6+(((A110)+1)/2)*(Inputs!$J$6-Inputs!$I$6))</x:f>
        <x:v>-6</x:v>
      </x:c>
      <x:c r="U110" s="9" t="n">
        <x:f>(Inputs!$I$7+(((A110)+1)/2)*(Inputs!$J$7-Inputs!$I$7))</x:f>
        <x:v>-40</x:v>
      </x:c>
      <x:c r="V110" s="9" t="n">
        <x:f>(Inputs!$I$8+(((A110)+1)/2)*(Inputs!$J$8-Inputs!$I$8))</x:f>
        <x:v>-80</x:v>
      </x:c>
      <x:c r="W110" s="9" t="n">
        <x:f>(Inputs!$I$9+(((A110)+1)/2)*(Inputs!$J$9-Inputs!$I$9))</x:f>
        <x:v>-80</x:v>
      </x:c>
      <x:c r="X110" s="10"/>
      <x:c r="Y110" s="9">
        <x:f t="shared" si="12"/>
        <x:v>-0.1</x:v>
      </x:c>
      <x:c r="Z110" s="9" t="n">
        <x:f>(Inputs!$H$6+Inputs!$L$6*(((Inputs!$I$6+(((A110)+1)/2)*(Inputs!$J$6-Inputs!$I$6)))/Inputs!$K$6)^2)</x:f>
        <x:v>400.04</x:v>
      </x:c>
      <x:c r="AA110" s="9" t="n">
        <x:f>(Inputs!$H$7+Inputs!$L$7*(((Inputs!$I$7+(((A110)+1)/2)*(Inputs!$J$7-Inputs!$I$7)))/Inputs!$K$7)^2)</x:f>
        <x:v>38.65</x:v>
      </x:c>
      <x:c r="AB110" s="9" t="n">
        <x:f>(Inputs!$H$8+Inputs!$L$8*(((Inputs!$I$8+(((A110)+1)/2)*(Inputs!$J$8-Inputs!$I$8)))/Inputs!$K$8)^2)</x:f>
        <x:v>44.650000000000006</x:v>
      </x:c>
      <x:c r="AC110" s="9" t="n">
        <x:f>(Inputs!$H$9+Inputs!$L$9*(((Inputs!$I$9+(((A110)+1)/2)*(Inputs!$J$9-Inputs!$I$9)))/Inputs!$K$9)^2)</x:f>
        <x:v>34.75</x:v>
      </x:c>
      <x:c r="AD110" s="10"/>
      <x:c r="AE110" s="9">
        <x:f t="shared" si="13"/>
        <x:v>-0.1</x:v>
      </x:c>
      <x:c r="AF110" s="9"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9"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9"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9"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10"/>
      <x:c r="AK110" s="9">
        <x:f t="shared" si="14"/>
        <x:v>-0.1</x:v>
      </x:c>
      <x:c r="AL110" s="9"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9"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9"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9"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10"/>
      <x:c r="AQ110" s="9">
        <x:f t="shared" si="15"/>
        <x:v>-0.1</x:v>
      </x:c>
      <x:c r="AR110" s="9" t="n">
        <x:f>0</x:f>
        <x:v>0</x:v>
      </x:c>
      <x:c r="AS110" s="9"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x:f>
        <x:v>447.7534427220802</x:v>
      </x:c>
      <x:c r="AT110" s="9"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x:f>
        <x:v>197.66557297497732</x:v>
      </x:c>
      <x:c r="AU110" s="9"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x:f>
        <x:v>156.5351614447042</x:v>
      </x:c>
      <x:c r="AV110" s="9"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x:f>
        <x:v>156.5351614447042</x:v>
      </x:c>
      <x:c r="AW110" s="10"/>
      <x:c r="AX110" s="9">
        <x:f t="shared" si="16"/>
        <x:v>-0.1</x:v>
      </x:c>
      <x:c r="AY110" s="9" t="n">
        <x:f>0</x:f>
        <x:v>0</x:v>
      </x:c>
      <x:c r="AZ110" s="9" t="n">
        <x:f>IF(OR(Inputs!$F$6=TRUE,Inputs!$F$6="TRUE",Inputs!$F$6=1),(Inputs!$H$6+Inputs!$L$6*(((Inputs!$I$6+(((A110)+1)/2)*(Inputs!$J$6-Inputs!$I$6)))/Inputs!$K$6)^2),NA())</x:f>
        <x:v>400.04</x:v>
      </x:c>
      <x:c r="BA110" s="9" t="n">
        <x:f>IF(OR(Inputs!$F$7=TRUE,Inputs!$F$7="TRUE",Inputs!$F$7=1),(Inputs!$H$7+Inputs!$L$7*(((Inputs!$I$7+(((A110)+1)/2)*(Inputs!$J$7-Inputs!$I$7)))/Inputs!$K$7)^2),NA())</x:f>
        <x:v>38.65</x:v>
      </x:c>
      <x:c r="BB110" s="9" t="n">
        <x:f>IF(OR(Inputs!$F$8=TRUE,Inputs!$F$8="TRUE",Inputs!$F$8=1),(Inputs!$H$8+Inputs!$L$8*(((Inputs!$I$8+(((A110)+1)/2)*(Inputs!$J$8-Inputs!$I$8)))/Inputs!$K$8)^2),NA())</x:f>
        <x:v>44.650000000000006</x:v>
      </x:c>
      <x:c r="BC110" s="9" t="n">
        <x:f>IF(OR(Inputs!$F$9=TRUE,Inputs!$F$9="TRUE",Inputs!$F$9=1),(Inputs!$H$9+Inputs!$L$9*(((Inputs!$I$9+(((A110)+1)/2)*(Inputs!$J$9-Inputs!$I$9)))/Inputs!$K$9)^2),NA())</x:f>
        <x:v>34.75</x:v>
      </x:c>
      <x:c r="BD110" s="10"/>
      <x:c r="BE110" s="9">
        <x:f t="shared" si="17"/>
        <x:v>-0.1</x:v>
      </x:c>
      <x:c r="BF110" s="9" t="n">
        <x:f>0</x:f>
        <x:v>0</x:v>
      </x:c>
      <x:c r="BG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9" t="n">
        <x:f>ROUND(-1+109*2/240,3)</x:f>
        <x:v>-0.092</x:v>
      </x:c>
      <x:c r="B111" s="9" t="n">
        <x:f>IF(OR(Inputs!$F$6=TRUE,Inputs!$F$6="TRUE",Inputs!$F$6=1),(Inputs!$H$6+Inputs!$L$6*(((Inputs!$I$6+(((A111)+1)/2)*(Inputs!$J$6-Inputs!$I$6)))/Inputs!$K$6)^2),NA())</x:f>
        <x:v>400.033856</x:v>
      </x:c>
      <x:c r="C111" s="9" t="n">
        <x:f>IF(OR(Inputs!$F$7=TRUE,Inputs!$F$7="TRUE",Inputs!$F$7=1),(Inputs!$H$7+Inputs!$L$7*(((Inputs!$I$7+(((A111)+1)/2)*(Inputs!$J$7-Inputs!$I$7)))/Inputs!$K$7)^2),NA())</x:f>
        <x:v>38.08936</x:v>
      </x:c>
      <x:c r="D111" s="9" t="n">
        <x:f>IF(OR(Inputs!$F$8=TRUE,Inputs!$F$8="TRUE",Inputs!$F$8=1),(Inputs!$H$8+Inputs!$L$8*(((Inputs!$I$8+(((A111)+1)/2)*(Inputs!$J$8-Inputs!$I$8)))/Inputs!$K$8)^2),NA())</x:f>
        <x:v>43.16776</x:v>
      </x:c>
      <x:c r="E111" s="9" t="n">
        <x:f>IF(OR(Inputs!$F$9=TRUE,Inputs!$F$9="TRUE",Inputs!$F$9=1),(Inputs!$H$9+Inputs!$L$9*(((Inputs!$I$9+(((A111)+1)/2)*(Inputs!$J$9-Inputs!$I$9)))/Inputs!$K$9)^2),NA())</x:f>
        <x:v>33.25240000000001</x:v>
      </x:c>
      <x:c r="F111" s="10"/>
      <x:c r="G111" s="9">
        <x:f t="shared" si="9"/>
        <x:v>-9.1999999999999998E-2</x:v>
      </x:c>
      <x:c r="H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10"/>
      <x:c r="M111" s="9">
        <x:f t="shared" si="10"/>
        <x:v>-9.1999999999999998E-2</x:v>
      </x:c>
      <x:c r="N111" s="9"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9"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9"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9"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10"/>
      <x:c r="S111" s="9">
        <x:f t="shared" si="11"/>
        <x:v>-9.1999999999999998E-2</x:v>
      </x:c>
      <x:c r="T111" s="9" t="n">
        <x:f>(Inputs!$I$6+(((A111)+1)/2)*(Inputs!$J$6-Inputs!$I$6))</x:f>
        <x:v>-5.519999999999996</x:v>
      </x:c>
      <x:c r="U111" s="9" t="n">
        <x:f>(Inputs!$I$7+(((A111)+1)/2)*(Inputs!$J$7-Inputs!$I$7))</x:f>
        <x:v>-36.80000000000001</x:v>
      </x:c>
      <x:c r="V111" s="9" t="n">
        <x:f>(Inputs!$I$8+(((A111)+1)/2)*(Inputs!$J$8-Inputs!$I$8))</x:f>
        <x:v>-73.60000000000002</x:v>
      </x:c>
      <x:c r="W111" s="9" t="n">
        <x:f>(Inputs!$I$9+(((A111)+1)/2)*(Inputs!$J$9-Inputs!$I$9))</x:f>
        <x:v>-73.60000000000002</x:v>
      </x:c>
      <x:c r="X111" s="10"/>
      <x:c r="Y111" s="9">
        <x:f t="shared" si="12"/>
        <x:v>-9.1999999999999998E-2</x:v>
      </x:c>
      <x:c r="Z111" s="9" t="n">
        <x:f>(Inputs!$H$6+Inputs!$L$6*(((Inputs!$I$6+(((A111)+1)/2)*(Inputs!$J$6-Inputs!$I$6)))/Inputs!$K$6)^2)</x:f>
        <x:v>400.033856</x:v>
      </x:c>
      <x:c r="AA111" s="9" t="n">
        <x:f>(Inputs!$H$7+Inputs!$L$7*(((Inputs!$I$7+(((A111)+1)/2)*(Inputs!$J$7-Inputs!$I$7)))/Inputs!$K$7)^2)</x:f>
        <x:v>38.08936</x:v>
      </x:c>
      <x:c r="AB111" s="9" t="n">
        <x:f>(Inputs!$H$8+Inputs!$L$8*(((Inputs!$I$8+(((A111)+1)/2)*(Inputs!$J$8-Inputs!$I$8)))/Inputs!$K$8)^2)</x:f>
        <x:v>43.16776</x:v>
      </x:c>
      <x:c r="AC111" s="9" t="n">
        <x:f>(Inputs!$H$9+Inputs!$L$9*(((Inputs!$I$9+(((A111)+1)/2)*(Inputs!$J$9-Inputs!$I$9)))/Inputs!$K$9)^2)</x:f>
        <x:v>33.25240000000001</x:v>
      </x:c>
      <x:c r="AD111" s="10"/>
      <x:c r="AE111" s="9">
        <x:f t="shared" si="13"/>
        <x:v>-9.1999999999999998E-2</x:v>
      </x:c>
      <x:c r="AF111" s="9"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9"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9"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9"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10"/>
      <x:c r="AK111" s="9">
        <x:f t="shared" si="14"/>
        <x:v>-9.1999999999999998E-2</x:v>
      </x:c>
      <x:c r="AL111" s="9"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9"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9"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9"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10"/>
      <x:c r="AQ111" s="9">
        <x:f t="shared" si="15"/>
        <x:v>-9.1999999999999998E-2</x:v>
      </x:c>
      <x:c r="AR111" s="9" t="n">
        <x:f>0</x:f>
        <x:v>0</x:v>
      </x:c>
      <x:c r="AS111" s="9"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x:f>
        <x:v>423.9268348091652</x:v>
      </x:c>
      <x:c r="AT111" s="9"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x:f>
        <x:v>240.73038217752708</x:v>
      </x:c>
      <x:c r="AU111" s="9"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x:f>
        <x:v>92.38014791700866</x:v>
      </x:c>
      <x:c r="AV111" s="9"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x:f>
        <x:v>92.38014791700866</x:v>
      </x:c>
      <x:c r="AW111" s="10"/>
      <x:c r="AX111" s="9">
        <x:f t="shared" si="16"/>
        <x:v>-9.1999999999999998E-2</x:v>
      </x:c>
      <x:c r="AY111" s="9" t="n">
        <x:f>0</x:f>
        <x:v>0</x:v>
      </x:c>
      <x:c r="AZ111" s="9" t="n">
        <x:f>IF(OR(Inputs!$F$6=TRUE,Inputs!$F$6="TRUE",Inputs!$F$6=1),(Inputs!$H$6+Inputs!$L$6*(((Inputs!$I$6+(((A111)+1)/2)*(Inputs!$J$6-Inputs!$I$6)))/Inputs!$K$6)^2),NA())</x:f>
        <x:v>400.033856</x:v>
      </x:c>
      <x:c r="BA111" s="9" t="n">
        <x:f>IF(OR(Inputs!$F$7=TRUE,Inputs!$F$7="TRUE",Inputs!$F$7=1),(Inputs!$H$7+Inputs!$L$7*(((Inputs!$I$7+(((A111)+1)/2)*(Inputs!$J$7-Inputs!$I$7)))/Inputs!$K$7)^2),NA())</x:f>
        <x:v>38.08936</x:v>
      </x:c>
      <x:c r="BB111" s="9" t="n">
        <x:f>IF(OR(Inputs!$F$8=TRUE,Inputs!$F$8="TRUE",Inputs!$F$8=1),(Inputs!$H$8+Inputs!$L$8*(((Inputs!$I$8+(((A111)+1)/2)*(Inputs!$J$8-Inputs!$I$8)))/Inputs!$K$8)^2),NA())</x:f>
        <x:v>43.16776</x:v>
      </x:c>
      <x:c r="BC111" s="9" t="n">
        <x:f>IF(OR(Inputs!$F$9=TRUE,Inputs!$F$9="TRUE",Inputs!$F$9=1),(Inputs!$H$9+Inputs!$L$9*(((Inputs!$I$9+(((A111)+1)/2)*(Inputs!$J$9-Inputs!$I$9)))/Inputs!$K$9)^2),NA())</x:f>
        <x:v>33.25240000000001</x:v>
      </x:c>
      <x:c r="BD111" s="10"/>
      <x:c r="BE111" s="9">
        <x:f t="shared" si="17"/>
        <x:v>-9.1999999999999998E-2</x:v>
      </x:c>
      <x:c r="BF111" s="9" t="n">
        <x:f>0</x:f>
        <x:v>0</x:v>
      </x:c>
      <x:c r="BG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9" t="n">
        <x:f>ROUND(-1+110*2/240,3)</x:f>
        <x:v>-0.083</x:v>
      </x:c>
      <x:c r="B112" s="9" t="n">
        <x:f>IF(OR(Inputs!$F$6=TRUE,Inputs!$F$6="TRUE",Inputs!$F$6=1),(Inputs!$H$6+Inputs!$L$6*(((Inputs!$I$6+(((A112)+1)/2)*(Inputs!$J$6-Inputs!$I$6)))/Inputs!$K$6)^2),NA())</x:f>
        <x:v>400.027556</x:v>
      </x:c>
      <x:c r="C112" s="9" t="n">
        <x:f>IF(OR(Inputs!$F$7=TRUE,Inputs!$F$7="TRUE",Inputs!$F$7=1),(Inputs!$H$7+Inputs!$L$7*(((Inputs!$I$7+(((A112)+1)/2)*(Inputs!$J$7-Inputs!$I$7)))/Inputs!$K$7)^2),NA())</x:f>
        <x:v>37.514485</x:v>
      </x:c>
      <x:c r="D112" s="9" t="n">
        <x:f>IF(OR(Inputs!$F$8=TRUE,Inputs!$F$8="TRUE",Inputs!$F$8=1),(Inputs!$H$8+Inputs!$L$8*(((Inputs!$I$8+(((A112)+1)/2)*(Inputs!$J$8-Inputs!$I$8)))/Inputs!$K$8)^2),NA())</x:f>
        <x:v>41.647884999999995</x:v>
      </x:c>
      <x:c r="E112" s="9" t="n">
        <x:f>IF(OR(Inputs!$F$9=TRUE,Inputs!$F$9="TRUE",Inputs!$F$9=1),(Inputs!$H$9+Inputs!$L$9*(((Inputs!$I$9+(((A112)+1)/2)*(Inputs!$J$9-Inputs!$I$9)))/Inputs!$K$9)^2),NA())</x:f>
        <x:v>31.716774999999995</x:v>
      </x:c>
      <x:c r="F112" s="10"/>
      <x:c r="G112" s="9">
        <x:f t="shared" si="9"/>
        <x:v>-8.3000000000000004E-2</x:v>
      </x:c>
      <x:c r="H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10"/>
      <x:c r="M112" s="9">
        <x:f t="shared" si="10"/>
        <x:v>-8.3000000000000004E-2</x:v>
      </x:c>
      <x:c r="N112" s="9"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9"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9"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9"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10"/>
      <x:c r="S112" s="9">
        <x:f t="shared" si="11"/>
        <x:v>-8.3000000000000004E-2</x:v>
      </x:c>
      <x:c r="T112" s="9" t="n">
        <x:f>(Inputs!$I$6+(((A112)+1)/2)*(Inputs!$J$6-Inputs!$I$6))</x:f>
        <x:v>-4.979999999999997</x:v>
      </x:c>
      <x:c r="U112" s="9" t="n">
        <x:f>(Inputs!$I$7+(((A112)+1)/2)*(Inputs!$J$7-Inputs!$I$7))</x:f>
        <x:v>-33.19999999999999</x:v>
      </x:c>
      <x:c r="V112" s="9" t="n">
        <x:f>(Inputs!$I$8+(((A112)+1)/2)*(Inputs!$J$8-Inputs!$I$8))</x:f>
        <x:v>-66.39999999999998</x:v>
      </x:c>
      <x:c r="W112" s="9" t="n">
        <x:f>(Inputs!$I$9+(((A112)+1)/2)*(Inputs!$J$9-Inputs!$I$9))</x:f>
        <x:v>-66.39999999999998</x:v>
      </x:c>
      <x:c r="X112" s="10"/>
      <x:c r="Y112" s="9">
        <x:f t="shared" si="12"/>
        <x:v>-8.3000000000000004E-2</x:v>
      </x:c>
      <x:c r="Z112" s="9" t="n">
        <x:f>(Inputs!$H$6+Inputs!$L$6*(((Inputs!$I$6+(((A112)+1)/2)*(Inputs!$J$6-Inputs!$I$6)))/Inputs!$K$6)^2)</x:f>
        <x:v>400.027556</x:v>
      </x:c>
      <x:c r="AA112" s="9" t="n">
        <x:f>(Inputs!$H$7+Inputs!$L$7*(((Inputs!$I$7+(((A112)+1)/2)*(Inputs!$J$7-Inputs!$I$7)))/Inputs!$K$7)^2)</x:f>
        <x:v>37.514485</x:v>
      </x:c>
      <x:c r="AB112" s="9" t="n">
        <x:f>(Inputs!$H$8+Inputs!$L$8*(((Inputs!$I$8+(((A112)+1)/2)*(Inputs!$J$8-Inputs!$I$8)))/Inputs!$K$8)^2)</x:f>
        <x:v>41.647884999999995</x:v>
      </x:c>
      <x:c r="AC112" s="9" t="n">
        <x:f>(Inputs!$H$9+Inputs!$L$9*(((Inputs!$I$9+(((A112)+1)/2)*(Inputs!$J$9-Inputs!$I$9)))/Inputs!$K$9)^2)</x:f>
        <x:v>31.716774999999995</x:v>
      </x:c>
      <x:c r="AD112" s="10"/>
      <x:c r="AE112" s="9">
        <x:f t="shared" si="13"/>
        <x:v>-8.3000000000000004E-2</x:v>
      </x:c>
      <x:c r="AF112" s="9"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9"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9"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9"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10"/>
      <x:c r="AK112" s="9">
        <x:f t="shared" si="14"/>
        <x:v>-8.3000000000000004E-2</x:v>
      </x:c>
      <x:c r="AL112" s="9"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9"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9"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9"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10"/>
      <x:c r="AQ112" s="9">
        <x:f t="shared" si="15"/>
        <x:v>-8.3000000000000004E-2</x:v>
      </x:c>
      <x:c r="AR112" s="9" t="n">
        <x:f>0</x:f>
        <x:v>0</x:v>
      </x:c>
      <x:c r="AS112" s="9"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x:f>
        <x:v>417.178785372835</x:v>
      </x:c>
      <x:c r="AT112" s="9"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x:f>
        <x:v>328.74222430435594</x:v>
      </x:c>
      <x:c r="AU112" s="9"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x:f>
        <x:v>230.41709698752425</x:v>
      </x:c>
      <x:c r="AV112" s="9"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x:f>
        <x:v>230.41709698752425</x:v>
      </x:c>
      <x:c r="AW112" s="10"/>
      <x:c r="AX112" s="9">
        <x:f t="shared" si="16"/>
        <x:v>-8.3000000000000004E-2</x:v>
      </x:c>
      <x:c r="AY112" s="9" t="n">
        <x:f>0</x:f>
        <x:v>0</x:v>
      </x:c>
      <x:c r="AZ112" s="9" t="n">
        <x:f>IF(OR(Inputs!$F$6=TRUE,Inputs!$F$6="TRUE",Inputs!$F$6=1),(Inputs!$H$6+Inputs!$L$6*(((Inputs!$I$6+(((A112)+1)/2)*(Inputs!$J$6-Inputs!$I$6)))/Inputs!$K$6)^2),NA())</x:f>
        <x:v>400.027556</x:v>
      </x:c>
      <x:c r="BA112" s="9" t="n">
        <x:f>IF(OR(Inputs!$F$7=TRUE,Inputs!$F$7="TRUE",Inputs!$F$7=1),(Inputs!$H$7+Inputs!$L$7*(((Inputs!$I$7+(((A112)+1)/2)*(Inputs!$J$7-Inputs!$I$7)))/Inputs!$K$7)^2),NA())</x:f>
        <x:v>37.514485</x:v>
      </x:c>
      <x:c r="BB112" s="9" t="n">
        <x:f>IF(OR(Inputs!$F$8=TRUE,Inputs!$F$8="TRUE",Inputs!$F$8=1),(Inputs!$H$8+Inputs!$L$8*(((Inputs!$I$8+(((A112)+1)/2)*(Inputs!$J$8-Inputs!$I$8)))/Inputs!$K$8)^2),NA())</x:f>
        <x:v>41.647884999999995</x:v>
      </x:c>
      <x:c r="BC112" s="9" t="n">
        <x:f>IF(OR(Inputs!$F$9=TRUE,Inputs!$F$9="TRUE",Inputs!$F$9=1),(Inputs!$H$9+Inputs!$L$9*(((Inputs!$I$9+(((A112)+1)/2)*(Inputs!$J$9-Inputs!$I$9)))/Inputs!$K$9)^2),NA())</x:f>
        <x:v>31.716774999999995</x:v>
      </x:c>
      <x:c r="BD112" s="10"/>
      <x:c r="BE112" s="9">
        <x:f t="shared" si="17"/>
        <x:v>-8.3000000000000004E-2</x:v>
      </x:c>
      <x:c r="BF112" s="9" t="n">
        <x:f>0</x:f>
        <x:v>0</x:v>
      </x:c>
      <x:c r="BG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9" t="n">
        <x:f>ROUND(-1+111*2/240,3)</x:f>
        <x:v>-0.075</x:v>
      </x:c>
      <x:c r="B113" s="9" t="n">
        <x:f>IF(OR(Inputs!$F$6=TRUE,Inputs!$F$6="TRUE",Inputs!$F$6=1),(Inputs!$H$6+Inputs!$L$6*(((Inputs!$I$6+(((A113)+1)/2)*(Inputs!$J$6-Inputs!$I$6)))/Inputs!$K$6)^2),NA())</x:f>
        <x:v>400.0225</x:v>
      </x:c>
      <x:c r="C113" s="9" t="n">
        <x:f>IF(OR(Inputs!$F$7=TRUE,Inputs!$F$7="TRUE",Inputs!$F$7=1),(Inputs!$H$7+Inputs!$L$7*(((Inputs!$I$7+(((A113)+1)/2)*(Inputs!$J$7-Inputs!$I$7)))/Inputs!$K$7)^2),NA())</x:f>
        <x:v>37.053125</x:v>
      </x:c>
      <x:c r="D113" s="9" t="n">
        <x:f>IF(OR(Inputs!$F$8=TRUE,Inputs!$F$8="TRUE",Inputs!$F$8=1),(Inputs!$H$8+Inputs!$L$8*(((Inputs!$I$8+(((A113)+1)/2)*(Inputs!$J$8-Inputs!$I$8)))/Inputs!$K$8)^2),NA())</x:f>
        <x:v>40.428125</x:v>
      </x:c>
      <x:c r="E113" s="9" t="n">
        <x:f>IF(OR(Inputs!$F$9=TRUE,Inputs!$F$9="TRUE",Inputs!$F$9=1),(Inputs!$H$9+Inputs!$L$9*(((Inputs!$I$9+(((A113)+1)/2)*(Inputs!$J$9-Inputs!$I$9)))/Inputs!$K$9)^2),NA())</x:f>
        <x:v>30.484375</x:v>
      </x:c>
      <x:c r="F113" s="10"/>
      <x:c r="G113" s="9">
        <x:f t="shared" si="9"/>
        <x:v>-7.4999999999999997E-2</x:v>
      </x:c>
      <x:c r="H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10"/>
      <x:c r="M113" s="9">
        <x:f t="shared" si="10"/>
        <x:v>-7.4999999999999997E-2</x:v>
      </x:c>
      <x:c r="N113" s="9"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9"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9"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9"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10"/>
      <x:c r="S113" s="9">
        <x:f t="shared" si="11"/>
        <x:v>-7.4999999999999997E-2</x:v>
      </x:c>
      <x:c r="T113" s="9" t="n">
        <x:f>(Inputs!$I$6+(((A113)+1)/2)*(Inputs!$J$6-Inputs!$I$6))</x:f>
        <x:v>-4.5</x:v>
      </x:c>
      <x:c r="U113" s="9" t="n">
        <x:f>(Inputs!$I$7+(((A113)+1)/2)*(Inputs!$J$7-Inputs!$I$7))</x:f>
        <x:v>-30</x:v>
      </x:c>
      <x:c r="V113" s="9" t="n">
        <x:f>(Inputs!$I$8+(((A113)+1)/2)*(Inputs!$J$8-Inputs!$I$8))</x:f>
        <x:v>-60</x:v>
      </x:c>
      <x:c r="W113" s="9" t="n">
        <x:f>(Inputs!$I$9+(((A113)+1)/2)*(Inputs!$J$9-Inputs!$I$9))</x:f>
        <x:v>-60</x:v>
      </x:c>
      <x:c r="X113" s="10"/>
      <x:c r="Y113" s="9">
        <x:f t="shared" si="12"/>
        <x:v>-7.4999999999999997E-2</x:v>
      </x:c>
      <x:c r="Z113" s="9" t="n">
        <x:f>(Inputs!$H$6+Inputs!$L$6*(((Inputs!$I$6+(((A113)+1)/2)*(Inputs!$J$6-Inputs!$I$6)))/Inputs!$K$6)^2)</x:f>
        <x:v>400.0225</x:v>
      </x:c>
      <x:c r="AA113" s="9" t="n">
        <x:f>(Inputs!$H$7+Inputs!$L$7*(((Inputs!$I$7+(((A113)+1)/2)*(Inputs!$J$7-Inputs!$I$7)))/Inputs!$K$7)^2)</x:f>
        <x:v>37.053125</x:v>
      </x:c>
      <x:c r="AB113" s="9" t="n">
        <x:f>(Inputs!$H$8+Inputs!$L$8*(((Inputs!$I$8+(((A113)+1)/2)*(Inputs!$J$8-Inputs!$I$8)))/Inputs!$K$8)^2)</x:f>
        <x:v>40.428125</x:v>
      </x:c>
      <x:c r="AC113" s="9" t="n">
        <x:f>(Inputs!$H$9+Inputs!$L$9*(((Inputs!$I$9+(((A113)+1)/2)*(Inputs!$J$9-Inputs!$I$9)))/Inputs!$K$9)^2)</x:f>
        <x:v>30.484375</x:v>
      </x:c>
      <x:c r="AD113" s="10"/>
      <x:c r="AE113" s="9">
        <x:f t="shared" si="13"/>
        <x:v>-7.4999999999999997E-2</x:v>
      </x:c>
      <x:c r="AF113" s="9"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9"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9"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9"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10"/>
      <x:c r="AK113" s="9">
        <x:f t="shared" si="14"/>
        <x:v>-7.4999999999999997E-2</x:v>
      </x:c>
      <x:c r="AL113" s="9"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9"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9"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9"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10"/>
      <x:c r="AQ113" s="9">
        <x:f t="shared" si="15"/>
        <x:v>-7.4999999999999997E-2</x:v>
      </x:c>
      <x:c r="AR113" s="9" t="n">
        <x:f>0</x:f>
        <x:v>0</x:v>
      </x:c>
      <x:c r="AS113" s="9"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x:f>
        <x:v>423.30568039510905</x:v>
      </x:c>
      <x:c r="AT113" s="9"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x:f>
        <x:v>336.97644838088075</x:v>
      </x:c>
      <x:c r="AU113" s="9"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x:f>
        <x:v>119.42638570504096</x:v>
      </x:c>
      <x:c r="AV113" s="9"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x:f>
        <x:v>119.42638570504096</x:v>
      </x:c>
      <x:c r="AW113" s="10"/>
      <x:c r="AX113" s="9">
        <x:f t="shared" si="16"/>
        <x:v>-7.4999999999999997E-2</x:v>
      </x:c>
      <x:c r="AY113" s="9" t="n">
        <x:f>0</x:f>
        <x:v>0</x:v>
      </x:c>
      <x:c r="AZ113" s="9" t="n">
        <x:f>IF(OR(Inputs!$F$6=TRUE,Inputs!$F$6="TRUE",Inputs!$F$6=1),(Inputs!$H$6+Inputs!$L$6*(((Inputs!$I$6+(((A113)+1)/2)*(Inputs!$J$6-Inputs!$I$6)))/Inputs!$K$6)^2),NA())</x:f>
        <x:v>400.0225</x:v>
      </x:c>
      <x:c r="BA113" s="9" t="n">
        <x:f>IF(OR(Inputs!$F$7=TRUE,Inputs!$F$7="TRUE",Inputs!$F$7=1),(Inputs!$H$7+Inputs!$L$7*(((Inputs!$I$7+(((A113)+1)/2)*(Inputs!$J$7-Inputs!$I$7)))/Inputs!$K$7)^2),NA())</x:f>
        <x:v>37.053125</x:v>
      </x:c>
      <x:c r="BB113" s="9" t="n">
        <x:f>IF(OR(Inputs!$F$8=TRUE,Inputs!$F$8="TRUE",Inputs!$F$8=1),(Inputs!$H$8+Inputs!$L$8*(((Inputs!$I$8+(((A113)+1)/2)*(Inputs!$J$8-Inputs!$I$8)))/Inputs!$K$8)^2),NA())</x:f>
        <x:v>40.428125</x:v>
      </x:c>
      <x:c r="BC113" s="9" t="n">
        <x:f>IF(OR(Inputs!$F$9=TRUE,Inputs!$F$9="TRUE",Inputs!$F$9=1),(Inputs!$H$9+Inputs!$L$9*(((Inputs!$I$9+(((A113)+1)/2)*(Inputs!$J$9-Inputs!$I$9)))/Inputs!$K$9)^2),NA())</x:f>
        <x:v>30.484375</x:v>
      </x:c>
      <x:c r="BD113" s="10"/>
      <x:c r="BE113" s="9">
        <x:f t="shared" si="17"/>
        <x:v>-7.4999999999999997E-2</x:v>
      </x:c>
      <x:c r="BF113" s="9" t="n">
        <x:f>0</x:f>
        <x:v>0</x:v>
      </x:c>
      <x:c r="BG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9" t="n">
        <x:f>ROUND(-1+112*2/240,3)</x:f>
        <x:v>-0.067</x:v>
      </x:c>
      <x:c r="B114" s="9" t="n">
        <x:f>IF(OR(Inputs!$F$6=TRUE,Inputs!$F$6="TRUE",Inputs!$F$6=1),(Inputs!$H$6+Inputs!$L$6*(((Inputs!$I$6+(((A114)+1)/2)*(Inputs!$J$6-Inputs!$I$6)))/Inputs!$K$6)^2),NA())</x:f>
        <x:v>400.017956</x:v>
      </x:c>
      <x:c r="C114" s="9" t="n">
        <x:f>IF(OR(Inputs!$F$7=TRUE,Inputs!$F$7="TRUE",Inputs!$F$7=1),(Inputs!$H$7+Inputs!$L$7*(((Inputs!$I$7+(((A114)+1)/2)*(Inputs!$J$7-Inputs!$I$7)))/Inputs!$K$7)^2),NA())</x:f>
        <x:v>36.638484999999996</x:v>
      </x:c>
      <x:c r="D114" s="9" t="n">
        <x:f>IF(OR(Inputs!$F$8=TRUE,Inputs!$F$8="TRUE",Inputs!$F$8=1),(Inputs!$H$8+Inputs!$L$8*(((Inputs!$I$8+(((A114)+1)/2)*(Inputs!$J$8-Inputs!$I$8)))/Inputs!$K$8)^2),NA())</x:f>
        <x:v>39.331884999999986</x:v>
      </x:c>
      <x:c r="E114" s="9" t="n">
        <x:f>IF(OR(Inputs!$F$9=TRUE,Inputs!$F$9="TRUE",Inputs!$F$9=1),(Inputs!$H$9+Inputs!$L$9*(((Inputs!$I$9+(((A114)+1)/2)*(Inputs!$J$9-Inputs!$I$9)))/Inputs!$K$9)^2),NA())</x:f>
        <x:v>29.376774999999988</x:v>
      </x:c>
      <x:c r="F114" s="10"/>
      <x:c r="G114" s="9">
        <x:f t="shared" si="9"/>
        <x:v>-6.7000000000000004E-2</x:v>
      </x:c>
      <x:c r="H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10"/>
      <x:c r="M114" s="9">
        <x:f t="shared" si="10"/>
        <x:v>-6.7000000000000004E-2</x:v>
      </x:c>
      <x:c r="N114" s="9"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9"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9"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9"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10"/>
      <x:c r="S114" s="9">
        <x:f t="shared" si="11"/>
        <x:v>-6.7000000000000004E-2</x:v>
      </x:c>
      <x:c r="T114" s="9" t="n">
        <x:f>(Inputs!$I$6+(((A114)+1)/2)*(Inputs!$J$6-Inputs!$I$6))</x:f>
        <x:v>-4.019999999999996</x:v>
      </x:c>
      <x:c r="U114" s="9" t="n">
        <x:f>(Inputs!$I$7+(((A114)+1)/2)*(Inputs!$J$7-Inputs!$I$7))</x:f>
        <x:v>-26.799999999999955</x:v>
      </x:c>
      <x:c r="V114" s="9" t="n">
        <x:f>(Inputs!$I$8+(((A114)+1)/2)*(Inputs!$J$8-Inputs!$I$8))</x:f>
        <x:v>-53.59999999999991</x:v>
      </x:c>
      <x:c r="W114" s="9" t="n">
        <x:f>(Inputs!$I$9+(((A114)+1)/2)*(Inputs!$J$9-Inputs!$I$9))</x:f>
        <x:v>-53.59999999999991</x:v>
      </x:c>
      <x:c r="X114" s="10"/>
      <x:c r="Y114" s="9">
        <x:f t="shared" si="12"/>
        <x:v>-6.7000000000000004E-2</x:v>
      </x:c>
      <x:c r="Z114" s="9" t="n">
        <x:f>(Inputs!$H$6+Inputs!$L$6*(((Inputs!$I$6+(((A114)+1)/2)*(Inputs!$J$6-Inputs!$I$6)))/Inputs!$K$6)^2)</x:f>
        <x:v>400.017956</x:v>
      </x:c>
      <x:c r="AA114" s="9" t="n">
        <x:f>(Inputs!$H$7+Inputs!$L$7*(((Inputs!$I$7+(((A114)+1)/2)*(Inputs!$J$7-Inputs!$I$7)))/Inputs!$K$7)^2)</x:f>
        <x:v>36.638484999999996</x:v>
      </x:c>
      <x:c r="AB114" s="9" t="n">
        <x:f>(Inputs!$H$8+Inputs!$L$8*(((Inputs!$I$8+(((A114)+1)/2)*(Inputs!$J$8-Inputs!$I$8)))/Inputs!$K$8)^2)</x:f>
        <x:v>39.331884999999986</x:v>
      </x:c>
      <x:c r="AC114" s="9" t="n">
        <x:f>(Inputs!$H$9+Inputs!$L$9*(((Inputs!$I$9+(((A114)+1)/2)*(Inputs!$J$9-Inputs!$I$9)))/Inputs!$K$9)^2)</x:f>
        <x:v>29.376774999999988</x:v>
      </x:c>
      <x:c r="AD114" s="10"/>
      <x:c r="AE114" s="9">
        <x:f t="shared" si="13"/>
        <x:v>-6.7000000000000004E-2</x:v>
      </x:c>
      <x:c r="AF114" s="9"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9"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9"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9"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10"/>
      <x:c r="AK114" s="9">
        <x:f t="shared" si="14"/>
        <x:v>-6.7000000000000004E-2</x:v>
      </x:c>
      <x:c r="AL114" s="9"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9"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9"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9"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10"/>
      <x:c r="AQ114" s="9">
        <x:f t="shared" si="15"/>
        <x:v>-6.7000000000000004E-2</x:v>
      </x:c>
      <x:c r="AR114" s="9" t="n">
        <x:f>0</x:f>
        <x:v>0</x:v>
      </x:c>
      <x:c r="AS114" s="9"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x:f>
        <x:v>409.5634307369741</x:v>
      </x:c>
      <x:c r="AT114" s="9"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x:f>
        <x:v>293.46080497988197</x:v>
      </x:c>
      <x:c r="AU114" s="9"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x:f>
        <x:v>221.26774039965932</x:v>
      </x:c>
      <x:c r="AV114" s="9"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x:f>
        <x:v>221.26774039965932</x:v>
      </x:c>
      <x:c r="AW114" s="10"/>
      <x:c r="AX114" s="9">
        <x:f t="shared" si="16"/>
        <x:v>-6.7000000000000004E-2</x:v>
      </x:c>
      <x:c r="AY114" s="9" t="n">
        <x:f>0</x:f>
        <x:v>0</x:v>
      </x:c>
      <x:c r="AZ114" s="9" t="n">
        <x:f>IF(OR(Inputs!$F$6=TRUE,Inputs!$F$6="TRUE",Inputs!$F$6=1),(Inputs!$H$6+Inputs!$L$6*(((Inputs!$I$6+(((A114)+1)/2)*(Inputs!$J$6-Inputs!$I$6)))/Inputs!$K$6)^2),NA())</x:f>
        <x:v>400.017956</x:v>
      </x:c>
      <x:c r="BA114" s="9" t="n">
        <x:f>IF(OR(Inputs!$F$7=TRUE,Inputs!$F$7="TRUE",Inputs!$F$7=1),(Inputs!$H$7+Inputs!$L$7*(((Inputs!$I$7+(((A114)+1)/2)*(Inputs!$J$7-Inputs!$I$7)))/Inputs!$K$7)^2),NA())</x:f>
        <x:v>36.638484999999996</x:v>
      </x:c>
      <x:c r="BB114" s="9" t="n">
        <x:f>IF(OR(Inputs!$F$8=TRUE,Inputs!$F$8="TRUE",Inputs!$F$8=1),(Inputs!$H$8+Inputs!$L$8*(((Inputs!$I$8+(((A114)+1)/2)*(Inputs!$J$8-Inputs!$I$8)))/Inputs!$K$8)^2),NA())</x:f>
        <x:v>39.331884999999986</x:v>
      </x:c>
      <x:c r="BC114" s="9" t="n">
        <x:f>IF(OR(Inputs!$F$9=TRUE,Inputs!$F$9="TRUE",Inputs!$F$9=1),(Inputs!$H$9+Inputs!$L$9*(((Inputs!$I$9+(((A114)+1)/2)*(Inputs!$J$9-Inputs!$I$9)))/Inputs!$K$9)^2),NA())</x:f>
        <x:v>29.376774999999988</x:v>
      </x:c>
      <x:c r="BD114" s="10"/>
      <x:c r="BE114" s="9">
        <x:f t="shared" si="17"/>
        <x:v>-6.7000000000000004E-2</x:v>
      </x:c>
      <x:c r="BF114" s="9" t="n">
        <x:f>0</x:f>
        <x:v>0</x:v>
      </x:c>
      <x:c r="BG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9" t="n">
        <x:f>ROUND(-1+113*2/240,3)</x:f>
        <x:v>-0.058</x:v>
      </x:c>
      <x:c r="B115" s="9" t="n">
        <x:f>IF(OR(Inputs!$F$6=TRUE,Inputs!$F$6="TRUE",Inputs!$F$6=1),(Inputs!$H$6+Inputs!$L$6*(((Inputs!$I$6+(((A115)+1)/2)*(Inputs!$J$6-Inputs!$I$6)))/Inputs!$K$6)^2),NA())</x:f>
        <x:v>400.013456</x:v>
      </x:c>
      <x:c r="C115" s="9" t="n">
        <x:f>IF(OR(Inputs!$F$7=TRUE,Inputs!$F$7="TRUE",Inputs!$F$7=1),(Inputs!$H$7+Inputs!$L$7*(((Inputs!$I$7+(((A115)+1)/2)*(Inputs!$J$7-Inputs!$I$7)))/Inputs!$K$7)^2),NA())</x:f>
        <x:v>36.22786000000001</x:v>
      </x:c>
      <x:c r="D115" s="9" t="n">
        <x:f>IF(OR(Inputs!$F$8=TRUE,Inputs!$F$8="TRUE",Inputs!$F$8=1),(Inputs!$H$8+Inputs!$L$8*(((Inputs!$I$8+(((A115)+1)/2)*(Inputs!$J$8-Inputs!$I$8)))/Inputs!$K$8)^2),NA())</x:f>
        <x:v>38.246260000000014</x:v>
      </x:c>
      <x:c r="E115" s="9" t="n">
        <x:f>IF(OR(Inputs!$F$9=TRUE,Inputs!$F$9="TRUE",Inputs!$F$9=1),(Inputs!$H$9+Inputs!$L$9*(((Inputs!$I$9+(((A115)+1)/2)*(Inputs!$J$9-Inputs!$I$9)))/Inputs!$K$9)^2),NA())</x:f>
        <x:v>28.279900000000012</x:v>
      </x:c>
      <x:c r="F115" s="10"/>
      <x:c r="G115" s="9">
        <x:f t="shared" si="9"/>
        <x:v>-5.8000000000000003E-2</x:v>
      </x:c>
      <x:c r="H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10"/>
      <x:c r="M115" s="9">
        <x:f t="shared" si="10"/>
        <x:v>-5.8000000000000003E-2</x:v>
      </x:c>
      <x:c r="N115" s="9"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9"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9"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9"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10"/>
      <x:c r="S115" s="9">
        <x:f t="shared" si="11"/>
        <x:v>-5.8000000000000003E-2</x:v>
      </x:c>
      <x:c r="T115" s="9" t="n">
        <x:f>(Inputs!$I$6+(((A115)+1)/2)*(Inputs!$J$6-Inputs!$I$6))</x:f>
        <x:v>-3.480000000000004</x:v>
      </x:c>
      <x:c r="U115" s="9" t="n">
        <x:f>(Inputs!$I$7+(((A115)+1)/2)*(Inputs!$J$7-Inputs!$I$7))</x:f>
        <x:v>-23.200000000000045</x:v>
      </x:c>
      <x:c r="V115" s="9" t="n">
        <x:f>(Inputs!$I$8+(((A115)+1)/2)*(Inputs!$J$8-Inputs!$I$8))</x:f>
        <x:v>-46.40000000000009</x:v>
      </x:c>
      <x:c r="W115" s="9" t="n">
        <x:f>(Inputs!$I$9+(((A115)+1)/2)*(Inputs!$J$9-Inputs!$I$9))</x:f>
        <x:v>-46.40000000000009</x:v>
      </x:c>
      <x:c r="X115" s="10"/>
      <x:c r="Y115" s="9">
        <x:f t="shared" si="12"/>
        <x:v>-5.8000000000000003E-2</x:v>
      </x:c>
      <x:c r="Z115" s="9" t="n">
        <x:f>(Inputs!$H$6+Inputs!$L$6*(((Inputs!$I$6+(((A115)+1)/2)*(Inputs!$J$6-Inputs!$I$6)))/Inputs!$K$6)^2)</x:f>
        <x:v>400.013456</x:v>
      </x:c>
      <x:c r="AA115" s="9" t="n">
        <x:f>(Inputs!$H$7+Inputs!$L$7*(((Inputs!$I$7+(((A115)+1)/2)*(Inputs!$J$7-Inputs!$I$7)))/Inputs!$K$7)^2)</x:f>
        <x:v>36.22786000000001</x:v>
      </x:c>
      <x:c r="AB115" s="9" t="n">
        <x:f>(Inputs!$H$8+Inputs!$L$8*(((Inputs!$I$8+(((A115)+1)/2)*(Inputs!$J$8-Inputs!$I$8)))/Inputs!$K$8)^2)</x:f>
        <x:v>38.246260000000014</x:v>
      </x:c>
      <x:c r="AC115" s="9" t="n">
        <x:f>(Inputs!$H$9+Inputs!$L$9*(((Inputs!$I$9+(((A115)+1)/2)*(Inputs!$J$9-Inputs!$I$9)))/Inputs!$K$9)^2)</x:f>
        <x:v>28.279900000000012</x:v>
      </x:c>
      <x:c r="AD115" s="10"/>
      <x:c r="AE115" s="9">
        <x:f t="shared" si="13"/>
        <x:v>-5.8000000000000003E-2</x:v>
      </x:c>
      <x:c r="AF115" s="9"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9"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9"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9"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10"/>
      <x:c r="AK115" s="9">
        <x:f t="shared" si="14"/>
        <x:v>-5.8000000000000003E-2</x:v>
      </x:c>
      <x:c r="AL115" s="9"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9"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9"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9"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10"/>
      <x:c r="AQ115" s="9">
        <x:f t="shared" si="15"/>
        <x:v>-5.8000000000000003E-2</x:v>
      </x:c>
      <x:c r="AR115" s="9" t="n">
        <x:f>0</x:f>
        <x:v>0</x:v>
      </x:c>
      <x:c r="AS115" s="9"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x:f>
        <x:v>422.28944024780884</x:v>
      </x:c>
      <x:c r="AT115" s="9"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x:f>
        <x:v>299.18305227131873</x:v>
      </x:c>
      <x:c r="AU115" s="9"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x:f>
        <x:v>233.3343792845032</x:v>
      </x:c>
      <x:c r="AV115" s="9"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x:f>
        <x:v>233.3343792845032</x:v>
      </x:c>
      <x:c r="AW115" s="10"/>
      <x:c r="AX115" s="9">
        <x:f t="shared" si="16"/>
        <x:v>-5.8000000000000003E-2</x:v>
      </x:c>
      <x:c r="AY115" s="9" t="n">
        <x:f>0</x:f>
        <x:v>0</x:v>
      </x:c>
      <x:c r="AZ115" s="9" t="n">
        <x:f>IF(OR(Inputs!$F$6=TRUE,Inputs!$F$6="TRUE",Inputs!$F$6=1),(Inputs!$H$6+Inputs!$L$6*(((Inputs!$I$6+(((A115)+1)/2)*(Inputs!$J$6-Inputs!$I$6)))/Inputs!$K$6)^2),NA())</x:f>
        <x:v>400.013456</x:v>
      </x:c>
      <x:c r="BA115" s="9" t="n">
        <x:f>IF(OR(Inputs!$F$7=TRUE,Inputs!$F$7="TRUE",Inputs!$F$7=1),(Inputs!$H$7+Inputs!$L$7*(((Inputs!$I$7+(((A115)+1)/2)*(Inputs!$J$7-Inputs!$I$7)))/Inputs!$K$7)^2),NA())</x:f>
        <x:v>36.22786000000001</x:v>
      </x:c>
      <x:c r="BB115" s="9" t="n">
        <x:f>IF(OR(Inputs!$F$8=TRUE,Inputs!$F$8="TRUE",Inputs!$F$8=1),(Inputs!$H$8+Inputs!$L$8*(((Inputs!$I$8+(((A115)+1)/2)*(Inputs!$J$8-Inputs!$I$8)))/Inputs!$K$8)^2),NA())</x:f>
        <x:v>38.246260000000014</x:v>
      </x:c>
      <x:c r="BC115" s="9" t="n">
        <x:f>IF(OR(Inputs!$F$9=TRUE,Inputs!$F$9="TRUE",Inputs!$F$9=1),(Inputs!$H$9+Inputs!$L$9*(((Inputs!$I$9+(((A115)+1)/2)*(Inputs!$J$9-Inputs!$I$9)))/Inputs!$K$9)^2),NA())</x:f>
        <x:v>28.279900000000012</x:v>
      </x:c>
      <x:c r="BD115" s="10"/>
      <x:c r="BE115" s="9">
        <x:f t="shared" si="17"/>
        <x:v>-5.8000000000000003E-2</x:v>
      </x:c>
      <x:c r="BF115" s="9" t="n">
        <x:f>0</x:f>
        <x:v>0</x:v>
      </x:c>
      <x:c r="BG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9" t="n">
        <x:f>ROUND(-1+114*2/240,3)</x:f>
        <x:v>-0.05</x:v>
      </x:c>
      <x:c r="B116" s="9" t="n">
        <x:f>IF(OR(Inputs!$F$6=TRUE,Inputs!$F$6="TRUE",Inputs!$F$6=1),(Inputs!$H$6+Inputs!$L$6*(((Inputs!$I$6+(((A116)+1)/2)*(Inputs!$J$6-Inputs!$I$6)))/Inputs!$K$6)^2),NA())</x:f>
        <x:v>400.01</x:v>
      </x:c>
      <x:c r="C116" s="9" t="n">
        <x:f>IF(OR(Inputs!$F$7=TRUE,Inputs!$F$7="TRUE",Inputs!$F$7=1),(Inputs!$H$7+Inputs!$L$7*(((Inputs!$I$7+(((A116)+1)/2)*(Inputs!$J$7-Inputs!$I$7)))/Inputs!$K$7)^2),NA())</x:f>
        <x:v>35.9125</x:v>
      </x:c>
      <x:c r="D116" s="9" t="n">
        <x:f>IF(OR(Inputs!$F$8=TRUE,Inputs!$F$8="TRUE",Inputs!$F$8=1),(Inputs!$H$8+Inputs!$L$8*(((Inputs!$I$8+(((A116)+1)/2)*(Inputs!$J$8-Inputs!$I$8)))/Inputs!$K$8)^2),NA())</x:f>
        <x:v>37.4125</x:v>
      </x:c>
      <x:c r="E116" s="9" t="n">
        <x:f>IF(OR(Inputs!$F$9=TRUE,Inputs!$F$9="TRUE",Inputs!$F$9=1),(Inputs!$H$9+Inputs!$L$9*(((Inputs!$I$9+(((A116)+1)/2)*(Inputs!$J$9-Inputs!$I$9)))/Inputs!$K$9)^2),NA())</x:f>
        <x:v>27.4375</x:v>
      </x:c>
      <x:c r="F116" s="10"/>
      <x:c r="G116" s="9">
        <x:f t="shared" si="9"/>
        <x:v>-0.05</x:v>
      </x:c>
      <x:c r="H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10"/>
      <x:c r="M116" s="9">
        <x:f t="shared" si="10"/>
        <x:v>-0.05</x:v>
      </x:c>
      <x:c r="N116" s="9"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9"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9"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9"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10"/>
      <x:c r="S116" s="9">
        <x:f t="shared" si="11"/>
        <x:v>-0.05</x:v>
      </x:c>
      <x:c r="T116" s="9" t="n">
        <x:f>(Inputs!$I$6+(((A116)+1)/2)*(Inputs!$J$6-Inputs!$I$6))</x:f>
        <x:v>-3</x:v>
      </x:c>
      <x:c r="U116" s="9" t="n">
        <x:f>(Inputs!$I$7+(((A116)+1)/2)*(Inputs!$J$7-Inputs!$I$7))</x:f>
        <x:v>-20</x:v>
      </x:c>
      <x:c r="V116" s="9" t="n">
        <x:f>(Inputs!$I$8+(((A116)+1)/2)*(Inputs!$J$8-Inputs!$I$8))</x:f>
        <x:v>-40</x:v>
      </x:c>
      <x:c r="W116" s="9" t="n">
        <x:f>(Inputs!$I$9+(((A116)+1)/2)*(Inputs!$J$9-Inputs!$I$9))</x:f>
        <x:v>-40</x:v>
      </x:c>
      <x:c r="X116" s="10"/>
      <x:c r="Y116" s="9">
        <x:f t="shared" si="12"/>
        <x:v>-0.05</x:v>
      </x:c>
      <x:c r="Z116" s="9" t="n">
        <x:f>(Inputs!$H$6+Inputs!$L$6*(((Inputs!$I$6+(((A116)+1)/2)*(Inputs!$J$6-Inputs!$I$6)))/Inputs!$K$6)^2)</x:f>
        <x:v>400.01</x:v>
      </x:c>
      <x:c r="AA116" s="9" t="n">
        <x:f>(Inputs!$H$7+Inputs!$L$7*(((Inputs!$I$7+(((A116)+1)/2)*(Inputs!$J$7-Inputs!$I$7)))/Inputs!$K$7)^2)</x:f>
        <x:v>35.9125</x:v>
      </x:c>
      <x:c r="AB116" s="9" t="n">
        <x:f>(Inputs!$H$8+Inputs!$L$8*(((Inputs!$I$8+(((A116)+1)/2)*(Inputs!$J$8-Inputs!$I$8)))/Inputs!$K$8)^2)</x:f>
        <x:v>37.4125</x:v>
      </x:c>
      <x:c r="AC116" s="9" t="n">
        <x:f>(Inputs!$H$9+Inputs!$L$9*(((Inputs!$I$9+(((A116)+1)/2)*(Inputs!$J$9-Inputs!$I$9)))/Inputs!$K$9)^2)</x:f>
        <x:v>27.4375</x:v>
      </x:c>
      <x:c r="AD116" s="10"/>
      <x:c r="AE116" s="9">
        <x:f t="shared" si="13"/>
        <x:v>-0.05</x:v>
      </x:c>
      <x:c r="AF116" s="9"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9"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9"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9"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10"/>
      <x:c r="AK116" s="9">
        <x:f t="shared" si="14"/>
        <x:v>-0.05</x:v>
      </x:c>
      <x:c r="AL116" s="9"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9"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9"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9"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10"/>
      <x:c r="AQ116" s="9">
        <x:f t="shared" si="15"/>
        <x:v>-0.05</x:v>
      </x:c>
      <x:c r="AR116" s="9" t="n">
        <x:f>0</x:f>
        <x:v>0</x:v>
      </x:c>
      <x:c r="AS116" s="9"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x:f>
        <x:v>420.14741895617453</x:v>
      </x:c>
      <x:c r="AT116" s="9"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x:f>
        <x:v>338.15830709992554</x:v>
      </x:c>
      <x:c r="AU116" s="9"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x:f>
        <x:v>197.66557297497732</x:v>
      </x:c>
      <x:c r="AV116" s="9"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x:f>
        <x:v>197.66557297497732</x:v>
      </x:c>
      <x:c r="AW116" s="10"/>
      <x:c r="AX116" s="9">
        <x:f t="shared" si="16"/>
        <x:v>-0.05</x:v>
      </x:c>
      <x:c r="AY116" s="9" t="n">
        <x:f>0</x:f>
        <x:v>0</x:v>
      </x:c>
      <x:c r="AZ116" s="9" t="n">
        <x:f>IF(OR(Inputs!$F$6=TRUE,Inputs!$F$6="TRUE",Inputs!$F$6=1),(Inputs!$H$6+Inputs!$L$6*(((Inputs!$I$6+(((A116)+1)/2)*(Inputs!$J$6-Inputs!$I$6)))/Inputs!$K$6)^2),NA())</x:f>
        <x:v>400.01</x:v>
      </x:c>
      <x:c r="BA116" s="9" t="n">
        <x:f>IF(OR(Inputs!$F$7=TRUE,Inputs!$F$7="TRUE",Inputs!$F$7=1),(Inputs!$H$7+Inputs!$L$7*(((Inputs!$I$7+(((A116)+1)/2)*(Inputs!$J$7-Inputs!$I$7)))/Inputs!$K$7)^2),NA())</x:f>
        <x:v>35.9125</x:v>
      </x:c>
      <x:c r="BB116" s="9" t="n">
        <x:f>IF(OR(Inputs!$F$8=TRUE,Inputs!$F$8="TRUE",Inputs!$F$8=1),(Inputs!$H$8+Inputs!$L$8*(((Inputs!$I$8+(((A116)+1)/2)*(Inputs!$J$8-Inputs!$I$8)))/Inputs!$K$8)^2),NA())</x:f>
        <x:v>37.4125</x:v>
      </x:c>
      <x:c r="BC116" s="9" t="n">
        <x:f>IF(OR(Inputs!$F$9=TRUE,Inputs!$F$9="TRUE",Inputs!$F$9=1),(Inputs!$H$9+Inputs!$L$9*(((Inputs!$I$9+(((A116)+1)/2)*(Inputs!$J$9-Inputs!$I$9)))/Inputs!$K$9)^2),NA())</x:f>
        <x:v>27.4375</x:v>
      </x:c>
      <x:c r="BD116" s="10"/>
      <x:c r="BE116" s="9">
        <x:f t="shared" si="17"/>
        <x:v>-0.05</x:v>
      </x:c>
      <x:c r="BF116" s="9" t="n">
        <x:f>0</x:f>
        <x:v>0</x:v>
      </x:c>
      <x:c r="BG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9" t="n">
        <x:f>ROUND(-1+115*2/240,3)</x:f>
        <x:v>-0.042</x:v>
      </x:c>
      <x:c r="B117" s="9" t="n">
        <x:f>IF(OR(Inputs!$F$6=TRUE,Inputs!$F$6="TRUE",Inputs!$F$6=1),(Inputs!$H$6+Inputs!$L$6*(((Inputs!$I$6+(((A117)+1)/2)*(Inputs!$J$6-Inputs!$I$6)))/Inputs!$K$6)^2),NA())</x:f>
        <x:v>400.007056</x:v>
      </x:c>
      <x:c r="C117" s="9" t="n">
        <x:f>IF(OR(Inputs!$F$7=TRUE,Inputs!$F$7="TRUE",Inputs!$F$7=1),(Inputs!$H$7+Inputs!$L$7*(((Inputs!$I$7+(((A117)+1)/2)*(Inputs!$J$7-Inputs!$I$7)))/Inputs!$K$7)^2),NA())</x:f>
        <x:v>35.643860000000004</x:v>
      </x:c>
      <x:c r="D117" s="9" t="n">
        <x:f>IF(OR(Inputs!$F$8=TRUE,Inputs!$F$8="TRUE",Inputs!$F$8=1),(Inputs!$H$8+Inputs!$L$8*(((Inputs!$I$8+(((A117)+1)/2)*(Inputs!$J$8-Inputs!$I$8)))/Inputs!$K$8)^2),NA())</x:f>
        <x:v>36.70226</x:v>
      </x:c>
      <x:c r="E117" s="9" t="n">
        <x:f>IF(OR(Inputs!$F$9=TRUE,Inputs!$F$9="TRUE",Inputs!$F$9=1),(Inputs!$H$9+Inputs!$L$9*(((Inputs!$I$9+(((A117)+1)/2)*(Inputs!$J$9-Inputs!$I$9)))/Inputs!$K$9)^2),NA())</x:f>
        <x:v>26.719900000000003</x:v>
      </x:c>
      <x:c r="F117" s="10"/>
      <x:c r="G117" s="9">
        <x:f t="shared" si="9"/>
        <x:v>-4.2000000000000003E-2</x:v>
      </x:c>
      <x:c r="H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10"/>
      <x:c r="M117" s="9">
        <x:f t="shared" si="10"/>
        <x:v>-4.2000000000000003E-2</x:v>
      </x:c>
      <x:c r="N117" s="9"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9"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9"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9"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10"/>
      <x:c r="S117" s="9">
        <x:f t="shared" si="11"/>
        <x:v>-4.2000000000000003E-2</x:v>
      </x:c>
      <x:c r="T117" s="9" t="n">
        <x:f>(Inputs!$I$6+(((A117)+1)/2)*(Inputs!$J$6-Inputs!$I$6))</x:f>
        <x:v>-2.520000000000003</x:v>
      </x:c>
      <x:c r="U117" s="9" t="n">
        <x:f>(Inputs!$I$7+(((A117)+1)/2)*(Inputs!$J$7-Inputs!$I$7))</x:f>
        <x:v>-16.80000000000001</x:v>
      </x:c>
      <x:c r="V117" s="9" t="n">
        <x:f>(Inputs!$I$8+(((A117)+1)/2)*(Inputs!$J$8-Inputs!$I$8))</x:f>
        <x:v>-33.60000000000002</x:v>
      </x:c>
      <x:c r="W117" s="9" t="n">
        <x:f>(Inputs!$I$9+(((A117)+1)/2)*(Inputs!$J$9-Inputs!$I$9))</x:f>
        <x:v>-33.60000000000002</x:v>
      </x:c>
      <x:c r="X117" s="10"/>
      <x:c r="Y117" s="9">
        <x:f t="shared" si="12"/>
        <x:v>-4.2000000000000003E-2</x:v>
      </x:c>
      <x:c r="Z117" s="9" t="n">
        <x:f>(Inputs!$H$6+Inputs!$L$6*(((Inputs!$I$6+(((A117)+1)/2)*(Inputs!$J$6-Inputs!$I$6)))/Inputs!$K$6)^2)</x:f>
        <x:v>400.007056</x:v>
      </x:c>
      <x:c r="AA117" s="9" t="n">
        <x:f>(Inputs!$H$7+Inputs!$L$7*(((Inputs!$I$7+(((A117)+1)/2)*(Inputs!$J$7-Inputs!$I$7)))/Inputs!$K$7)^2)</x:f>
        <x:v>35.643860000000004</x:v>
      </x:c>
      <x:c r="AB117" s="9" t="n">
        <x:f>(Inputs!$H$8+Inputs!$L$8*(((Inputs!$I$8+(((A117)+1)/2)*(Inputs!$J$8-Inputs!$I$8)))/Inputs!$K$8)^2)</x:f>
        <x:v>36.70226</x:v>
      </x:c>
      <x:c r="AC117" s="9" t="n">
        <x:f>(Inputs!$H$9+Inputs!$L$9*(((Inputs!$I$9+(((A117)+1)/2)*(Inputs!$J$9-Inputs!$I$9)))/Inputs!$K$9)^2)</x:f>
        <x:v>26.719900000000003</x:v>
      </x:c>
      <x:c r="AD117" s="10"/>
      <x:c r="AE117" s="9">
        <x:f t="shared" si="13"/>
        <x:v>-4.2000000000000003E-2</x:v>
      </x:c>
      <x:c r="AF117" s="9"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9"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9"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9"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10"/>
      <x:c r="AK117" s="9">
        <x:f t="shared" si="14"/>
        <x:v>-4.2000000000000003E-2</x:v>
      </x:c>
      <x:c r="AL117" s="9"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9"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9"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9"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10"/>
      <x:c r="AQ117" s="9">
        <x:f t="shared" si="15"/>
        <x:v>-4.2000000000000003E-2</x:v>
      </x:c>
      <x:c r="AR117" s="9" t="n">
        <x:f>0</x:f>
        <x:v>0</x:v>
      </x:c>
      <x:c r="AS117" s="9"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x:f>
        <x:v>419.3714503277078</x:v>
      </x:c>
      <x:c r="AT117" s="9"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x:f>
        <x:v>382.7236063773297</x:v>
      </x:c>
      <x:c r="AU117" s="9"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x:f>
        <x:v>332.82100989198443</x:v>
      </x:c>
      <x:c r="AV117" s="9"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x:f>
        <x:v>332.82100989198443</x:v>
      </x:c>
      <x:c r="AW117" s="10"/>
      <x:c r="AX117" s="9">
        <x:f t="shared" si="16"/>
        <x:v>-4.2000000000000003E-2</x:v>
      </x:c>
      <x:c r="AY117" s="9" t="n">
        <x:f>0</x:f>
        <x:v>0</x:v>
      </x:c>
      <x:c r="AZ117" s="9" t="n">
        <x:f>IF(OR(Inputs!$F$6=TRUE,Inputs!$F$6="TRUE",Inputs!$F$6=1),(Inputs!$H$6+Inputs!$L$6*(((Inputs!$I$6+(((A117)+1)/2)*(Inputs!$J$6-Inputs!$I$6)))/Inputs!$K$6)^2),NA())</x:f>
        <x:v>400.007056</x:v>
      </x:c>
      <x:c r="BA117" s="9" t="n">
        <x:f>IF(OR(Inputs!$F$7=TRUE,Inputs!$F$7="TRUE",Inputs!$F$7=1),(Inputs!$H$7+Inputs!$L$7*(((Inputs!$I$7+(((A117)+1)/2)*(Inputs!$J$7-Inputs!$I$7)))/Inputs!$K$7)^2),NA())</x:f>
        <x:v>35.643860000000004</x:v>
      </x:c>
      <x:c r="BB117" s="9" t="n">
        <x:f>IF(OR(Inputs!$F$8=TRUE,Inputs!$F$8="TRUE",Inputs!$F$8=1),(Inputs!$H$8+Inputs!$L$8*(((Inputs!$I$8+(((A117)+1)/2)*(Inputs!$J$8-Inputs!$I$8)))/Inputs!$K$8)^2),NA())</x:f>
        <x:v>36.70226</x:v>
      </x:c>
      <x:c r="BC117" s="9" t="n">
        <x:f>IF(OR(Inputs!$F$9=TRUE,Inputs!$F$9="TRUE",Inputs!$F$9=1),(Inputs!$H$9+Inputs!$L$9*(((Inputs!$I$9+(((A117)+1)/2)*(Inputs!$J$9-Inputs!$I$9)))/Inputs!$K$9)^2),NA())</x:f>
        <x:v>26.719900000000003</x:v>
      </x:c>
      <x:c r="BD117" s="10"/>
      <x:c r="BE117" s="9">
        <x:f t="shared" si="17"/>
        <x:v>-4.2000000000000003E-2</x:v>
      </x:c>
      <x:c r="BF117" s="9" t="n">
        <x:f>0</x:f>
        <x:v>0</x:v>
      </x:c>
      <x:c r="BG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9" t="n">
        <x:f>ROUND(-1+116*2/240,3)</x:f>
        <x:v>-0.033</x:v>
      </x:c>
      <x:c r="B118" s="9" t="n">
        <x:f>IF(OR(Inputs!$F$6=TRUE,Inputs!$F$6="TRUE",Inputs!$F$6=1),(Inputs!$H$6+Inputs!$L$6*(((Inputs!$I$6+(((A118)+1)/2)*(Inputs!$J$6-Inputs!$I$6)))/Inputs!$K$6)^2),NA())</x:f>
        <x:v>400.004356</x:v>
      </x:c>
      <x:c r="C118" s="9" t="n">
        <x:f>IF(OR(Inputs!$F$7=TRUE,Inputs!$F$7="TRUE",Inputs!$F$7=1),(Inputs!$H$7+Inputs!$L$7*(((Inputs!$I$7+(((A118)+1)/2)*(Inputs!$J$7-Inputs!$I$7)))/Inputs!$K$7)^2),NA())</x:f>
        <x:v>35.397484999999996</x:v>
      </x:c>
      <x:c r="D118" s="9" t="n">
        <x:f>IF(OR(Inputs!$F$8=TRUE,Inputs!$F$8="TRUE",Inputs!$F$8=1),(Inputs!$H$8+Inputs!$L$8*(((Inputs!$I$8+(((A118)+1)/2)*(Inputs!$J$8-Inputs!$I$8)))/Inputs!$K$8)^2),NA())</x:f>
        <x:v>36.050885</x:v>
      </x:c>
      <x:c r="E118" s="9" t="n">
        <x:f>IF(OR(Inputs!$F$9=TRUE,Inputs!$F$9="TRUE",Inputs!$F$9=1),(Inputs!$H$9+Inputs!$L$9*(((Inputs!$I$9+(((A118)+1)/2)*(Inputs!$J$9-Inputs!$I$9)))/Inputs!$K$9)^2),NA())</x:f>
        <x:v>26.061774999999997</x:v>
      </x:c>
      <x:c r="F118" s="10"/>
      <x:c r="G118" s="9">
        <x:f t="shared" si="9"/>
        <x:v>-3.3000000000000002E-2</x:v>
      </x:c>
      <x:c r="H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10"/>
      <x:c r="M118" s="9">
        <x:f t="shared" si="10"/>
        <x:v>-3.3000000000000002E-2</x:v>
      </x:c>
      <x:c r="N118" s="9"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9"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9"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9"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10"/>
      <x:c r="S118" s="9">
        <x:f t="shared" si="11"/>
        <x:v>-3.3000000000000002E-2</x:v>
      </x:c>
      <x:c r="T118" s="9" t="n">
        <x:f>(Inputs!$I$6+(((A118)+1)/2)*(Inputs!$J$6-Inputs!$I$6))</x:f>
        <x:v>-1.980000000000004</x:v>
      </x:c>
      <x:c r="U118" s="9" t="n">
        <x:f>(Inputs!$I$7+(((A118)+1)/2)*(Inputs!$J$7-Inputs!$I$7))</x:f>
        <x:v>-13.199999999999989</x:v>
      </x:c>
      <x:c r="V118" s="9" t="n">
        <x:f>(Inputs!$I$8+(((A118)+1)/2)*(Inputs!$J$8-Inputs!$I$8))</x:f>
        <x:v>-26.399999999999977</x:v>
      </x:c>
      <x:c r="W118" s="9" t="n">
        <x:f>(Inputs!$I$9+(((A118)+1)/2)*(Inputs!$J$9-Inputs!$I$9))</x:f>
        <x:v>-26.399999999999977</x:v>
      </x:c>
      <x:c r="X118" s="10"/>
      <x:c r="Y118" s="9">
        <x:f t="shared" si="12"/>
        <x:v>-3.3000000000000002E-2</x:v>
      </x:c>
      <x:c r="Z118" s="9" t="n">
        <x:f>(Inputs!$H$6+Inputs!$L$6*(((Inputs!$I$6+(((A118)+1)/2)*(Inputs!$J$6-Inputs!$I$6)))/Inputs!$K$6)^2)</x:f>
        <x:v>400.004356</x:v>
      </x:c>
      <x:c r="AA118" s="9" t="n">
        <x:f>(Inputs!$H$7+Inputs!$L$7*(((Inputs!$I$7+(((A118)+1)/2)*(Inputs!$J$7-Inputs!$I$7)))/Inputs!$K$7)^2)</x:f>
        <x:v>35.397484999999996</x:v>
      </x:c>
      <x:c r="AB118" s="9" t="n">
        <x:f>(Inputs!$H$8+Inputs!$L$8*(((Inputs!$I$8+(((A118)+1)/2)*(Inputs!$J$8-Inputs!$I$8)))/Inputs!$K$8)^2)</x:f>
        <x:v>36.050885</x:v>
      </x:c>
      <x:c r="AC118" s="9" t="n">
        <x:f>(Inputs!$H$9+Inputs!$L$9*(((Inputs!$I$9+(((A118)+1)/2)*(Inputs!$J$9-Inputs!$I$9)))/Inputs!$K$9)^2)</x:f>
        <x:v>26.061774999999997</x:v>
      </x:c>
      <x:c r="AD118" s="10"/>
      <x:c r="AE118" s="9">
        <x:f t="shared" si="13"/>
        <x:v>-3.3000000000000002E-2</x:v>
      </x:c>
      <x:c r="AF118" s="9"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9"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9"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9"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10"/>
      <x:c r="AK118" s="9">
        <x:f t="shared" si="14"/>
        <x:v>-3.3000000000000002E-2</x:v>
      </x:c>
      <x:c r="AL118" s="9"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9"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9"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9"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10"/>
      <x:c r="AQ118" s="9">
        <x:f t="shared" si="15"/>
        <x:v>-3.3000000000000002E-2</x:v>
      </x:c>
      <x:c r="AR118" s="9" t="n">
        <x:f>0</x:f>
        <x:v>0</x:v>
      </x:c>
      <x:c r="AS118" s="9"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x:f>
        <x:v>426.6117076959969</x:v>
      </x:c>
      <x:c r="AT118" s="9"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x:f>
        <x:v>426.4996929504622</x:v>
      </x:c>
      <x:c r="AU118" s="9"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x:f>
        <x:v>283.81617250767744</x:v>
      </x:c>
      <x:c r="AV118" s="9"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x:f>
        <x:v>283.81617250767744</x:v>
      </x:c>
      <x:c r="AW118" s="10"/>
      <x:c r="AX118" s="9">
        <x:f t="shared" si="16"/>
        <x:v>-3.3000000000000002E-2</x:v>
      </x:c>
      <x:c r="AY118" s="9" t="n">
        <x:f>0</x:f>
        <x:v>0</x:v>
      </x:c>
      <x:c r="AZ118" s="9" t="n">
        <x:f>IF(OR(Inputs!$F$6=TRUE,Inputs!$F$6="TRUE",Inputs!$F$6=1),(Inputs!$H$6+Inputs!$L$6*(((Inputs!$I$6+(((A118)+1)/2)*(Inputs!$J$6-Inputs!$I$6)))/Inputs!$K$6)^2),NA())</x:f>
        <x:v>400.004356</x:v>
      </x:c>
      <x:c r="BA118" s="9" t="n">
        <x:f>IF(OR(Inputs!$F$7=TRUE,Inputs!$F$7="TRUE",Inputs!$F$7=1),(Inputs!$H$7+Inputs!$L$7*(((Inputs!$I$7+(((A118)+1)/2)*(Inputs!$J$7-Inputs!$I$7)))/Inputs!$K$7)^2),NA())</x:f>
        <x:v>35.397484999999996</x:v>
      </x:c>
      <x:c r="BB118" s="9" t="n">
        <x:f>IF(OR(Inputs!$F$8=TRUE,Inputs!$F$8="TRUE",Inputs!$F$8=1),(Inputs!$H$8+Inputs!$L$8*(((Inputs!$I$8+(((A118)+1)/2)*(Inputs!$J$8-Inputs!$I$8)))/Inputs!$K$8)^2),NA())</x:f>
        <x:v>36.050885</x:v>
      </x:c>
      <x:c r="BC118" s="9" t="n">
        <x:f>IF(OR(Inputs!$F$9=TRUE,Inputs!$F$9="TRUE",Inputs!$F$9=1),(Inputs!$H$9+Inputs!$L$9*(((Inputs!$I$9+(((A118)+1)/2)*(Inputs!$J$9-Inputs!$I$9)))/Inputs!$K$9)^2),NA())</x:f>
        <x:v>26.061774999999997</x:v>
      </x:c>
      <x:c r="BD118" s="10"/>
      <x:c r="BE118" s="9">
        <x:f t="shared" si="17"/>
        <x:v>-3.3000000000000002E-2</x:v>
      </x:c>
      <x:c r="BF118" s="9" t="n">
        <x:f>0</x:f>
        <x:v>0</x:v>
      </x:c>
      <x:c r="BG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9" t="n">
        <x:f>ROUND(-1+117*2/240,3)</x:f>
        <x:v>-0.025</x:v>
      </x:c>
      <x:c r="B119" s="9" t="n">
        <x:f>IF(OR(Inputs!$F$6=TRUE,Inputs!$F$6="TRUE",Inputs!$F$6=1),(Inputs!$H$6+Inputs!$L$6*(((Inputs!$I$6+(((A119)+1)/2)*(Inputs!$J$6-Inputs!$I$6)))/Inputs!$K$6)^2),NA())</x:f>
        <x:v>400.0025</x:v>
      </x:c>
      <x:c r="C119" s="9" t="n">
        <x:f>IF(OR(Inputs!$F$7=TRUE,Inputs!$F$7="TRUE",Inputs!$F$7=1),(Inputs!$H$7+Inputs!$L$7*(((Inputs!$I$7+(((A119)+1)/2)*(Inputs!$J$7-Inputs!$I$7)))/Inputs!$K$7)^2),NA())</x:f>
        <x:v>35.228125</x:v>
      </x:c>
      <x:c r="D119" s="9" t="n">
        <x:f>IF(OR(Inputs!$F$8=TRUE,Inputs!$F$8="TRUE",Inputs!$F$8=1),(Inputs!$H$8+Inputs!$L$8*(((Inputs!$I$8+(((A119)+1)/2)*(Inputs!$J$8-Inputs!$I$8)))/Inputs!$K$8)^2),NA())</x:f>
        <x:v>35.603125</x:v>
      </x:c>
      <x:c r="E119" s="9" t="n">
        <x:f>IF(OR(Inputs!$F$9=TRUE,Inputs!$F$9="TRUE",Inputs!$F$9=1),(Inputs!$H$9+Inputs!$L$9*(((Inputs!$I$9+(((A119)+1)/2)*(Inputs!$J$9-Inputs!$I$9)))/Inputs!$K$9)^2),NA())</x:f>
        <x:v>25.609375</x:v>
      </x:c>
      <x:c r="F119" s="10"/>
      <x:c r="G119" s="9">
        <x:f t="shared" si="9"/>
        <x:v>-2.5000000000000001E-2</x:v>
      </x:c>
      <x:c r="H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10"/>
      <x:c r="M119" s="9">
        <x:f t="shared" si="10"/>
        <x:v>-2.5000000000000001E-2</x:v>
      </x:c>
      <x:c r="N119" s="9"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9"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9"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9"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10"/>
      <x:c r="S119" s="9">
        <x:f t="shared" si="11"/>
        <x:v>-2.5000000000000001E-2</x:v>
      </x:c>
      <x:c r="T119" s="9" t="n">
        <x:f>(Inputs!$I$6+(((A119)+1)/2)*(Inputs!$J$6-Inputs!$I$6))</x:f>
        <x:v>-1.5</x:v>
      </x:c>
      <x:c r="U119" s="9" t="n">
        <x:f>(Inputs!$I$7+(((A119)+1)/2)*(Inputs!$J$7-Inputs!$I$7))</x:f>
        <x:v>-10</x:v>
      </x:c>
      <x:c r="V119" s="9" t="n">
        <x:f>(Inputs!$I$8+(((A119)+1)/2)*(Inputs!$J$8-Inputs!$I$8))</x:f>
        <x:v>-20</x:v>
      </x:c>
      <x:c r="W119" s="9" t="n">
        <x:f>(Inputs!$I$9+(((A119)+1)/2)*(Inputs!$J$9-Inputs!$I$9))</x:f>
        <x:v>-20</x:v>
      </x:c>
      <x:c r="X119" s="10"/>
      <x:c r="Y119" s="9">
        <x:f t="shared" si="12"/>
        <x:v>-2.5000000000000001E-2</x:v>
      </x:c>
      <x:c r="Z119" s="9" t="n">
        <x:f>(Inputs!$H$6+Inputs!$L$6*(((Inputs!$I$6+(((A119)+1)/2)*(Inputs!$J$6-Inputs!$I$6)))/Inputs!$K$6)^2)</x:f>
        <x:v>400.0025</x:v>
      </x:c>
      <x:c r="AA119" s="9" t="n">
        <x:f>(Inputs!$H$7+Inputs!$L$7*(((Inputs!$I$7+(((A119)+1)/2)*(Inputs!$J$7-Inputs!$I$7)))/Inputs!$K$7)^2)</x:f>
        <x:v>35.228125</x:v>
      </x:c>
      <x:c r="AB119" s="9" t="n">
        <x:f>(Inputs!$H$8+Inputs!$L$8*(((Inputs!$I$8+(((A119)+1)/2)*(Inputs!$J$8-Inputs!$I$8)))/Inputs!$K$8)^2)</x:f>
        <x:v>35.603125</x:v>
      </x:c>
      <x:c r="AC119" s="9" t="n">
        <x:f>(Inputs!$H$9+Inputs!$L$9*(((Inputs!$I$9+(((A119)+1)/2)*(Inputs!$J$9-Inputs!$I$9)))/Inputs!$K$9)^2)</x:f>
        <x:v>25.609375</x:v>
      </x:c>
      <x:c r="AD119" s="10"/>
      <x:c r="AE119" s="9">
        <x:f t="shared" si="13"/>
        <x:v>-2.5000000000000001E-2</x:v>
      </x:c>
      <x:c r="AF119" s="9"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9"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9"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9"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10"/>
      <x:c r="AK119" s="9">
        <x:f t="shared" si="14"/>
        <x:v>-2.5000000000000001E-2</x:v>
      </x:c>
      <x:c r="AL119" s="9"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9"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9"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9"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10"/>
      <x:c r="AQ119" s="9">
        <x:f t="shared" si="15"/>
        <x:v>-2.5000000000000001E-2</x:v>
      </x:c>
      <x:c r="AR119" s="9" t="n">
        <x:f>0</x:f>
        <x:v>0</x:v>
      </x:c>
      <x:c r="AS119" s="9"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x:f>
        <x:v>431.10580672292525</x:v>
      </x:c>
      <x:c r="AT119" s="9"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x:f>
        <x:v>471.5144848829251</x:v>
      </x:c>
      <x:c r="AU119" s="9"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x:f>
        <x:v>338.15830709992554</x:v>
      </x:c>
      <x:c r="AV119" s="9"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x:f>
        <x:v>338.15830709992554</x:v>
      </x:c>
      <x:c r="AW119" s="10"/>
      <x:c r="AX119" s="9">
        <x:f t="shared" si="16"/>
        <x:v>-2.5000000000000001E-2</x:v>
      </x:c>
      <x:c r="AY119" s="9" t="n">
        <x:f>0</x:f>
        <x:v>0</x:v>
      </x:c>
      <x:c r="AZ119" s="9" t="n">
        <x:f>IF(OR(Inputs!$F$6=TRUE,Inputs!$F$6="TRUE",Inputs!$F$6=1),(Inputs!$H$6+Inputs!$L$6*(((Inputs!$I$6+(((A119)+1)/2)*(Inputs!$J$6-Inputs!$I$6)))/Inputs!$K$6)^2),NA())</x:f>
        <x:v>400.0025</x:v>
      </x:c>
      <x:c r="BA119" s="9" t="n">
        <x:f>IF(OR(Inputs!$F$7=TRUE,Inputs!$F$7="TRUE",Inputs!$F$7=1),(Inputs!$H$7+Inputs!$L$7*(((Inputs!$I$7+(((A119)+1)/2)*(Inputs!$J$7-Inputs!$I$7)))/Inputs!$K$7)^2),NA())</x:f>
        <x:v>35.228125</x:v>
      </x:c>
      <x:c r="BB119" s="9" t="n">
        <x:f>IF(OR(Inputs!$F$8=TRUE,Inputs!$F$8="TRUE",Inputs!$F$8=1),(Inputs!$H$8+Inputs!$L$8*(((Inputs!$I$8+(((A119)+1)/2)*(Inputs!$J$8-Inputs!$I$8)))/Inputs!$K$8)^2),NA())</x:f>
        <x:v>35.603125</x:v>
      </x:c>
      <x:c r="BC119" s="9" t="n">
        <x:f>IF(OR(Inputs!$F$9=TRUE,Inputs!$F$9="TRUE",Inputs!$F$9=1),(Inputs!$H$9+Inputs!$L$9*(((Inputs!$I$9+(((A119)+1)/2)*(Inputs!$J$9-Inputs!$I$9)))/Inputs!$K$9)^2),NA())</x:f>
        <x:v>25.609375</x:v>
      </x:c>
      <x:c r="BD119" s="10"/>
      <x:c r="BE119" s="9">
        <x:f t="shared" si="17"/>
        <x:v>-2.5000000000000001E-2</x:v>
      </x:c>
      <x:c r="BF119" s="9" t="n">
        <x:f>0</x:f>
        <x:v>0</x:v>
      </x:c>
      <x:c r="BG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9" t="n">
        <x:f>ROUND(-1+118*2/240,3)</x:f>
        <x:v>-0.017</x:v>
      </x:c>
      <x:c r="B120" s="9" t="n">
        <x:f>IF(OR(Inputs!$F$6=TRUE,Inputs!$F$6="TRUE",Inputs!$F$6=1),(Inputs!$H$6+Inputs!$L$6*(((Inputs!$I$6+(((A120)+1)/2)*(Inputs!$J$6-Inputs!$I$6)))/Inputs!$K$6)^2),NA())</x:f>
        <x:v>400.001156</x:v>
      </x:c>
      <x:c r="C120" s="9" t="n">
        <x:f>IF(OR(Inputs!$F$7=TRUE,Inputs!$F$7="TRUE",Inputs!$F$7=1),(Inputs!$H$7+Inputs!$L$7*(((Inputs!$I$7+(((A120)+1)/2)*(Inputs!$J$7-Inputs!$I$7)))/Inputs!$K$7)^2),NA())</x:f>
        <x:v>35.105485</x:v>
      </x:c>
      <x:c r="D120" s="9" t="n">
        <x:f>IF(OR(Inputs!$F$8=TRUE,Inputs!$F$8="TRUE",Inputs!$F$8=1),(Inputs!$H$8+Inputs!$L$8*(((Inputs!$I$8+(((A120)+1)/2)*(Inputs!$J$8-Inputs!$I$8)))/Inputs!$K$8)^2),NA())</x:f>
        <x:v>35.278885</x:v>
      </x:c>
      <x:c r="E120" s="9" t="n">
        <x:f>IF(OR(Inputs!$F$9=TRUE,Inputs!$F$9="TRUE",Inputs!$F$9=1),(Inputs!$H$9+Inputs!$L$9*(((Inputs!$I$9+(((A120)+1)/2)*(Inputs!$J$9-Inputs!$I$9)))/Inputs!$K$9)^2),NA())</x:f>
        <x:v>25.281775</x:v>
      </x:c>
      <x:c r="F120" s="10"/>
      <x:c r="G120" s="9">
        <x:f t="shared" si="9"/>
        <x:v>-1.7000000000000001E-2</x:v>
      </x:c>
      <x:c r="H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10"/>
      <x:c r="M120" s="9">
        <x:f t="shared" si="10"/>
        <x:v>-1.7000000000000001E-2</x:v>
      </x:c>
      <x:c r="N120" s="9"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9"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9"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9"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10"/>
      <x:c r="S120" s="9">
        <x:f t="shared" si="11"/>
        <x:v>-1.7000000000000001E-2</x:v>
      </x:c>
      <x:c r="T120" s="9" t="n">
        <x:f>(Inputs!$I$6+(((A120)+1)/2)*(Inputs!$J$6-Inputs!$I$6))</x:f>
        <x:v>-1.0200000000000031</x:v>
      </x:c>
      <x:c r="U120" s="9" t="n">
        <x:f>(Inputs!$I$7+(((A120)+1)/2)*(Inputs!$J$7-Inputs!$I$7))</x:f>
        <x:v>-6.800000000000011</x:v>
      </x:c>
      <x:c r="V120" s="9" t="n">
        <x:f>(Inputs!$I$8+(((A120)+1)/2)*(Inputs!$J$8-Inputs!$I$8))</x:f>
        <x:v>-13.600000000000023</x:v>
      </x:c>
      <x:c r="W120" s="9" t="n">
        <x:f>(Inputs!$I$9+(((A120)+1)/2)*(Inputs!$J$9-Inputs!$I$9))</x:f>
        <x:v>-13.600000000000023</x:v>
      </x:c>
      <x:c r="X120" s="10"/>
      <x:c r="Y120" s="9">
        <x:f t="shared" si="12"/>
        <x:v>-1.7000000000000001E-2</x:v>
      </x:c>
      <x:c r="Z120" s="9" t="n">
        <x:f>(Inputs!$H$6+Inputs!$L$6*(((Inputs!$I$6+(((A120)+1)/2)*(Inputs!$J$6-Inputs!$I$6)))/Inputs!$K$6)^2)</x:f>
        <x:v>400.001156</x:v>
      </x:c>
      <x:c r="AA120" s="9" t="n">
        <x:f>(Inputs!$H$7+Inputs!$L$7*(((Inputs!$I$7+(((A120)+1)/2)*(Inputs!$J$7-Inputs!$I$7)))/Inputs!$K$7)^2)</x:f>
        <x:v>35.105485</x:v>
      </x:c>
      <x:c r="AB120" s="9" t="n">
        <x:f>(Inputs!$H$8+Inputs!$L$8*(((Inputs!$I$8+(((A120)+1)/2)*(Inputs!$J$8-Inputs!$I$8)))/Inputs!$K$8)^2)</x:f>
        <x:v>35.278885</x:v>
      </x:c>
      <x:c r="AC120" s="9" t="n">
        <x:f>(Inputs!$H$9+Inputs!$L$9*(((Inputs!$I$9+(((A120)+1)/2)*(Inputs!$J$9-Inputs!$I$9)))/Inputs!$K$9)^2)</x:f>
        <x:v>25.281775</x:v>
      </x:c>
      <x:c r="AD120" s="10"/>
      <x:c r="AE120" s="9">
        <x:f t="shared" si="13"/>
        <x:v>-1.7000000000000001E-2</x:v>
      </x:c>
      <x:c r="AF120" s="9"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9"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9"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9"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10"/>
      <x:c r="AK120" s="9">
        <x:f t="shared" si="14"/>
        <x:v>-1.7000000000000001E-2</x:v>
      </x:c>
      <x:c r="AL120" s="9"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9"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9"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9"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10"/>
      <x:c r="AQ120" s="9">
        <x:f t="shared" si="15"/>
        <x:v>-1.7000000000000001E-2</x:v>
      </x:c>
      <x:c r="AR120" s="9" t="n">
        <x:f>0</x:f>
        <x:v>0</x:v>
      </x:c>
      <x:c r="AS120" s="9"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x:f>
        <x:v>457.7287054927811</x:v>
      </x:c>
      <x:c r="AT120" s="9"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x:f>
        <x:v>451.8235995139912</x:v>
      </x:c>
      <x:c r="AU120" s="9"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x:f>
        <x:v>416.8630761618238</x:v>
      </x:c>
      <x:c r="AV120" s="9"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x:f>
        <x:v>416.8630761618238</x:v>
      </x:c>
      <x:c r="AW120" s="10"/>
      <x:c r="AX120" s="9">
        <x:f t="shared" si="16"/>
        <x:v>-1.7000000000000001E-2</x:v>
      </x:c>
      <x:c r="AY120" s="9" t="n">
        <x:f>0</x:f>
        <x:v>0</x:v>
      </x:c>
      <x:c r="AZ120" s="9" t="n">
        <x:f>IF(OR(Inputs!$F$6=TRUE,Inputs!$F$6="TRUE",Inputs!$F$6=1),(Inputs!$H$6+Inputs!$L$6*(((Inputs!$I$6+(((A120)+1)/2)*(Inputs!$J$6-Inputs!$I$6)))/Inputs!$K$6)^2),NA())</x:f>
        <x:v>400.001156</x:v>
      </x:c>
      <x:c r="BA120" s="9" t="n">
        <x:f>IF(OR(Inputs!$F$7=TRUE,Inputs!$F$7="TRUE",Inputs!$F$7=1),(Inputs!$H$7+Inputs!$L$7*(((Inputs!$I$7+(((A120)+1)/2)*(Inputs!$J$7-Inputs!$I$7)))/Inputs!$K$7)^2),NA())</x:f>
        <x:v>35.105485</x:v>
      </x:c>
      <x:c r="BB120" s="9" t="n">
        <x:f>IF(OR(Inputs!$F$8=TRUE,Inputs!$F$8="TRUE",Inputs!$F$8=1),(Inputs!$H$8+Inputs!$L$8*(((Inputs!$I$8+(((A120)+1)/2)*(Inputs!$J$8-Inputs!$I$8)))/Inputs!$K$8)^2),NA())</x:f>
        <x:v>35.278885</x:v>
      </x:c>
      <x:c r="BC120" s="9" t="n">
        <x:f>IF(OR(Inputs!$F$9=TRUE,Inputs!$F$9="TRUE",Inputs!$F$9=1),(Inputs!$H$9+Inputs!$L$9*(((Inputs!$I$9+(((A120)+1)/2)*(Inputs!$J$9-Inputs!$I$9)))/Inputs!$K$9)^2),NA())</x:f>
        <x:v>25.281775</x:v>
      </x:c>
      <x:c r="BD120" s="10"/>
      <x:c r="BE120" s="9">
        <x:f t="shared" si="17"/>
        <x:v>-1.7000000000000001E-2</x:v>
      </x:c>
      <x:c r="BF120" s="9" t="n">
        <x:f>0</x:f>
        <x:v>0</x:v>
      </x:c>
      <x:c r="BG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9" t="n">
        <x:f>ROUND(-1+119*2/240,3)</x:f>
        <x:v>-0.008</x:v>
      </x:c>
      <x:c r="B121" s="9" t="n">
        <x:f>IF(OR(Inputs!$F$6=TRUE,Inputs!$F$6="TRUE",Inputs!$F$6=1),(Inputs!$H$6+Inputs!$L$6*(((Inputs!$I$6+(((A121)+1)/2)*(Inputs!$J$6-Inputs!$I$6)))/Inputs!$K$6)^2),NA())</x:f>
        <x:v>400.000256</x:v>
      </x:c>
      <x:c r="C121" s="9" t="n">
        <x:f>IF(OR(Inputs!$F$7=TRUE,Inputs!$F$7="TRUE",Inputs!$F$7=1),(Inputs!$H$7+Inputs!$L$7*(((Inputs!$I$7+(((A121)+1)/2)*(Inputs!$J$7-Inputs!$I$7)))/Inputs!$K$7)^2),NA())</x:f>
        <x:v>35.02336</x:v>
      </x:c>
      <x:c r="D121" s="9" t="n">
        <x:f>IF(OR(Inputs!$F$8=TRUE,Inputs!$F$8="TRUE",Inputs!$F$8=1),(Inputs!$H$8+Inputs!$L$8*(((Inputs!$I$8+(((A121)+1)/2)*(Inputs!$J$8-Inputs!$I$8)))/Inputs!$K$8)^2),NA())</x:f>
        <x:v>35.06176</x:v>
      </x:c>
      <x:c r="E121" s="9" t="n">
        <x:f>IF(OR(Inputs!$F$9=TRUE,Inputs!$F$9="TRUE",Inputs!$F$9=1),(Inputs!$H$9+Inputs!$L$9*(((Inputs!$I$9+(((A121)+1)/2)*(Inputs!$J$9-Inputs!$I$9)))/Inputs!$K$9)^2),NA())</x:f>
        <x:v>25.0624</x:v>
      </x:c>
      <x:c r="F121" s="10"/>
      <x:c r="G121" s="9">
        <x:f t="shared" si="9"/>
        <x:v>-8.0000000000000002E-3</x:v>
      </x:c>
      <x:c r="H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10"/>
      <x:c r="M121" s="9">
        <x:f t="shared" si="10"/>
        <x:v>-8.0000000000000002E-3</x:v>
      </x:c>
      <x:c r="N121" s="9"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9"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9"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9"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10"/>
      <x:c r="S121" s="9">
        <x:f t="shared" si="11"/>
        <x:v>-8.0000000000000002E-3</x:v>
      </x:c>
      <x:c r="T121" s="9" t="n">
        <x:f>(Inputs!$I$6+(((A121)+1)/2)*(Inputs!$J$6-Inputs!$I$6))</x:f>
        <x:v>-0.480000000000004</x:v>
      </x:c>
      <x:c r="U121" s="9" t="n">
        <x:f>(Inputs!$I$7+(((A121)+1)/2)*(Inputs!$J$7-Inputs!$I$7))</x:f>
        <x:v>-3.1999999999999886</x:v>
      </x:c>
      <x:c r="V121" s="9" t="n">
        <x:f>(Inputs!$I$8+(((A121)+1)/2)*(Inputs!$J$8-Inputs!$I$8))</x:f>
        <x:v>-6.399999999999977</x:v>
      </x:c>
      <x:c r="W121" s="9" t="n">
        <x:f>(Inputs!$I$9+(((A121)+1)/2)*(Inputs!$J$9-Inputs!$I$9))</x:f>
        <x:v>-6.399999999999977</x:v>
      </x:c>
      <x:c r="X121" s="10"/>
      <x:c r="Y121" s="9">
        <x:f t="shared" si="12"/>
        <x:v>-8.0000000000000002E-3</x:v>
      </x:c>
      <x:c r="Z121" s="9" t="n">
        <x:f>(Inputs!$H$6+Inputs!$L$6*(((Inputs!$I$6+(((A121)+1)/2)*(Inputs!$J$6-Inputs!$I$6)))/Inputs!$K$6)^2)</x:f>
        <x:v>400.000256</x:v>
      </x:c>
      <x:c r="AA121" s="9" t="n">
        <x:f>(Inputs!$H$7+Inputs!$L$7*(((Inputs!$I$7+(((A121)+1)/2)*(Inputs!$J$7-Inputs!$I$7)))/Inputs!$K$7)^2)</x:f>
        <x:v>35.02336</x:v>
      </x:c>
      <x:c r="AB121" s="9" t="n">
        <x:f>(Inputs!$H$8+Inputs!$L$8*(((Inputs!$I$8+(((A121)+1)/2)*(Inputs!$J$8-Inputs!$I$8)))/Inputs!$K$8)^2)</x:f>
        <x:v>35.06176</x:v>
      </x:c>
      <x:c r="AC121" s="9" t="n">
        <x:f>(Inputs!$H$9+Inputs!$L$9*(((Inputs!$I$9+(((A121)+1)/2)*(Inputs!$J$9-Inputs!$I$9)))/Inputs!$K$9)^2)</x:f>
        <x:v>25.0624</x:v>
      </x:c>
      <x:c r="AD121" s="10"/>
      <x:c r="AE121" s="9">
        <x:f t="shared" si="13"/>
        <x:v>-8.0000000000000002E-3</x:v>
      </x:c>
      <x:c r="AF121" s="9"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9"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9"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9"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10"/>
      <x:c r="AK121" s="9">
        <x:f t="shared" si="14"/>
        <x:v>-8.0000000000000002E-3</x:v>
      </x:c>
      <x:c r="AL121" s="9"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9"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9"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9"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10"/>
      <x:c r="AQ121" s="9">
        <x:f t="shared" si="15"/>
        <x:v>-8.0000000000000002E-3</x:v>
      </x:c>
      <x:c r="AR121" s="9" t="n">
        <x:f>0</x:f>
        <x:v>0</x:v>
      </x:c>
      <x:c r="AS121" s="9"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x:f>
        <x:v>463.9957838089906</x:v>
      </x:c>
      <x:c r="AT121" s="9"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x:f>
        <x:v>426.89597003281926</x:v>
      </x:c>
      <x:c r="AU121" s="9"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x:f>
        <x:v>440.0686458556988</x:v>
      </x:c>
      <x:c r="AV121" s="9"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x:f>
        <x:v>440.0686458556988</x:v>
      </x:c>
      <x:c r="AW121" s="10"/>
      <x:c r="AX121" s="9">
        <x:f t="shared" si="16"/>
        <x:v>-8.0000000000000002E-3</x:v>
      </x:c>
      <x:c r="AY121" s="9" t="n">
        <x:f>0</x:f>
        <x:v>0</x:v>
      </x:c>
      <x:c r="AZ121" s="9" t="n">
        <x:f>IF(OR(Inputs!$F$6=TRUE,Inputs!$F$6="TRUE",Inputs!$F$6=1),(Inputs!$H$6+Inputs!$L$6*(((Inputs!$I$6+(((A121)+1)/2)*(Inputs!$J$6-Inputs!$I$6)))/Inputs!$K$6)^2),NA())</x:f>
        <x:v>400.000256</x:v>
      </x:c>
      <x:c r="BA121" s="9" t="n">
        <x:f>IF(OR(Inputs!$F$7=TRUE,Inputs!$F$7="TRUE",Inputs!$F$7=1),(Inputs!$H$7+Inputs!$L$7*(((Inputs!$I$7+(((A121)+1)/2)*(Inputs!$J$7-Inputs!$I$7)))/Inputs!$K$7)^2),NA())</x:f>
        <x:v>35.02336</x:v>
      </x:c>
      <x:c r="BB121" s="9" t="n">
        <x:f>IF(OR(Inputs!$F$8=TRUE,Inputs!$F$8="TRUE",Inputs!$F$8=1),(Inputs!$H$8+Inputs!$L$8*(((Inputs!$I$8+(((A121)+1)/2)*(Inputs!$J$8-Inputs!$I$8)))/Inputs!$K$8)^2),NA())</x:f>
        <x:v>35.06176</x:v>
      </x:c>
      <x:c r="BC121" s="9" t="n">
        <x:f>IF(OR(Inputs!$F$9=TRUE,Inputs!$F$9="TRUE",Inputs!$F$9=1),(Inputs!$H$9+Inputs!$L$9*(((Inputs!$I$9+(((A121)+1)/2)*(Inputs!$J$9-Inputs!$I$9)))/Inputs!$K$9)^2),NA())</x:f>
        <x:v>25.0624</x:v>
      </x:c>
      <x:c r="BD121" s="10"/>
      <x:c r="BE121" s="9">
        <x:f t="shared" si="17"/>
        <x:v>-8.0000000000000002E-3</x:v>
      </x:c>
      <x:c r="BF121" s="9" t="n">
        <x:f>0</x:f>
        <x:v>0</x:v>
      </x:c>
      <x:c r="BG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9" t="n">
        <x:f>ROUND(-1+120*2/240,3)</x:f>
        <x:v>0</x:v>
      </x:c>
      <x:c r="B122" s="9" t="n">
        <x:f>IF(OR(Inputs!$F$6=TRUE,Inputs!$F$6="TRUE",Inputs!$F$6=1),(Inputs!$H$6+Inputs!$L$6*(((Inputs!$I$6+(((A122)+1)/2)*(Inputs!$J$6-Inputs!$I$6)))/Inputs!$K$6)^2),NA())</x:f>
        <x:v>400</x:v>
      </x:c>
      <x:c r="C122" s="9" t="n">
        <x:f>IF(OR(Inputs!$F$7=TRUE,Inputs!$F$7="TRUE",Inputs!$F$7=1),(Inputs!$H$7+Inputs!$L$7*(((Inputs!$I$7+(((A122)+1)/2)*(Inputs!$J$7-Inputs!$I$7)))/Inputs!$K$7)^2),NA())</x:f>
        <x:v>35</x:v>
      </x:c>
      <x:c r="D122" s="9" t="n">
        <x:f>IF(OR(Inputs!$F$8=TRUE,Inputs!$F$8="TRUE",Inputs!$F$8=1),(Inputs!$H$8+Inputs!$L$8*(((Inputs!$I$8+(((A122)+1)/2)*(Inputs!$J$8-Inputs!$I$8)))/Inputs!$K$8)^2),NA())</x:f>
        <x:v>35</x:v>
      </x:c>
      <x:c r="E122" s="9" t="n">
        <x:f>IF(OR(Inputs!$F$9=TRUE,Inputs!$F$9="TRUE",Inputs!$F$9=1),(Inputs!$H$9+Inputs!$L$9*(((Inputs!$I$9+(((A122)+1)/2)*(Inputs!$J$9-Inputs!$I$9)))/Inputs!$K$9)^2),NA())</x:f>
        <x:v>25</x:v>
      </x:c>
      <x:c r="F122" s="10"/>
      <x:c r="G122" s="9">
        <x:f t="shared" si="9"/>
        <x:v>0</x:v>
      </x:c>
      <x:c r="H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10"/>
      <x:c r="M122" s="9">
        <x:f t="shared" si="10"/>
        <x:v>0</x:v>
      </x:c>
      <x:c r="N122" s="9"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9"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9"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9"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10"/>
      <x:c r="S122" s="9">
        <x:f t="shared" si="11"/>
        <x:v>0</x:v>
      </x:c>
      <x:c r="T122" s="9" t="n">
        <x:f>(Inputs!$I$6+(((A122)+1)/2)*(Inputs!$J$6-Inputs!$I$6))</x:f>
        <x:v>0</x:v>
      </x:c>
      <x:c r="U122" s="9" t="n">
        <x:f>(Inputs!$I$7+(((A122)+1)/2)*(Inputs!$J$7-Inputs!$I$7))</x:f>
        <x:v>0</x:v>
      </x:c>
      <x:c r="V122" s="9" t="n">
        <x:f>(Inputs!$I$8+(((A122)+1)/2)*(Inputs!$J$8-Inputs!$I$8))</x:f>
        <x:v>0</x:v>
      </x:c>
      <x:c r="W122" s="9" t="n">
        <x:f>(Inputs!$I$9+(((A122)+1)/2)*(Inputs!$J$9-Inputs!$I$9))</x:f>
        <x:v>0</x:v>
      </x:c>
      <x:c r="X122" s="10"/>
      <x:c r="Y122" s="9">
        <x:f t="shared" si="12"/>
        <x:v>0</x:v>
      </x:c>
      <x:c r="Z122" s="9" t="n">
        <x:f>(Inputs!$H$6+Inputs!$L$6*(((Inputs!$I$6+(((A122)+1)/2)*(Inputs!$J$6-Inputs!$I$6)))/Inputs!$K$6)^2)</x:f>
        <x:v>400</x:v>
      </x:c>
      <x:c r="AA122" s="9" t="n">
        <x:f>(Inputs!$H$7+Inputs!$L$7*(((Inputs!$I$7+(((A122)+1)/2)*(Inputs!$J$7-Inputs!$I$7)))/Inputs!$K$7)^2)</x:f>
        <x:v>35</x:v>
      </x:c>
      <x:c r="AB122" s="9" t="n">
        <x:f>(Inputs!$H$8+Inputs!$L$8*(((Inputs!$I$8+(((A122)+1)/2)*(Inputs!$J$8-Inputs!$I$8)))/Inputs!$K$8)^2)</x:f>
        <x:v>35</x:v>
      </x:c>
      <x:c r="AC122" s="9" t="n">
        <x:f>(Inputs!$H$9+Inputs!$L$9*(((Inputs!$I$9+(((A122)+1)/2)*(Inputs!$J$9-Inputs!$I$9)))/Inputs!$K$9)^2)</x:f>
        <x:v>25</x:v>
      </x:c>
      <x:c r="AD122" s="10"/>
      <x:c r="AE122" s="9">
        <x:f t="shared" si="13"/>
        <x:v>0</x:v>
      </x:c>
      <x:c r="AF122" s="9"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9"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9"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9"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10"/>
      <x:c r="AK122" s="9">
        <x:f t="shared" si="14"/>
        <x:v>0</x:v>
      </x:c>
      <x:c r="AL122" s="9"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9"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9"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9"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10"/>
      <x:c r="AQ122" s="9">
        <x:f t="shared" si="15"/>
        <x:v>0</x:v>
      </x:c>
      <x:c r="AR122" s="9" t="n">
        <x:f>0</x:f>
        <x:v>0</x:v>
      </x:c>
      <x:c r="AS122" s="9"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x:f>
        <x:v>480.44802858922253</x:v>
      </x:c>
      <x:c r="AT122" s="9"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x:f>
        <x:v>480.44802858922253</x:v>
      </x:c>
      <x:c r="AU122" s="9"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x:f>
        <x:v>480.44802858922253</x:v>
      </x:c>
      <x:c r="AV122" s="9"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x:f>
        <x:v>480.44802858922253</x:v>
      </x:c>
      <x:c r="AW122" s="10"/>
      <x:c r="AX122" s="9">
        <x:f t="shared" si="16"/>
        <x:v>0</x:v>
      </x:c>
      <x:c r="AY122" s="9" t="n">
        <x:f>0</x:f>
        <x:v>0</x:v>
      </x:c>
      <x:c r="AZ122" s="9" t="n">
        <x:f>IF(OR(Inputs!$F$6=TRUE,Inputs!$F$6="TRUE",Inputs!$F$6=1),(Inputs!$H$6+Inputs!$L$6*(((Inputs!$I$6+(((A122)+1)/2)*(Inputs!$J$6-Inputs!$I$6)))/Inputs!$K$6)^2),NA())</x:f>
        <x:v>400</x:v>
      </x:c>
      <x:c r="BA122" s="9" t="n">
        <x:f>IF(OR(Inputs!$F$7=TRUE,Inputs!$F$7="TRUE",Inputs!$F$7=1),(Inputs!$H$7+Inputs!$L$7*(((Inputs!$I$7+(((A122)+1)/2)*(Inputs!$J$7-Inputs!$I$7)))/Inputs!$K$7)^2),NA())</x:f>
        <x:v>35</x:v>
      </x:c>
      <x:c r="BB122" s="9" t="n">
        <x:f>IF(OR(Inputs!$F$8=TRUE,Inputs!$F$8="TRUE",Inputs!$F$8=1),(Inputs!$H$8+Inputs!$L$8*(((Inputs!$I$8+(((A122)+1)/2)*(Inputs!$J$8-Inputs!$I$8)))/Inputs!$K$8)^2),NA())</x:f>
        <x:v>35</x:v>
      </x:c>
      <x:c r="BC122" s="9" t="n">
        <x:f>IF(OR(Inputs!$F$9=TRUE,Inputs!$F$9="TRUE",Inputs!$F$9=1),(Inputs!$H$9+Inputs!$L$9*(((Inputs!$I$9+(((A122)+1)/2)*(Inputs!$J$9-Inputs!$I$9)))/Inputs!$K$9)^2),NA())</x:f>
        <x:v>25</x:v>
      </x:c>
      <x:c r="BD122" s="10"/>
      <x:c r="BE122" s="9">
        <x:f t="shared" si="17"/>
        <x:v>0</x:v>
      </x:c>
      <x:c r="BF122" s="9" t="n">
        <x:f>0</x:f>
        <x:v>0</x:v>
      </x:c>
      <x:c r="BG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9" t="n">
        <x:f>ROUND(-1+121*2/240,3)</x:f>
        <x:v>0.008</x:v>
      </x:c>
      <x:c r="B123" s="9" t="n">
        <x:f>IF(OR(Inputs!$F$6=TRUE,Inputs!$F$6="TRUE",Inputs!$F$6=1),(Inputs!$H$6+Inputs!$L$6*(((Inputs!$I$6+(((A123)+1)/2)*(Inputs!$J$6-Inputs!$I$6)))/Inputs!$K$6)^2),NA())</x:f>
        <x:v>400.000256</x:v>
      </x:c>
      <x:c r="C123" s="9" t="n">
        <x:f>IF(OR(Inputs!$F$7=TRUE,Inputs!$F$7="TRUE",Inputs!$F$7=1),(Inputs!$H$7+Inputs!$L$7*(((Inputs!$I$7+(((A123)+1)/2)*(Inputs!$J$7-Inputs!$I$7)))/Inputs!$K$7)^2),NA())</x:f>
        <x:v>35.02336</x:v>
      </x:c>
      <x:c r="D123" s="9" t="n">
        <x:f>IF(OR(Inputs!$F$8=TRUE,Inputs!$F$8="TRUE",Inputs!$F$8=1),(Inputs!$H$8+Inputs!$L$8*(((Inputs!$I$8+(((A123)+1)/2)*(Inputs!$J$8-Inputs!$I$8)))/Inputs!$K$8)^2),NA())</x:f>
        <x:v>35.06176</x:v>
      </x:c>
      <x:c r="E123" s="9" t="n">
        <x:f>IF(OR(Inputs!$F$9=TRUE,Inputs!$F$9="TRUE",Inputs!$F$9=1),(Inputs!$H$9+Inputs!$L$9*(((Inputs!$I$9+(((A123)+1)/2)*(Inputs!$J$9-Inputs!$I$9)))/Inputs!$K$9)^2),NA())</x:f>
        <x:v>25.0624</x:v>
      </x:c>
      <x:c r="F123" s="10"/>
      <x:c r="G123" s="9">
        <x:f t="shared" si="9"/>
        <x:v>8.0000000000000002E-3</x:v>
      </x:c>
      <x:c r="H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10"/>
      <x:c r="M123" s="9">
        <x:f t="shared" si="10"/>
        <x:v>8.0000000000000002E-3</x:v>
      </x:c>
      <x:c r="N123" s="9"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9"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9"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9"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10"/>
      <x:c r="S123" s="9">
        <x:f t="shared" si="11"/>
        <x:v>8.0000000000000002E-3</x:v>
      </x:c>
      <x:c r="T123" s="9" t="n">
        <x:f>(Inputs!$I$6+(((A123)+1)/2)*(Inputs!$J$6-Inputs!$I$6))</x:f>
        <x:v>0.480000000000004</x:v>
      </x:c>
      <x:c r="U123" s="9" t="n">
        <x:f>(Inputs!$I$7+(((A123)+1)/2)*(Inputs!$J$7-Inputs!$I$7))</x:f>
        <x:v>3.1999999999999886</x:v>
      </x:c>
      <x:c r="V123" s="9" t="n">
        <x:f>(Inputs!$I$8+(((A123)+1)/2)*(Inputs!$J$8-Inputs!$I$8))</x:f>
        <x:v>6.399999999999977</x:v>
      </x:c>
      <x:c r="W123" s="9" t="n">
        <x:f>(Inputs!$I$9+(((A123)+1)/2)*(Inputs!$J$9-Inputs!$I$9))</x:f>
        <x:v>6.399999999999977</x:v>
      </x:c>
      <x:c r="X123" s="10"/>
      <x:c r="Y123" s="9">
        <x:f t="shared" si="12"/>
        <x:v>8.0000000000000002E-3</x:v>
      </x:c>
      <x:c r="Z123" s="9" t="n">
        <x:f>(Inputs!$H$6+Inputs!$L$6*(((Inputs!$I$6+(((A123)+1)/2)*(Inputs!$J$6-Inputs!$I$6)))/Inputs!$K$6)^2)</x:f>
        <x:v>400.000256</x:v>
      </x:c>
      <x:c r="AA123" s="9" t="n">
        <x:f>(Inputs!$H$7+Inputs!$L$7*(((Inputs!$I$7+(((A123)+1)/2)*(Inputs!$J$7-Inputs!$I$7)))/Inputs!$K$7)^2)</x:f>
        <x:v>35.02336</x:v>
      </x:c>
      <x:c r="AB123" s="9" t="n">
        <x:f>(Inputs!$H$8+Inputs!$L$8*(((Inputs!$I$8+(((A123)+1)/2)*(Inputs!$J$8-Inputs!$I$8)))/Inputs!$K$8)^2)</x:f>
        <x:v>35.06176</x:v>
      </x:c>
      <x:c r="AC123" s="9" t="n">
        <x:f>(Inputs!$H$9+Inputs!$L$9*(((Inputs!$I$9+(((A123)+1)/2)*(Inputs!$J$9-Inputs!$I$9)))/Inputs!$K$9)^2)</x:f>
        <x:v>25.0624</x:v>
      </x:c>
      <x:c r="AD123" s="10"/>
      <x:c r="AE123" s="9">
        <x:f t="shared" si="13"/>
        <x:v>8.0000000000000002E-3</x:v>
      </x:c>
      <x:c r="AF123" s="9"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9"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9"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9"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10"/>
      <x:c r="AK123" s="9">
        <x:f t="shared" si="14"/>
        <x:v>8.0000000000000002E-3</x:v>
      </x:c>
      <x:c r="AL123" s="9"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9"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9"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9"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10"/>
      <x:c r="AQ123" s="9">
        <x:f t="shared" si="15"/>
        <x:v>8.0000000000000002E-3</x:v>
      </x:c>
      <x:c r="AR123" s="9" t="n">
        <x:f>0</x:f>
        <x:v>0</x:v>
      </x:c>
      <x:c r="AS123" s="9"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x:f>
        <x:v>499.43305943798936</x:v>
      </x:c>
      <x:c r="AT123" s="9"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x:f>
        <x:v>564.2968596111261</x:v>
      </x:c>
      <x:c r="AU123" s="9"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x:f>
        <x:v>524.3012795272867</x:v>
      </x:c>
      <x:c r="AV123" s="9"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x:f>
        <x:v>524.3012795272867</x:v>
      </x:c>
      <x:c r="AW123" s="10"/>
      <x:c r="AX123" s="9">
        <x:f t="shared" si="16"/>
        <x:v>8.0000000000000002E-3</x:v>
      </x:c>
      <x:c r="AY123" s="9" t="n">
        <x:f>0</x:f>
        <x:v>0</x:v>
      </x:c>
      <x:c r="AZ123" s="9" t="n">
        <x:f>IF(OR(Inputs!$F$6=TRUE,Inputs!$F$6="TRUE",Inputs!$F$6=1),(Inputs!$H$6+Inputs!$L$6*(((Inputs!$I$6+(((A123)+1)/2)*(Inputs!$J$6-Inputs!$I$6)))/Inputs!$K$6)^2),NA())</x:f>
        <x:v>400.000256</x:v>
      </x:c>
      <x:c r="BA123" s="9" t="n">
        <x:f>IF(OR(Inputs!$F$7=TRUE,Inputs!$F$7="TRUE",Inputs!$F$7=1),(Inputs!$H$7+Inputs!$L$7*(((Inputs!$I$7+(((A123)+1)/2)*(Inputs!$J$7-Inputs!$I$7)))/Inputs!$K$7)^2),NA())</x:f>
        <x:v>35.02336</x:v>
      </x:c>
      <x:c r="BB123" s="9" t="n">
        <x:f>IF(OR(Inputs!$F$8=TRUE,Inputs!$F$8="TRUE",Inputs!$F$8=1),(Inputs!$H$8+Inputs!$L$8*(((Inputs!$I$8+(((A123)+1)/2)*(Inputs!$J$8-Inputs!$I$8)))/Inputs!$K$8)^2),NA())</x:f>
        <x:v>35.06176</x:v>
      </x:c>
      <x:c r="BC123" s="9" t="n">
        <x:f>IF(OR(Inputs!$F$9=TRUE,Inputs!$F$9="TRUE",Inputs!$F$9=1),(Inputs!$H$9+Inputs!$L$9*(((Inputs!$I$9+(((A123)+1)/2)*(Inputs!$J$9-Inputs!$I$9)))/Inputs!$K$9)^2),NA())</x:f>
        <x:v>25.0624</x:v>
      </x:c>
      <x:c r="BD123" s="10"/>
      <x:c r="BE123" s="9">
        <x:f t="shared" si="17"/>
        <x:v>8.0000000000000002E-3</x:v>
      </x:c>
      <x:c r="BF123" s="9" t="n">
        <x:f>0</x:f>
        <x:v>0</x:v>
      </x:c>
      <x:c r="BG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9" t="n">
        <x:f>ROUND(-1+122*2/240,3)</x:f>
        <x:v>0.017</x:v>
      </x:c>
      <x:c r="B124" s="9" t="n">
        <x:f>IF(OR(Inputs!$F$6=TRUE,Inputs!$F$6="TRUE",Inputs!$F$6=1),(Inputs!$H$6+Inputs!$L$6*(((Inputs!$I$6+(((A124)+1)/2)*(Inputs!$J$6-Inputs!$I$6)))/Inputs!$K$6)^2),NA())</x:f>
        <x:v>400.001156</x:v>
      </x:c>
      <x:c r="C124" s="9" t="n">
        <x:f>IF(OR(Inputs!$F$7=TRUE,Inputs!$F$7="TRUE",Inputs!$F$7=1),(Inputs!$H$7+Inputs!$L$7*(((Inputs!$I$7+(((A124)+1)/2)*(Inputs!$J$7-Inputs!$I$7)))/Inputs!$K$7)^2),NA())</x:f>
        <x:v>35.105485</x:v>
      </x:c>
      <x:c r="D124" s="9" t="n">
        <x:f>IF(OR(Inputs!$F$8=TRUE,Inputs!$F$8="TRUE",Inputs!$F$8=1),(Inputs!$H$8+Inputs!$L$8*(((Inputs!$I$8+(((A124)+1)/2)*(Inputs!$J$8-Inputs!$I$8)))/Inputs!$K$8)^2),NA())</x:f>
        <x:v>35.278884999999995</x:v>
      </x:c>
      <x:c r="E124" s="9" t="n">
        <x:f>IF(OR(Inputs!$F$9=TRUE,Inputs!$F$9="TRUE",Inputs!$F$9=1),(Inputs!$H$9+Inputs!$L$9*(((Inputs!$I$9+(((A124)+1)/2)*(Inputs!$J$9-Inputs!$I$9)))/Inputs!$K$9)^2),NA())</x:f>
        <x:v>25.281774999999996</x:v>
      </x:c>
      <x:c r="F124" s="10"/>
      <x:c r="G124" s="9">
        <x:f t="shared" si="9"/>
        <x:v>1.7000000000000001E-2</x:v>
      </x:c>
      <x:c r="H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10"/>
      <x:c r="M124" s="9">
        <x:f t="shared" si="10"/>
        <x:v>1.7000000000000001E-2</x:v>
      </x:c>
      <x:c r="N124" s="9"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9"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9"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9"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10"/>
      <x:c r="S124" s="9">
        <x:f t="shared" si="11"/>
        <x:v>1.7000000000000001E-2</x:v>
      </x:c>
      <x:c r="T124" s="9" t="n">
        <x:f>(Inputs!$I$6+(((A124)+1)/2)*(Inputs!$J$6-Inputs!$I$6))</x:f>
        <x:v>1.019999999999996</x:v>
      </x:c>
      <x:c r="U124" s="9" t="n">
        <x:f>(Inputs!$I$7+(((A124)+1)/2)*(Inputs!$J$7-Inputs!$I$7))</x:f>
        <x:v>6.7999999999999545</x:v>
      </x:c>
      <x:c r="V124" s="9" t="n">
        <x:f>(Inputs!$I$8+(((A124)+1)/2)*(Inputs!$J$8-Inputs!$I$8))</x:f>
        <x:v>13.599999999999909</x:v>
      </x:c>
      <x:c r="W124" s="9" t="n">
        <x:f>(Inputs!$I$9+(((A124)+1)/2)*(Inputs!$J$9-Inputs!$I$9))</x:f>
        <x:v>13.599999999999909</x:v>
      </x:c>
      <x:c r="X124" s="10"/>
      <x:c r="Y124" s="9">
        <x:f t="shared" si="12"/>
        <x:v>1.7000000000000001E-2</x:v>
      </x:c>
      <x:c r="Z124" s="9" t="n">
        <x:f>(Inputs!$H$6+Inputs!$L$6*(((Inputs!$I$6+(((A124)+1)/2)*(Inputs!$J$6-Inputs!$I$6)))/Inputs!$K$6)^2)</x:f>
        <x:v>400.001156</x:v>
      </x:c>
      <x:c r="AA124" s="9" t="n">
        <x:f>(Inputs!$H$7+Inputs!$L$7*(((Inputs!$I$7+(((A124)+1)/2)*(Inputs!$J$7-Inputs!$I$7)))/Inputs!$K$7)^2)</x:f>
        <x:v>35.105485</x:v>
      </x:c>
      <x:c r="AB124" s="9" t="n">
        <x:f>(Inputs!$H$8+Inputs!$L$8*(((Inputs!$I$8+(((A124)+1)/2)*(Inputs!$J$8-Inputs!$I$8)))/Inputs!$K$8)^2)</x:f>
        <x:v>35.278884999999995</x:v>
      </x:c>
      <x:c r="AC124" s="9" t="n">
        <x:f>(Inputs!$H$9+Inputs!$L$9*(((Inputs!$I$9+(((A124)+1)/2)*(Inputs!$J$9-Inputs!$I$9)))/Inputs!$K$9)^2)</x:f>
        <x:v>25.281774999999996</x:v>
      </x:c>
      <x:c r="AD124" s="10"/>
      <x:c r="AE124" s="9">
        <x:f t="shared" si="13"/>
        <x:v>1.7000000000000001E-2</x:v>
      </x:c>
      <x:c r="AF124" s="9"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9"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9"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9"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10"/>
      <x:c r="AK124" s="9">
        <x:f t="shared" si="14"/>
        <x:v>1.7000000000000001E-2</x:v>
      </x:c>
      <x:c r="AL124" s="9"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9"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9"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9"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10"/>
      <x:c r="AQ124" s="9">
        <x:f t="shared" si="15"/>
        <x:v>1.7000000000000001E-2</x:v>
      </x:c>
      <x:c r="AR124" s="9" t="n">
        <x:f>0</x:f>
        <x:v>0</x:v>
      </x:c>
      <x:c r="AS124" s="9"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x:f>
        <x:v>518.1442166274645</x:v>
      </x:c>
      <x:c r="AT124" s="9"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x:f>
        <x:v>513.0680700455532</x:v>
      </x:c>
      <x:c r="AU124" s="9"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x:f>
        <x:v>410.3964974897564</x:v>
      </x:c>
      <x:c r="AV124" s="9"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x:f>
        <x:v>410.3964974897564</x:v>
      </x:c>
      <x:c r="AW124" s="10"/>
      <x:c r="AX124" s="9">
        <x:f t="shared" si="16"/>
        <x:v>1.7000000000000001E-2</x:v>
      </x:c>
      <x:c r="AY124" s="9" t="n">
        <x:f>0</x:f>
        <x:v>0</x:v>
      </x:c>
      <x:c r="AZ124" s="9" t="n">
        <x:f>IF(OR(Inputs!$F$6=TRUE,Inputs!$F$6="TRUE",Inputs!$F$6=1),(Inputs!$H$6+Inputs!$L$6*(((Inputs!$I$6+(((A124)+1)/2)*(Inputs!$J$6-Inputs!$I$6)))/Inputs!$K$6)^2),NA())</x:f>
        <x:v>400.001156</x:v>
      </x:c>
      <x:c r="BA124" s="9" t="n">
        <x:f>IF(OR(Inputs!$F$7=TRUE,Inputs!$F$7="TRUE",Inputs!$F$7=1),(Inputs!$H$7+Inputs!$L$7*(((Inputs!$I$7+(((A124)+1)/2)*(Inputs!$J$7-Inputs!$I$7)))/Inputs!$K$7)^2),NA())</x:f>
        <x:v>35.105485</x:v>
      </x:c>
      <x:c r="BB124" s="9" t="n">
        <x:f>IF(OR(Inputs!$F$8=TRUE,Inputs!$F$8="TRUE",Inputs!$F$8=1),(Inputs!$H$8+Inputs!$L$8*(((Inputs!$I$8+(((A124)+1)/2)*(Inputs!$J$8-Inputs!$I$8)))/Inputs!$K$8)^2),NA())</x:f>
        <x:v>35.278884999999995</x:v>
      </x:c>
      <x:c r="BC124" s="9" t="n">
        <x:f>IF(OR(Inputs!$F$9=TRUE,Inputs!$F$9="TRUE",Inputs!$F$9=1),(Inputs!$H$9+Inputs!$L$9*(((Inputs!$I$9+(((A124)+1)/2)*(Inputs!$J$9-Inputs!$I$9)))/Inputs!$K$9)^2),NA())</x:f>
        <x:v>25.281774999999996</x:v>
      </x:c>
      <x:c r="BD124" s="10"/>
      <x:c r="BE124" s="9">
        <x:f t="shared" si="17"/>
        <x:v>1.7000000000000001E-2</x:v>
      </x:c>
      <x:c r="BF124" s="9" t="n">
        <x:f>0</x:f>
        <x:v>0</x:v>
      </x:c>
      <x:c r="BG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9" t="n">
        <x:f>ROUND(-1+123*2/240,3)</x:f>
        <x:v>0.025</x:v>
      </x:c>
      <x:c r="B125" s="9" t="n">
        <x:f>IF(OR(Inputs!$F$6=TRUE,Inputs!$F$6="TRUE",Inputs!$F$6=1),(Inputs!$H$6+Inputs!$L$6*(((Inputs!$I$6+(((A125)+1)/2)*(Inputs!$J$6-Inputs!$I$6)))/Inputs!$K$6)^2),NA())</x:f>
        <x:v>400.0025</x:v>
      </x:c>
      <x:c r="C125" s="9" t="n">
        <x:f>IF(OR(Inputs!$F$7=TRUE,Inputs!$F$7="TRUE",Inputs!$F$7=1),(Inputs!$H$7+Inputs!$L$7*(((Inputs!$I$7+(((A125)+1)/2)*(Inputs!$J$7-Inputs!$I$7)))/Inputs!$K$7)^2),NA())</x:f>
        <x:v>35.228125</x:v>
      </x:c>
      <x:c r="D125" s="9" t="n">
        <x:f>IF(OR(Inputs!$F$8=TRUE,Inputs!$F$8="TRUE",Inputs!$F$8=1),(Inputs!$H$8+Inputs!$L$8*(((Inputs!$I$8+(((A125)+1)/2)*(Inputs!$J$8-Inputs!$I$8)))/Inputs!$K$8)^2),NA())</x:f>
        <x:v>35.60312499999999</x:v>
      </x:c>
      <x:c r="E125" s="9" t="n">
        <x:f>IF(OR(Inputs!$F$9=TRUE,Inputs!$F$9="TRUE",Inputs!$F$9=1),(Inputs!$H$9+Inputs!$L$9*(((Inputs!$I$9+(((A125)+1)/2)*(Inputs!$J$9-Inputs!$I$9)))/Inputs!$K$9)^2),NA())</x:f>
        <x:v>25.609374999999993</x:v>
      </x:c>
      <x:c r="F125" s="10"/>
      <x:c r="G125" s="9">
        <x:f t="shared" si="9"/>
        <x:v>2.5000000000000001E-2</x:v>
      </x:c>
      <x:c r="H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10"/>
      <x:c r="M125" s="9">
        <x:f t="shared" si="10"/>
        <x:v>2.5000000000000001E-2</x:v>
      </x:c>
      <x:c r="N125" s="9"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9"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9"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9"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10"/>
      <x:c r="S125" s="9">
        <x:f t="shared" si="11"/>
        <x:v>2.5000000000000001E-2</x:v>
      </x:c>
      <x:c r="T125" s="9" t="n">
        <x:f>(Inputs!$I$6+(((A125)+1)/2)*(Inputs!$J$6-Inputs!$I$6))</x:f>
        <x:v>1.499999999999993</x:v>
      </x:c>
      <x:c r="U125" s="9" t="n">
        <x:f>(Inputs!$I$7+(((A125)+1)/2)*(Inputs!$J$7-Inputs!$I$7))</x:f>
        <x:v>9.999999999999943</x:v>
      </x:c>
      <x:c r="V125" s="9" t="n">
        <x:f>(Inputs!$I$8+(((A125)+1)/2)*(Inputs!$J$8-Inputs!$I$8))</x:f>
        <x:v>19.999999999999886</x:v>
      </x:c>
      <x:c r="W125" s="9" t="n">
        <x:f>(Inputs!$I$9+(((A125)+1)/2)*(Inputs!$J$9-Inputs!$I$9))</x:f>
        <x:v>19.999999999999886</x:v>
      </x:c>
      <x:c r="X125" s="10"/>
      <x:c r="Y125" s="9">
        <x:f t="shared" si="12"/>
        <x:v>2.5000000000000001E-2</x:v>
      </x:c>
      <x:c r="Z125" s="9" t="n">
        <x:f>(Inputs!$H$6+Inputs!$L$6*(((Inputs!$I$6+(((A125)+1)/2)*(Inputs!$J$6-Inputs!$I$6)))/Inputs!$K$6)^2)</x:f>
        <x:v>400.0025</x:v>
      </x:c>
      <x:c r="AA125" s="9" t="n">
        <x:f>(Inputs!$H$7+Inputs!$L$7*(((Inputs!$I$7+(((A125)+1)/2)*(Inputs!$J$7-Inputs!$I$7)))/Inputs!$K$7)^2)</x:f>
        <x:v>35.228125</x:v>
      </x:c>
      <x:c r="AB125" s="9" t="n">
        <x:f>(Inputs!$H$8+Inputs!$L$8*(((Inputs!$I$8+(((A125)+1)/2)*(Inputs!$J$8-Inputs!$I$8)))/Inputs!$K$8)^2)</x:f>
        <x:v>35.60312499999999</x:v>
      </x:c>
      <x:c r="AC125" s="9" t="n">
        <x:f>(Inputs!$H$9+Inputs!$L$9*(((Inputs!$I$9+(((A125)+1)/2)*(Inputs!$J$9-Inputs!$I$9)))/Inputs!$K$9)^2)</x:f>
        <x:v>25.609374999999993</x:v>
      </x:c>
      <x:c r="AD125" s="10"/>
      <x:c r="AE125" s="9">
        <x:f t="shared" si="13"/>
        <x:v>2.5000000000000001E-2</x:v>
      </x:c>
      <x:c r="AF125" s="9"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9"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9"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9"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10"/>
      <x:c r="AK125" s="9">
        <x:f t="shared" si="14"/>
        <x:v>2.5000000000000001E-2</x:v>
      </x:c>
      <x:c r="AL125" s="9"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9"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9"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9"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10"/>
      <x:c r="AQ125" s="9">
        <x:f t="shared" si="15"/>
        <x:v>2.5000000000000001E-2</x:v>
      </x:c>
      <x:c r="AR125" s="9" t="n">
        <x:f>0</x:f>
        <x:v>0</x:v>
      </x:c>
      <x:c r="AS125" s="9"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x:f>
        <x:v>516.8641153033108</x:v>
      </x:c>
      <x:c r="AT125" s="9"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x:f>
        <x:v>454.2022002382883</x:v>
      </x:c>
      <x:c r="AU125" s="9"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x:f>
        <x:v>439.0113030424429</x:v>
      </x:c>
      <x:c r="AV125" s="9"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x:f>
        <x:v>439.0113030424429</x:v>
      </x:c>
      <x:c r="AW125" s="10"/>
      <x:c r="AX125" s="9">
        <x:f t="shared" si="16"/>
        <x:v>2.5000000000000001E-2</x:v>
      </x:c>
      <x:c r="AY125" s="9" t="n">
        <x:f>0</x:f>
        <x:v>0</x:v>
      </x:c>
      <x:c r="AZ125" s="9" t="n">
        <x:f>IF(OR(Inputs!$F$6=TRUE,Inputs!$F$6="TRUE",Inputs!$F$6=1),(Inputs!$H$6+Inputs!$L$6*(((Inputs!$I$6+(((A125)+1)/2)*(Inputs!$J$6-Inputs!$I$6)))/Inputs!$K$6)^2),NA())</x:f>
        <x:v>400.0025</x:v>
      </x:c>
      <x:c r="BA125" s="9" t="n">
        <x:f>IF(OR(Inputs!$F$7=TRUE,Inputs!$F$7="TRUE",Inputs!$F$7=1),(Inputs!$H$7+Inputs!$L$7*(((Inputs!$I$7+(((A125)+1)/2)*(Inputs!$J$7-Inputs!$I$7)))/Inputs!$K$7)^2),NA())</x:f>
        <x:v>35.228125</x:v>
      </x:c>
      <x:c r="BB125" s="9" t="n">
        <x:f>IF(OR(Inputs!$F$8=TRUE,Inputs!$F$8="TRUE",Inputs!$F$8=1),(Inputs!$H$8+Inputs!$L$8*(((Inputs!$I$8+(((A125)+1)/2)*(Inputs!$J$8-Inputs!$I$8)))/Inputs!$K$8)^2),NA())</x:f>
        <x:v>35.60312499999999</x:v>
      </x:c>
      <x:c r="BC125" s="9" t="n">
        <x:f>IF(OR(Inputs!$F$9=TRUE,Inputs!$F$9="TRUE",Inputs!$F$9=1),(Inputs!$H$9+Inputs!$L$9*(((Inputs!$I$9+(((A125)+1)/2)*(Inputs!$J$9-Inputs!$I$9)))/Inputs!$K$9)^2),NA())</x:f>
        <x:v>25.609374999999993</x:v>
      </x:c>
      <x:c r="BD125" s="10"/>
      <x:c r="BE125" s="9">
        <x:f t="shared" si="17"/>
        <x:v>2.5000000000000001E-2</x:v>
      </x:c>
      <x:c r="BF125" s="9" t="n">
        <x:f>0</x:f>
        <x:v>0</x:v>
      </x:c>
      <x:c r="BG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9" t="n">
        <x:f>ROUND(-1+124*2/240,3)</x:f>
        <x:v>0.033</x:v>
      </x:c>
      <x:c r="B126" s="9" t="n">
        <x:f>IF(OR(Inputs!$F$6=TRUE,Inputs!$F$6="TRUE",Inputs!$F$6=1),(Inputs!$H$6+Inputs!$L$6*(((Inputs!$I$6+(((A126)+1)/2)*(Inputs!$J$6-Inputs!$I$6)))/Inputs!$K$6)^2),NA())</x:f>
        <x:v>400.004356</x:v>
      </x:c>
      <x:c r="C126" s="9" t="n">
        <x:f>IF(OR(Inputs!$F$7=TRUE,Inputs!$F$7="TRUE",Inputs!$F$7=1),(Inputs!$H$7+Inputs!$L$7*(((Inputs!$I$7+(((A126)+1)/2)*(Inputs!$J$7-Inputs!$I$7)))/Inputs!$K$7)^2),NA())</x:f>
        <x:v>35.397484999999996</x:v>
      </x:c>
      <x:c r="D126" s="9" t="n">
        <x:f>IF(OR(Inputs!$F$8=TRUE,Inputs!$F$8="TRUE",Inputs!$F$8=1),(Inputs!$H$8+Inputs!$L$8*(((Inputs!$I$8+(((A126)+1)/2)*(Inputs!$J$8-Inputs!$I$8)))/Inputs!$K$8)^2),NA())</x:f>
        <x:v>36.050885</x:v>
      </x:c>
      <x:c r="E126" s="9" t="n">
        <x:f>IF(OR(Inputs!$F$9=TRUE,Inputs!$F$9="TRUE",Inputs!$F$9=1),(Inputs!$H$9+Inputs!$L$9*(((Inputs!$I$9+(((A126)+1)/2)*(Inputs!$J$9-Inputs!$I$9)))/Inputs!$K$9)^2),NA())</x:f>
        <x:v>26.061774999999997</x:v>
      </x:c>
      <x:c r="F126" s="10"/>
      <x:c r="G126" s="9">
        <x:f t="shared" si="9"/>
        <x:v>3.3000000000000002E-2</x:v>
      </x:c>
      <x:c r="H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10"/>
      <x:c r="M126" s="9">
        <x:f t="shared" si="10"/>
        <x:v>3.3000000000000002E-2</x:v>
      </x:c>
      <x:c r="N126" s="9"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9"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9"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9"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10"/>
      <x:c r="S126" s="9">
        <x:f t="shared" si="11"/>
        <x:v>3.3000000000000002E-2</x:v>
      </x:c>
      <x:c r="T126" s="9" t="n">
        <x:f>(Inputs!$I$6+(((A126)+1)/2)*(Inputs!$J$6-Inputs!$I$6))</x:f>
        <x:v>1.9799999999999969</x:v>
      </x:c>
      <x:c r="U126" s="9" t="n">
        <x:f>(Inputs!$I$7+(((A126)+1)/2)*(Inputs!$J$7-Inputs!$I$7))</x:f>
        <x:v>13.199999999999989</x:v>
      </x:c>
      <x:c r="V126" s="9" t="n">
        <x:f>(Inputs!$I$8+(((A126)+1)/2)*(Inputs!$J$8-Inputs!$I$8))</x:f>
        <x:v>26.399999999999977</x:v>
      </x:c>
      <x:c r="W126" s="9" t="n">
        <x:f>(Inputs!$I$9+(((A126)+1)/2)*(Inputs!$J$9-Inputs!$I$9))</x:f>
        <x:v>26.399999999999977</x:v>
      </x:c>
      <x:c r="X126" s="10"/>
      <x:c r="Y126" s="9">
        <x:f t="shared" si="12"/>
        <x:v>3.3000000000000002E-2</x:v>
      </x:c>
      <x:c r="Z126" s="9" t="n">
        <x:f>(Inputs!$H$6+Inputs!$L$6*(((Inputs!$I$6+(((A126)+1)/2)*(Inputs!$J$6-Inputs!$I$6)))/Inputs!$K$6)^2)</x:f>
        <x:v>400.004356</x:v>
      </x:c>
      <x:c r="AA126" s="9" t="n">
        <x:f>(Inputs!$H$7+Inputs!$L$7*(((Inputs!$I$7+(((A126)+1)/2)*(Inputs!$J$7-Inputs!$I$7)))/Inputs!$K$7)^2)</x:f>
        <x:v>35.397484999999996</x:v>
      </x:c>
      <x:c r="AB126" s="9" t="n">
        <x:f>(Inputs!$H$8+Inputs!$L$8*(((Inputs!$I$8+(((A126)+1)/2)*(Inputs!$J$8-Inputs!$I$8)))/Inputs!$K$8)^2)</x:f>
        <x:v>36.050885</x:v>
      </x:c>
      <x:c r="AC126" s="9" t="n">
        <x:f>(Inputs!$H$9+Inputs!$L$9*(((Inputs!$I$9+(((A126)+1)/2)*(Inputs!$J$9-Inputs!$I$9)))/Inputs!$K$9)^2)</x:f>
        <x:v>26.061774999999997</x:v>
      </x:c>
      <x:c r="AD126" s="10"/>
      <x:c r="AE126" s="9">
        <x:f t="shared" si="13"/>
        <x:v>3.3000000000000002E-2</x:v>
      </x:c>
      <x:c r="AF126" s="9"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9"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9"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9"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10"/>
      <x:c r="AK126" s="9">
        <x:f t="shared" si="14"/>
        <x:v>3.3000000000000002E-2</x:v>
      </x:c>
      <x:c r="AL126" s="9"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9"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9"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9"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10"/>
      <x:c r="AQ126" s="9">
        <x:f t="shared" si="15"/>
        <x:v>3.3000000000000002E-2</x:v>
      </x:c>
      <x:c r="AR126" s="9" t="n">
        <x:f>0</x:f>
        <x:v>0</x:v>
      </x:c>
      <x:c r="AS126" s="9"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x:f>
        <x:v>536.4523628822142</x:v>
      </x:c>
      <x:c r="AT126" s="9"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x:f>
        <x:v>421.8777926838005</x:v>
      </x:c>
      <x:c r="AU126" s="9"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x:f>
        <x:v>365.9972555407221</x:v>
      </x:c>
      <x:c r="AV126" s="9"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x:f>
        <x:v>365.9972555407221</x:v>
      </x:c>
      <x:c r="AW126" s="10"/>
      <x:c r="AX126" s="9">
        <x:f t="shared" si="16"/>
        <x:v>3.3000000000000002E-2</x:v>
      </x:c>
      <x:c r="AY126" s="9" t="n">
        <x:f>0</x:f>
        <x:v>0</x:v>
      </x:c>
      <x:c r="AZ126" s="9" t="n">
        <x:f>IF(OR(Inputs!$F$6=TRUE,Inputs!$F$6="TRUE",Inputs!$F$6=1),(Inputs!$H$6+Inputs!$L$6*(((Inputs!$I$6+(((A126)+1)/2)*(Inputs!$J$6-Inputs!$I$6)))/Inputs!$K$6)^2),NA())</x:f>
        <x:v>400.004356</x:v>
      </x:c>
      <x:c r="BA126" s="9" t="n">
        <x:f>IF(OR(Inputs!$F$7=TRUE,Inputs!$F$7="TRUE",Inputs!$F$7=1),(Inputs!$H$7+Inputs!$L$7*(((Inputs!$I$7+(((A126)+1)/2)*(Inputs!$J$7-Inputs!$I$7)))/Inputs!$K$7)^2),NA())</x:f>
        <x:v>35.397484999999996</x:v>
      </x:c>
      <x:c r="BB126" s="9" t="n">
        <x:f>IF(OR(Inputs!$F$8=TRUE,Inputs!$F$8="TRUE",Inputs!$F$8=1),(Inputs!$H$8+Inputs!$L$8*(((Inputs!$I$8+(((A126)+1)/2)*(Inputs!$J$8-Inputs!$I$8)))/Inputs!$K$8)^2),NA())</x:f>
        <x:v>36.050885</x:v>
      </x:c>
      <x:c r="BC126" s="9" t="n">
        <x:f>IF(OR(Inputs!$F$9=TRUE,Inputs!$F$9="TRUE",Inputs!$F$9=1),(Inputs!$H$9+Inputs!$L$9*(((Inputs!$I$9+(((A126)+1)/2)*(Inputs!$J$9-Inputs!$I$9)))/Inputs!$K$9)^2),NA())</x:f>
        <x:v>26.061774999999997</x:v>
      </x:c>
      <x:c r="BD126" s="10"/>
      <x:c r="BE126" s="9">
        <x:f t="shared" si="17"/>
        <x:v>3.3000000000000002E-2</x:v>
      </x:c>
      <x:c r="BF126" s="9" t="n">
        <x:f>0</x:f>
        <x:v>0</x:v>
      </x:c>
      <x:c r="BG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9" t="n">
        <x:f>ROUND(-1+125*2/240,3)</x:f>
        <x:v>0.042</x:v>
      </x:c>
      <x:c r="B127" s="9" t="n">
        <x:f>IF(OR(Inputs!$F$6=TRUE,Inputs!$F$6="TRUE",Inputs!$F$6=1),(Inputs!$H$6+Inputs!$L$6*(((Inputs!$I$6+(((A127)+1)/2)*(Inputs!$J$6-Inputs!$I$6)))/Inputs!$K$6)^2),NA())</x:f>
        <x:v>400.007056</x:v>
      </x:c>
      <x:c r="C127" s="9" t="n">
        <x:f>IF(OR(Inputs!$F$7=TRUE,Inputs!$F$7="TRUE",Inputs!$F$7=1),(Inputs!$H$7+Inputs!$L$7*(((Inputs!$I$7+(((A127)+1)/2)*(Inputs!$J$7-Inputs!$I$7)))/Inputs!$K$7)^2),NA())</x:f>
        <x:v>35.643860000000004</x:v>
      </x:c>
      <x:c r="D127" s="9" t="n">
        <x:f>IF(OR(Inputs!$F$8=TRUE,Inputs!$F$8="TRUE",Inputs!$F$8=1),(Inputs!$H$8+Inputs!$L$8*(((Inputs!$I$8+(((A127)+1)/2)*(Inputs!$J$8-Inputs!$I$8)))/Inputs!$K$8)^2),NA())</x:f>
        <x:v>36.70226</x:v>
      </x:c>
      <x:c r="E127" s="9" t="n">
        <x:f>IF(OR(Inputs!$F$9=TRUE,Inputs!$F$9="TRUE",Inputs!$F$9=1),(Inputs!$H$9+Inputs!$L$9*(((Inputs!$I$9+(((A127)+1)/2)*(Inputs!$J$9-Inputs!$I$9)))/Inputs!$K$9)^2),NA())</x:f>
        <x:v>26.719900000000003</x:v>
      </x:c>
      <x:c r="F127" s="10"/>
      <x:c r="G127" s="9">
        <x:f t="shared" si="9"/>
        <x:v>4.2000000000000003E-2</x:v>
      </x:c>
      <x:c r="H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10"/>
      <x:c r="M127" s="9">
        <x:f t="shared" si="10"/>
        <x:v>4.2000000000000003E-2</x:v>
      </x:c>
      <x:c r="N127" s="9"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9"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9"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9"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10"/>
      <x:c r="S127" s="9">
        <x:f t="shared" si="11"/>
        <x:v>4.2000000000000003E-2</x:v>
      </x:c>
      <x:c r="T127" s="9" t="n">
        <x:f>(Inputs!$I$6+(((A127)+1)/2)*(Inputs!$J$6-Inputs!$I$6))</x:f>
        <x:v>2.520000000000003</x:v>
      </x:c>
      <x:c r="U127" s="9" t="n">
        <x:f>(Inputs!$I$7+(((A127)+1)/2)*(Inputs!$J$7-Inputs!$I$7))</x:f>
        <x:v>16.80000000000001</x:v>
      </x:c>
      <x:c r="V127" s="9" t="n">
        <x:f>(Inputs!$I$8+(((A127)+1)/2)*(Inputs!$J$8-Inputs!$I$8))</x:f>
        <x:v>33.60000000000002</x:v>
      </x:c>
      <x:c r="W127" s="9" t="n">
        <x:f>(Inputs!$I$9+(((A127)+1)/2)*(Inputs!$J$9-Inputs!$I$9))</x:f>
        <x:v>33.60000000000002</x:v>
      </x:c>
      <x:c r="X127" s="10"/>
      <x:c r="Y127" s="9">
        <x:f t="shared" si="12"/>
        <x:v>4.2000000000000003E-2</x:v>
      </x:c>
      <x:c r="Z127" s="9" t="n">
        <x:f>(Inputs!$H$6+Inputs!$L$6*(((Inputs!$I$6+(((A127)+1)/2)*(Inputs!$J$6-Inputs!$I$6)))/Inputs!$K$6)^2)</x:f>
        <x:v>400.007056</x:v>
      </x:c>
      <x:c r="AA127" s="9" t="n">
        <x:f>(Inputs!$H$7+Inputs!$L$7*(((Inputs!$I$7+(((A127)+1)/2)*(Inputs!$J$7-Inputs!$I$7)))/Inputs!$K$7)^2)</x:f>
        <x:v>35.643860000000004</x:v>
      </x:c>
      <x:c r="AB127" s="9" t="n">
        <x:f>(Inputs!$H$8+Inputs!$L$8*(((Inputs!$I$8+(((A127)+1)/2)*(Inputs!$J$8-Inputs!$I$8)))/Inputs!$K$8)^2)</x:f>
        <x:v>36.70226</x:v>
      </x:c>
      <x:c r="AC127" s="9" t="n">
        <x:f>(Inputs!$H$9+Inputs!$L$9*(((Inputs!$I$9+(((A127)+1)/2)*(Inputs!$J$9-Inputs!$I$9)))/Inputs!$K$9)^2)</x:f>
        <x:v>26.719900000000003</x:v>
      </x:c>
      <x:c r="AD127" s="10"/>
      <x:c r="AE127" s="9">
        <x:f t="shared" si="13"/>
        <x:v>4.2000000000000003E-2</x:v>
      </x:c>
      <x:c r="AF127" s="9"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9"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9"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9"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10"/>
      <x:c r="AK127" s="9">
        <x:f t="shared" si="14"/>
        <x:v>4.2000000000000003E-2</x:v>
      </x:c>
      <x:c r="AL127" s="9"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9"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9"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9"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10"/>
      <x:c r="AQ127" s="9">
        <x:f t="shared" si="15"/>
        <x:v>4.2000000000000003E-2</x:v>
      </x:c>
      <x:c r="AR127" s="9" t="n">
        <x:f>0</x:f>
        <x:v>0</x:v>
      </x:c>
      <x:c r="AS127" s="9"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x:f>
        <x:v>542.862557774308</x:v>
      </x:c>
      <x:c r="AT127" s="9"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x:f>
        <x:v>410.09984776073264</x:v>
      </x:c>
      <x:c r="AU127" s="9"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x:f>
        <x:v>223.29130278797018</x:v>
      </x:c>
      <x:c r="AV127" s="9"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x:f>
        <x:v>223.29130278797018</x:v>
      </x:c>
      <x:c r="AW127" s="10"/>
      <x:c r="AX127" s="9">
        <x:f t="shared" si="16"/>
        <x:v>4.2000000000000003E-2</x:v>
      </x:c>
      <x:c r="AY127" s="9" t="n">
        <x:f>0</x:f>
        <x:v>0</x:v>
      </x:c>
      <x:c r="AZ127" s="9" t="n">
        <x:f>IF(OR(Inputs!$F$6=TRUE,Inputs!$F$6="TRUE",Inputs!$F$6=1),(Inputs!$H$6+Inputs!$L$6*(((Inputs!$I$6+(((A127)+1)/2)*(Inputs!$J$6-Inputs!$I$6)))/Inputs!$K$6)^2),NA())</x:f>
        <x:v>400.007056</x:v>
      </x:c>
      <x:c r="BA127" s="9" t="n">
        <x:f>IF(OR(Inputs!$F$7=TRUE,Inputs!$F$7="TRUE",Inputs!$F$7=1),(Inputs!$H$7+Inputs!$L$7*(((Inputs!$I$7+(((A127)+1)/2)*(Inputs!$J$7-Inputs!$I$7)))/Inputs!$K$7)^2),NA())</x:f>
        <x:v>35.643860000000004</x:v>
      </x:c>
      <x:c r="BB127" s="9" t="n">
        <x:f>IF(OR(Inputs!$F$8=TRUE,Inputs!$F$8="TRUE",Inputs!$F$8=1),(Inputs!$H$8+Inputs!$L$8*(((Inputs!$I$8+(((A127)+1)/2)*(Inputs!$J$8-Inputs!$I$8)))/Inputs!$K$8)^2),NA())</x:f>
        <x:v>36.70226</x:v>
      </x:c>
      <x:c r="BC127" s="9" t="n">
        <x:f>IF(OR(Inputs!$F$9=TRUE,Inputs!$F$9="TRUE",Inputs!$F$9=1),(Inputs!$H$9+Inputs!$L$9*(((Inputs!$I$9+(((A127)+1)/2)*(Inputs!$J$9-Inputs!$I$9)))/Inputs!$K$9)^2),NA())</x:f>
        <x:v>26.719900000000003</x:v>
      </x:c>
      <x:c r="BD127" s="10"/>
      <x:c r="BE127" s="9">
        <x:f t="shared" si="17"/>
        <x:v>4.2000000000000003E-2</x:v>
      </x:c>
      <x:c r="BF127" s="9" t="n">
        <x:f>0</x:f>
        <x:v>0</x:v>
      </x:c>
      <x:c r="BG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9" t="n">
        <x:f>ROUND(-1+126*2/240,3)</x:f>
        <x:v>0.05</x:v>
      </x:c>
      <x:c r="B128" s="9" t="n">
        <x:f>IF(OR(Inputs!$F$6=TRUE,Inputs!$F$6="TRUE",Inputs!$F$6=1),(Inputs!$H$6+Inputs!$L$6*(((Inputs!$I$6+(((A128)+1)/2)*(Inputs!$J$6-Inputs!$I$6)))/Inputs!$K$6)^2),NA())</x:f>
        <x:v>400.01</x:v>
      </x:c>
      <x:c r="C128" s="9" t="n">
        <x:f>IF(OR(Inputs!$F$7=TRUE,Inputs!$F$7="TRUE",Inputs!$F$7=1),(Inputs!$H$7+Inputs!$L$7*(((Inputs!$I$7+(((A128)+1)/2)*(Inputs!$J$7-Inputs!$I$7)))/Inputs!$K$7)^2),NA())</x:f>
        <x:v>35.9125</x:v>
      </x:c>
      <x:c r="D128" s="9" t="n">
        <x:f>IF(OR(Inputs!$F$8=TRUE,Inputs!$F$8="TRUE",Inputs!$F$8=1),(Inputs!$H$8+Inputs!$L$8*(((Inputs!$I$8+(((A128)+1)/2)*(Inputs!$J$8-Inputs!$I$8)))/Inputs!$K$8)^2),NA())</x:f>
        <x:v>37.4125</x:v>
      </x:c>
      <x:c r="E128" s="9" t="n">
        <x:f>IF(OR(Inputs!$F$9=TRUE,Inputs!$F$9="TRUE",Inputs!$F$9=1),(Inputs!$H$9+Inputs!$L$9*(((Inputs!$I$9+(((A128)+1)/2)*(Inputs!$J$9-Inputs!$I$9)))/Inputs!$K$9)^2),NA())</x:f>
        <x:v>27.4375</x:v>
      </x:c>
      <x:c r="F128" s="10"/>
      <x:c r="G128" s="9">
        <x:f t="shared" si="9"/>
        <x:v>0.05</x:v>
      </x:c>
      <x:c r="H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10"/>
      <x:c r="M128" s="9">
        <x:f t="shared" si="10"/>
        <x:v>0.05</x:v>
      </x:c>
      <x:c r="N128" s="9"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9"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9"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9"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10"/>
      <x:c r="S128" s="9">
        <x:f t="shared" si="11"/>
        <x:v>0.05</x:v>
      </x:c>
      <x:c r="T128" s="9" t="n">
        <x:f>(Inputs!$I$6+(((A128)+1)/2)*(Inputs!$J$6-Inputs!$I$6))</x:f>
        <x:v>3</x:v>
      </x:c>
      <x:c r="U128" s="9" t="n">
        <x:f>(Inputs!$I$7+(((A128)+1)/2)*(Inputs!$J$7-Inputs!$I$7))</x:f>
        <x:v>20</x:v>
      </x:c>
      <x:c r="V128" s="9" t="n">
        <x:f>(Inputs!$I$8+(((A128)+1)/2)*(Inputs!$J$8-Inputs!$I$8))</x:f>
        <x:v>40</x:v>
      </x:c>
      <x:c r="W128" s="9" t="n">
        <x:f>(Inputs!$I$9+(((A128)+1)/2)*(Inputs!$J$9-Inputs!$I$9))</x:f>
        <x:v>40</x:v>
      </x:c>
      <x:c r="X128" s="10"/>
      <x:c r="Y128" s="9">
        <x:f t="shared" si="12"/>
        <x:v>0.05</x:v>
      </x:c>
      <x:c r="Z128" s="9" t="n">
        <x:f>(Inputs!$H$6+Inputs!$L$6*(((Inputs!$I$6+(((A128)+1)/2)*(Inputs!$J$6-Inputs!$I$6)))/Inputs!$K$6)^2)</x:f>
        <x:v>400.01</x:v>
      </x:c>
      <x:c r="AA128" s="9" t="n">
        <x:f>(Inputs!$H$7+Inputs!$L$7*(((Inputs!$I$7+(((A128)+1)/2)*(Inputs!$J$7-Inputs!$I$7)))/Inputs!$K$7)^2)</x:f>
        <x:v>35.9125</x:v>
      </x:c>
      <x:c r="AB128" s="9" t="n">
        <x:f>(Inputs!$H$8+Inputs!$L$8*(((Inputs!$I$8+(((A128)+1)/2)*(Inputs!$J$8-Inputs!$I$8)))/Inputs!$K$8)^2)</x:f>
        <x:v>37.4125</x:v>
      </x:c>
      <x:c r="AC128" s="9" t="n">
        <x:f>(Inputs!$H$9+Inputs!$L$9*(((Inputs!$I$9+(((A128)+1)/2)*(Inputs!$J$9-Inputs!$I$9)))/Inputs!$K$9)^2)</x:f>
        <x:v>27.4375</x:v>
      </x:c>
      <x:c r="AD128" s="10"/>
      <x:c r="AE128" s="9">
        <x:f t="shared" si="13"/>
        <x:v>0.05</x:v>
      </x:c>
      <x:c r="AF128" s="9"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9"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9"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9"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10"/>
      <x:c r="AK128" s="9">
        <x:f t="shared" si="14"/>
        <x:v>0.05</x:v>
      </x:c>
      <x:c r="AL128" s="9"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9"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9"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9"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10"/>
      <x:c r="AQ128" s="9">
        <x:f t="shared" si="15"/>
        <x:v>0.05</x:v>
      </x:c>
      <x:c r="AR128" s="9" t="n">
        <x:f>0</x:f>
        <x:v>0</x:v>
      </x:c>
      <x:c r="AS128" s="9"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x:f>
        <x:v>536.8431041026216</x:v>
      </x:c>
      <x:c r="AT128" s="9"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x:f>
        <x:v>439.0113020882822</x:v>
      </x:c>
      <x:c r="AU128" s="9"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x:f>
        <x:v>304.82117281231683</x:v>
      </x:c>
      <x:c r="AV128" s="9"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x:f>
        <x:v>304.82117281231683</x:v>
      </x:c>
      <x:c r="AW128" s="10"/>
      <x:c r="AX128" s="9">
        <x:f t="shared" si="16"/>
        <x:v>0.05</x:v>
      </x:c>
      <x:c r="AY128" s="9" t="n">
        <x:f>0</x:f>
        <x:v>0</x:v>
      </x:c>
      <x:c r="AZ128" s="9" t="n">
        <x:f>IF(OR(Inputs!$F$6=TRUE,Inputs!$F$6="TRUE",Inputs!$F$6=1),(Inputs!$H$6+Inputs!$L$6*(((Inputs!$I$6+(((A128)+1)/2)*(Inputs!$J$6-Inputs!$I$6)))/Inputs!$K$6)^2),NA())</x:f>
        <x:v>400.01</x:v>
      </x:c>
      <x:c r="BA128" s="9" t="n">
        <x:f>IF(OR(Inputs!$F$7=TRUE,Inputs!$F$7="TRUE",Inputs!$F$7=1),(Inputs!$H$7+Inputs!$L$7*(((Inputs!$I$7+(((A128)+1)/2)*(Inputs!$J$7-Inputs!$I$7)))/Inputs!$K$7)^2),NA())</x:f>
        <x:v>35.9125</x:v>
      </x:c>
      <x:c r="BB128" s="9" t="n">
        <x:f>IF(OR(Inputs!$F$8=TRUE,Inputs!$F$8="TRUE",Inputs!$F$8=1),(Inputs!$H$8+Inputs!$L$8*(((Inputs!$I$8+(((A128)+1)/2)*(Inputs!$J$8-Inputs!$I$8)))/Inputs!$K$8)^2),NA())</x:f>
        <x:v>37.4125</x:v>
      </x:c>
      <x:c r="BC128" s="9" t="n">
        <x:f>IF(OR(Inputs!$F$9=TRUE,Inputs!$F$9="TRUE",Inputs!$F$9=1),(Inputs!$H$9+Inputs!$L$9*(((Inputs!$I$9+(((A128)+1)/2)*(Inputs!$J$9-Inputs!$I$9)))/Inputs!$K$9)^2),NA())</x:f>
        <x:v>27.4375</x:v>
      </x:c>
      <x:c r="BD128" s="10"/>
      <x:c r="BE128" s="9">
        <x:f t="shared" si="17"/>
        <x:v>0.05</x:v>
      </x:c>
      <x:c r="BF128" s="9" t="n">
        <x:f>0</x:f>
        <x:v>0</x:v>
      </x:c>
      <x:c r="BG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9" t="n">
        <x:f>ROUND(-1+127*2/240,3)</x:f>
        <x:v>0.058</x:v>
      </x:c>
      <x:c r="B129" s="9" t="n">
        <x:f>IF(OR(Inputs!$F$6=TRUE,Inputs!$F$6="TRUE",Inputs!$F$6=1),(Inputs!$H$6+Inputs!$L$6*(((Inputs!$I$6+(((A129)+1)/2)*(Inputs!$J$6-Inputs!$I$6)))/Inputs!$K$6)^2),NA())</x:f>
        <x:v>400.013456</x:v>
      </x:c>
      <x:c r="C129" s="9" t="n">
        <x:f>IF(OR(Inputs!$F$7=TRUE,Inputs!$F$7="TRUE",Inputs!$F$7=1),(Inputs!$H$7+Inputs!$L$7*(((Inputs!$I$7+(((A129)+1)/2)*(Inputs!$J$7-Inputs!$I$7)))/Inputs!$K$7)^2),NA())</x:f>
        <x:v>36.22786000000001</x:v>
      </x:c>
      <x:c r="D129" s="9" t="n">
        <x:f>IF(OR(Inputs!$F$8=TRUE,Inputs!$F$8="TRUE",Inputs!$F$8=1),(Inputs!$H$8+Inputs!$L$8*(((Inputs!$I$8+(((A129)+1)/2)*(Inputs!$J$8-Inputs!$I$8)))/Inputs!$K$8)^2),NA())</x:f>
        <x:v>38.246260000000014</x:v>
      </x:c>
      <x:c r="E129" s="9" t="n">
        <x:f>IF(OR(Inputs!$F$9=TRUE,Inputs!$F$9="TRUE",Inputs!$F$9=1),(Inputs!$H$9+Inputs!$L$9*(((Inputs!$I$9+(((A129)+1)/2)*(Inputs!$J$9-Inputs!$I$9)))/Inputs!$K$9)^2),NA())</x:f>
        <x:v>28.279900000000012</x:v>
      </x:c>
      <x:c r="F129" s="10"/>
      <x:c r="G129" s="9">
        <x:f t="shared" si="9"/>
        <x:v>5.8000000000000003E-2</x:v>
      </x:c>
      <x:c r="H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10"/>
      <x:c r="M129" s="9">
        <x:f t="shared" si="10"/>
        <x:v>5.8000000000000003E-2</x:v>
      </x:c>
      <x:c r="N129" s="9"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9"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9"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9"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10"/>
      <x:c r="S129" s="9">
        <x:f t="shared" si="11"/>
        <x:v>5.8000000000000003E-2</x:v>
      </x:c>
      <x:c r="T129" s="9" t="n">
        <x:f>(Inputs!$I$6+(((A129)+1)/2)*(Inputs!$J$6-Inputs!$I$6))</x:f>
        <x:v>3.480000000000004</x:v>
      </x:c>
      <x:c r="U129" s="9" t="n">
        <x:f>(Inputs!$I$7+(((A129)+1)/2)*(Inputs!$J$7-Inputs!$I$7))</x:f>
        <x:v>23.200000000000045</x:v>
      </x:c>
      <x:c r="V129" s="9" t="n">
        <x:f>(Inputs!$I$8+(((A129)+1)/2)*(Inputs!$J$8-Inputs!$I$8))</x:f>
        <x:v>46.40000000000009</x:v>
      </x:c>
      <x:c r="W129" s="9" t="n">
        <x:f>(Inputs!$I$9+(((A129)+1)/2)*(Inputs!$J$9-Inputs!$I$9))</x:f>
        <x:v>46.40000000000009</x:v>
      </x:c>
      <x:c r="X129" s="10"/>
      <x:c r="Y129" s="9">
        <x:f t="shared" si="12"/>
        <x:v>5.8000000000000003E-2</x:v>
      </x:c>
      <x:c r="Z129" s="9" t="n">
        <x:f>(Inputs!$H$6+Inputs!$L$6*(((Inputs!$I$6+(((A129)+1)/2)*(Inputs!$J$6-Inputs!$I$6)))/Inputs!$K$6)^2)</x:f>
        <x:v>400.013456</x:v>
      </x:c>
      <x:c r="AA129" s="9" t="n">
        <x:f>(Inputs!$H$7+Inputs!$L$7*(((Inputs!$I$7+(((A129)+1)/2)*(Inputs!$J$7-Inputs!$I$7)))/Inputs!$K$7)^2)</x:f>
        <x:v>36.22786000000001</x:v>
      </x:c>
      <x:c r="AB129" s="9" t="n">
        <x:f>(Inputs!$H$8+Inputs!$L$8*(((Inputs!$I$8+(((A129)+1)/2)*(Inputs!$J$8-Inputs!$I$8)))/Inputs!$K$8)^2)</x:f>
        <x:v>38.246260000000014</x:v>
      </x:c>
      <x:c r="AC129" s="9" t="n">
        <x:f>(Inputs!$H$9+Inputs!$L$9*(((Inputs!$I$9+(((A129)+1)/2)*(Inputs!$J$9-Inputs!$I$9)))/Inputs!$K$9)^2)</x:f>
        <x:v>28.279900000000012</x:v>
      </x:c>
      <x:c r="AD129" s="10"/>
      <x:c r="AE129" s="9">
        <x:f t="shared" si="13"/>
        <x:v>5.8000000000000003E-2</x:v>
      </x:c>
      <x:c r="AF129" s="9"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9"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9"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9"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10"/>
      <x:c r="AK129" s="9">
        <x:f t="shared" si="14"/>
        <x:v>5.8000000000000003E-2</x:v>
      </x:c>
      <x:c r="AL129" s="9"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9"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9"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9"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10"/>
      <x:c r="AQ129" s="9">
        <x:f t="shared" si="15"/>
        <x:v>5.8000000000000003E-2</x:v>
      </x:c>
      <x:c r="AR129" s="9" t="n">
        <x:f>0</x:f>
        <x:v>0</x:v>
      </x:c>
      <x:c r="AS129" s="9"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x:f>
        <x:v>562.3220592919292</x:v>
      </x:c>
      <x:c r="AT129" s="9"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x:f>
        <x:v>439.57677845336235</x:v>
      </x:c>
      <x:c r="AU129" s="9"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x:f>
        <x:v>146.9871915334255</x:v>
      </x:c>
      <x:c r="AV129" s="9"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x:f>
        <x:v>146.9871915334255</x:v>
      </x:c>
      <x:c r="AW129" s="10"/>
      <x:c r="AX129" s="9">
        <x:f t="shared" si="16"/>
        <x:v>5.8000000000000003E-2</x:v>
      </x:c>
      <x:c r="AY129" s="9" t="n">
        <x:f>0</x:f>
        <x:v>0</x:v>
      </x:c>
      <x:c r="AZ129" s="9" t="n">
        <x:f>IF(OR(Inputs!$F$6=TRUE,Inputs!$F$6="TRUE",Inputs!$F$6=1),(Inputs!$H$6+Inputs!$L$6*(((Inputs!$I$6+(((A129)+1)/2)*(Inputs!$J$6-Inputs!$I$6)))/Inputs!$K$6)^2),NA())</x:f>
        <x:v>400.013456</x:v>
      </x:c>
      <x:c r="BA129" s="9" t="n">
        <x:f>IF(OR(Inputs!$F$7=TRUE,Inputs!$F$7="TRUE",Inputs!$F$7=1),(Inputs!$H$7+Inputs!$L$7*(((Inputs!$I$7+(((A129)+1)/2)*(Inputs!$J$7-Inputs!$I$7)))/Inputs!$K$7)^2),NA())</x:f>
        <x:v>36.22786000000001</x:v>
      </x:c>
      <x:c r="BB129" s="9" t="n">
        <x:f>IF(OR(Inputs!$F$8=TRUE,Inputs!$F$8="TRUE",Inputs!$F$8=1),(Inputs!$H$8+Inputs!$L$8*(((Inputs!$I$8+(((A129)+1)/2)*(Inputs!$J$8-Inputs!$I$8)))/Inputs!$K$8)^2),NA())</x:f>
        <x:v>38.246260000000014</x:v>
      </x:c>
      <x:c r="BC129" s="9" t="n">
        <x:f>IF(OR(Inputs!$F$9=TRUE,Inputs!$F$9="TRUE",Inputs!$F$9=1),(Inputs!$H$9+Inputs!$L$9*(((Inputs!$I$9+(((A129)+1)/2)*(Inputs!$J$9-Inputs!$I$9)))/Inputs!$K$9)^2),NA())</x:f>
        <x:v>28.279900000000012</x:v>
      </x:c>
      <x:c r="BD129" s="10"/>
      <x:c r="BE129" s="9">
        <x:f t="shared" si="17"/>
        <x:v>5.8000000000000003E-2</x:v>
      </x:c>
      <x:c r="BF129" s="9" t="n">
        <x:f>0</x:f>
        <x:v>0</x:v>
      </x:c>
      <x:c r="BG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9" t="n">
        <x:f>ROUND(-1+128*2/240,3)</x:f>
        <x:v>0.067</x:v>
      </x:c>
      <x:c r="B130" s="9" t="n">
        <x:f>IF(OR(Inputs!$F$6=TRUE,Inputs!$F$6="TRUE",Inputs!$F$6=1),(Inputs!$H$6+Inputs!$L$6*(((Inputs!$I$6+(((A130)+1)/2)*(Inputs!$J$6-Inputs!$I$6)))/Inputs!$K$6)^2),NA())</x:f>
        <x:v>400.017956</x:v>
      </x:c>
      <x:c r="C130" s="9" t="n">
        <x:f>IF(OR(Inputs!$F$7=TRUE,Inputs!$F$7="TRUE",Inputs!$F$7=1),(Inputs!$H$7+Inputs!$L$7*(((Inputs!$I$7+(((A130)+1)/2)*(Inputs!$J$7-Inputs!$I$7)))/Inputs!$K$7)^2),NA())</x:f>
        <x:v>36.638484999999996</x:v>
      </x:c>
      <x:c r="D130" s="9" t="n">
        <x:f>IF(OR(Inputs!$F$8=TRUE,Inputs!$F$8="TRUE",Inputs!$F$8=1),(Inputs!$H$8+Inputs!$L$8*(((Inputs!$I$8+(((A130)+1)/2)*(Inputs!$J$8-Inputs!$I$8)))/Inputs!$K$8)^2),NA())</x:f>
        <x:v>39.331884999999986</x:v>
      </x:c>
      <x:c r="E130" s="9" t="n">
        <x:f>IF(OR(Inputs!$F$9=TRUE,Inputs!$F$9="TRUE",Inputs!$F$9=1),(Inputs!$H$9+Inputs!$L$9*(((Inputs!$I$9+(((A130)+1)/2)*(Inputs!$J$9-Inputs!$I$9)))/Inputs!$K$9)^2),NA())</x:f>
        <x:v>29.376774999999988</x:v>
      </x:c>
      <x:c r="F130" s="10"/>
      <x:c r="G130" s="9" t="n">
        <x:f t="shared" ref="G130:G193" si="18">A130</x:f>
        <x:v>0.067</x:v>
      </x:c>
      <x:c r="H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10"/>
      <x:c r="M130" s="9" t="n">
        <x:f t="shared" ref="M130:M193" si="19">A130</x:f>
        <x:v>0.067</x:v>
      </x:c>
      <x:c r="N130" s="9"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9"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9"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9"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10"/>
      <x:c r="S130" s="9" t="n">
        <x:f t="shared" ref="S130:S193" si="20">A130</x:f>
        <x:v>0.067</x:v>
      </x:c>
      <x:c r="T130" s="9" t="n">
        <x:f>(Inputs!$I$6+(((A130)+1)/2)*(Inputs!$J$6-Inputs!$I$6))</x:f>
        <x:v>4.019999999999996</x:v>
      </x:c>
      <x:c r="U130" s="9" t="n">
        <x:f>(Inputs!$I$7+(((A130)+1)/2)*(Inputs!$J$7-Inputs!$I$7))</x:f>
        <x:v>26.799999999999955</x:v>
      </x:c>
      <x:c r="V130" s="9" t="n">
        <x:f>(Inputs!$I$8+(((A130)+1)/2)*(Inputs!$J$8-Inputs!$I$8))</x:f>
        <x:v>53.59999999999991</x:v>
      </x:c>
      <x:c r="W130" s="9" t="n">
        <x:f>(Inputs!$I$9+(((A130)+1)/2)*(Inputs!$J$9-Inputs!$I$9))</x:f>
        <x:v>53.59999999999991</x:v>
      </x:c>
      <x:c r="X130" s="10"/>
      <x:c r="Y130" s="9" t="n">
        <x:f t="shared" ref="Y130:Y193" si="21">A130</x:f>
        <x:v>0.067</x:v>
      </x:c>
      <x:c r="Z130" s="9" t="n">
        <x:f>(Inputs!$H$6+Inputs!$L$6*(((Inputs!$I$6+(((A130)+1)/2)*(Inputs!$J$6-Inputs!$I$6)))/Inputs!$K$6)^2)</x:f>
        <x:v>400.017956</x:v>
      </x:c>
      <x:c r="AA130" s="9" t="n">
        <x:f>(Inputs!$H$7+Inputs!$L$7*(((Inputs!$I$7+(((A130)+1)/2)*(Inputs!$J$7-Inputs!$I$7)))/Inputs!$K$7)^2)</x:f>
        <x:v>36.638484999999996</x:v>
      </x:c>
      <x:c r="AB130" s="9" t="n">
        <x:f>(Inputs!$H$8+Inputs!$L$8*(((Inputs!$I$8+(((A130)+1)/2)*(Inputs!$J$8-Inputs!$I$8)))/Inputs!$K$8)^2)</x:f>
        <x:v>39.331884999999986</x:v>
      </x:c>
      <x:c r="AC130" s="9" t="n">
        <x:f>(Inputs!$H$9+Inputs!$L$9*(((Inputs!$I$9+(((A130)+1)/2)*(Inputs!$J$9-Inputs!$I$9)))/Inputs!$K$9)^2)</x:f>
        <x:v>29.376774999999988</x:v>
      </x:c>
      <x:c r="AD130" s="10"/>
      <x:c r="AE130" s="9" t="n">
        <x:f t="shared" ref="AE130:AE193" si="22">A130</x:f>
        <x:v>0.067</x:v>
      </x:c>
      <x:c r="AF130" s="9"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9"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9"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9"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10"/>
      <x:c r="AK130" s="9" t="n">
        <x:f t="shared" ref="AK130:AK193" si="23">A130</x:f>
        <x:v>0.067</x:v>
      </x:c>
      <x:c r="AL130" s="9"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9"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9"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9"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10"/>
      <x:c r="AQ130" s="9" t="n">
        <x:f t="shared" ref="AQ130:AQ193" si="24">A130</x:f>
        <x:v>0.067</x:v>
      </x:c>
      <x:c r="AR130" s="9" t="n">
        <x:f>0</x:f>
        <x:v>0</x:v>
      </x:c>
      <x:c r="AS130" s="9"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x:f>
        <x:v>544.9740548154381</x:v>
      </x:c>
      <x:c r="AT130" s="9"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x:f>
        <x:v>350.39069580116006</x:v>
      </x:c>
      <x:c r="AU130" s="9"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x:f>
        <x:v>179.63523580513873</x:v>
      </x:c>
      <x:c r="AV130" s="9"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x:f>
        <x:v>179.63523580513873</x:v>
      </x:c>
      <x:c r="AW130" s="10"/>
      <x:c r="AX130" s="9" t="n">
        <x:f t="shared" ref="AX130:AX193" si="25">A130</x:f>
        <x:v>0.067</x:v>
      </x:c>
      <x:c r="AY130" s="9" t="n">
        <x:f>0</x:f>
        <x:v>0</x:v>
      </x:c>
      <x:c r="AZ130" s="9" t="n">
        <x:f>IF(OR(Inputs!$F$6=TRUE,Inputs!$F$6="TRUE",Inputs!$F$6=1),(Inputs!$H$6+Inputs!$L$6*(((Inputs!$I$6+(((A130)+1)/2)*(Inputs!$J$6-Inputs!$I$6)))/Inputs!$K$6)^2),NA())</x:f>
        <x:v>400.017956</x:v>
      </x:c>
      <x:c r="BA130" s="9" t="n">
        <x:f>IF(OR(Inputs!$F$7=TRUE,Inputs!$F$7="TRUE",Inputs!$F$7=1),(Inputs!$H$7+Inputs!$L$7*(((Inputs!$I$7+(((A130)+1)/2)*(Inputs!$J$7-Inputs!$I$7)))/Inputs!$K$7)^2),NA())</x:f>
        <x:v>36.638484999999996</x:v>
      </x:c>
      <x:c r="BB130" s="9" t="n">
        <x:f>IF(OR(Inputs!$F$8=TRUE,Inputs!$F$8="TRUE",Inputs!$F$8=1),(Inputs!$H$8+Inputs!$L$8*(((Inputs!$I$8+(((A130)+1)/2)*(Inputs!$J$8-Inputs!$I$8)))/Inputs!$K$8)^2),NA())</x:f>
        <x:v>39.331884999999986</x:v>
      </x:c>
      <x:c r="BC130" s="9" t="n">
        <x:f>IF(OR(Inputs!$F$9=TRUE,Inputs!$F$9="TRUE",Inputs!$F$9=1),(Inputs!$H$9+Inputs!$L$9*(((Inputs!$I$9+(((A130)+1)/2)*(Inputs!$J$9-Inputs!$I$9)))/Inputs!$K$9)^2),NA())</x:f>
        <x:v>29.376774999999988</x:v>
      </x:c>
      <x:c r="BD130" s="10"/>
      <x:c r="BE130" s="9" t="n">
        <x:f t="shared" ref="BE130:BE193" si="26">A130</x:f>
        <x:v>0.067</x:v>
      </x:c>
      <x:c r="BF130" s="9" t="n">
        <x:f>0</x:f>
        <x:v>0</x:v>
      </x:c>
      <x:c r="BG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9" t="n">
        <x:f>ROUND(-1+129*2/240,3)</x:f>
        <x:v>0.075</x:v>
      </x:c>
      <x:c r="B131" s="9" t="n">
        <x:f>IF(OR(Inputs!$F$6=TRUE,Inputs!$F$6="TRUE",Inputs!$F$6=1),(Inputs!$H$6+Inputs!$L$6*(((Inputs!$I$6+(((A131)+1)/2)*(Inputs!$J$6-Inputs!$I$6)))/Inputs!$K$6)^2),NA())</x:f>
        <x:v>400.0225</x:v>
      </x:c>
      <x:c r="C131" s="9" t="n">
        <x:f>IF(OR(Inputs!$F$7=TRUE,Inputs!$F$7="TRUE",Inputs!$F$7=1),(Inputs!$H$7+Inputs!$L$7*(((Inputs!$I$7+(((A131)+1)/2)*(Inputs!$J$7-Inputs!$I$7)))/Inputs!$K$7)^2),NA())</x:f>
        <x:v>37.053125</x:v>
      </x:c>
      <x:c r="D131" s="9" t="n">
        <x:f>IF(OR(Inputs!$F$8=TRUE,Inputs!$F$8="TRUE",Inputs!$F$8=1),(Inputs!$H$8+Inputs!$L$8*(((Inputs!$I$8+(((A131)+1)/2)*(Inputs!$J$8-Inputs!$I$8)))/Inputs!$K$8)^2),NA())</x:f>
        <x:v>40.428125</x:v>
      </x:c>
      <x:c r="E131" s="9" t="n">
        <x:f>IF(OR(Inputs!$F$9=TRUE,Inputs!$F$9="TRUE",Inputs!$F$9=1),(Inputs!$H$9+Inputs!$L$9*(((Inputs!$I$9+(((A131)+1)/2)*(Inputs!$J$9-Inputs!$I$9)))/Inputs!$K$9)^2),NA())</x:f>
        <x:v>30.484375</x:v>
      </x:c>
      <x:c r="F131" s="10"/>
      <x:c r="G131" s="9">
        <x:f t="shared" si="18"/>
        <x:v>7.4999999999999997E-2</x:v>
      </x:c>
      <x:c r="H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10"/>
      <x:c r="M131" s="9">
        <x:f t="shared" si="19"/>
        <x:v>7.4999999999999997E-2</x:v>
      </x:c>
      <x:c r="N131" s="9"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9"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9"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9"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10"/>
      <x:c r="S131" s="9">
        <x:f t="shared" si="20"/>
        <x:v>7.4999999999999997E-2</x:v>
      </x:c>
      <x:c r="T131" s="9" t="n">
        <x:f>(Inputs!$I$6+(((A131)+1)/2)*(Inputs!$J$6-Inputs!$I$6))</x:f>
        <x:v>4.5</x:v>
      </x:c>
      <x:c r="U131" s="9" t="n">
        <x:f>(Inputs!$I$7+(((A131)+1)/2)*(Inputs!$J$7-Inputs!$I$7))</x:f>
        <x:v>30</x:v>
      </x:c>
      <x:c r="V131" s="9" t="n">
        <x:f>(Inputs!$I$8+(((A131)+1)/2)*(Inputs!$J$8-Inputs!$I$8))</x:f>
        <x:v>60</x:v>
      </x:c>
      <x:c r="W131" s="9" t="n">
        <x:f>(Inputs!$I$9+(((A131)+1)/2)*(Inputs!$J$9-Inputs!$I$9))</x:f>
        <x:v>60</x:v>
      </x:c>
      <x:c r="X131" s="10"/>
      <x:c r="Y131" s="9">
        <x:f t="shared" si="21"/>
        <x:v>7.4999999999999997E-2</x:v>
      </x:c>
      <x:c r="Z131" s="9" t="n">
        <x:f>(Inputs!$H$6+Inputs!$L$6*(((Inputs!$I$6+(((A131)+1)/2)*(Inputs!$J$6-Inputs!$I$6)))/Inputs!$K$6)^2)</x:f>
        <x:v>400.0225</x:v>
      </x:c>
      <x:c r="AA131" s="9" t="n">
        <x:f>(Inputs!$H$7+Inputs!$L$7*(((Inputs!$I$7+(((A131)+1)/2)*(Inputs!$J$7-Inputs!$I$7)))/Inputs!$K$7)^2)</x:f>
        <x:v>37.053125</x:v>
      </x:c>
      <x:c r="AB131" s="9" t="n">
        <x:f>(Inputs!$H$8+Inputs!$L$8*(((Inputs!$I$8+(((A131)+1)/2)*(Inputs!$J$8-Inputs!$I$8)))/Inputs!$K$8)^2)</x:f>
        <x:v>40.428125</x:v>
      </x:c>
      <x:c r="AC131" s="9" t="n">
        <x:f>(Inputs!$H$9+Inputs!$L$9*(((Inputs!$I$9+(((A131)+1)/2)*(Inputs!$J$9-Inputs!$I$9)))/Inputs!$K$9)^2)</x:f>
        <x:v>30.484375</x:v>
      </x:c>
      <x:c r="AD131" s="10"/>
      <x:c r="AE131" s="9">
        <x:f t="shared" si="22"/>
        <x:v>7.4999999999999997E-2</x:v>
      </x:c>
      <x:c r="AF131" s="9"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9"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9"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9"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10"/>
      <x:c r="AK131" s="9">
        <x:f t="shared" si="23"/>
        <x:v>7.4999999999999997E-2</x:v>
      </x:c>
      <x:c r="AL131" s="9"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9"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9"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9"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10"/>
      <x:c r="AQ131" s="9">
        <x:f t="shared" si="24"/>
        <x:v>7.4999999999999997E-2</x:v>
      </x:c>
      <x:c r="AR131" s="9" t="n">
        <x:f>0</x:f>
        <x:v>0</x:v>
      </x:c>
      <x:c r="AS131" s="9"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x:f>
        <x:v>568.6436382247327</x:v>
      </x:c>
      <x:c r="AT131" s="9"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x:f>
        <x:v>258.3810354027646</x:v>
      </x:c>
      <x:c r="AU131" s="9"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x:f>
        <x:v>179.34901119414707</x:v>
      </x:c>
      <x:c r="AV131" s="9"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x:f>
        <x:v>179.34901119414707</x:v>
      </x:c>
      <x:c r="AW131" s="10"/>
      <x:c r="AX131" s="9">
        <x:f t="shared" si="25"/>
        <x:v>7.4999999999999997E-2</x:v>
      </x:c>
      <x:c r="AY131" s="9" t="n">
        <x:f>0</x:f>
        <x:v>0</x:v>
      </x:c>
      <x:c r="AZ131" s="9" t="n">
        <x:f>IF(OR(Inputs!$F$6=TRUE,Inputs!$F$6="TRUE",Inputs!$F$6=1),(Inputs!$H$6+Inputs!$L$6*(((Inputs!$I$6+(((A131)+1)/2)*(Inputs!$J$6-Inputs!$I$6)))/Inputs!$K$6)^2),NA())</x:f>
        <x:v>400.0225</x:v>
      </x:c>
      <x:c r="BA131" s="9" t="n">
        <x:f>IF(OR(Inputs!$F$7=TRUE,Inputs!$F$7="TRUE",Inputs!$F$7=1),(Inputs!$H$7+Inputs!$L$7*(((Inputs!$I$7+(((A131)+1)/2)*(Inputs!$J$7-Inputs!$I$7)))/Inputs!$K$7)^2),NA())</x:f>
        <x:v>37.053125</x:v>
      </x:c>
      <x:c r="BB131" s="9" t="n">
        <x:f>IF(OR(Inputs!$F$8=TRUE,Inputs!$F$8="TRUE",Inputs!$F$8=1),(Inputs!$H$8+Inputs!$L$8*(((Inputs!$I$8+(((A131)+1)/2)*(Inputs!$J$8-Inputs!$I$8)))/Inputs!$K$8)^2),NA())</x:f>
        <x:v>40.428125</x:v>
      </x:c>
      <x:c r="BC131" s="9" t="n">
        <x:f>IF(OR(Inputs!$F$9=TRUE,Inputs!$F$9="TRUE",Inputs!$F$9=1),(Inputs!$H$9+Inputs!$L$9*(((Inputs!$I$9+(((A131)+1)/2)*(Inputs!$J$9-Inputs!$I$9)))/Inputs!$K$9)^2),NA())</x:f>
        <x:v>30.484375</x:v>
      </x:c>
      <x:c r="BD131" s="10"/>
      <x:c r="BE131" s="9">
        <x:f t="shared" si="26"/>
        <x:v>7.4999999999999997E-2</x:v>
      </x:c>
      <x:c r="BF131" s="9" t="n">
        <x:f>0</x:f>
        <x:v>0</x:v>
      </x:c>
      <x:c r="BG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9" t="n">
        <x:f>ROUND(-1+130*2/240,3)</x:f>
        <x:v>0.083</x:v>
      </x:c>
      <x:c r="B132" s="9" t="n">
        <x:f>IF(OR(Inputs!$F$6=TRUE,Inputs!$F$6="TRUE",Inputs!$F$6=1),(Inputs!$H$6+Inputs!$L$6*(((Inputs!$I$6+(((A132)+1)/2)*(Inputs!$J$6-Inputs!$I$6)))/Inputs!$K$6)^2),NA())</x:f>
        <x:v>400.027556</x:v>
      </x:c>
      <x:c r="C132" s="9" t="n">
        <x:f>IF(OR(Inputs!$F$7=TRUE,Inputs!$F$7="TRUE",Inputs!$F$7=1),(Inputs!$H$7+Inputs!$L$7*(((Inputs!$I$7+(((A132)+1)/2)*(Inputs!$J$7-Inputs!$I$7)))/Inputs!$K$7)^2),NA())</x:f>
        <x:v>37.514485</x:v>
      </x:c>
      <x:c r="D132" s="9" t="n">
        <x:f>IF(OR(Inputs!$F$8=TRUE,Inputs!$F$8="TRUE",Inputs!$F$8=1),(Inputs!$H$8+Inputs!$L$8*(((Inputs!$I$8+(((A132)+1)/2)*(Inputs!$J$8-Inputs!$I$8)))/Inputs!$K$8)^2),NA())</x:f>
        <x:v>41.647884999999995</x:v>
      </x:c>
      <x:c r="E132" s="9" t="n">
        <x:f>IF(OR(Inputs!$F$9=TRUE,Inputs!$F$9="TRUE",Inputs!$F$9=1),(Inputs!$H$9+Inputs!$L$9*(((Inputs!$I$9+(((A132)+1)/2)*(Inputs!$J$9-Inputs!$I$9)))/Inputs!$K$9)^2),NA())</x:f>
        <x:v>31.716774999999995</x:v>
      </x:c>
      <x:c r="F132" s="10"/>
      <x:c r="G132" s="9">
        <x:f t="shared" si="18"/>
        <x:v>8.3000000000000004E-2</x:v>
      </x:c>
      <x:c r="H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10"/>
      <x:c r="M132" s="9">
        <x:f t="shared" si="19"/>
        <x:v>8.3000000000000004E-2</x:v>
      </x:c>
      <x:c r="N132" s="9"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9"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9"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9"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10"/>
      <x:c r="S132" s="9">
        <x:f t="shared" si="20"/>
        <x:v>8.3000000000000004E-2</x:v>
      </x:c>
      <x:c r="T132" s="9" t="n">
        <x:f>(Inputs!$I$6+(((A132)+1)/2)*(Inputs!$J$6-Inputs!$I$6))</x:f>
        <x:v>4.980000000000004</x:v>
      </x:c>
      <x:c r="U132" s="9" t="n">
        <x:f>(Inputs!$I$7+(((A132)+1)/2)*(Inputs!$J$7-Inputs!$I$7))</x:f>
        <x:v>33.19999999999999</x:v>
      </x:c>
      <x:c r="V132" s="9" t="n">
        <x:f>(Inputs!$I$8+(((A132)+1)/2)*(Inputs!$J$8-Inputs!$I$8))</x:f>
        <x:v>66.39999999999998</x:v>
      </x:c>
      <x:c r="W132" s="9" t="n">
        <x:f>(Inputs!$I$9+(((A132)+1)/2)*(Inputs!$J$9-Inputs!$I$9))</x:f>
        <x:v>66.39999999999998</x:v>
      </x:c>
      <x:c r="X132" s="10"/>
      <x:c r="Y132" s="9">
        <x:f t="shared" si="21"/>
        <x:v>8.3000000000000004E-2</x:v>
      </x:c>
      <x:c r="Z132" s="9" t="n">
        <x:f>(Inputs!$H$6+Inputs!$L$6*(((Inputs!$I$6+(((A132)+1)/2)*(Inputs!$J$6-Inputs!$I$6)))/Inputs!$K$6)^2)</x:f>
        <x:v>400.027556</x:v>
      </x:c>
      <x:c r="AA132" s="9" t="n">
        <x:f>(Inputs!$H$7+Inputs!$L$7*(((Inputs!$I$7+(((A132)+1)/2)*(Inputs!$J$7-Inputs!$I$7)))/Inputs!$K$7)^2)</x:f>
        <x:v>37.514485</x:v>
      </x:c>
      <x:c r="AB132" s="9" t="n">
        <x:f>(Inputs!$H$8+Inputs!$L$8*(((Inputs!$I$8+(((A132)+1)/2)*(Inputs!$J$8-Inputs!$I$8)))/Inputs!$K$8)^2)</x:f>
        <x:v>41.647884999999995</x:v>
      </x:c>
      <x:c r="AC132" s="9" t="n">
        <x:f>(Inputs!$H$9+Inputs!$L$9*(((Inputs!$I$9+(((A132)+1)/2)*(Inputs!$J$9-Inputs!$I$9)))/Inputs!$K$9)^2)</x:f>
        <x:v>31.716774999999995</x:v>
      </x:c>
      <x:c r="AD132" s="10"/>
      <x:c r="AE132" s="9">
        <x:f t="shared" si="22"/>
        <x:v>8.3000000000000004E-2</x:v>
      </x:c>
      <x:c r="AF132" s="9"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9"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9"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9"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10"/>
      <x:c r="AK132" s="9">
        <x:f t="shared" si="23"/>
        <x:v>8.3000000000000004E-2</x:v>
      </x:c>
      <x:c r="AL132" s="9"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9"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9"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9"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10"/>
      <x:c r="AQ132" s="9">
        <x:f t="shared" si="24"/>
        <x:v>8.3000000000000004E-2</x:v>
      </x:c>
      <x:c r="AR132" s="9" t="n">
        <x:f>0</x:f>
        <x:v>0</x:v>
      </x:c>
      <x:c r="AS132" s="9"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x:f>
        <x:v>557.734555854044</x:v>
      </x:c>
      <x:c r="AT132" s="9"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x:f>
        <x:v>226.0328331963426</x:v>
      </x:c>
      <x:c r="AU132" s="9"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x:f>
        <x:v>104.61410316727174</x:v>
      </x:c>
      <x:c r="AV132" s="9"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x:f>
        <x:v>104.61410316727174</x:v>
      </x:c>
      <x:c r="AW132" s="10"/>
      <x:c r="AX132" s="9">
        <x:f t="shared" si="25"/>
        <x:v>8.3000000000000004E-2</x:v>
      </x:c>
      <x:c r="AY132" s="9" t="n">
        <x:f>0</x:f>
        <x:v>0</x:v>
      </x:c>
      <x:c r="AZ132" s="9" t="n">
        <x:f>IF(OR(Inputs!$F$6=TRUE,Inputs!$F$6="TRUE",Inputs!$F$6=1),(Inputs!$H$6+Inputs!$L$6*(((Inputs!$I$6+(((A132)+1)/2)*(Inputs!$J$6-Inputs!$I$6)))/Inputs!$K$6)^2),NA())</x:f>
        <x:v>400.027556</x:v>
      </x:c>
      <x:c r="BA132" s="9" t="n">
        <x:f>IF(OR(Inputs!$F$7=TRUE,Inputs!$F$7="TRUE",Inputs!$F$7=1),(Inputs!$H$7+Inputs!$L$7*(((Inputs!$I$7+(((A132)+1)/2)*(Inputs!$J$7-Inputs!$I$7)))/Inputs!$K$7)^2),NA())</x:f>
        <x:v>37.514485</x:v>
      </x:c>
      <x:c r="BB132" s="9" t="n">
        <x:f>IF(OR(Inputs!$F$8=TRUE,Inputs!$F$8="TRUE",Inputs!$F$8=1),(Inputs!$H$8+Inputs!$L$8*(((Inputs!$I$8+(((A132)+1)/2)*(Inputs!$J$8-Inputs!$I$8)))/Inputs!$K$8)^2),NA())</x:f>
        <x:v>41.647884999999995</x:v>
      </x:c>
      <x:c r="BC132" s="9" t="n">
        <x:f>IF(OR(Inputs!$F$9=TRUE,Inputs!$F$9="TRUE",Inputs!$F$9=1),(Inputs!$H$9+Inputs!$L$9*(((Inputs!$I$9+(((A132)+1)/2)*(Inputs!$J$9-Inputs!$I$9)))/Inputs!$K$9)^2),NA())</x:f>
        <x:v>31.716774999999995</x:v>
      </x:c>
      <x:c r="BD132" s="10"/>
      <x:c r="BE132" s="9">
        <x:f t="shared" si="26"/>
        <x:v>8.3000000000000004E-2</x:v>
      </x:c>
      <x:c r="BF132" s="9" t="n">
        <x:f>0</x:f>
        <x:v>0</x:v>
      </x:c>
      <x:c r="BG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9" t="n">
        <x:f>ROUND(-1+131*2/240,3)</x:f>
        <x:v>0.092</x:v>
      </x:c>
      <x:c r="B133" s="9" t="n">
        <x:f>IF(OR(Inputs!$F$6=TRUE,Inputs!$F$6="TRUE",Inputs!$F$6=1),(Inputs!$H$6+Inputs!$L$6*(((Inputs!$I$6+(((A133)+1)/2)*(Inputs!$J$6-Inputs!$I$6)))/Inputs!$K$6)^2),NA())</x:f>
        <x:v>400.033856</x:v>
      </x:c>
      <x:c r="C133" s="9" t="n">
        <x:f>IF(OR(Inputs!$F$7=TRUE,Inputs!$F$7="TRUE",Inputs!$F$7=1),(Inputs!$H$7+Inputs!$L$7*(((Inputs!$I$7+(((A133)+1)/2)*(Inputs!$J$7-Inputs!$I$7)))/Inputs!$K$7)^2),NA())</x:f>
        <x:v>38.08936</x:v>
      </x:c>
      <x:c r="D133" s="9" t="n">
        <x:f>IF(OR(Inputs!$F$8=TRUE,Inputs!$F$8="TRUE",Inputs!$F$8=1),(Inputs!$H$8+Inputs!$L$8*(((Inputs!$I$8+(((A133)+1)/2)*(Inputs!$J$8-Inputs!$I$8)))/Inputs!$K$8)^2),NA())</x:f>
        <x:v>43.16776</x:v>
      </x:c>
      <x:c r="E133" s="9" t="n">
        <x:f>IF(OR(Inputs!$F$9=TRUE,Inputs!$F$9="TRUE",Inputs!$F$9=1),(Inputs!$H$9+Inputs!$L$9*(((Inputs!$I$9+(((A133)+1)/2)*(Inputs!$J$9-Inputs!$I$9)))/Inputs!$K$9)^2),NA())</x:f>
        <x:v>33.25240000000001</x:v>
      </x:c>
      <x:c r="F133" s="10"/>
      <x:c r="G133" s="9">
        <x:f t="shared" si="18"/>
        <x:v>9.1999999999999998E-2</x:v>
      </x:c>
      <x:c r="H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10"/>
      <x:c r="M133" s="9">
        <x:f t="shared" si="19"/>
        <x:v>9.1999999999999998E-2</x:v>
      </x:c>
      <x:c r="N133" s="9"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9"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9"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9"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10"/>
      <x:c r="S133" s="9">
        <x:f t="shared" si="20"/>
        <x:v>9.1999999999999998E-2</x:v>
      </x:c>
      <x:c r="T133" s="9" t="n">
        <x:f>(Inputs!$I$6+(((A133)+1)/2)*(Inputs!$J$6-Inputs!$I$6))</x:f>
        <x:v>5.52000000000001</x:v>
      </x:c>
      <x:c r="U133" s="9" t="n">
        <x:f>(Inputs!$I$7+(((A133)+1)/2)*(Inputs!$J$7-Inputs!$I$7))</x:f>
        <x:v>36.80000000000001</x:v>
      </x:c>
      <x:c r="V133" s="9" t="n">
        <x:f>(Inputs!$I$8+(((A133)+1)/2)*(Inputs!$J$8-Inputs!$I$8))</x:f>
        <x:v>73.60000000000002</x:v>
      </x:c>
      <x:c r="W133" s="9" t="n">
        <x:f>(Inputs!$I$9+(((A133)+1)/2)*(Inputs!$J$9-Inputs!$I$9))</x:f>
        <x:v>73.60000000000002</x:v>
      </x:c>
      <x:c r="X133" s="10"/>
      <x:c r="Y133" s="9">
        <x:f t="shared" si="21"/>
        <x:v>9.1999999999999998E-2</x:v>
      </x:c>
      <x:c r="Z133" s="9" t="n">
        <x:f>(Inputs!$H$6+Inputs!$L$6*(((Inputs!$I$6+(((A133)+1)/2)*(Inputs!$J$6-Inputs!$I$6)))/Inputs!$K$6)^2)</x:f>
        <x:v>400.033856</x:v>
      </x:c>
      <x:c r="AA133" s="9" t="n">
        <x:f>(Inputs!$H$7+Inputs!$L$7*(((Inputs!$I$7+(((A133)+1)/2)*(Inputs!$J$7-Inputs!$I$7)))/Inputs!$K$7)^2)</x:f>
        <x:v>38.08936</x:v>
      </x:c>
      <x:c r="AB133" s="9" t="n">
        <x:f>(Inputs!$H$8+Inputs!$L$8*(((Inputs!$I$8+(((A133)+1)/2)*(Inputs!$J$8-Inputs!$I$8)))/Inputs!$K$8)^2)</x:f>
        <x:v>43.16776</x:v>
      </x:c>
      <x:c r="AC133" s="9" t="n">
        <x:f>(Inputs!$H$9+Inputs!$L$9*(((Inputs!$I$9+(((A133)+1)/2)*(Inputs!$J$9-Inputs!$I$9)))/Inputs!$K$9)^2)</x:f>
        <x:v>33.25240000000001</x:v>
      </x:c>
      <x:c r="AD133" s="10"/>
      <x:c r="AE133" s="9">
        <x:f t="shared" si="22"/>
        <x:v>9.1999999999999998E-2</x:v>
      </x:c>
      <x:c r="AF133" s="9"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9"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9"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9"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10"/>
      <x:c r="AK133" s="9">
        <x:f t="shared" si="23"/>
        <x:v>9.1999999999999998E-2</x:v>
      </x:c>
      <x:c r="AL133" s="9"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9"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9"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9"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10"/>
      <x:c r="AQ133" s="9">
        <x:f t="shared" si="24"/>
        <x:v>9.1999999999999998E-2</x:v>
      </x:c>
      <x:c r="AR133" s="9" t="n">
        <x:f>0</x:f>
        <x:v>0</x:v>
      </x:c>
      <x:c r="AS133" s="9"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x:f>
        <x:v>540.3908500966397</x:v>
      </x:c>
      <x:c r="AT133" s="9"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x:f>
        <x:v>276.8222629104589</x:v>
      </x:c>
      <x:c r="AU133" s="9"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x:f>
        <x:v>187.2798993778059</x:v>
      </x:c>
      <x:c r="AV133" s="9"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x:f>
        <x:v>187.2798993778059</x:v>
      </x:c>
      <x:c r="AW133" s="10"/>
      <x:c r="AX133" s="9">
        <x:f t="shared" si="25"/>
        <x:v>9.1999999999999998E-2</x:v>
      </x:c>
      <x:c r="AY133" s="9" t="n">
        <x:f>0</x:f>
        <x:v>0</x:v>
      </x:c>
      <x:c r="AZ133" s="9" t="n">
        <x:f>IF(OR(Inputs!$F$6=TRUE,Inputs!$F$6="TRUE",Inputs!$F$6=1),(Inputs!$H$6+Inputs!$L$6*(((Inputs!$I$6+(((A133)+1)/2)*(Inputs!$J$6-Inputs!$I$6)))/Inputs!$K$6)^2),NA())</x:f>
        <x:v>400.033856</x:v>
      </x:c>
      <x:c r="BA133" s="9" t="n">
        <x:f>IF(OR(Inputs!$F$7=TRUE,Inputs!$F$7="TRUE",Inputs!$F$7=1),(Inputs!$H$7+Inputs!$L$7*(((Inputs!$I$7+(((A133)+1)/2)*(Inputs!$J$7-Inputs!$I$7)))/Inputs!$K$7)^2),NA())</x:f>
        <x:v>38.08936</x:v>
      </x:c>
      <x:c r="BB133" s="9" t="n">
        <x:f>IF(OR(Inputs!$F$8=TRUE,Inputs!$F$8="TRUE",Inputs!$F$8=1),(Inputs!$H$8+Inputs!$L$8*(((Inputs!$I$8+(((A133)+1)/2)*(Inputs!$J$8-Inputs!$I$8)))/Inputs!$K$8)^2),NA())</x:f>
        <x:v>43.16776</x:v>
      </x:c>
      <x:c r="BC133" s="9" t="n">
        <x:f>IF(OR(Inputs!$F$9=TRUE,Inputs!$F$9="TRUE",Inputs!$F$9=1),(Inputs!$H$9+Inputs!$L$9*(((Inputs!$I$9+(((A133)+1)/2)*(Inputs!$J$9-Inputs!$I$9)))/Inputs!$K$9)^2),NA())</x:f>
        <x:v>33.25240000000001</x:v>
      </x:c>
      <x:c r="BD133" s="10"/>
      <x:c r="BE133" s="9">
        <x:f t="shared" si="26"/>
        <x:v>9.1999999999999998E-2</x:v>
      </x:c>
      <x:c r="BF133" s="9" t="n">
        <x:f>0</x:f>
        <x:v>0</x:v>
      </x:c>
      <x:c r="BG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9" t="n">
        <x:f>ROUND(-1+132*2/240,3)</x:f>
        <x:v>0.1</x:v>
      </x:c>
      <x:c r="B134" s="9" t="n">
        <x:f>IF(OR(Inputs!$F$6=TRUE,Inputs!$F$6="TRUE",Inputs!$F$6=1),(Inputs!$H$6+Inputs!$L$6*(((Inputs!$I$6+(((A134)+1)/2)*(Inputs!$J$6-Inputs!$I$6)))/Inputs!$K$6)^2),NA())</x:f>
        <x:v>400.04</x:v>
      </x:c>
      <x:c r="C134" s="9" t="n">
        <x:f>IF(OR(Inputs!$F$7=TRUE,Inputs!$F$7="TRUE",Inputs!$F$7=1),(Inputs!$H$7+Inputs!$L$7*(((Inputs!$I$7+(((A134)+1)/2)*(Inputs!$J$7-Inputs!$I$7)))/Inputs!$K$7)^2),NA())</x:f>
        <x:v>38.65000000000001</x:v>
      </x:c>
      <x:c r="D134" s="9" t="n">
        <x:f>IF(OR(Inputs!$F$8=TRUE,Inputs!$F$8="TRUE",Inputs!$F$8=1),(Inputs!$H$8+Inputs!$L$8*(((Inputs!$I$8+(((A134)+1)/2)*(Inputs!$J$8-Inputs!$I$8)))/Inputs!$K$8)^2),NA())</x:f>
        <x:v>44.65000000000003</x:v>
      </x:c>
      <x:c r="E134" s="9" t="n">
        <x:f>IF(OR(Inputs!$F$9=TRUE,Inputs!$F$9="TRUE",Inputs!$F$9=1),(Inputs!$H$9+Inputs!$L$9*(((Inputs!$I$9+(((A134)+1)/2)*(Inputs!$J$9-Inputs!$I$9)))/Inputs!$K$9)^2),NA())</x:f>
        <x:v>34.75000000000003</x:v>
      </x:c>
      <x:c r="F134" s="10"/>
      <x:c r="G134" s="9">
        <x:f t="shared" si="18"/>
        <x:v>0.1</x:v>
      </x:c>
      <x:c r="H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10"/>
      <x:c r="M134" s="9">
        <x:f t="shared" si="19"/>
        <x:v>0.1</x:v>
      </x:c>
      <x:c r="N134" s="9"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9"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9"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9"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10"/>
      <x:c r="S134" s="9">
        <x:f t="shared" si="20"/>
        <x:v>0.1</x:v>
      </x:c>
      <x:c r="T134" s="9" t="n">
        <x:f>(Inputs!$I$6+(((A134)+1)/2)*(Inputs!$J$6-Inputs!$I$6))</x:f>
        <x:v>6</x:v>
      </x:c>
      <x:c r="U134" s="9" t="n">
        <x:f>(Inputs!$I$7+(((A134)+1)/2)*(Inputs!$J$7-Inputs!$I$7))</x:f>
        <x:v>40.00000000000006</x:v>
      </x:c>
      <x:c r="V134" s="9" t="n">
        <x:f>(Inputs!$I$8+(((A134)+1)/2)*(Inputs!$J$8-Inputs!$I$8))</x:f>
        <x:v>80.00000000000011</x:v>
      </x:c>
      <x:c r="W134" s="9" t="n">
        <x:f>(Inputs!$I$9+(((A134)+1)/2)*(Inputs!$J$9-Inputs!$I$9))</x:f>
        <x:v>80.00000000000011</x:v>
      </x:c>
      <x:c r="X134" s="10"/>
      <x:c r="Y134" s="9">
        <x:f t="shared" si="21"/>
        <x:v>0.1</x:v>
      </x:c>
      <x:c r="Z134" s="9" t="n">
        <x:f>(Inputs!$H$6+Inputs!$L$6*(((Inputs!$I$6+(((A134)+1)/2)*(Inputs!$J$6-Inputs!$I$6)))/Inputs!$K$6)^2)</x:f>
        <x:v>400.04</x:v>
      </x:c>
      <x:c r="AA134" s="9" t="n">
        <x:f>(Inputs!$H$7+Inputs!$L$7*(((Inputs!$I$7+(((A134)+1)/2)*(Inputs!$J$7-Inputs!$I$7)))/Inputs!$K$7)^2)</x:f>
        <x:v>38.65000000000001</x:v>
      </x:c>
      <x:c r="AB134" s="9" t="n">
        <x:f>(Inputs!$H$8+Inputs!$L$8*(((Inputs!$I$8+(((A134)+1)/2)*(Inputs!$J$8-Inputs!$I$8)))/Inputs!$K$8)^2)</x:f>
        <x:v>44.65000000000003</x:v>
      </x:c>
      <x:c r="AC134" s="9" t="n">
        <x:f>(Inputs!$H$9+Inputs!$L$9*(((Inputs!$I$9+(((A134)+1)/2)*(Inputs!$J$9-Inputs!$I$9)))/Inputs!$K$9)^2)</x:f>
        <x:v>34.75000000000003</x:v>
      </x:c>
      <x:c r="AD134" s="10"/>
      <x:c r="AE134" s="9">
        <x:f t="shared" si="22"/>
        <x:v>0.1</x:v>
      </x:c>
      <x:c r="AF134" s="9"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9"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9"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9"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10"/>
      <x:c r="AK134" s="9">
        <x:f t="shared" si="23"/>
        <x:v>0.1</x:v>
      </x:c>
      <x:c r="AL134" s="9"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9"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9"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9"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10"/>
      <x:c r="AQ134" s="9">
        <x:f t="shared" si="24"/>
        <x:v>0.1</x:v>
      </x:c>
      <x:c r="AR134" s="9" t="n">
        <x:f>0</x:f>
        <x:v>0</x:v>
      </x:c>
      <x:c r="AS134" s="9"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x:f>
        <x:v>533.6920620973987</x:v>
      </x:c>
      <x:c r="AT134" s="9"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x:f>
        <x:v>304.82117388667854</x:v>
      </x:c>
      <x:c r="AU134" s="9"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x:f>
        <x:v>159.828372691413</x:v>
      </x:c>
      <x:c r="AV134" s="9"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x:f>
        <x:v>159.828372691413</x:v>
      </x:c>
      <x:c r="AW134" s="10"/>
      <x:c r="AX134" s="9">
        <x:f t="shared" si="25"/>
        <x:v>0.1</x:v>
      </x:c>
      <x:c r="AY134" s="9" t="n">
        <x:f>0</x:f>
        <x:v>0</x:v>
      </x:c>
      <x:c r="AZ134" s="9" t="n">
        <x:f>IF(OR(Inputs!$F$6=TRUE,Inputs!$F$6="TRUE",Inputs!$F$6=1),(Inputs!$H$6+Inputs!$L$6*(((Inputs!$I$6+(((A134)+1)/2)*(Inputs!$J$6-Inputs!$I$6)))/Inputs!$K$6)^2),NA())</x:f>
        <x:v>400.04</x:v>
      </x:c>
      <x:c r="BA134" s="9" t="n">
        <x:f>IF(OR(Inputs!$F$7=TRUE,Inputs!$F$7="TRUE",Inputs!$F$7=1),(Inputs!$H$7+Inputs!$L$7*(((Inputs!$I$7+(((A134)+1)/2)*(Inputs!$J$7-Inputs!$I$7)))/Inputs!$K$7)^2),NA())</x:f>
        <x:v>38.65000000000001</x:v>
      </x:c>
      <x:c r="BB134" s="9" t="n">
        <x:f>IF(OR(Inputs!$F$8=TRUE,Inputs!$F$8="TRUE",Inputs!$F$8=1),(Inputs!$H$8+Inputs!$L$8*(((Inputs!$I$8+(((A134)+1)/2)*(Inputs!$J$8-Inputs!$I$8)))/Inputs!$K$8)^2),NA())</x:f>
        <x:v>44.65000000000003</x:v>
      </x:c>
      <x:c r="BC134" s="9" t="n">
        <x:f>IF(OR(Inputs!$F$9=TRUE,Inputs!$F$9="TRUE",Inputs!$F$9=1),(Inputs!$H$9+Inputs!$L$9*(((Inputs!$I$9+(((A134)+1)/2)*(Inputs!$J$9-Inputs!$I$9)))/Inputs!$K$9)^2),NA())</x:f>
        <x:v>34.75000000000003</x:v>
      </x:c>
      <x:c r="BD134" s="10"/>
      <x:c r="BE134" s="9">
        <x:f t="shared" si="26"/>
        <x:v>0.1</x:v>
      </x:c>
      <x:c r="BF134" s="9" t="n">
        <x:f>0</x:f>
        <x:v>0</x:v>
      </x:c>
      <x:c r="BG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9" t="n">
        <x:f>ROUND(-1+133*2/240,3)</x:f>
        <x:v>0.108</x:v>
      </x:c>
      <x:c r="B135" s="9" t="n">
        <x:f>IF(OR(Inputs!$F$6=TRUE,Inputs!$F$6="TRUE",Inputs!$F$6=1),(Inputs!$H$6+Inputs!$L$6*(((Inputs!$I$6+(((A135)+1)/2)*(Inputs!$J$6-Inputs!$I$6)))/Inputs!$K$6)^2),NA())</x:f>
        <x:v>400.046656</x:v>
      </x:c>
      <x:c r="C135" s="9" t="n">
        <x:f>IF(OR(Inputs!$F$7=TRUE,Inputs!$F$7="TRUE",Inputs!$F$7=1),(Inputs!$H$7+Inputs!$L$7*(((Inputs!$I$7+(((A135)+1)/2)*(Inputs!$J$7-Inputs!$I$7)))/Inputs!$K$7)^2),NA())</x:f>
        <x:v>39.257360000000006</x:v>
      </x:c>
      <x:c r="D135" s="9" t="n">
        <x:f>IF(OR(Inputs!$F$8=TRUE,Inputs!$F$8="TRUE",Inputs!$F$8=1),(Inputs!$H$8+Inputs!$L$8*(((Inputs!$I$8+(((A135)+1)/2)*(Inputs!$J$8-Inputs!$I$8)))/Inputs!$K$8)^2),NA())</x:f>
        <x:v>46.25576000000002</x:v>
      </x:c>
      <x:c r="E135" s="9" t="n">
        <x:f>IF(OR(Inputs!$F$9=TRUE,Inputs!$F$9="TRUE",Inputs!$F$9=1),(Inputs!$H$9+Inputs!$L$9*(((Inputs!$I$9+(((A135)+1)/2)*(Inputs!$J$9-Inputs!$I$9)))/Inputs!$K$9)^2),NA())</x:f>
        <x:v>36.37240000000002</x:v>
      </x:c>
      <x:c r="F135" s="10"/>
      <x:c r="G135" s="9">
        <x:f t="shared" si="18"/>
        <x:v>0.108</x:v>
      </x:c>
      <x:c r="H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10"/>
      <x:c r="M135" s="9">
        <x:f t="shared" si="19"/>
        <x:v>0.108</x:v>
      </x:c>
      <x:c r="N135" s="9"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9"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9"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9"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10"/>
      <x:c r="S135" s="9">
        <x:f t="shared" si="20"/>
        <x:v>0.108</x:v>
      </x:c>
      <x:c r="T135" s="9" t="n">
        <x:f>(Inputs!$I$6+(((A135)+1)/2)*(Inputs!$J$6-Inputs!$I$6))</x:f>
        <x:v>6.480000000000004</x:v>
      </x:c>
      <x:c r="U135" s="9" t="n">
        <x:f>(Inputs!$I$7+(((A135)+1)/2)*(Inputs!$J$7-Inputs!$I$7))</x:f>
        <x:v>43.200000000000045</x:v>
      </x:c>
      <x:c r="V135" s="9" t="n">
        <x:f>(Inputs!$I$8+(((A135)+1)/2)*(Inputs!$J$8-Inputs!$I$8))</x:f>
        <x:v>86.40000000000009</x:v>
      </x:c>
      <x:c r="W135" s="9" t="n">
        <x:f>(Inputs!$I$9+(((A135)+1)/2)*(Inputs!$J$9-Inputs!$I$9))</x:f>
        <x:v>86.40000000000009</x:v>
      </x:c>
      <x:c r="X135" s="10"/>
      <x:c r="Y135" s="9">
        <x:f t="shared" si="21"/>
        <x:v>0.108</x:v>
      </x:c>
      <x:c r="Z135" s="9" t="n">
        <x:f>(Inputs!$H$6+Inputs!$L$6*(((Inputs!$I$6+(((A135)+1)/2)*(Inputs!$J$6-Inputs!$I$6)))/Inputs!$K$6)^2)</x:f>
        <x:v>400.046656</x:v>
      </x:c>
      <x:c r="AA135" s="9" t="n">
        <x:f>(Inputs!$H$7+Inputs!$L$7*(((Inputs!$I$7+(((A135)+1)/2)*(Inputs!$J$7-Inputs!$I$7)))/Inputs!$K$7)^2)</x:f>
        <x:v>39.257360000000006</x:v>
      </x:c>
      <x:c r="AB135" s="9" t="n">
        <x:f>(Inputs!$H$8+Inputs!$L$8*(((Inputs!$I$8+(((A135)+1)/2)*(Inputs!$J$8-Inputs!$I$8)))/Inputs!$K$8)^2)</x:f>
        <x:v>46.25576000000002</x:v>
      </x:c>
      <x:c r="AC135" s="9" t="n">
        <x:f>(Inputs!$H$9+Inputs!$L$9*(((Inputs!$I$9+(((A135)+1)/2)*(Inputs!$J$9-Inputs!$I$9)))/Inputs!$K$9)^2)</x:f>
        <x:v>36.37240000000002</x:v>
      </x:c>
      <x:c r="AD135" s="10"/>
      <x:c r="AE135" s="9">
        <x:f t="shared" si="22"/>
        <x:v>0.108</x:v>
      </x:c>
      <x:c r="AF135" s="9"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9"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9"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9"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10"/>
      <x:c r="AK135" s="9">
        <x:f t="shared" si="23"/>
        <x:v>0.108</x:v>
      </x:c>
      <x:c r="AL135" s="9"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9"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9"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9"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10"/>
      <x:c r="AQ135" s="9">
        <x:f t="shared" si="24"/>
        <x:v>0.108</x:v>
      </x:c>
      <x:c r="AR135" s="9" t="n">
        <x:f>0</x:f>
        <x:v>0</x:v>
      </x:c>
      <x:c r="AS135" s="9"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x:f>
        <x:v>532.3117042335774</x:v>
      </x:c>
      <x:c r="AT135" s="9"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x:f>
        <x:v>240.27263540699468</x:v>
      </x:c>
      <x:c r="AU135" s="9"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x:f>
        <x:v>127.96939858294071</x:v>
      </x:c>
      <x:c r="AV135" s="9"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x:f>
        <x:v>127.96939858294071</x:v>
      </x:c>
      <x:c r="AW135" s="10"/>
      <x:c r="AX135" s="9">
        <x:f t="shared" si="25"/>
        <x:v>0.108</x:v>
      </x:c>
      <x:c r="AY135" s="9" t="n">
        <x:f>0</x:f>
        <x:v>0</x:v>
      </x:c>
      <x:c r="AZ135" s="9" t="n">
        <x:f>IF(OR(Inputs!$F$6=TRUE,Inputs!$F$6="TRUE",Inputs!$F$6=1),(Inputs!$H$6+Inputs!$L$6*(((Inputs!$I$6+(((A135)+1)/2)*(Inputs!$J$6-Inputs!$I$6)))/Inputs!$K$6)^2),NA())</x:f>
        <x:v>400.046656</x:v>
      </x:c>
      <x:c r="BA135" s="9" t="n">
        <x:f>IF(OR(Inputs!$F$7=TRUE,Inputs!$F$7="TRUE",Inputs!$F$7=1),(Inputs!$H$7+Inputs!$L$7*(((Inputs!$I$7+(((A135)+1)/2)*(Inputs!$J$7-Inputs!$I$7)))/Inputs!$K$7)^2),NA())</x:f>
        <x:v>39.257360000000006</x:v>
      </x:c>
      <x:c r="BB135" s="9" t="n">
        <x:f>IF(OR(Inputs!$F$8=TRUE,Inputs!$F$8="TRUE",Inputs!$F$8=1),(Inputs!$H$8+Inputs!$L$8*(((Inputs!$I$8+(((A135)+1)/2)*(Inputs!$J$8-Inputs!$I$8)))/Inputs!$K$8)^2),NA())</x:f>
        <x:v>46.25576000000002</x:v>
      </x:c>
      <x:c r="BC135" s="9" t="n">
        <x:f>IF(OR(Inputs!$F$9=TRUE,Inputs!$F$9="TRUE",Inputs!$F$9=1),(Inputs!$H$9+Inputs!$L$9*(((Inputs!$I$9+(((A135)+1)/2)*(Inputs!$J$9-Inputs!$I$9)))/Inputs!$K$9)^2),NA())</x:f>
        <x:v>36.37240000000002</x:v>
      </x:c>
      <x:c r="BD135" s="10"/>
      <x:c r="BE135" s="9">
        <x:f t="shared" si="26"/>
        <x:v>0.108</x:v>
      </x:c>
      <x:c r="BF135" s="9" t="n">
        <x:f>0</x:f>
        <x:v>0</x:v>
      </x:c>
      <x:c r="BG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9" t="n">
        <x:f>ROUND(-1+134*2/240,3)</x:f>
        <x:v>0.117</x:v>
      </x:c>
      <x:c r="B136" s="9" t="n">
        <x:f>IF(OR(Inputs!$F$6=TRUE,Inputs!$F$6="TRUE",Inputs!$F$6=1),(Inputs!$H$6+Inputs!$L$6*(((Inputs!$I$6+(((A136)+1)/2)*(Inputs!$J$6-Inputs!$I$6)))/Inputs!$K$6)^2),NA())</x:f>
        <x:v>400.054756</x:v>
      </x:c>
      <x:c r="C136" s="9" t="n">
        <x:f>IF(OR(Inputs!$F$7=TRUE,Inputs!$F$7="TRUE",Inputs!$F$7=1),(Inputs!$H$7+Inputs!$L$7*(((Inputs!$I$7+(((A136)+1)/2)*(Inputs!$J$7-Inputs!$I$7)))/Inputs!$K$7)^2),NA())</x:f>
        <x:v>39.99648500000001</x:v>
      </x:c>
      <x:c r="D136" s="9" t="n">
        <x:f>IF(OR(Inputs!$F$8=TRUE,Inputs!$F$8="TRUE",Inputs!$F$8=1),(Inputs!$H$8+Inputs!$L$8*(((Inputs!$I$8+(((A136)+1)/2)*(Inputs!$J$8-Inputs!$I$8)))/Inputs!$K$8)^2),NA())</x:f>
        <x:v>48.20988500000001</x:v>
      </x:c>
      <x:c r="E136" s="9" t="n">
        <x:f>IF(OR(Inputs!$F$9=TRUE,Inputs!$F$9="TRUE",Inputs!$F$9=1),(Inputs!$H$9+Inputs!$L$9*(((Inputs!$I$9+(((A136)+1)/2)*(Inputs!$J$9-Inputs!$I$9)))/Inputs!$K$9)^2),NA())</x:f>
        <x:v>38.34677500000001</x:v>
      </x:c>
      <x:c r="F136" s="10"/>
      <x:c r="G136" s="9">
        <x:f t="shared" si="18"/>
        <x:v>0.11700000000000001</x:v>
      </x:c>
      <x:c r="H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10"/>
      <x:c r="M136" s="9">
        <x:f t="shared" si="19"/>
        <x:v>0.11700000000000001</x:v>
      </x:c>
      <x:c r="N136" s="9"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9"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9"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9"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10"/>
      <x:c r="S136" s="9">
        <x:f t="shared" si="20"/>
        <x:v>0.11700000000000001</x:v>
      </x:c>
      <x:c r="T136" s="9" t="n">
        <x:f>(Inputs!$I$6+(((A136)+1)/2)*(Inputs!$J$6-Inputs!$I$6))</x:f>
        <x:v>7.019999999999996</x:v>
      </x:c>
      <x:c r="U136" s="9" t="n">
        <x:f>(Inputs!$I$7+(((A136)+1)/2)*(Inputs!$J$7-Inputs!$I$7))</x:f>
        <x:v>46.80000000000001</x:v>
      </x:c>
      <x:c r="V136" s="9" t="n">
        <x:f>(Inputs!$I$8+(((A136)+1)/2)*(Inputs!$J$8-Inputs!$I$8))</x:f>
        <x:v>93.60000000000002</x:v>
      </x:c>
      <x:c r="W136" s="9" t="n">
        <x:f>(Inputs!$I$9+(((A136)+1)/2)*(Inputs!$J$9-Inputs!$I$9))</x:f>
        <x:v>93.60000000000002</x:v>
      </x:c>
      <x:c r="X136" s="10"/>
      <x:c r="Y136" s="9">
        <x:f t="shared" si="21"/>
        <x:v>0.11700000000000001</x:v>
      </x:c>
      <x:c r="Z136" s="9" t="n">
        <x:f>(Inputs!$H$6+Inputs!$L$6*(((Inputs!$I$6+(((A136)+1)/2)*(Inputs!$J$6-Inputs!$I$6)))/Inputs!$K$6)^2)</x:f>
        <x:v>400.054756</x:v>
      </x:c>
      <x:c r="AA136" s="9" t="n">
        <x:f>(Inputs!$H$7+Inputs!$L$7*(((Inputs!$I$7+(((A136)+1)/2)*(Inputs!$J$7-Inputs!$I$7)))/Inputs!$K$7)^2)</x:f>
        <x:v>39.99648500000001</x:v>
      </x:c>
      <x:c r="AB136" s="9" t="n">
        <x:f>(Inputs!$H$8+Inputs!$L$8*(((Inputs!$I$8+(((A136)+1)/2)*(Inputs!$J$8-Inputs!$I$8)))/Inputs!$K$8)^2)</x:f>
        <x:v>48.20988500000001</x:v>
      </x:c>
      <x:c r="AC136" s="9" t="n">
        <x:f>(Inputs!$H$9+Inputs!$L$9*(((Inputs!$I$9+(((A136)+1)/2)*(Inputs!$J$9-Inputs!$I$9)))/Inputs!$K$9)^2)</x:f>
        <x:v>38.34677500000001</x:v>
      </x:c>
      <x:c r="AD136" s="10"/>
      <x:c r="AE136" s="9">
        <x:f t="shared" si="22"/>
        <x:v>0.11700000000000001</x:v>
      </x:c>
      <x:c r="AF136" s="9"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9"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9"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9"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10"/>
      <x:c r="AK136" s="9">
        <x:f t="shared" si="23"/>
        <x:v>0.11700000000000001</x:v>
      </x:c>
      <x:c r="AL136" s="9"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9"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9"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9"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10"/>
      <x:c r="AQ136" s="9">
        <x:f t="shared" si="24"/>
        <x:v>0.11700000000000001</x:v>
      </x:c>
      <x:c r="AR136" s="9" t="n">
        <x:f>0</x:f>
        <x:v>0</x:v>
      </x:c>
      <x:c r="AS136" s="9"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x:f>
        <x:v>519.316452126719</x:v>
      </x:c>
      <x:c r="AT136" s="9"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x:f>
        <x:v>135.16456938627948</x:v>
      </x:c>
      <x:c r="AU136" s="9"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x:f>
        <x:v>197.54926426745948</x:v>
      </x:c>
      <x:c r="AV136" s="9"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x:f>
        <x:v>197.54926426745948</x:v>
      </x:c>
      <x:c r="AW136" s="10"/>
      <x:c r="AX136" s="9">
        <x:f t="shared" si="25"/>
        <x:v>0.11700000000000001</x:v>
      </x:c>
      <x:c r="AY136" s="9" t="n">
        <x:f>0</x:f>
        <x:v>0</x:v>
      </x:c>
      <x:c r="AZ136" s="9" t="n">
        <x:f>IF(OR(Inputs!$F$6=TRUE,Inputs!$F$6="TRUE",Inputs!$F$6=1),(Inputs!$H$6+Inputs!$L$6*(((Inputs!$I$6+(((A136)+1)/2)*(Inputs!$J$6-Inputs!$I$6)))/Inputs!$K$6)^2),NA())</x:f>
        <x:v>400.054756</x:v>
      </x:c>
      <x:c r="BA136" s="9" t="n">
        <x:f>IF(OR(Inputs!$F$7=TRUE,Inputs!$F$7="TRUE",Inputs!$F$7=1),(Inputs!$H$7+Inputs!$L$7*(((Inputs!$I$7+(((A136)+1)/2)*(Inputs!$J$7-Inputs!$I$7)))/Inputs!$K$7)^2),NA())</x:f>
        <x:v>39.99648500000001</x:v>
      </x:c>
      <x:c r="BB136" s="9" t="n">
        <x:f>IF(OR(Inputs!$F$8=TRUE,Inputs!$F$8="TRUE",Inputs!$F$8=1),(Inputs!$H$8+Inputs!$L$8*(((Inputs!$I$8+(((A136)+1)/2)*(Inputs!$J$8-Inputs!$I$8)))/Inputs!$K$8)^2),NA())</x:f>
        <x:v>48.20988500000001</x:v>
      </x:c>
      <x:c r="BC136" s="9" t="n">
        <x:f>IF(OR(Inputs!$F$9=TRUE,Inputs!$F$9="TRUE",Inputs!$F$9=1),(Inputs!$H$9+Inputs!$L$9*(((Inputs!$I$9+(((A136)+1)/2)*(Inputs!$J$9-Inputs!$I$9)))/Inputs!$K$9)^2),NA())</x:f>
        <x:v>38.34677500000001</x:v>
      </x:c>
      <x:c r="BD136" s="10"/>
      <x:c r="BE136" s="9">
        <x:f t="shared" si="26"/>
        <x:v>0.11700000000000001</x:v>
      </x:c>
      <x:c r="BF136" s="9" t="n">
        <x:f>0</x:f>
        <x:v>0</x:v>
      </x:c>
      <x:c r="BG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9" t="n">
        <x:f>ROUND(-1+135*2/240,3)</x:f>
        <x:v>0.125</x:v>
      </x:c>
      <x:c r="B137" s="9" t="n">
        <x:f>IF(OR(Inputs!$F$6=TRUE,Inputs!$F$6="TRUE",Inputs!$F$6=1),(Inputs!$H$6+Inputs!$L$6*(((Inputs!$I$6+(((A137)+1)/2)*(Inputs!$J$6-Inputs!$I$6)))/Inputs!$K$6)^2),NA())</x:f>
        <x:v>400.0625</x:v>
      </x:c>
      <x:c r="C137" s="9" t="n">
        <x:f>IF(OR(Inputs!$F$7=TRUE,Inputs!$F$7="TRUE",Inputs!$F$7=1),(Inputs!$H$7+Inputs!$L$7*(((Inputs!$I$7+(((A137)+1)/2)*(Inputs!$J$7-Inputs!$I$7)))/Inputs!$K$7)^2),NA())</x:f>
        <x:v>40.703125</x:v>
      </x:c>
      <x:c r="D137" s="9" t="n">
        <x:f>IF(OR(Inputs!$F$8=TRUE,Inputs!$F$8="TRUE",Inputs!$F$8=1),(Inputs!$H$8+Inputs!$L$8*(((Inputs!$I$8+(((A137)+1)/2)*(Inputs!$J$8-Inputs!$I$8)))/Inputs!$K$8)^2),NA())</x:f>
        <x:v>50.078125</x:v>
      </x:c>
      <x:c r="E137" s="9" t="n">
        <x:f>IF(OR(Inputs!$F$9=TRUE,Inputs!$F$9="TRUE",Inputs!$F$9=1),(Inputs!$H$9+Inputs!$L$9*(((Inputs!$I$9+(((A137)+1)/2)*(Inputs!$J$9-Inputs!$I$9)))/Inputs!$K$9)^2),NA())</x:f>
        <x:v>40.234375</x:v>
      </x:c>
      <x:c r="F137" s="10"/>
      <x:c r="G137" s="9">
        <x:f t="shared" si="18"/>
        <x:v>0.125</x:v>
      </x:c>
      <x:c r="H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10"/>
      <x:c r="M137" s="9">
        <x:f t="shared" si="19"/>
        <x:v>0.125</x:v>
      </x:c>
      <x:c r="N137" s="9"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9"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9"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9"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10"/>
      <x:c r="S137" s="9">
        <x:f t="shared" si="20"/>
        <x:v>0.125</x:v>
      </x:c>
      <x:c r="T137" s="9" t="n">
        <x:f>(Inputs!$I$6+(((A137)+1)/2)*(Inputs!$J$6-Inputs!$I$6))</x:f>
        <x:v>7.5</x:v>
      </x:c>
      <x:c r="U137" s="9" t="n">
        <x:f>(Inputs!$I$7+(((A137)+1)/2)*(Inputs!$J$7-Inputs!$I$7))</x:f>
        <x:v>50</x:v>
      </x:c>
      <x:c r="V137" s="9" t="n">
        <x:f>(Inputs!$I$8+(((A137)+1)/2)*(Inputs!$J$8-Inputs!$I$8))</x:f>
        <x:v>100</x:v>
      </x:c>
      <x:c r="W137" s="9" t="n">
        <x:f>(Inputs!$I$9+(((A137)+1)/2)*(Inputs!$J$9-Inputs!$I$9))</x:f>
        <x:v>100</x:v>
      </x:c>
      <x:c r="X137" s="10"/>
      <x:c r="Y137" s="9">
        <x:f t="shared" si="21"/>
        <x:v>0.125</x:v>
      </x:c>
      <x:c r="Z137" s="9" t="n">
        <x:f>(Inputs!$H$6+Inputs!$L$6*(((Inputs!$I$6+(((A137)+1)/2)*(Inputs!$J$6-Inputs!$I$6)))/Inputs!$K$6)^2)</x:f>
        <x:v>400.0625</x:v>
      </x:c>
      <x:c r="AA137" s="9" t="n">
        <x:f>(Inputs!$H$7+Inputs!$L$7*(((Inputs!$I$7+(((A137)+1)/2)*(Inputs!$J$7-Inputs!$I$7)))/Inputs!$K$7)^2)</x:f>
        <x:v>40.703125</x:v>
      </x:c>
      <x:c r="AB137" s="9" t="n">
        <x:f>(Inputs!$H$8+Inputs!$L$8*(((Inputs!$I$8+(((A137)+1)/2)*(Inputs!$J$8-Inputs!$I$8)))/Inputs!$K$8)^2)</x:f>
        <x:v>50.078125</x:v>
      </x:c>
      <x:c r="AC137" s="9" t="n">
        <x:f>(Inputs!$H$9+Inputs!$L$9*(((Inputs!$I$9+(((A137)+1)/2)*(Inputs!$J$9-Inputs!$I$9)))/Inputs!$K$9)^2)</x:f>
        <x:v>40.234375</x:v>
      </x:c>
      <x:c r="AD137" s="10"/>
      <x:c r="AE137" s="9">
        <x:f t="shared" si="22"/>
        <x:v>0.125</x:v>
      </x:c>
      <x:c r="AF137" s="9"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9"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9"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9"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10"/>
      <x:c r="AK137" s="9">
        <x:f t="shared" si="23"/>
        <x:v>0.125</x:v>
      </x:c>
      <x:c r="AL137" s="9"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9"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9"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9"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10"/>
      <x:c r="AQ137" s="9">
        <x:f t="shared" si="24"/>
        <x:v>0.125</x:v>
      </x:c>
      <x:c r="AR137" s="9" t="n">
        <x:f>0</x:f>
        <x:v>0</x:v>
      </x:c>
      <x:c r="AS137" s="9"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x:f>
        <x:v>503.48380224840304</x:v>
      </x:c>
      <x:c r="AT137" s="9"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x:f>
        <x:v>115.23525161719914</x:v>
      </x:c>
      <x:c r="AU137" s="9"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x:f>
        <x:v>145.81280158474385</x:v>
      </x:c>
      <x:c r="AV137" s="9"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x:f>
        <x:v>145.81280158474385</x:v>
      </x:c>
      <x:c r="AW137" s="10"/>
      <x:c r="AX137" s="9">
        <x:f t="shared" si="25"/>
        <x:v>0.125</x:v>
      </x:c>
      <x:c r="AY137" s="9" t="n">
        <x:f>0</x:f>
        <x:v>0</x:v>
      </x:c>
      <x:c r="AZ137" s="9" t="n">
        <x:f>IF(OR(Inputs!$F$6=TRUE,Inputs!$F$6="TRUE",Inputs!$F$6=1),(Inputs!$H$6+Inputs!$L$6*(((Inputs!$I$6+(((A137)+1)/2)*(Inputs!$J$6-Inputs!$I$6)))/Inputs!$K$6)^2),NA())</x:f>
        <x:v>400.0625</x:v>
      </x:c>
      <x:c r="BA137" s="9" t="n">
        <x:f>IF(OR(Inputs!$F$7=TRUE,Inputs!$F$7="TRUE",Inputs!$F$7=1),(Inputs!$H$7+Inputs!$L$7*(((Inputs!$I$7+(((A137)+1)/2)*(Inputs!$J$7-Inputs!$I$7)))/Inputs!$K$7)^2),NA())</x:f>
        <x:v>40.703125</x:v>
      </x:c>
      <x:c r="BB137" s="9" t="n">
        <x:f>IF(OR(Inputs!$F$8=TRUE,Inputs!$F$8="TRUE",Inputs!$F$8=1),(Inputs!$H$8+Inputs!$L$8*(((Inputs!$I$8+(((A137)+1)/2)*(Inputs!$J$8-Inputs!$I$8)))/Inputs!$K$8)^2),NA())</x:f>
        <x:v>50.078125</x:v>
      </x:c>
      <x:c r="BC137" s="9" t="n">
        <x:f>IF(OR(Inputs!$F$9=TRUE,Inputs!$F$9="TRUE",Inputs!$F$9=1),(Inputs!$H$9+Inputs!$L$9*(((Inputs!$I$9+(((A137)+1)/2)*(Inputs!$J$9-Inputs!$I$9)))/Inputs!$K$9)^2),NA())</x:f>
        <x:v>40.234375</x:v>
      </x:c>
      <x:c r="BD137" s="10"/>
      <x:c r="BE137" s="9">
        <x:f t="shared" si="26"/>
        <x:v>0.125</x:v>
      </x:c>
      <x:c r="BF137" s="9" t="n">
        <x:f>0</x:f>
        <x:v>0</x:v>
      </x:c>
      <x:c r="BG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9" t="n">
        <x:f>ROUND(-1+136*2/240,3)</x:f>
        <x:v>0.133</x:v>
      </x:c>
      <x:c r="B138" s="9" t="n">
        <x:f>IF(OR(Inputs!$F$6=TRUE,Inputs!$F$6="TRUE",Inputs!$F$6=1),(Inputs!$H$6+Inputs!$L$6*(((Inputs!$I$6+(((A138)+1)/2)*(Inputs!$J$6-Inputs!$I$6)))/Inputs!$K$6)^2),NA())</x:f>
        <x:v>400.070756</x:v>
      </x:c>
      <x:c r="C138" s="9" t="n">
        <x:f>IF(OR(Inputs!$F$7=TRUE,Inputs!$F$7="TRUE",Inputs!$F$7=1),(Inputs!$H$7+Inputs!$L$7*(((Inputs!$I$7+(((A138)+1)/2)*(Inputs!$J$7-Inputs!$I$7)))/Inputs!$K$7)^2),NA())</x:f>
        <x:v>41.456485</x:v>
      </x:c>
      <x:c r="D138" s="9" t="n">
        <x:f>IF(OR(Inputs!$F$8=TRUE,Inputs!$F$8="TRUE",Inputs!$F$8=1),(Inputs!$H$8+Inputs!$L$8*(((Inputs!$I$8+(((A138)+1)/2)*(Inputs!$J$8-Inputs!$I$8)))/Inputs!$K$8)^2),NA())</x:f>
        <x:v>52.06988499999999</x:v>
      </x:c>
      <x:c r="E138" s="9" t="n">
        <x:f>IF(OR(Inputs!$F$9=TRUE,Inputs!$F$9="TRUE",Inputs!$F$9=1),(Inputs!$H$9+Inputs!$L$9*(((Inputs!$I$9+(((A138)+1)/2)*(Inputs!$J$9-Inputs!$I$9)))/Inputs!$K$9)^2),NA())</x:f>
        <x:v>42.24677499999999</x:v>
      </x:c>
      <x:c r="F138" s="10"/>
      <x:c r="G138" s="9">
        <x:f t="shared" si="18"/>
        <x:v>0.13300000000000001</x:v>
      </x:c>
      <x:c r="H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10"/>
      <x:c r="M138" s="9">
        <x:f t="shared" si="19"/>
        <x:v>0.13300000000000001</x:v>
      </x:c>
      <x:c r="N138" s="9"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9"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9"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9"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10"/>
      <x:c r="S138" s="9">
        <x:f t="shared" si="20"/>
        <x:v>0.13300000000000001</x:v>
      </x:c>
      <x:c r="T138" s="9" t="n">
        <x:f>(Inputs!$I$6+(((A138)+1)/2)*(Inputs!$J$6-Inputs!$I$6))</x:f>
        <x:v>7.980000000000004</x:v>
      </x:c>
      <x:c r="U138" s="9" t="n">
        <x:f>(Inputs!$I$7+(((A138)+1)/2)*(Inputs!$J$7-Inputs!$I$7))</x:f>
        <x:v>53.19999999999999</x:v>
      </x:c>
      <x:c r="V138" s="9" t="n">
        <x:f>(Inputs!$I$8+(((A138)+1)/2)*(Inputs!$J$8-Inputs!$I$8))</x:f>
        <x:v>106.39999999999998</x:v>
      </x:c>
      <x:c r="W138" s="9" t="n">
        <x:f>(Inputs!$I$9+(((A138)+1)/2)*(Inputs!$J$9-Inputs!$I$9))</x:f>
        <x:v>106.39999999999998</x:v>
      </x:c>
      <x:c r="X138" s="10"/>
      <x:c r="Y138" s="9">
        <x:f t="shared" si="21"/>
        <x:v>0.13300000000000001</x:v>
      </x:c>
      <x:c r="Z138" s="9" t="n">
        <x:f>(Inputs!$H$6+Inputs!$L$6*(((Inputs!$I$6+(((A138)+1)/2)*(Inputs!$J$6-Inputs!$I$6)))/Inputs!$K$6)^2)</x:f>
        <x:v>400.070756</x:v>
      </x:c>
      <x:c r="AA138" s="9" t="n">
        <x:f>(Inputs!$H$7+Inputs!$L$7*(((Inputs!$I$7+(((A138)+1)/2)*(Inputs!$J$7-Inputs!$I$7)))/Inputs!$K$7)^2)</x:f>
        <x:v>41.456485</x:v>
      </x:c>
      <x:c r="AB138" s="9" t="n">
        <x:f>(Inputs!$H$8+Inputs!$L$8*(((Inputs!$I$8+(((A138)+1)/2)*(Inputs!$J$8-Inputs!$I$8)))/Inputs!$K$8)^2)</x:f>
        <x:v>52.06988499999999</x:v>
      </x:c>
      <x:c r="AC138" s="9" t="n">
        <x:f>(Inputs!$H$9+Inputs!$L$9*(((Inputs!$I$9+(((A138)+1)/2)*(Inputs!$J$9-Inputs!$I$9)))/Inputs!$K$9)^2)</x:f>
        <x:v>42.24677499999999</x:v>
      </x:c>
      <x:c r="AD138" s="10"/>
      <x:c r="AE138" s="9">
        <x:f t="shared" si="22"/>
        <x:v>0.13300000000000001</x:v>
      </x:c>
      <x:c r="AF138" s="9"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9"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9"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9"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10"/>
      <x:c r="AK138" s="9">
        <x:f t="shared" si="23"/>
        <x:v>0.13300000000000001</x:v>
      </x:c>
      <x:c r="AL138" s="9"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9"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9"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9"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10"/>
      <x:c r="AQ138" s="9">
        <x:f t="shared" si="24"/>
        <x:v>0.13300000000000001</x:v>
      </x:c>
      <x:c r="AR138" s="9" t="n">
        <x:f>0</x:f>
        <x:v>0</x:v>
      </x:c>
      <x:c r="AS138" s="9"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x:f>
        <x:v>508.0006712814641</x:v>
      </x:c>
      <x:c r="AT138" s="9"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x:f>
        <x:v>174.2761924941442</x:v>
      </x:c>
      <x:c r="AU138" s="9"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x:f>
        <x:v>80.33930635150735</x:v>
      </x:c>
      <x:c r="AV138" s="9"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x:f>
        <x:v>80.33930635150735</x:v>
      </x:c>
      <x:c r="AW138" s="10"/>
      <x:c r="AX138" s="9">
        <x:f t="shared" si="25"/>
        <x:v>0.13300000000000001</x:v>
      </x:c>
      <x:c r="AY138" s="9" t="n">
        <x:f>0</x:f>
        <x:v>0</x:v>
      </x:c>
      <x:c r="AZ138" s="9" t="n">
        <x:f>IF(OR(Inputs!$F$6=TRUE,Inputs!$F$6="TRUE",Inputs!$F$6=1),(Inputs!$H$6+Inputs!$L$6*(((Inputs!$I$6+(((A138)+1)/2)*(Inputs!$J$6-Inputs!$I$6)))/Inputs!$K$6)^2),NA())</x:f>
        <x:v>400.070756</x:v>
      </x:c>
      <x:c r="BA138" s="9" t="n">
        <x:f>IF(OR(Inputs!$F$7=TRUE,Inputs!$F$7="TRUE",Inputs!$F$7=1),(Inputs!$H$7+Inputs!$L$7*(((Inputs!$I$7+(((A138)+1)/2)*(Inputs!$J$7-Inputs!$I$7)))/Inputs!$K$7)^2),NA())</x:f>
        <x:v>41.456485</x:v>
      </x:c>
      <x:c r="BB138" s="9" t="n">
        <x:f>IF(OR(Inputs!$F$8=TRUE,Inputs!$F$8="TRUE",Inputs!$F$8=1),(Inputs!$H$8+Inputs!$L$8*(((Inputs!$I$8+(((A138)+1)/2)*(Inputs!$J$8-Inputs!$I$8)))/Inputs!$K$8)^2),NA())</x:f>
        <x:v>52.06988499999999</x:v>
      </x:c>
      <x:c r="BC138" s="9" t="n">
        <x:f>IF(OR(Inputs!$F$9=TRUE,Inputs!$F$9="TRUE",Inputs!$F$9=1),(Inputs!$H$9+Inputs!$L$9*(((Inputs!$I$9+(((A138)+1)/2)*(Inputs!$J$9-Inputs!$I$9)))/Inputs!$K$9)^2),NA())</x:f>
        <x:v>42.24677499999999</x:v>
      </x:c>
      <x:c r="BD138" s="10"/>
      <x:c r="BE138" s="9">
        <x:f t="shared" si="26"/>
        <x:v>0.13300000000000001</x:v>
      </x:c>
      <x:c r="BF138" s="9" t="n">
        <x:f>0</x:f>
        <x:v>0</x:v>
      </x:c>
      <x:c r="BG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9" t="n">
        <x:f>ROUND(-1+137*2/240,3)</x:f>
        <x:v>0.142</x:v>
      </x:c>
      <x:c r="B139" s="9" t="n">
        <x:f>IF(OR(Inputs!$F$6=TRUE,Inputs!$F$6="TRUE",Inputs!$F$6=1),(Inputs!$H$6+Inputs!$L$6*(((Inputs!$I$6+(((A139)+1)/2)*(Inputs!$J$6-Inputs!$I$6)))/Inputs!$K$6)^2),NA())</x:f>
        <x:v>400.080656</x:v>
      </x:c>
      <x:c r="C139" s="9" t="n">
        <x:f>IF(OR(Inputs!$F$7=TRUE,Inputs!$F$7="TRUE",Inputs!$F$7=1),(Inputs!$H$7+Inputs!$L$7*(((Inputs!$I$7+(((A139)+1)/2)*(Inputs!$J$7-Inputs!$I$7)))/Inputs!$K$7)^2),NA())</x:f>
        <x:v>42.35985999999998</x:v>
      </x:c>
      <x:c r="D139" s="9" t="n">
        <x:f>IF(OR(Inputs!$F$8=TRUE,Inputs!$F$8="TRUE",Inputs!$F$8=1),(Inputs!$H$8+Inputs!$L$8*(((Inputs!$I$8+(((A139)+1)/2)*(Inputs!$J$8-Inputs!$I$8)))/Inputs!$K$8)^2),NA())</x:f>
        <x:v>54.45825999999997</x:v>
      </x:c>
      <x:c r="E139" s="9" t="n">
        <x:f>IF(OR(Inputs!$F$9=TRUE,Inputs!$F$9="TRUE",Inputs!$F$9=1),(Inputs!$H$9+Inputs!$L$9*(((Inputs!$I$9+(((A139)+1)/2)*(Inputs!$J$9-Inputs!$I$9)))/Inputs!$K$9)^2),NA())</x:f>
        <x:v>44.659899999999965</x:v>
      </x:c>
      <x:c r="F139" s="10"/>
      <x:c r="G139" s="9">
        <x:f t="shared" si="18"/>
        <x:v>0.14199999999999999</x:v>
      </x:c>
      <x:c r="H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10"/>
      <x:c r="M139" s="9">
        <x:f t="shared" si="19"/>
        <x:v>0.14199999999999999</x:v>
      </x:c>
      <x:c r="N139" s="9"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9"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9"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9"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10"/>
      <x:c r="S139" s="9">
        <x:f t="shared" si="20"/>
        <x:v>0.14199999999999999</x:v>
      </x:c>
      <x:c r="T139" s="9" t="n">
        <x:f>(Inputs!$I$6+(((A139)+1)/2)*(Inputs!$J$6-Inputs!$I$6))</x:f>
        <x:v>8.519999999999996</x:v>
      </x:c>
      <x:c r="U139" s="9" t="n">
        <x:f>(Inputs!$I$7+(((A139)+1)/2)*(Inputs!$J$7-Inputs!$I$7))</x:f>
        <x:v>56.799999999999955</x:v>
      </x:c>
      <x:c r="V139" s="9" t="n">
        <x:f>(Inputs!$I$8+(((A139)+1)/2)*(Inputs!$J$8-Inputs!$I$8))</x:f>
        <x:v>113.59999999999991</x:v>
      </x:c>
      <x:c r="W139" s="9" t="n">
        <x:f>(Inputs!$I$9+(((A139)+1)/2)*(Inputs!$J$9-Inputs!$I$9))</x:f>
        <x:v>113.59999999999991</x:v>
      </x:c>
      <x:c r="X139" s="10"/>
      <x:c r="Y139" s="9">
        <x:f t="shared" si="21"/>
        <x:v>0.14199999999999999</x:v>
      </x:c>
      <x:c r="Z139" s="9" t="n">
        <x:f>(Inputs!$H$6+Inputs!$L$6*(((Inputs!$I$6+(((A139)+1)/2)*(Inputs!$J$6-Inputs!$I$6)))/Inputs!$K$6)^2)</x:f>
        <x:v>400.080656</x:v>
      </x:c>
      <x:c r="AA139" s="9" t="n">
        <x:f>(Inputs!$H$7+Inputs!$L$7*(((Inputs!$I$7+(((A139)+1)/2)*(Inputs!$J$7-Inputs!$I$7)))/Inputs!$K$7)^2)</x:f>
        <x:v>42.35985999999998</x:v>
      </x:c>
      <x:c r="AB139" s="9" t="n">
        <x:f>(Inputs!$H$8+Inputs!$L$8*(((Inputs!$I$8+(((A139)+1)/2)*(Inputs!$J$8-Inputs!$I$8)))/Inputs!$K$8)^2)</x:f>
        <x:v>54.45825999999997</x:v>
      </x:c>
      <x:c r="AC139" s="9" t="n">
        <x:f>(Inputs!$H$9+Inputs!$L$9*(((Inputs!$I$9+(((A139)+1)/2)*(Inputs!$J$9-Inputs!$I$9)))/Inputs!$K$9)^2)</x:f>
        <x:v>44.659899999999965</x:v>
      </x:c>
      <x:c r="AD139" s="10"/>
      <x:c r="AE139" s="9">
        <x:f t="shared" si="22"/>
        <x:v>0.14199999999999999</x:v>
      </x:c>
      <x:c r="AF139" s="9"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9"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9"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9"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10"/>
      <x:c r="AK139" s="9">
        <x:f t="shared" si="23"/>
        <x:v>0.14199999999999999</x:v>
      </x:c>
      <x:c r="AL139" s="9"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9"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9"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9"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10"/>
      <x:c r="AQ139" s="9">
        <x:f t="shared" si="24"/>
        <x:v>0.14199999999999999</x:v>
      </x:c>
      <x:c r="AR139" s="9" t="n">
        <x:f>0</x:f>
        <x:v>0</x:v>
      </x:c>
      <x:c r="AS139" s="9"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x:f>
        <x:v>500.7223918356248</x:v>
      </x:c>
      <x:c r="AT139" s="9"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x:f>
        <x:v>189.63904468643238</x:v>
      </x:c>
      <x:c r="AU139" s="9"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x:f>
        <x:v>198.24419205890257</x:v>
      </x:c>
      <x:c r="AV139" s="9"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x:f>
        <x:v>198.24419205890257</x:v>
      </x:c>
      <x:c r="AW139" s="10"/>
      <x:c r="AX139" s="9">
        <x:f t="shared" si="25"/>
        <x:v>0.14199999999999999</x:v>
      </x:c>
      <x:c r="AY139" s="9" t="n">
        <x:f>0</x:f>
        <x:v>0</x:v>
      </x:c>
      <x:c r="AZ139" s="9" t="n">
        <x:f>IF(OR(Inputs!$F$6=TRUE,Inputs!$F$6="TRUE",Inputs!$F$6=1),(Inputs!$H$6+Inputs!$L$6*(((Inputs!$I$6+(((A139)+1)/2)*(Inputs!$J$6-Inputs!$I$6)))/Inputs!$K$6)^2),NA())</x:f>
        <x:v>400.080656</x:v>
      </x:c>
      <x:c r="BA139" s="9" t="n">
        <x:f>IF(OR(Inputs!$F$7=TRUE,Inputs!$F$7="TRUE",Inputs!$F$7=1),(Inputs!$H$7+Inputs!$L$7*(((Inputs!$I$7+(((A139)+1)/2)*(Inputs!$J$7-Inputs!$I$7)))/Inputs!$K$7)^2),NA())</x:f>
        <x:v>42.35985999999998</x:v>
      </x:c>
      <x:c r="BB139" s="9" t="n">
        <x:f>IF(OR(Inputs!$F$8=TRUE,Inputs!$F$8="TRUE",Inputs!$F$8=1),(Inputs!$H$8+Inputs!$L$8*(((Inputs!$I$8+(((A139)+1)/2)*(Inputs!$J$8-Inputs!$I$8)))/Inputs!$K$8)^2),NA())</x:f>
        <x:v>54.45825999999997</x:v>
      </x:c>
      <x:c r="BC139" s="9" t="n">
        <x:f>IF(OR(Inputs!$F$9=TRUE,Inputs!$F$9="TRUE",Inputs!$F$9=1),(Inputs!$H$9+Inputs!$L$9*(((Inputs!$I$9+(((A139)+1)/2)*(Inputs!$J$9-Inputs!$I$9)))/Inputs!$K$9)^2),NA())</x:f>
        <x:v>44.659899999999965</x:v>
      </x:c>
      <x:c r="BD139" s="10"/>
      <x:c r="BE139" s="9">
        <x:f t="shared" si="26"/>
        <x:v>0.14199999999999999</x:v>
      </x:c>
      <x:c r="BF139" s="9" t="n">
        <x:f>0</x:f>
        <x:v>0</x:v>
      </x:c>
      <x:c r="BG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9" t="n">
        <x:f>ROUND(-1+138*2/240,3)</x:f>
        <x:v>0.15</x:v>
      </x:c>
      <x:c r="B140" s="9" t="n">
        <x:f>IF(OR(Inputs!$F$6=TRUE,Inputs!$F$6="TRUE",Inputs!$F$6=1),(Inputs!$H$6+Inputs!$L$6*(((Inputs!$I$6+(((A140)+1)/2)*(Inputs!$J$6-Inputs!$I$6)))/Inputs!$K$6)^2),NA())</x:f>
        <x:v>400.09</x:v>
      </x:c>
      <x:c r="C140" s="9" t="n">
        <x:f>IF(OR(Inputs!$F$7=TRUE,Inputs!$F$7="TRUE",Inputs!$F$7=1),(Inputs!$H$7+Inputs!$L$7*(((Inputs!$I$7+(((A140)+1)/2)*(Inputs!$J$7-Inputs!$I$7)))/Inputs!$K$7)^2),NA())</x:f>
        <x:v>43.212499999999984</x:v>
      </x:c>
      <x:c r="D140" s="9" t="n">
        <x:f>IF(OR(Inputs!$F$8=TRUE,Inputs!$F$8="TRUE",Inputs!$F$8=1),(Inputs!$H$8+Inputs!$L$8*(((Inputs!$I$8+(((A140)+1)/2)*(Inputs!$J$8-Inputs!$I$8)))/Inputs!$K$8)^2),NA())</x:f>
        <x:v>56.71249999999996</x:v>
      </x:c>
      <x:c r="E140" s="9" t="n">
        <x:f>IF(OR(Inputs!$F$9=TRUE,Inputs!$F$9="TRUE",Inputs!$F$9=1),(Inputs!$H$9+Inputs!$L$9*(((Inputs!$I$9+(((A140)+1)/2)*(Inputs!$J$9-Inputs!$I$9)))/Inputs!$K$9)^2),NA())</x:f>
        <x:v>46.93749999999996</x:v>
      </x:c>
      <x:c r="F140" s="10"/>
      <x:c r="G140" s="9">
        <x:f t="shared" si="18"/>
        <x:v>0.15</x:v>
      </x:c>
      <x:c r="H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10"/>
      <x:c r="M140" s="9">
        <x:f t="shared" si="19"/>
        <x:v>0.15</x:v>
      </x:c>
      <x:c r="N140" s="9"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9"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9"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9"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10"/>
      <x:c r="S140" s="9">
        <x:f t="shared" si="20"/>
        <x:v>0.15</x:v>
      </x:c>
      <x:c r="T140" s="9" t="n">
        <x:f>(Inputs!$I$6+(((A140)+1)/2)*(Inputs!$J$6-Inputs!$I$6))</x:f>
        <x:v>9</x:v>
      </x:c>
      <x:c r="U140" s="9" t="n">
        <x:f>(Inputs!$I$7+(((A140)+1)/2)*(Inputs!$J$7-Inputs!$I$7))</x:f>
        <x:v>59.99999999999994</x:v>
      </x:c>
      <x:c r="V140" s="9" t="n">
        <x:f>(Inputs!$I$8+(((A140)+1)/2)*(Inputs!$J$8-Inputs!$I$8))</x:f>
        <x:v>119.99999999999989</x:v>
      </x:c>
      <x:c r="W140" s="9" t="n">
        <x:f>(Inputs!$I$9+(((A140)+1)/2)*(Inputs!$J$9-Inputs!$I$9))</x:f>
        <x:v>119.99999999999989</x:v>
      </x:c>
      <x:c r="X140" s="10"/>
      <x:c r="Y140" s="9">
        <x:f t="shared" si="21"/>
        <x:v>0.15</x:v>
      </x:c>
      <x:c r="Z140" s="9" t="n">
        <x:f>(Inputs!$H$6+Inputs!$L$6*(((Inputs!$I$6+(((A140)+1)/2)*(Inputs!$J$6-Inputs!$I$6)))/Inputs!$K$6)^2)</x:f>
        <x:v>400.09</x:v>
      </x:c>
      <x:c r="AA140" s="9" t="n">
        <x:f>(Inputs!$H$7+Inputs!$L$7*(((Inputs!$I$7+(((A140)+1)/2)*(Inputs!$J$7-Inputs!$I$7)))/Inputs!$K$7)^2)</x:f>
        <x:v>43.212499999999984</x:v>
      </x:c>
      <x:c r="AB140" s="9" t="n">
        <x:f>(Inputs!$H$8+Inputs!$L$8*(((Inputs!$I$8+(((A140)+1)/2)*(Inputs!$J$8-Inputs!$I$8)))/Inputs!$K$8)^2)</x:f>
        <x:v>56.71249999999996</x:v>
      </x:c>
      <x:c r="AC140" s="9" t="n">
        <x:f>(Inputs!$H$9+Inputs!$L$9*(((Inputs!$I$9+(((A140)+1)/2)*(Inputs!$J$9-Inputs!$I$9)))/Inputs!$K$9)^2)</x:f>
        <x:v>46.93749999999996</x:v>
      </x:c>
      <x:c r="AD140" s="10"/>
      <x:c r="AE140" s="9">
        <x:f t="shared" si="22"/>
        <x:v>0.15</x:v>
      </x:c>
      <x:c r="AF140" s="9"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9"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9"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9"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10"/>
      <x:c r="AK140" s="9">
        <x:f t="shared" si="23"/>
        <x:v>0.15</x:v>
      </x:c>
      <x:c r="AL140" s="9"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9"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9"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9"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10"/>
      <x:c r="AQ140" s="9">
        <x:f t="shared" si="24"/>
        <x:v>0.15</x:v>
      </x:c>
      <x:c r="AR140" s="9" t="n">
        <x:f>0</x:f>
        <x:v>0</x:v>
      </x:c>
      <x:c r="AS140" s="9"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x:f>
        <x:v>481.22587957439987</x:v>
      </x:c>
      <x:c r="AT140" s="9"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x:f>
        <x:v>179.34901179725153</x:v>
      </x:c>
      <x:c r="AU140" s="9"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x:f>
        <x:v>68.45877244632369</x:v>
      </x:c>
      <x:c r="AV140" s="9"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x:f>
        <x:v>68.45877244632369</x:v>
      </x:c>
      <x:c r="AW140" s="10"/>
      <x:c r="AX140" s="9">
        <x:f t="shared" si="25"/>
        <x:v>0.15</x:v>
      </x:c>
      <x:c r="AY140" s="9" t="n">
        <x:f>0</x:f>
        <x:v>0</x:v>
      </x:c>
      <x:c r="AZ140" s="9" t="n">
        <x:f>IF(OR(Inputs!$F$6=TRUE,Inputs!$F$6="TRUE",Inputs!$F$6=1),(Inputs!$H$6+Inputs!$L$6*(((Inputs!$I$6+(((A140)+1)/2)*(Inputs!$J$6-Inputs!$I$6)))/Inputs!$K$6)^2),NA())</x:f>
        <x:v>400.09</x:v>
      </x:c>
      <x:c r="BA140" s="9" t="n">
        <x:f>IF(OR(Inputs!$F$7=TRUE,Inputs!$F$7="TRUE",Inputs!$F$7=1),(Inputs!$H$7+Inputs!$L$7*(((Inputs!$I$7+(((A140)+1)/2)*(Inputs!$J$7-Inputs!$I$7)))/Inputs!$K$7)^2),NA())</x:f>
        <x:v>43.212499999999984</x:v>
      </x:c>
      <x:c r="BB140" s="9" t="n">
        <x:f>IF(OR(Inputs!$F$8=TRUE,Inputs!$F$8="TRUE",Inputs!$F$8=1),(Inputs!$H$8+Inputs!$L$8*(((Inputs!$I$8+(((A140)+1)/2)*(Inputs!$J$8-Inputs!$I$8)))/Inputs!$K$8)^2),NA())</x:f>
        <x:v>56.71249999999996</x:v>
      </x:c>
      <x:c r="BC140" s="9" t="n">
        <x:f>IF(OR(Inputs!$F$9=TRUE,Inputs!$F$9="TRUE",Inputs!$F$9=1),(Inputs!$H$9+Inputs!$L$9*(((Inputs!$I$9+(((A140)+1)/2)*(Inputs!$J$9-Inputs!$I$9)))/Inputs!$K$9)^2),NA())</x:f>
        <x:v>46.93749999999996</x:v>
      </x:c>
      <x:c r="BD140" s="10"/>
      <x:c r="BE140" s="9">
        <x:f t="shared" si="26"/>
        <x:v>0.15</x:v>
      </x:c>
      <x:c r="BF140" s="9" t="n">
        <x:f>0</x:f>
        <x:v>0</x:v>
      </x:c>
      <x:c r="BG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9" t="n">
        <x:f>ROUND(-1+139*2/240,3)</x:f>
        <x:v>0.158</x:v>
      </x:c>
      <x:c r="B141" s="9" t="n">
        <x:f>IF(OR(Inputs!$F$6=TRUE,Inputs!$F$6="TRUE",Inputs!$F$6=1),(Inputs!$H$6+Inputs!$L$6*(((Inputs!$I$6+(((A141)+1)/2)*(Inputs!$J$6-Inputs!$I$6)))/Inputs!$K$6)^2),NA())</x:f>
        <x:v>400.099856</x:v>
      </x:c>
      <x:c r="C141" s="9" t="n">
        <x:f>IF(OR(Inputs!$F$7=TRUE,Inputs!$F$7="TRUE",Inputs!$F$7=1),(Inputs!$H$7+Inputs!$L$7*(((Inputs!$I$7+(((A141)+1)/2)*(Inputs!$J$7-Inputs!$I$7)))/Inputs!$K$7)^2),NA())</x:f>
        <x:v>44.11186</x:v>
      </x:c>
      <x:c r="D141" s="9" t="n">
        <x:f>IF(OR(Inputs!$F$8=TRUE,Inputs!$F$8="TRUE",Inputs!$F$8=1),(Inputs!$H$8+Inputs!$L$8*(((Inputs!$I$8+(((A141)+1)/2)*(Inputs!$J$8-Inputs!$I$8)))/Inputs!$K$8)^2),NA())</x:f>
        <x:v>59.090259999999994</x:v>
      </x:c>
      <x:c r="E141" s="9" t="n">
        <x:f>IF(OR(Inputs!$F$9=TRUE,Inputs!$F$9="TRUE",Inputs!$F$9=1),(Inputs!$H$9+Inputs!$L$9*(((Inputs!$I$9+(((A141)+1)/2)*(Inputs!$J$9-Inputs!$I$9)))/Inputs!$K$9)^2),NA())</x:f>
        <x:v>49.33989999999999</x:v>
      </x:c>
      <x:c r="F141" s="10"/>
      <x:c r="G141" s="9">
        <x:f t="shared" si="18"/>
        <x:v>0.158</x:v>
      </x:c>
      <x:c r="H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10"/>
      <x:c r="M141" s="9">
        <x:f t="shared" si="19"/>
        <x:v>0.158</x:v>
      </x:c>
      <x:c r="N141" s="9"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9"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9"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9"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10"/>
      <x:c r="S141" s="9">
        <x:f t="shared" si="20"/>
        <x:v>0.158</x:v>
      </x:c>
      <x:c r="T141" s="9" t="n">
        <x:f>(Inputs!$I$6+(((A141)+1)/2)*(Inputs!$J$6-Inputs!$I$6))</x:f>
        <x:v>9.47999999999999</x:v>
      </x:c>
      <x:c r="U141" s="9" t="n">
        <x:f>(Inputs!$I$7+(((A141)+1)/2)*(Inputs!$J$7-Inputs!$I$7))</x:f>
        <x:v>63.19999999999999</x:v>
      </x:c>
      <x:c r="V141" s="9" t="n">
        <x:f>(Inputs!$I$8+(((A141)+1)/2)*(Inputs!$J$8-Inputs!$I$8))</x:f>
        <x:v>126.39999999999998</x:v>
      </x:c>
      <x:c r="W141" s="9" t="n">
        <x:f>(Inputs!$I$9+(((A141)+1)/2)*(Inputs!$J$9-Inputs!$I$9))</x:f>
        <x:v>126.39999999999998</x:v>
      </x:c>
      <x:c r="X141" s="10"/>
      <x:c r="Y141" s="9">
        <x:f t="shared" si="21"/>
        <x:v>0.158</x:v>
      </x:c>
      <x:c r="Z141" s="9" t="n">
        <x:f>(Inputs!$H$6+Inputs!$L$6*(((Inputs!$I$6+(((A141)+1)/2)*(Inputs!$J$6-Inputs!$I$6)))/Inputs!$K$6)^2)</x:f>
        <x:v>400.099856</x:v>
      </x:c>
      <x:c r="AA141" s="9" t="n">
        <x:f>(Inputs!$H$7+Inputs!$L$7*(((Inputs!$I$7+(((A141)+1)/2)*(Inputs!$J$7-Inputs!$I$7)))/Inputs!$K$7)^2)</x:f>
        <x:v>44.11186</x:v>
      </x:c>
      <x:c r="AB141" s="9" t="n">
        <x:f>(Inputs!$H$8+Inputs!$L$8*(((Inputs!$I$8+(((A141)+1)/2)*(Inputs!$J$8-Inputs!$I$8)))/Inputs!$K$8)^2)</x:f>
        <x:v>59.090259999999994</x:v>
      </x:c>
      <x:c r="AC141" s="9" t="n">
        <x:f>(Inputs!$H$9+Inputs!$L$9*(((Inputs!$I$9+(((A141)+1)/2)*(Inputs!$J$9-Inputs!$I$9)))/Inputs!$K$9)^2)</x:f>
        <x:v>49.33989999999999</x:v>
      </x:c>
      <x:c r="AD141" s="10"/>
      <x:c r="AE141" s="9">
        <x:f t="shared" si="22"/>
        <x:v>0.158</x:v>
      </x:c>
      <x:c r="AF141" s="9"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9"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9"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9"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10"/>
      <x:c r="AK141" s="9">
        <x:f t="shared" si="23"/>
        <x:v>0.158</x:v>
      </x:c>
      <x:c r="AL141" s="9"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9"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9"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9"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10"/>
      <x:c r="AQ141" s="9">
        <x:f t="shared" si="24"/>
        <x:v>0.158</x:v>
      </x:c>
      <x:c r="AR141" s="9" t="n">
        <x:f>0</x:f>
        <x:v>0</x:v>
      </x:c>
      <x:c r="AS141" s="9"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x:f>
        <x:v>470.86072890691673</x:v>
      </x:c>
      <x:c r="AT141" s="9"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x:f>
        <x:v>163.0488383631107</x:v>
      </x:c>
      <x:c r="AU141" s="9"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x:f>
        <x:v>140.66154472484308</x:v>
      </x:c>
      <x:c r="AV141" s="9"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x:f>
        <x:v>140.66154472484308</x:v>
      </x:c>
      <x:c r="AW141" s="10"/>
      <x:c r="AX141" s="9">
        <x:f t="shared" si="25"/>
        <x:v>0.158</x:v>
      </x:c>
      <x:c r="AY141" s="9" t="n">
        <x:f>0</x:f>
        <x:v>0</x:v>
      </x:c>
      <x:c r="AZ141" s="9" t="n">
        <x:f>IF(OR(Inputs!$F$6=TRUE,Inputs!$F$6="TRUE",Inputs!$F$6=1),(Inputs!$H$6+Inputs!$L$6*(((Inputs!$I$6+(((A141)+1)/2)*(Inputs!$J$6-Inputs!$I$6)))/Inputs!$K$6)^2),NA())</x:f>
        <x:v>400.099856</x:v>
      </x:c>
      <x:c r="BA141" s="9" t="n">
        <x:f>IF(OR(Inputs!$F$7=TRUE,Inputs!$F$7="TRUE",Inputs!$F$7=1),(Inputs!$H$7+Inputs!$L$7*(((Inputs!$I$7+(((A141)+1)/2)*(Inputs!$J$7-Inputs!$I$7)))/Inputs!$K$7)^2),NA())</x:f>
        <x:v>44.11186</x:v>
      </x:c>
      <x:c r="BB141" s="9" t="n">
        <x:f>IF(OR(Inputs!$F$8=TRUE,Inputs!$F$8="TRUE",Inputs!$F$8=1),(Inputs!$H$8+Inputs!$L$8*(((Inputs!$I$8+(((A141)+1)/2)*(Inputs!$J$8-Inputs!$I$8)))/Inputs!$K$8)^2),NA())</x:f>
        <x:v>59.090259999999994</x:v>
      </x:c>
      <x:c r="BC141" s="9" t="n">
        <x:f>IF(OR(Inputs!$F$9=TRUE,Inputs!$F$9="TRUE",Inputs!$F$9=1),(Inputs!$H$9+Inputs!$L$9*(((Inputs!$I$9+(((A141)+1)/2)*(Inputs!$J$9-Inputs!$I$9)))/Inputs!$K$9)^2),NA())</x:f>
        <x:v>49.33989999999999</x:v>
      </x:c>
      <x:c r="BD141" s="10"/>
      <x:c r="BE141" s="9">
        <x:f t="shared" si="26"/>
        <x:v>0.158</x:v>
      </x:c>
      <x:c r="BF141" s="9" t="n">
        <x:f>0</x:f>
        <x:v>0</x:v>
      </x:c>
      <x:c r="BG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9" t="n">
        <x:f>ROUND(-1+140*2/240,3)</x:f>
        <x:v>0.167</x:v>
      </x:c>
      <x:c r="B142" s="9" t="n">
        <x:f>IF(OR(Inputs!$F$6=TRUE,Inputs!$F$6="TRUE",Inputs!$F$6=1),(Inputs!$H$6+Inputs!$L$6*(((Inputs!$I$6+(((A142)+1)/2)*(Inputs!$J$6-Inputs!$I$6)))/Inputs!$K$6)^2),NA())</x:f>
        <x:v>400.111556</x:v>
      </x:c>
      <x:c r="C142" s="9" t="n">
        <x:f>IF(OR(Inputs!$F$7=TRUE,Inputs!$F$7="TRUE",Inputs!$F$7=1),(Inputs!$H$7+Inputs!$L$7*(((Inputs!$I$7+(((A142)+1)/2)*(Inputs!$J$7-Inputs!$I$7)))/Inputs!$K$7)^2),NA())</x:f>
        <x:v>45.179485</x:v>
      </x:c>
      <x:c r="D142" s="9" t="n">
        <x:f>IF(OR(Inputs!$F$8=TRUE,Inputs!$F$8="TRUE",Inputs!$F$8=1),(Inputs!$H$8+Inputs!$L$8*(((Inputs!$I$8+(((A142)+1)/2)*(Inputs!$J$8-Inputs!$I$8)))/Inputs!$K$8)^2),NA())</x:f>
        <x:v>61.91288500000001</x:v>
      </x:c>
      <x:c r="E142" s="9" t="n">
        <x:f>IF(OR(Inputs!$F$9=TRUE,Inputs!$F$9="TRUE",Inputs!$F$9=1),(Inputs!$H$9+Inputs!$L$9*(((Inputs!$I$9+(((A142)+1)/2)*(Inputs!$J$9-Inputs!$I$9)))/Inputs!$K$9)^2),NA())</x:f>
        <x:v>52.19177500000001</x:v>
      </x:c>
      <x:c r="F142" s="10"/>
      <x:c r="G142" s="9">
        <x:f t="shared" si="18"/>
        <x:v>0.16700000000000001</x:v>
      </x:c>
      <x:c r="H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10"/>
      <x:c r="M142" s="9">
        <x:f t="shared" si="19"/>
        <x:v>0.16700000000000001</x:v>
      </x:c>
      <x:c r="N142" s="9"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9"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9"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9"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10"/>
      <x:c r="S142" s="9">
        <x:f t="shared" si="20"/>
        <x:v>0.16700000000000001</x:v>
      </x:c>
      <x:c r="T142" s="9" t="n">
        <x:f>(Inputs!$I$6+(((A142)+1)/2)*(Inputs!$J$6-Inputs!$I$6))</x:f>
        <x:v>10.019999999999996</x:v>
      </x:c>
      <x:c r="U142" s="9" t="n">
        <x:f>(Inputs!$I$7+(((A142)+1)/2)*(Inputs!$J$7-Inputs!$I$7))</x:f>
        <x:v>66.80000000000001</x:v>
      </x:c>
      <x:c r="V142" s="9" t="n">
        <x:f>(Inputs!$I$8+(((A142)+1)/2)*(Inputs!$J$8-Inputs!$I$8))</x:f>
        <x:v>133.60000000000002</x:v>
      </x:c>
      <x:c r="W142" s="9" t="n">
        <x:f>(Inputs!$I$9+(((A142)+1)/2)*(Inputs!$J$9-Inputs!$I$9))</x:f>
        <x:v>133.60000000000002</x:v>
      </x:c>
      <x:c r="X142" s="10"/>
      <x:c r="Y142" s="9">
        <x:f t="shared" si="21"/>
        <x:v>0.16700000000000001</x:v>
      </x:c>
      <x:c r="Z142" s="9" t="n">
        <x:f>(Inputs!$H$6+Inputs!$L$6*(((Inputs!$I$6+(((A142)+1)/2)*(Inputs!$J$6-Inputs!$I$6)))/Inputs!$K$6)^2)</x:f>
        <x:v>400.111556</x:v>
      </x:c>
      <x:c r="AA142" s="9" t="n">
        <x:f>(Inputs!$H$7+Inputs!$L$7*(((Inputs!$I$7+(((A142)+1)/2)*(Inputs!$J$7-Inputs!$I$7)))/Inputs!$K$7)^2)</x:f>
        <x:v>45.179485</x:v>
      </x:c>
      <x:c r="AB142" s="9" t="n">
        <x:f>(Inputs!$H$8+Inputs!$L$8*(((Inputs!$I$8+(((A142)+1)/2)*(Inputs!$J$8-Inputs!$I$8)))/Inputs!$K$8)^2)</x:f>
        <x:v>61.91288500000001</x:v>
      </x:c>
      <x:c r="AC142" s="9" t="n">
        <x:f>(Inputs!$H$9+Inputs!$L$9*(((Inputs!$I$9+(((A142)+1)/2)*(Inputs!$J$9-Inputs!$I$9)))/Inputs!$K$9)^2)</x:f>
        <x:v>52.19177500000001</x:v>
      </x:c>
      <x:c r="AD142" s="10"/>
      <x:c r="AE142" s="9">
        <x:f t="shared" si="22"/>
        <x:v>0.16700000000000001</x:v>
      </x:c>
      <x:c r="AF142" s="9"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9"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9"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9"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10"/>
      <x:c r="AK142" s="9">
        <x:f t="shared" si="23"/>
        <x:v>0.16700000000000001</x:v>
      </x:c>
      <x:c r="AL142" s="9"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9"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9"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9"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10"/>
      <x:c r="AQ142" s="9">
        <x:f t="shared" si="24"/>
        <x:v>0.16700000000000001</x:v>
      </x:c>
      <x:c r="AR142" s="9" t="n">
        <x:f>0</x:f>
        <x:v>0</x:v>
      </x:c>
      <x:c r="AS142" s="9"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x:f>
        <x:v>445.53234851770645</x:v>
      </x:c>
      <x:c r="AT142" s="9"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x:f>
        <x:v>115.5552676755764</x:v>
      </x:c>
      <x:c r="AU142" s="9"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x:f>
        <x:v>163.69674416862193</x:v>
      </x:c>
      <x:c r="AV142" s="9"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x:f>
        <x:v>163.69674416862193</x:v>
      </x:c>
      <x:c r="AW142" s="10"/>
      <x:c r="AX142" s="9">
        <x:f t="shared" si="25"/>
        <x:v>0.16700000000000001</x:v>
      </x:c>
      <x:c r="AY142" s="9" t="n">
        <x:f>0</x:f>
        <x:v>0</x:v>
      </x:c>
      <x:c r="AZ142" s="9" t="n">
        <x:f>IF(OR(Inputs!$F$6=TRUE,Inputs!$F$6="TRUE",Inputs!$F$6=1),(Inputs!$H$6+Inputs!$L$6*(((Inputs!$I$6+(((A142)+1)/2)*(Inputs!$J$6-Inputs!$I$6)))/Inputs!$K$6)^2),NA())</x:f>
        <x:v>400.111556</x:v>
      </x:c>
      <x:c r="BA142" s="9" t="n">
        <x:f>IF(OR(Inputs!$F$7=TRUE,Inputs!$F$7="TRUE",Inputs!$F$7=1),(Inputs!$H$7+Inputs!$L$7*(((Inputs!$I$7+(((A142)+1)/2)*(Inputs!$J$7-Inputs!$I$7)))/Inputs!$K$7)^2),NA())</x:f>
        <x:v>45.179485</x:v>
      </x:c>
      <x:c r="BB142" s="9" t="n">
        <x:f>IF(OR(Inputs!$F$8=TRUE,Inputs!$F$8="TRUE",Inputs!$F$8=1),(Inputs!$H$8+Inputs!$L$8*(((Inputs!$I$8+(((A142)+1)/2)*(Inputs!$J$8-Inputs!$I$8)))/Inputs!$K$8)^2),NA())</x:f>
        <x:v>61.91288500000001</x:v>
      </x:c>
      <x:c r="BC142" s="9" t="n">
        <x:f>IF(OR(Inputs!$F$9=TRUE,Inputs!$F$9="TRUE",Inputs!$F$9=1),(Inputs!$H$9+Inputs!$L$9*(((Inputs!$I$9+(((A142)+1)/2)*(Inputs!$J$9-Inputs!$I$9)))/Inputs!$K$9)^2),NA())</x:f>
        <x:v>52.19177500000001</x:v>
      </x:c>
      <x:c r="BD142" s="10"/>
      <x:c r="BE142" s="9">
        <x:f t="shared" si="26"/>
        <x:v>0.16700000000000001</x:v>
      </x:c>
      <x:c r="BF142" s="9" t="n">
        <x:f>0</x:f>
        <x:v>0</x:v>
      </x:c>
      <x:c r="BG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9" t="n">
        <x:f>ROUND(-1+141*2/240,3)</x:f>
        <x:v>0.175</x:v>
      </x:c>
      <x:c r="B143" s="9" t="n">
        <x:f>IF(OR(Inputs!$F$6=TRUE,Inputs!$F$6="TRUE",Inputs!$F$6=1),(Inputs!$H$6+Inputs!$L$6*(((Inputs!$I$6+(((A143)+1)/2)*(Inputs!$J$6-Inputs!$I$6)))/Inputs!$K$6)^2),NA())</x:f>
        <x:v>400.1225</x:v>
      </x:c>
      <x:c r="C143" s="9" t="n">
        <x:f>IF(OR(Inputs!$F$7=TRUE,Inputs!$F$7="TRUE",Inputs!$F$7=1),(Inputs!$H$7+Inputs!$L$7*(((Inputs!$I$7+(((A143)+1)/2)*(Inputs!$J$7-Inputs!$I$7)))/Inputs!$K$7)^2),NA())</x:f>
        <x:v>46.178124999999994</x:v>
      </x:c>
      <x:c r="D143" s="9" t="n">
        <x:f>IF(OR(Inputs!$F$8=TRUE,Inputs!$F$8="TRUE",Inputs!$F$8=1),(Inputs!$H$8+Inputs!$L$8*(((Inputs!$I$8+(((A143)+1)/2)*(Inputs!$J$8-Inputs!$I$8)))/Inputs!$K$8)^2),NA())</x:f>
        <x:v>64.553125</x:v>
      </x:c>
      <x:c r="E143" s="9" t="n">
        <x:f>IF(OR(Inputs!$F$9=TRUE,Inputs!$F$9="TRUE",Inputs!$F$9=1),(Inputs!$H$9+Inputs!$L$9*(((Inputs!$I$9+(((A143)+1)/2)*(Inputs!$J$9-Inputs!$I$9)))/Inputs!$K$9)^2),NA())</x:f>
        <x:v>54.859375</x:v>
      </x:c>
      <x:c r="F143" s="10"/>
      <x:c r="G143" s="9">
        <x:f t="shared" si="18"/>
        <x:v>0.17499999999999999</x:v>
      </x:c>
      <x:c r="H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10"/>
      <x:c r="M143" s="9">
        <x:f t="shared" si="19"/>
        <x:v>0.17499999999999999</x:v>
      </x:c>
      <x:c r="N143" s="9"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9"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9"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9"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10"/>
      <x:c r="S143" s="9">
        <x:f t="shared" si="20"/>
        <x:v>0.17499999999999999</x:v>
      </x:c>
      <x:c r="T143" s="9" t="n">
        <x:f>(Inputs!$I$6+(((A143)+1)/2)*(Inputs!$J$6-Inputs!$I$6))</x:f>
        <x:v>10.5</x:v>
      </x:c>
      <x:c r="U143" s="9" t="n">
        <x:f>(Inputs!$I$7+(((A143)+1)/2)*(Inputs!$J$7-Inputs!$I$7))</x:f>
        <x:v>70</x:v>
      </x:c>
      <x:c r="V143" s="9" t="n">
        <x:f>(Inputs!$I$8+(((A143)+1)/2)*(Inputs!$J$8-Inputs!$I$8))</x:f>
        <x:v>140</x:v>
      </x:c>
      <x:c r="W143" s="9" t="n">
        <x:f>(Inputs!$I$9+(((A143)+1)/2)*(Inputs!$J$9-Inputs!$I$9))</x:f>
        <x:v>140</x:v>
      </x:c>
      <x:c r="X143" s="10"/>
      <x:c r="Y143" s="9">
        <x:f t="shared" si="21"/>
        <x:v>0.17499999999999999</x:v>
      </x:c>
      <x:c r="Z143" s="9" t="n">
        <x:f>(Inputs!$H$6+Inputs!$L$6*(((Inputs!$I$6+(((A143)+1)/2)*(Inputs!$J$6-Inputs!$I$6)))/Inputs!$K$6)^2)</x:f>
        <x:v>400.1225</x:v>
      </x:c>
      <x:c r="AA143" s="9" t="n">
        <x:f>(Inputs!$H$7+Inputs!$L$7*(((Inputs!$I$7+(((A143)+1)/2)*(Inputs!$J$7-Inputs!$I$7)))/Inputs!$K$7)^2)</x:f>
        <x:v>46.178124999999994</x:v>
      </x:c>
      <x:c r="AB143" s="9" t="n">
        <x:f>(Inputs!$H$8+Inputs!$L$8*(((Inputs!$I$8+(((A143)+1)/2)*(Inputs!$J$8-Inputs!$I$8)))/Inputs!$K$8)^2)</x:f>
        <x:v>64.553125</x:v>
      </x:c>
      <x:c r="AC143" s="9" t="n">
        <x:f>(Inputs!$H$9+Inputs!$L$9*(((Inputs!$I$9+(((A143)+1)/2)*(Inputs!$J$9-Inputs!$I$9)))/Inputs!$K$9)^2)</x:f>
        <x:v>54.859375</x:v>
      </x:c>
      <x:c r="AD143" s="10"/>
      <x:c r="AE143" s="9">
        <x:f t="shared" si="22"/>
        <x:v>0.17499999999999999</x:v>
      </x:c>
      <x:c r="AF143" s="9"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9"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9"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9"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10"/>
      <x:c r="AK143" s="9">
        <x:f t="shared" si="23"/>
        <x:v>0.17499999999999999</x:v>
      </x:c>
      <x:c r="AL143" s="9"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9"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9"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9"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10"/>
      <x:c r="AQ143" s="9">
        <x:f t="shared" si="24"/>
        <x:v>0.17499999999999999</x:v>
      </x:c>
      <x:c r="AR143" s="9" t="n">
        <x:f>0</x:f>
        <x:v>0</x:v>
      </x:c>
      <x:c r="AS143" s="9"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x:f>
        <x:v>437.9381023255588</x:v>
      </x:c>
      <x:c r="AT143" s="9"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x:f>
        <x:v>102.95991914372087</x:v>
      </x:c>
      <x:c r="AU143" s="9"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x:f>
        <x:v>82.3871567913042</x:v>
      </x:c>
      <x:c r="AV143" s="9"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x:f>
        <x:v>82.3871567913042</x:v>
      </x:c>
      <x:c r="AW143" s="10"/>
      <x:c r="AX143" s="9">
        <x:f t="shared" si="25"/>
        <x:v>0.17499999999999999</x:v>
      </x:c>
      <x:c r="AY143" s="9" t="n">
        <x:f>0</x:f>
        <x:v>0</x:v>
      </x:c>
      <x:c r="AZ143" s="9" t="n">
        <x:f>IF(OR(Inputs!$F$6=TRUE,Inputs!$F$6="TRUE",Inputs!$F$6=1),(Inputs!$H$6+Inputs!$L$6*(((Inputs!$I$6+(((A143)+1)/2)*(Inputs!$J$6-Inputs!$I$6)))/Inputs!$K$6)^2),NA())</x:f>
        <x:v>400.1225</x:v>
      </x:c>
      <x:c r="BA143" s="9" t="n">
        <x:f>IF(OR(Inputs!$F$7=TRUE,Inputs!$F$7="TRUE",Inputs!$F$7=1),(Inputs!$H$7+Inputs!$L$7*(((Inputs!$I$7+(((A143)+1)/2)*(Inputs!$J$7-Inputs!$I$7)))/Inputs!$K$7)^2),NA())</x:f>
        <x:v>46.178124999999994</x:v>
      </x:c>
      <x:c r="BB143" s="9" t="n">
        <x:f>IF(OR(Inputs!$F$8=TRUE,Inputs!$F$8="TRUE",Inputs!$F$8=1),(Inputs!$H$8+Inputs!$L$8*(((Inputs!$I$8+(((A143)+1)/2)*(Inputs!$J$8-Inputs!$I$8)))/Inputs!$K$8)^2),NA())</x:f>
        <x:v>64.553125</x:v>
      </x:c>
      <x:c r="BC143" s="9" t="n">
        <x:f>IF(OR(Inputs!$F$9=TRUE,Inputs!$F$9="TRUE",Inputs!$F$9=1),(Inputs!$H$9+Inputs!$L$9*(((Inputs!$I$9+(((A143)+1)/2)*(Inputs!$J$9-Inputs!$I$9)))/Inputs!$K$9)^2),NA())</x:f>
        <x:v>54.859375</x:v>
      </x:c>
      <x:c r="BD143" s="10"/>
      <x:c r="BE143" s="9">
        <x:f t="shared" si="26"/>
        <x:v>0.17499999999999999</x:v>
      </x:c>
      <x:c r="BF143" s="9" t="n">
        <x:f>0</x:f>
        <x:v>0</x:v>
      </x:c>
      <x:c r="BG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9" t="n">
        <x:f>ROUND(-1+142*2/240,3)</x:f>
        <x:v>0.183</x:v>
      </x:c>
      <x:c r="B144" s="9" t="n">
        <x:f>IF(OR(Inputs!$F$6=TRUE,Inputs!$F$6="TRUE",Inputs!$F$6=1),(Inputs!$H$6+Inputs!$L$6*(((Inputs!$I$6+(((A144)+1)/2)*(Inputs!$J$6-Inputs!$I$6)))/Inputs!$K$6)^2),NA())</x:f>
        <x:v>400.133956</x:v>
      </x:c>
      <x:c r="C144" s="9" t="n">
        <x:f>IF(OR(Inputs!$F$7=TRUE,Inputs!$F$7="TRUE",Inputs!$F$7=1),(Inputs!$H$7+Inputs!$L$7*(((Inputs!$I$7+(((A144)+1)/2)*(Inputs!$J$7-Inputs!$I$7)))/Inputs!$K$7)^2),NA())</x:f>
        <x:v>47.22348500000001</x:v>
      </x:c>
      <x:c r="D144" s="9" t="n">
        <x:f>IF(OR(Inputs!$F$8=TRUE,Inputs!$F$8="TRUE",Inputs!$F$8=1),(Inputs!$H$8+Inputs!$L$8*(((Inputs!$I$8+(((A144)+1)/2)*(Inputs!$J$8-Inputs!$I$8)))/Inputs!$K$8)^2),NA())</x:f>
        <x:v>67.31688500000004</x:v>
      </x:c>
      <x:c r="E144" s="9" t="n">
        <x:f>IF(OR(Inputs!$F$9=TRUE,Inputs!$F$9="TRUE",Inputs!$F$9=1),(Inputs!$H$9+Inputs!$L$9*(((Inputs!$I$9+(((A144)+1)/2)*(Inputs!$J$9-Inputs!$I$9)))/Inputs!$K$9)^2),NA())</x:f>
        <x:v>57.651775000000036</x:v>
      </x:c>
      <x:c r="F144" s="10"/>
      <x:c r="G144" s="9">
        <x:f t="shared" si="18"/>
        <x:v>0.183</x:v>
      </x:c>
      <x:c r="H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10"/>
      <x:c r="M144" s="9">
        <x:f t="shared" si="19"/>
        <x:v>0.183</x:v>
      </x:c>
      <x:c r="N144" s="9"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9"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9"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9"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10"/>
      <x:c r="S144" s="9">
        <x:f t="shared" si="20"/>
        <x:v>0.183</x:v>
      </x:c>
      <x:c r="T144" s="9" t="n">
        <x:f>(Inputs!$I$6+(((A144)+1)/2)*(Inputs!$J$6-Inputs!$I$6))</x:f>
        <x:v>10.980000000000004</x:v>
      </x:c>
      <x:c r="U144" s="9" t="n">
        <x:f>(Inputs!$I$7+(((A144)+1)/2)*(Inputs!$J$7-Inputs!$I$7))</x:f>
        <x:v>73.20000000000005</x:v>
      </x:c>
      <x:c r="V144" s="9" t="n">
        <x:f>(Inputs!$I$8+(((A144)+1)/2)*(Inputs!$J$8-Inputs!$I$8))</x:f>
        <x:v>146.4000000000001</x:v>
      </x:c>
      <x:c r="W144" s="9" t="n">
        <x:f>(Inputs!$I$9+(((A144)+1)/2)*(Inputs!$J$9-Inputs!$I$9))</x:f>
        <x:v>146.4000000000001</x:v>
      </x:c>
      <x:c r="X144" s="10"/>
      <x:c r="Y144" s="9">
        <x:f t="shared" si="21"/>
        <x:v>0.183</x:v>
      </x:c>
      <x:c r="Z144" s="9" t="n">
        <x:f>(Inputs!$H$6+Inputs!$L$6*(((Inputs!$I$6+(((A144)+1)/2)*(Inputs!$J$6-Inputs!$I$6)))/Inputs!$K$6)^2)</x:f>
        <x:v>400.133956</x:v>
      </x:c>
      <x:c r="AA144" s="9" t="n">
        <x:f>(Inputs!$H$7+Inputs!$L$7*(((Inputs!$I$7+(((A144)+1)/2)*(Inputs!$J$7-Inputs!$I$7)))/Inputs!$K$7)^2)</x:f>
        <x:v>47.22348500000001</x:v>
      </x:c>
      <x:c r="AB144" s="9" t="n">
        <x:f>(Inputs!$H$8+Inputs!$L$8*(((Inputs!$I$8+(((A144)+1)/2)*(Inputs!$J$8-Inputs!$I$8)))/Inputs!$K$8)^2)</x:f>
        <x:v>67.31688500000004</x:v>
      </x:c>
      <x:c r="AC144" s="9" t="n">
        <x:f>(Inputs!$H$9+Inputs!$L$9*(((Inputs!$I$9+(((A144)+1)/2)*(Inputs!$J$9-Inputs!$I$9)))/Inputs!$K$9)^2)</x:f>
        <x:v>57.651775000000036</x:v>
      </x:c>
      <x:c r="AD144" s="10"/>
      <x:c r="AE144" s="9">
        <x:f t="shared" si="22"/>
        <x:v>0.183</x:v>
      </x:c>
      <x:c r="AF144" s="9"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9"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9"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9"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10"/>
      <x:c r="AK144" s="9">
        <x:f t="shared" si="23"/>
        <x:v>0.183</x:v>
      </x:c>
      <x:c r="AL144" s="9"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9"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9"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9"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10"/>
      <x:c r="AQ144" s="9">
        <x:f t="shared" si="24"/>
        <x:v>0.183</x:v>
      </x:c>
      <x:c r="AR144" s="9" t="n">
        <x:f>0</x:f>
        <x:v>0</x:v>
      </x:c>
      <x:c r="AS144" s="9"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x:f>
        <x:v>439.1863562650421</x:v>
      </x:c>
      <x:c r="AT144" s="9"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x:f>
        <x:v>169.3871199961569</x:v>
      </x:c>
      <x:c r="AU144" s="9"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x:f>
        <x:v>227.66381835813354</x:v>
      </x:c>
      <x:c r="AV144" s="9"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x:f>
        <x:v>227.66381835813354</x:v>
      </x:c>
      <x:c r="AW144" s="10"/>
      <x:c r="AX144" s="9">
        <x:f t="shared" si="25"/>
        <x:v>0.183</x:v>
      </x:c>
      <x:c r="AY144" s="9" t="n">
        <x:f>0</x:f>
        <x:v>0</x:v>
      </x:c>
      <x:c r="AZ144" s="9" t="n">
        <x:f>IF(OR(Inputs!$F$6=TRUE,Inputs!$F$6="TRUE",Inputs!$F$6=1),(Inputs!$H$6+Inputs!$L$6*(((Inputs!$I$6+(((A144)+1)/2)*(Inputs!$J$6-Inputs!$I$6)))/Inputs!$K$6)^2),NA())</x:f>
        <x:v>400.133956</x:v>
      </x:c>
      <x:c r="BA144" s="9" t="n">
        <x:f>IF(OR(Inputs!$F$7=TRUE,Inputs!$F$7="TRUE",Inputs!$F$7=1),(Inputs!$H$7+Inputs!$L$7*(((Inputs!$I$7+(((A144)+1)/2)*(Inputs!$J$7-Inputs!$I$7)))/Inputs!$K$7)^2),NA())</x:f>
        <x:v>47.22348500000001</x:v>
      </x:c>
      <x:c r="BB144" s="9" t="n">
        <x:f>IF(OR(Inputs!$F$8=TRUE,Inputs!$F$8="TRUE",Inputs!$F$8=1),(Inputs!$H$8+Inputs!$L$8*(((Inputs!$I$8+(((A144)+1)/2)*(Inputs!$J$8-Inputs!$I$8)))/Inputs!$K$8)^2),NA())</x:f>
        <x:v>67.31688500000004</x:v>
      </x:c>
      <x:c r="BC144" s="9" t="n">
        <x:f>IF(OR(Inputs!$F$9=TRUE,Inputs!$F$9="TRUE",Inputs!$F$9=1),(Inputs!$H$9+Inputs!$L$9*(((Inputs!$I$9+(((A144)+1)/2)*(Inputs!$J$9-Inputs!$I$9)))/Inputs!$K$9)^2),NA())</x:f>
        <x:v>57.651775000000036</x:v>
      </x:c>
      <x:c r="BD144" s="10"/>
      <x:c r="BE144" s="9">
        <x:f t="shared" si="26"/>
        <x:v>0.183</x:v>
      </x:c>
      <x:c r="BF144" s="9" t="n">
        <x:f>0</x:f>
        <x:v>0</x:v>
      </x:c>
      <x:c r="BG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9" t="n">
        <x:f>ROUND(-1+143*2/240,3)</x:f>
        <x:v>0.192</x:v>
      </x:c>
      <x:c r="B145" s="9" t="n">
        <x:f>IF(OR(Inputs!$F$6=TRUE,Inputs!$F$6="TRUE",Inputs!$F$6=1),(Inputs!$H$6+Inputs!$L$6*(((Inputs!$I$6+(((A145)+1)/2)*(Inputs!$J$6-Inputs!$I$6)))/Inputs!$K$6)^2),NA())</x:f>
        <x:v>400.147456</x:v>
      </x:c>
      <x:c r="C145" s="9" t="n">
        <x:f>IF(OR(Inputs!$F$7=TRUE,Inputs!$F$7="TRUE",Inputs!$F$7=1),(Inputs!$H$7+Inputs!$L$7*(((Inputs!$I$7+(((A145)+1)/2)*(Inputs!$J$7-Inputs!$I$7)))/Inputs!$K$7)^2),NA())</x:f>
        <x:v>48.455359999999985</x:v>
      </x:c>
      <x:c r="D145" s="9" t="n">
        <x:f>IF(OR(Inputs!$F$8=TRUE,Inputs!$F$8="TRUE",Inputs!$F$8=1),(Inputs!$H$8+Inputs!$L$8*(((Inputs!$I$8+(((A145)+1)/2)*(Inputs!$J$8-Inputs!$I$8)))/Inputs!$K$8)^2),NA())</x:f>
        <x:v>70.57375999999996</x:v>
      </x:c>
      <x:c r="E145" s="9" t="n">
        <x:f>IF(OR(Inputs!$F$9=TRUE,Inputs!$F$9="TRUE",Inputs!$F$9=1),(Inputs!$H$9+Inputs!$L$9*(((Inputs!$I$9+(((A145)+1)/2)*(Inputs!$J$9-Inputs!$I$9)))/Inputs!$K$9)^2),NA())</x:f>
        <x:v>60.942399999999964</x:v>
      </x:c>
      <x:c r="F145" s="10"/>
      <x:c r="G145" s="9">
        <x:f t="shared" si="18"/>
        <x:v>0.192</x:v>
      </x:c>
      <x:c r="H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10"/>
      <x:c r="M145" s="9">
        <x:f t="shared" si="19"/>
        <x:v>0.192</x:v>
      </x:c>
      <x:c r="N145" s="9"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9"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9"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9"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10"/>
      <x:c r="S145" s="9">
        <x:f t="shared" si="20"/>
        <x:v>0.192</x:v>
      </x:c>
      <x:c r="T145" s="9" t="n">
        <x:f>(Inputs!$I$6+(((A145)+1)/2)*(Inputs!$J$6-Inputs!$I$6))</x:f>
        <x:v>11.519999999999996</x:v>
      </x:c>
      <x:c r="U145" s="9" t="n">
        <x:f>(Inputs!$I$7+(((A145)+1)/2)*(Inputs!$J$7-Inputs!$I$7))</x:f>
        <x:v>76.79999999999995</x:v>
      </x:c>
      <x:c r="V145" s="9" t="n">
        <x:f>(Inputs!$I$8+(((A145)+1)/2)*(Inputs!$J$8-Inputs!$I$8))</x:f>
        <x:v>153.5999999999999</x:v>
      </x:c>
      <x:c r="W145" s="9" t="n">
        <x:f>(Inputs!$I$9+(((A145)+1)/2)*(Inputs!$J$9-Inputs!$I$9))</x:f>
        <x:v>153.5999999999999</x:v>
      </x:c>
      <x:c r="X145" s="10"/>
      <x:c r="Y145" s="9">
        <x:f t="shared" si="21"/>
        <x:v>0.192</x:v>
      </x:c>
      <x:c r="Z145" s="9" t="n">
        <x:f>(Inputs!$H$6+Inputs!$L$6*(((Inputs!$I$6+(((A145)+1)/2)*(Inputs!$J$6-Inputs!$I$6)))/Inputs!$K$6)^2)</x:f>
        <x:v>400.147456</x:v>
      </x:c>
      <x:c r="AA145" s="9" t="n">
        <x:f>(Inputs!$H$7+Inputs!$L$7*(((Inputs!$I$7+(((A145)+1)/2)*(Inputs!$J$7-Inputs!$I$7)))/Inputs!$K$7)^2)</x:f>
        <x:v>48.455359999999985</x:v>
      </x:c>
      <x:c r="AB145" s="9" t="n">
        <x:f>(Inputs!$H$8+Inputs!$L$8*(((Inputs!$I$8+(((A145)+1)/2)*(Inputs!$J$8-Inputs!$I$8)))/Inputs!$K$8)^2)</x:f>
        <x:v>70.57375999999996</x:v>
      </x:c>
      <x:c r="AC145" s="9" t="n">
        <x:f>(Inputs!$H$9+Inputs!$L$9*(((Inputs!$I$9+(((A145)+1)/2)*(Inputs!$J$9-Inputs!$I$9)))/Inputs!$K$9)^2)</x:f>
        <x:v>60.942399999999964</x:v>
      </x:c>
      <x:c r="AD145" s="10"/>
      <x:c r="AE145" s="9">
        <x:f t="shared" si="22"/>
        <x:v>0.192</x:v>
      </x:c>
      <x:c r="AF145" s="9"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9"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9"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9"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10"/>
      <x:c r="AK145" s="9">
        <x:f t="shared" si="23"/>
        <x:v>0.192</x:v>
      </x:c>
      <x:c r="AL145" s="9"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9"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9"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9"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10"/>
      <x:c r="AQ145" s="9">
        <x:f t="shared" si="24"/>
        <x:v>0.192</x:v>
      </x:c>
      <x:c r="AR145" s="9" t="n">
        <x:f>0</x:f>
        <x:v>0</x:v>
      </x:c>
      <x:c r="AS145" s="9"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x:f>
        <x:v>421.33382769243025</x:v>
      </x:c>
      <x:c r="AT145" s="9"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x:f>
        <x:v>219.9009043352383</x:v>
      </x:c>
      <x:c r="AU145" s="9"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x:f>
        <x:v>129.6529153799332</x:v>
      </x:c>
      <x:c r="AV145" s="9"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x:f>
        <x:v>129.6529153799332</x:v>
      </x:c>
      <x:c r="AW145" s="10"/>
      <x:c r="AX145" s="9">
        <x:f t="shared" si="25"/>
        <x:v>0.192</x:v>
      </x:c>
      <x:c r="AY145" s="9" t="n">
        <x:f>0</x:f>
        <x:v>0</x:v>
      </x:c>
      <x:c r="AZ145" s="9" t="n">
        <x:f>IF(OR(Inputs!$F$6=TRUE,Inputs!$F$6="TRUE",Inputs!$F$6=1),(Inputs!$H$6+Inputs!$L$6*(((Inputs!$I$6+(((A145)+1)/2)*(Inputs!$J$6-Inputs!$I$6)))/Inputs!$K$6)^2),NA())</x:f>
        <x:v>400.147456</x:v>
      </x:c>
      <x:c r="BA145" s="9" t="n">
        <x:f>IF(OR(Inputs!$F$7=TRUE,Inputs!$F$7="TRUE",Inputs!$F$7=1),(Inputs!$H$7+Inputs!$L$7*(((Inputs!$I$7+(((A145)+1)/2)*(Inputs!$J$7-Inputs!$I$7)))/Inputs!$K$7)^2),NA())</x:f>
        <x:v>48.455359999999985</x:v>
      </x:c>
      <x:c r="BB145" s="9" t="n">
        <x:f>IF(OR(Inputs!$F$8=TRUE,Inputs!$F$8="TRUE",Inputs!$F$8=1),(Inputs!$H$8+Inputs!$L$8*(((Inputs!$I$8+(((A145)+1)/2)*(Inputs!$J$8-Inputs!$I$8)))/Inputs!$K$8)^2),NA())</x:f>
        <x:v>70.57375999999996</x:v>
      </x:c>
      <x:c r="BC145" s="9" t="n">
        <x:f>IF(OR(Inputs!$F$9=TRUE,Inputs!$F$9="TRUE",Inputs!$F$9=1),(Inputs!$H$9+Inputs!$L$9*(((Inputs!$I$9+(((A145)+1)/2)*(Inputs!$J$9-Inputs!$I$9)))/Inputs!$K$9)^2),NA())</x:f>
        <x:v>60.942399999999964</x:v>
      </x:c>
      <x:c r="BD145" s="10"/>
      <x:c r="BE145" s="9">
        <x:f t="shared" si="26"/>
        <x:v>0.192</x:v>
      </x:c>
      <x:c r="BF145" s="9" t="n">
        <x:f>0</x:f>
        <x:v>0</x:v>
      </x:c>
      <x:c r="BG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9" t="n">
        <x:f>ROUND(-1+144*2/240,3)</x:f>
        <x:v>0.2</x:v>
      </x:c>
      <x:c r="B146" s="9" t="n">
        <x:f>IF(OR(Inputs!$F$6=TRUE,Inputs!$F$6="TRUE",Inputs!$F$6=1),(Inputs!$H$6+Inputs!$L$6*(((Inputs!$I$6+(((A146)+1)/2)*(Inputs!$J$6-Inputs!$I$6)))/Inputs!$K$6)^2),NA())</x:f>
        <x:v>400.16</x:v>
      </x:c>
      <x:c r="C146" s="9" t="n">
        <x:f>IF(OR(Inputs!$F$7=TRUE,Inputs!$F$7="TRUE",Inputs!$F$7=1),(Inputs!$H$7+Inputs!$L$7*(((Inputs!$I$7+(((A146)+1)/2)*(Inputs!$J$7-Inputs!$I$7)))/Inputs!$K$7)^2),NA())</x:f>
        <x:v>49.6</x:v>
      </x:c>
      <x:c r="D146" s="9" t="n">
        <x:f>IF(OR(Inputs!$F$8=TRUE,Inputs!$F$8="TRUE",Inputs!$F$8=1),(Inputs!$H$8+Inputs!$L$8*(((Inputs!$I$8+(((A146)+1)/2)*(Inputs!$J$8-Inputs!$I$8)))/Inputs!$K$8)^2),NA())</x:f>
        <x:v>73.60000000000001</x:v>
      </x:c>
      <x:c r="E146" s="9" t="n">
        <x:f>IF(OR(Inputs!$F$9=TRUE,Inputs!$F$9="TRUE",Inputs!$F$9=1),(Inputs!$H$9+Inputs!$L$9*(((Inputs!$I$9+(((A146)+1)/2)*(Inputs!$J$9-Inputs!$I$9)))/Inputs!$K$9)^2),NA())</x:f>
        <x:v>64</x:v>
      </x:c>
      <x:c r="F146" s="10"/>
      <x:c r="G146" s="9">
        <x:f t="shared" si="18"/>
        <x:v>0.2</x:v>
      </x:c>
      <x:c r="H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10"/>
      <x:c r="M146" s="9">
        <x:f t="shared" si="19"/>
        <x:v>0.2</x:v>
      </x:c>
      <x:c r="N146" s="9"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9"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9"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9"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10"/>
      <x:c r="S146" s="9">
        <x:f t="shared" si="20"/>
        <x:v>0.2</x:v>
      </x:c>
      <x:c r="T146" s="9" t="n">
        <x:f>(Inputs!$I$6+(((A146)+1)/2)*(Inputs!$J$6-Inputs!$I$6))</x:f>
        <x:v>12</x:v>
      </x:c>
      <x:c r="U146" s="9" t="n">
        <x:f>(Inputs!$I$7+(((A146)+1)/2)*(Inputs!$J$7-Inputs!$I$7))</x:f>
        <x:v>80</x:v>
      </x:c>
      <x:c r="V146" s="9" t="n">
        <x:f>(Inputs!$I$8+(((A146)+1)/2)*(Inputs!$J$8-Inputs!$I$8))</x:f>
        <x:v>160</x:v>
      </x:c>
      <x:c r="W146" s="9" t="n">
        <x:f>(Inputs!$I$9+(((A146)+1)/2)*(Inputs!$J$9-Inputs!$I$9))</x:f>
        <x:v>160</x:v>
      </x:c>
      <x:c r="X146" s="10"/>
      <x:c r="Y146" s="9">
        <x:f t="shared" si="21"/>
        <x:v>0.2</x:v>
      </x:c>
      <x:c r="Z146" s="9" t="n">
        <x:f>(Inputs!$H$6+Inputs!$L$6*(((Inputs!$I$6+(((A146)+1)/2)*(Inputs!$J$6-Inputs!$I$6)))/Inputs!$K$6)^2)</x:f>
        <x:v>400.16</x:v>
      </x:c>
      <x:c r="AA146" s="9" t="n">
        <x:f>(Inputs!$H$7+Inputs!$L$7*(((Inputs!$I$7+(((A146)+1)/2)*(Inputs!$J$7-Inputs!$I$7)))/Inputs!$K$7)^2)</x:f>
        <x:v>49.6</x:v>
      </x:c>
      <x:c r="AB146" s="9" t="n">
        <x:f>(Inputs!$H$8+Inputs!$L$8*(((Inputs!$I$8+(((A146)+1)/2)*(Inputs!$J$8-Inputs!$I$8)))/Inputs!$K$8)^2)</x:f>
        <x:v>73.60000000000001</x:v>
      </x:c>
      <x:c r="AC146" s="9" t="n">
        <x:f>(Inputs!$H$9+Inputs!$L$9*(((Inputs!$I$9+(((A146)+1)/2)*(Inputs!$J$9-Inputs!$I$9)))/Inputs!$K$9)^2)</x:f>
        <x:v>64</x:v>
      </x:c>
      <x:c r="AD146" s="10"/>
      <x:c r="AE146" s="9">
        <x:f t="shared" si="22"/>
        <x:v>0.2</x:v>
      </x:c>
      <x:c r="AF146" s="9"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9"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9"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9"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10"/>
      <x:c r="AK146" s="9">
        <x:f t="shared" si="23"/>
        <x:v>0.2</x:v>
      </x:c>
      <x:c r="AL146" s="9"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9"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9"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9"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10"/>
      <x:c r="AQ146" s="9">
        <x:f t="shared" si="24"/>
        <x:v>0.2</x:v>
      </x:c>
      <x:c r="AR146" s="9" t="n">
        <x:f>0</x:f>
        <x:v>0</x:v>
      </x:c>
      <x:c r="AS146" s="9"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x:f>
        <x:v>422.8387186345762</x:v>
      </x:c>
      <x:c r="AT146" s="9"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x:f>
        <x:v>159.82837344932233</x:v>
      </x:c>
      <x:c r="AU146" s="9"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x:f>
        <x:v>163.1736055869338</x:v>
      </x:c>
      <x:c r="AV146" s="9"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x:f>
        <x:v>163.1736055869338</x:v>
      </x:c>
      <x:c r="AW146" s="10"/>
      <x:c r="AX146" s="9">
        <x:f t="shared" si="25"/>
        <x:v>0.2</x:v>
      </x:c>
      <x:c r="AY146" s="9" t="n">
        <x:f>0</x:f>
        <x:v>0</x:v>
      </x:c>
      <x:c r="AZ146" s="9" t="n">
        <x:f>IF(OR(Inputs!$F$6=TRUE,Inputs!$F$6="TRUE",Inputs!$F$6=1),(Inputs!$H$6+Inputs!$L$6*(((Inputs!$I$6+(((A146)+1)/2)*(Inputs!$J$6-Inputs!$I$6)))/Inputs!$K$6)^2),NA())</x:f>
        <x:v>400.16</x:v>
      </x:c>
      <x:c r="BA146" s="9" t="n">
        <x:f>IF(OR(Inputs!$F$7=TRUE,Inputs!$F$7="TRUE",Inputs!$F$7=1),(Inputs!$H$7+Inputs!$L$7*(((Inputs!$I$7+(((A146)+1)/2)*(Inputs!$J$7-Inputs!$I$7)))/Inputs!$K$7)^2),NA())</x:f>
        <x:v>49.6</x:v>
      </x:c>
      <x:c r="BB146" s="9" t="n">
        <x:f>IF(OR(Inputs!$F$8=TRUE,Inputs!$F$8="TRUE",Inputs!$F$8=1),(Inputs!$H$8+Inputs!$L$8*(((Inputs!$I$8+(((A146)+1)/2)*(Inputs!$J$8-Inputs!$I$8)))/Inputs!$K$8)^2),NA())</x:f>
        <x:v>73.60000000000001</x:v>
      </x:c>
      <x:c r="BC146" s="9" t="n">
        <x:f>IF(OR(Inputs!$F$9=TRUE,Inputs!$F$9="TRUE",Inputs!$F$9=1),(Inputs!$H$9+Inputs!$L$9*(((Inputs!$I$9+(((A146)+1)/2)*(Inputs!$J$9-Inputs!$I$9)))/Inputs!$K$9)^2),NA())</x:f>
        <x:v>64</x:v>
      </x:c>
      <x:c r="BD146" s="10"/>
      <x:c r="BE146" s="9">
        <x:f t="shared" si="26"/>
        <x:v>0.2</x:v>
      </x:c>
      <x:c r="BF146" s="9" t="n">
        <x:f>0</x:f>
        <x:v>0</x:v>
      </x:c>
      <x:c r="BG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9" t="n">
        <x:f>ROUND(-1+145*2/240,3)</x:f>
        <x:v>0.208</x:v>
      </x:c>
      <x:c r="B147" s="9" t="n">
        <x:f>IF(OR(Inputs!$F$6=TRUE,Inputs!$F$6="TRUE",Inputs!$F$6=1),(Inputs!$H$6+Inputs!$L$6*(((Inputs!$I$6+(((A147)+1)/2)*(Inputs!$J$6-Inputs!$I$6)))/Inputs!$K$6)^2),NA())</x:f>
        <x:v>400.173056</x:v>
      </x:c>
      <x:c r="C147" s="9" t="n">
        <x:f>IF(OR(Inputs!$F$7=TRUE,Inputs!$F$7="TRUE",Inputs!$F$7=1),(Inputs!$H$7+Inputs!$L$7*(((Inputs!$I$7+(((A147)+1)/2)*(Inputs!$J$7-Inputs!$I$7)))/Inputs!$K$7)^2),NA())</x:f>
        <x:v>50.79136</x:v>
      </x:c>
      <x:c r="D147" s="9" t="n">
        <x:f>IF(OR(Inputs!$F$8=TRUE,Inputs!$F$8="TRUE",Inputs!$F$8=1),(Inputs!$H$8+Inputs!$L$8*(((Inputs!$I$8+(((A147)+1)/2)*(Inputs!$J$8-Inputs!$I$8)))/Inputs!$K$8)^2),NA())</x:f>
        <x:v>76.74975999999998</x:v>
      </x:c>
      <x:c r="E147" s="9" t="n">
        <x:f>IF(OR(Inputs!$F$9=TRUE,Inputs!$F$9="TRUE",Inputs!$F$9=1),(Inputs!$H$9+Inputs!$L$9*(((Inputs!$I$9+(((A147)+1)/2)*(Inputs!$J$9-Inputs!$I$9)))/Inputs!$K$9)^2),NA())</x:f>
        <x:v>67.18239999999997</x:v>
      </x:c>
      <x:c r="F147" s="10"/>
      <x:c r="G147" s="9">
        <x:f t="shared" si="18"/>
        <x:v>0.20799999999999999</x:v>
      </x:c>
      <x:c r="H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10"/>
      <x:c r="M147" s="9">
        <x:f t="shared" si="19"/>
        <x:v>0.20799999999999999</x:v>
      </x:c>
      <x:c r="N147" s="9"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9"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9"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9"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10"/>
      <x:c r="S147" s="9">
        <x:f t="shared" si="20"/>
        <x:v>0.20799999999999999</x:v>
      </x:c>
      <x:c r="T147" s="9" t="n">
        <x:f>(Inputs!$I$6+(((A147)+1)/2)*(Inputs!$J$6-Inputs!$I$6))</x:f>
        <x:v>12.480000000000004</x:v>
      </x:c>
      <x:c r="U147" s="9" t="n">
        <x:f>(Inputs!$I$7+(((A147)+1)/2)*(Inputs!$J$7-Inputs!$I$7))</x:f>
        <x:v>83.19999999999999</x:v>
      </x:c>
      <x:c r="V147" s="9" t="n">
        <x:f>(Inputs!$I$8+(((A147)+1)/2)*(Inputs!$J$8-Inputs!$I$8))</x:f>
        <x:v>166.39999999999998</x:v>
      </x:c>
      <x:c r="W147" s="9" t="n">
        <x:f>(Inputs!$I$9+(((A147)+1)/2)*(Inputs!$J$9-Inputs!$I$9))</x:f>
        <x:v>166.39999999999998</x:v>
      </x:c>
      <x:c r="X147" s="10"/>
      <x:c r="Y147" s="9">
        <x:f t="shared" si="21"/>
        <x:v>0.20799999999999999</x:v>
      </x:c>
      <x:c r="Z147" s="9" t="n">
        <x:f>(Inputs!$H$6+Inputs!$L$6*(((Inputs!$I$6+(((A147)+1)/2)*(Inputs!$J$6-Inputs!$I$6)))/Inputs!$K$6)^2)</x:f>
        <x:v>400.173056</x:v>
      </x:c>
      <x:c r="AA147" s="9" t="n">
        <x:f>(Inputs!$H$7+Inputs!$L$7*(((Inputs!$I$7+(((A147)+1)/2)*(Inputs!$J$7-Inputs!$I$7)))/Inputs!$K$7)^2)</x:f>
        <x:v>50.79136</x:v>
      </x:c>
      <x:c r="AB147" s="9" t="n">
        <x:f>(Inputs!$H$8+Inputs!$L$8*(((Inputs!$I$8+(((A147)+1)/2)*(Inputs!$J$8-Inputs!$I$8)))/Inputs!$K$8)^2)</x:f>
        <x:v>76.74975999999998</x:v>
      </x:c>
      <x:c r="AC147" s="9" t="n">
        <x:f>(Inputs!$H$9+Inputs!$L$9*(((Inputs!$I$9+(((A147)+1)/2)*(Inputs!$J$9-Inputs!$I$9)))/Inputs!$K$9)^2)</x:f>
        <x:v>67.18239999999997</x:v>
      </x:c>
      <x:c r="AD147" s="10"/>
      <x:c r="AE147" s="9">
        <x:f t="shared" si="22"/>
        <x:v>0.20799999999999999</x:v>
      </x:c>
      <x:c r="AF147" s="9"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9"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9"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9"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10"/>
      <x:c r="AK147" s="9">
        <x:f t="shared" si="23"/>
        <x:v>0.20799999999999999</x:v>
      </x:c>
      <x:c r="AL147" s="9"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9"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9"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9"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10"/>
      <x:c r="AQ147" s="9">
        <x:f t="shared" si="24"/>
        <x:v>0.20799999999999999</x:v>
      </x:c>
      <x:c r="AR147" s="9" t="n">
        <x:f>0</x:f>
        <x:v>0</x:v>
      </x:c>
      <x:c r="AS147" s="9"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x:f>
        <x:v>411.58967673701164</x:v>
      </x:c>
      <x:c r="AT147" s="9"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x:f>
        <x:v>140.16892305145183</x:v>
      </x:c>
      <x:c r="AU147" s="9"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x:f>
        <x:v>199.09571850646452</x:v>
      </x:c>
      <x:c r="AV147" s="9"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x:f>
        <x:v>199.09571850646452</x:v>
      </x:c>
      <x:c r="AW147" s="10"/>
      <x:c r="AX147" s="9">
        <x:f t="shared" si="25"/>
        <x:v>0.20799999999999999</x:v>
      </x:c>
      <x:c r="AY147" s="9" t="n">
        <x:f>0</x:f>
        <x:v>0</x:v>
      </x:c>
      <x:c r="AZ147" s="9" t="n">
        <x:f>IF(OR(Inputs!$F$6=TRUE,Inputs!$F$6="TRUE",Inputs!$F$6=1),(Inputs!$H$6+Inputs!$L$6*(((Inputs!$I$6+(((A147)+1)/2)*(Inputs!$J$6-Inputs!$I$6)))/Inputs!$K$6)^2),NA())</x:f>
        <x:v>400.173056</x:v>
      </x:c>
      <x:c r="BA147" s="9" t="n">
        <x:f>IF(OR(Inputs!$F$7=TRUE,Inputs!$F$7="TRUE",Inputs!$F$7=1),(Inputs!$H$7+Inputs!$L$7*(((Inputs!$I$7+(((A147)+1)/2)*(Inputs!$J$7-Inputs!$I$7)))/Inputs!$K$7)^2),NA())</x:f>
        <x:v>50.79136</x:v>
      </x:c>
      <x:c r="BB147" s="9" t="n">
        <x:f>IF(OR(Inputs!$F$8=TRUE,Inputs!$F$8="TRUE",Inputs!$F$8=1),(Inputs!$H$8+Inputs!$L$8*(((Inputs!$I$8+(((A147)+1)/2)*(Inputs!$J$8-Inputs!$I$8)))/Inputs!$K$8)^2),NA())</x:f>
        <x:v>76.74975999999998</x:v>
      </x:c>
      <x:c r="BC147" s="9" t="n">
        <x:f>IF(OR(Inputs!$F$9=TRUE,Inputs!$F$9="TRUE",Inputs!$F$9=1),(Inputs!$H$9+Inputs!$L$9*(((Inputs!$I$9+(((A147)+1)/2)*(Inputs!$J$9-Inputs!$I$9)))/Inputs!$K$9)^2),NA())</x:f>
        <x:v>67.18239999999997</x:v>
      </x:c>
      <x:c r="BD147" s="10"/>
      <x:c r="BE147" s="9">
        <x:f t="shared" si="26"/>
        <x:v>0.20799999999999999</x:v>
      </x:c>
      <x:c r="BF147" s="9" t="n">
        <x:f>0</x:f>
        <x:v>0</x:v>
      </x:c>
      <x:c r="BG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9" t="n">
        <x:f>ROUND(-1+146*2/240,3)</x:f>
        <x:v>0.217</x:v>
      </x:c>
      <x:c r="B148" s="9" t="n">
        <x:f>IF(OR(Inputs!$F$6=TRUE,Inputs!$F$6="TRUE",Inputs!$F$6=1),(Inputs!$H$6+Inputs!$L$6*(((Inputs!$I$6+(((A148)+1)/2)*(Inputs!$J$6-Inputs!$I$6)))/Inputs!$K$6)^2),NA())</x:f>
        <x:v>400.188356</x:v>
      </x:c>
      <x:c r="C148" s="9" t="n">
        <x:f>IF(OR(Inputs!$F$7=TRUE,Inputs!$F$7="TRUE",Inputs!$F$7=1),(Inputs!$H$7+Inputs!$L$7*(((Inputs!$I$7+(((A148)+1)/2)*(Inputs!$J$7-Inputs!$I$7)))/Inputs!$K$7)^2),NA())</x:f>
        <x:v>52.18748500000001</x:v>
      </x:c>
      <x:c r="D148" s="9" t="n">
        <x:f>IF(OR(Inputs!$F$8=TRUE,Inputs!$F$8="TRUE",Inputs!$F$8=1),(Inputs!$H$8+Inputs!$L$8*(((Inputs!$I$8+(((A148)+1)/2)*(Inputs!$J$8-Inputs!$I$8)))/Inputs!$K$8)^2),NA())</x:f>
        <x:v>80.44088500000001</x:v>
      </x:c>
      <x:c r="E148" s="9" t="n">
        <x:f>IF(OR(Inputs!$F$9=TRUE,Inputs!$F$9="TRUE",Inputs!$F$9=1),(Inputs!$H$9+Inputs!$L$9*(((Inputs!$I$9+(((A148)+1)/2)*(Inputs!$J$9-Inputs!$I$9)))/Inputs!$K$9)^2),NA())</x:f>
        <x:v>70.911775</x:v>
      </x:c>
      <x:c r="F148" s="10"/>
      <x:c r="G148" s="9">
        <x:f t="shared" si="18"/>
        <x:v>0.217</x:v>
      </x:c>
      <x:c r="H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10"/>
      <x:c r="M148" s="9">
        <x:f t="shared" si="19"/>
        <x:v>0.217</x:v>
      </x:c>
      <x:c r="N148" s="9"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9"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9"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9"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10"/>
      <x:c r="S148" s="9">
        <x:f t="shared" si="20"/>
        <x:v>0.217</x:v>
      </x:c>
      <x:c r="T148" s="9" t="n">
        <x:f>(Inputs!$I$6+(((A148)+1)/2)*(Inputs!$J$6-Inputs!$I$6))</x:f>
        <x:v>13.02000000000001</x:v>
      </x:c>
      <x:c r="U148" s="9" t="n">
        <x:f>(Inputs!$I$7+(((A148)+1)/2)*(Inputs!$J$7-Inputs!$I$7))</x:f>
        <x:v>86.80000000000001</x:v>
      </x:c>
      <x:c r="V148" s="9" t="n">
        <x:f>(Inputs!$I$8+(((A148)+1)/2)*(Inputs!$J$8-Inputs!$I$8))</x:f>
        <x:v>173.60000000000002</x:v>
      </x:c>
      <x:c r="W148" s="9" t="n">
        <x:f>(Inputs!$I$9+(((A148)+1)/2)*(Inputs!$J$9-Inputs!$I$9))</x:f>
        <x:v>173.60000000000002</x:v>
      </x:c>
      <x:c r="X148" s="10"/>
      <x:c r="Y148" s="9">
        <x:f t="shared" si="21"/>
        <x:v>0.217</x:v>
      </x:c>
      <x:c r="Z148" s="9" t="n">
        <x:f>(Inputs!$H$6+Inputs!$L$6*(((Inputs!$I$6+(((A148)+1)/2)*(Inputs!$J$6-Inputs!$I$6)))/Inputs!$K$6)^2)</x:f>
        <x:v>400.188356</x:v>
      </x:c>
      <x:c r="AA148" s="9" t="n">
        <x:f>(Inputs!$H$7+Inputs!$L$7*(((Inputs!$I$7+(((A148)+1)/2)*(Inputs!$J$7-Inputs!$I$7)))/Inputs!$K$7)^2)</x:f>
        <x:v>52.18748500000001</x:v>
      </x:c>
      <x:c r="AB148" s="9" t="n">
        <x:f>(Inputs!$H$8+Inputs!$L$8*(((Inputs!$I$8+(((A148)+1)/2)*(Inputs!$J$8-Inputs!$I$8)))/Inputs!$K$8)^2)</x:f>
        <x:v>80.44088500000001</x:v>
      </x:c>
      <x:c r="AC148" s="9" t="n">
        <x:f>(Inputs!$H$9+Inputs!$L$9*(((Inputs!$I$9+(((A148)+1)/2)*(Inputs!$J$9-Inputs!$I$9)))/Inputs!$K$9)^2)</x:f>
        <x:v>70.911775</x:v>
      </x:c>
      <x:c r="AD148" s="10"/>
      <x:c r="AE148" s="9">
        <x:f t="shared" si="22"/>
        <x:v>0.217</x:v>
      </x:c>
      <x:c r="AF148" s="9"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9"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9"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9"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10"/>
      <x:c r="AK148" s="9">
        <x:f t="shared" si="23"/>
        <x:v>0.217</x:v>
      </x:c>
      <x:c r="AL148" s="9"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9"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9"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9"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10"/>
      <x:c r="AQ148" s="9">
        <x:f t="shared" si="24"/>
        <x:v>0.217</x:v>
      </x:c>
      <x:c r="AR148" s="9" t="n">
        <x:f>0</x:f>
        <x:v>0</x:v>
      </x:c>
      <x:c r="AS148" s="9"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x:f>
        <x:v>418.55290721650675</x:v>
      </x:c>
      <x:c r="AT148" s="9"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x:f>
        <x:v>128.60865148543502</x:v>
      </x:c>
      <x:c r="AU148" s="9"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x:f>
        <x:v>118.95488331328893</x:v>
      </x:c>
      <x:c r="AV148" s="9"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x:f>
        <x:v>118.95488331328893</x:v>
      </x:c>
      <x:c r="AW148" s="10"/>
      <x:c r="AX148" s="9">
        <x:f t="shared" si="25"/>
        <x:v>0.217</x:v>
      </x:c>
      <x:c r="AY148" s="9" t="n">
        <x:f>0</x:f>
        <x:v>0</x:v>
      </x:c>
      <x:c r="AZ148" s="9" t="n">
        <x:f>IF(OR(Inputs!$F$6=TRUE,Inputs!$F$6="TRUE",Inputs!$F$6=1),(Inputs!$H$6+Inputs!$L$6*(((Inputs!$I$6+(((A148)+1)/2)*(Inputs!$J$6-Inputs!$I$6)))/Inputs!$K$6)^2),NA())</x:f>
        <x:v>400.188356</x:v>
      </x:c>
      <x:c r="BA148" s="9" t="n">
        <x:f>IF(OR(Inputs!$F$7=TRUE,Inputs!$F$7="TRUE",Inputs!$F$7=1),(Inputs!$H$7+Inputs!$L$7*(((Inputs!$I$7+(((A148)+1)/2)*(Inputs!$J$7-Inputs!$I$7)))/Inputs!$K$7)^2),NA())</x:f>
        <x:v>52.18748500000001</x:v>
      </x:c>
      <x:c r="BB148" s="9" t="n">
        <x:f>IF(OR(Inputs!$F$8=TRUE,Inputs!$F$8="TRUE",Inputs!$F$8=1),(Inputs!$H$8+Inputs!$L$8*(((Inputs!$I$8+(((A148)+1)/2)*(Inputs!$J$8-Inputs!$I$8)))/Inputs!$K$8)^2),NA())</x:f>
        <x:v>80.44088500000001</x:v>
      </x:c>
      <x:c r="BC148" s="9" t="n">
        <x:f>IF(OR(Inputs!$F$9=TRUE,Inputs!$F$9="TRUE",Inputs!$F$9=1),(Inputs!$H$9+Inputs!$L$9*(((Inputs!$I$9+(((A148)+1)/2)*(Inputs!$J$9-Inputs!$I$9)))/Inputs!$K$9)^2),NA())</x:f>
        <x:v>70.911775</x:v>
      </x:c>
      <x:c r="BD148" s="10"/>
      <x:c r="BE148" s="9">
        <x:f t="shared" si="26"/>
        <x:v>0.217</x:v>
      </x:c>
      <x:c r="BF148" s="9" t="n">
        <x:f>0</x:f>
        <x:v>0</x:v>
      </x:c>
      <x:c r="BG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9" t="n">
        <x:f>ROUND(-1+147*2/240,3)</x:f>
        <x:v>0.225</x:v>
      </x:c>
      <x:c r="B149" s="9" t="n">
        <x:f>IF(OR(Inputs!$F$6=TRUE,Inputs!$F$6="TRUE",Inputs!$F$6=1),(Inputs!$H$6+Inputs!$L$6*(((Inputs!$I$6+(((A149)+1)/2)*(Inputs!$J$6-Inputs!$I$6)))/Inputs!$K$6)^2),NA())</x:f>
        <x:v>400.2025</x:v>
      </x:c>
      <x:c r="C149" s="9" t="n">
        <x:f>IF(OR(Inputs!$F$7=TRUE,Inputs!$F$7="TRUE",Inputs!$F$7=1),(Inputs!$H$7+Inputs!$L$7*(((Inputs!$I$7+(((A149)+1)/2)*(Inputs!$J$7-Inputs!$I$7)))/Inputs!$K$7)^2),NA())</x:f>
        <x:v>53.47812500000002</x:v>
      </x:c>
      <x:c r="D149" s="9" t="n">
        <x:f>IF(OR(Inputs!$F$8=TRUE,Inputs!$F$8="TRUE",Inputs!$F$8=1),(Inputs!$H$8+Inputs!$L$8*(((Inputs!$I$8+(((A149)+1)/2)*(Inputs!$J$8-Inputs!$I$8)))/Inputs!$K$8)^2),NA())</x:f>
        <x:v>83.85312500000006</x:v>
      </x:c>
      <x:c r="E149" s="9" t="n">
        <x:f>IF(OR(Inputs!$F$9=TRUE,Inputs!$F$9="TRUE",Inputs!$F$9=1),(Inputs!$H$9+Inputs!$L$9*(((Inputs!$I$9+(((A149)+1)/2)*(Inputs!$J$9-Inputs!$I$9)))/Inputs!$K$9)^2),NA())</x:f>
        <x:v>74.35937500000006</x:v>
      </x:c>
      <x:c r="F149" s="10"/>
      <x:c r="G149" s="9">
        <x:f t="shared" si="18"/>
        <x:v>0.22500000000000001</x:v>
      </x:c>
      <x:c r="H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10"/>
      <x:c r="M149" s="9">
        <x:f t="shared" si="19"/>
        <x:v>0.22500000000000001</x:v>
      </x:c>
      <x:c r="N149" s="9"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9"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9"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9"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10"/>
      <x:c r="S149" s="9">
        <x:f t="shared" si="20"/>
        <x:v>0.22500000000000001</x:v>
      </x:c>
      <x:c r="T149" s="9" t="n">
        <x:f>(Inputs!$I$6+(((A149)+1)/2)*(Inputs!$J$6-Inputs!$I$6))</x:f>
        <x:v>13.5</x:v>
      </x:c>
      <x:c r="U149" s="9" t="n">
        <x:f>(Inputs!$I$7+(((A149)+1)/2)*(Inputs!$J$7-Inputs!$I$7))</x:f>
        <x:v>90.00000000000006</x:v>
      </x:c>
      <x:c r="V149" s="9" t="n">
        <x:f>(Inputs!$I$8+(((A149)+1)/2)*(Inputs!$J$8-Inputs!$I$8))</x:f>
        <x:v>180.0000000000001</x:v>
      </x:c>
      <x:c r="W149" s="9" t="n">
        <x:f>(Inputs!$I$9+(((A149)+1)/2)*(Inputs!$J$9-Inputs!$I$9))</x:f>
        <x:v>180.0000000000001</x:v>
      </x:c>
      <x:c r="X149" s="10"/>
      <x:c r="Y149" s="9">
        <x:f t="shared" si="21"/>
        <x:v>0.22500000000000001</x:v>
      </x:c>
      <x:c r="Z149" s="9" t="n">
        <x:f>(Inputs!$H$6+Inputs!$L$6*(((Inputs!$I$6+(((A149)+1)/2)*(Inputs!$J$6-Inputs!$I$6)))/Inputs!$K$6)^2)</x:f>
        <x:v>400.2025</x:v>
      </x:c>
      <x:c r="AA149" s="9" t="n">
        <x:f>(Inputs!$H$7+Inputs!$L$7*(((Inputs!$I$7+(((A149)+1)/2)*(Inputs!$J$7-Inputs!$I$7)))/Inputs!$K$7)^2)</x:f>
        <x:v>53.47812500000002</x:v>
      </x:c>
      <x:c r="AB149" s="9" t="n">
        <x:f>(Inputs!$H$8+Inputs!$L$8*(((Inputs!$I$8+(((A149)+1)/2)*(Inputs!$J$8-Inputs!$I$8)))/Inputs!$K$8)^2)</x:f>
        <x:v>83.85312500000006</x:v>
      </x:c>
      <x:c r="AC149" s="9" t="n">
        <x:f>(Inputs!$H$9+Inputs!$L$9*(((Inputs!$I$9+(((A149)+1)/2)*(Inputs!$J$9-Inputs!$I$9)))/Inputs!$K$9)^2)</x:f>
        <x:v>74.35937500000006</x:v>
      </x:c>
      <x:c r="AD149" s="10"/>
      <x:c r="AE149" s="9">
        <x:f t="shared" si="22"/>
        <x:v>0.22500000000000001</x:v>
      </x:c>
      <x:c r="AF149" s="9"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9"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9"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9"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10"/>
      <x:c r="AK149" s="9">
        <x:f t="shared" si="23"/>
        <x:v>0.22500000000000001</x:v>
      </x:c>
      <x:c r="AL149" s="9"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9"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9"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9"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10"/>
      <x:c r="AQ149" s="9">
        <x:f t="shared" si="24"/>
        <x:v>0.22500000000000001</x:v>
      </x:c>
      <x:c r="AR149" s="9" t="n">
        <x:f>0</x:f>
        <x:v>0</x:v>
      </x:c>
      <x:c r="AS149" s="9"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x:f>
        <x:v>408.84619240872695</x:v>
      </x:c>
      <x:c r="AT149" s="9"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x:f>
        <x:v>159.5736798888086</x:v>
      </x:c>
      <x:c r="AU149" s="9"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x:f>
        <x:v>131.8458942827403</x:v>
      </x:c>
      <x:c r="AV149" s="9"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x:f>
        <x:v>131.8458942827403</x:v>
      </x:c>
      <x:c r="AW149" s="10"/>
      <x:c r="AX149" s="9">
        <x:f t="shared" si="25"/>
        <x:v>0.22500000000000001</x:v>
      </x:c>
      <x:c r="AY149" s="9" t="n">
        <x:f>0</x:f>
        <x:v>0</x:v>
      </x:c>
      <x:c r="AZ149" s="9" t="n">
        <x:f>IF(OR(Inputs!$F$6=TRUE,Inputs!$F$6="TRUE",Inputs!$F$6=1),(Inputs!$H$6+Inputs!$L$6*(((Inputs!$I$6+(((A149)+1)/2)*(Inputs!$J$6-Inputs!$I$6)))/Inputs!$K$6)^2),NA())</x:f>
        <x:v>400.2025</x:v>
      </x:c>
      <x:c r="BA149" s="9" t="n">
        <x:f>IF(OR(Inputs!$F$7=TRUE,Inputs!$F$7="TRUE",Inputs!$F$7=1),(Inputs!$H$7+Inputs!$L$7*(((Inputs!$I$7+(((A149)+1)/2)*(Inputs!$J$7-Inputs!$I$7)))/Inputs!$K$7)^2),NA())</x:f>
        <x:v>53.47812500000002</x:v>
      </x:c>
      <x:c r="BB149" s="9" t="n">
        <x:f>IF(OR(Inputs!$F$8=TRUE,Inputs!$F$8="TRUE",Inputs!$F$8=1),(Inputs!$H$8+Inputs!$L$8*(((Inputs!$I$8+(((A149)+1)/2)*(Inputs!$J$8-Inputs!$I$8)))/Inputs!$K$8)^2),NA())</x:f>
        <x:v>83.85312500000006</x:v>
      </x:c>
      <x:c r="BC149" s="9" t="n">
        <x:f>IF(OR(Inputs!$F$9=TRUE,Inputs!$F$9="TRUE",Inputs!$F$9=1),(Inputs!$H$9+Inputs!$L$9*(((Inputs!$I$9+(((A149)+1)/2)*(Inputs!$J$9-Inputs!$I$9)))/Inputs!$K$9)^2),NA())</x:f>
        <x:v>74.35937500000006</x:v>
      </x:c>
      <x:c r="BD149" s="10"/>
      <x:c r="BE149" s="9">
        <x:f t="shared" si="26"/>
        <x:v>0.22500000000000001</x:v>
      </x:c>
      <x:c r="BF149" s="9" t="n">
        <x:f>0</x:f>
        <x:v>0</x:v>
      </x:c>
      <x:c r="BG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9" t="n">
        <x:f>ROUND(-1+148*2/240,3)</x:f>
        <x:v>0.233</x:v>
      </x:c>
      <x:c r="B150" s="9" t="n">
        <x:f>IF(OR(Inputs!$F$6=TRUE,Inputs!$F$6="TRUE",Inputs!$F$6=1),(Inputs!$H$6+Inputs!$L$6*(((Inputs!$I$6+(((A150)+1)/2)*(Inputs!$J$6-Inputs!$I$6)))/Inputs!$K$6)^2),NA())</x:f>
        <x:v>400.217156</x:v>
      </x:c>
      <x:c r="C150" s="9" t="n">
        <x:f>IF(OR(Inputs!$F$7=TRUE,Inputs!$F$7="TRUE",Inputs!$F$7=1),(Inputs!$H$7+Inputs!$L$7*(((Inputs!$I$7+(((A150)+1)/2)*(Inputs!$J$7-Inputs!$I$7)))/Inputs!$K$7)^2),NA())</x:f>
        <x:v>54.815485000000024</x:v>
      </x:c>
      <x:c r="D150" s="9" t="n">
        <x:f>IF(OR(Inputs!$F$8=TRUE,Inputs!$F$8="TRUE",Inputs!$F$8=1),(Inputs!$H$8+Inputs!$L$8*(((Inputs!$I$8+(((A150)+1)/2)*(Inputs!$J$8-Inputs!$I$8)))/Inputs!$K$8)^2),NA())</x:f>
        <x:v>87.38888500000006</x:v>
      </x:c>
      <x:c r="E150" s="9" t="n">
        <x:f>IF(OR(Inputs!$F$9=TRUE,Inputs!$F$9="TRUE",Inputs!$F$9=1),(Inputs!$H$9+Inputs!$L$9*(((Inputs!$I$9+(((A150)+1)/2)*(Inputs!$J$9-Inputs!$I$9)))/Inputs!$K$9)^2),NA())</x:f>
        <x:v>77.93177500000006</x:v>
      </x:c>
      <x:c r="F150" s="10"/>
      <x:c r="G150" s="9">
        <x:f t="shared" si="18"/>
        <x:v>0.23300000000000001</x:v>
      </x:c>
      <x:c r="H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10"/>
      <x:c r="M150" s="9">
        <x:f t="shared" si="19"/>
        <x:v>0.23300000000000001</x:v>
      </x:c>
      <x:c r="N150" s="9"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9"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9"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9"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10"/>
      <x:c r="S150" s="9">
        <x:f t="shared" si="20"/>
        <x:v>0.23300000000000001</x:v>
      </x:c>
      <x:c r="T150" s="9" t="n">
        <x:f>(Inputs!$I$6+(((A150)+1)/2)*(Inputs!$J$6-Inputs!$I$6))</x:f>
        <x:v>13.980000000000004</x:v>
      </x:c>
      <x:c r="U150" s="9" t="n">
        <x:f>(Inputs!$I$7+(((A150)+1)/2)*(Inputs!$J$7-Inputs!$I$7))</x:f>
        <x:v>93.20000000000005</x:v>
      </x:c>
      <x:c r="V150" s="9" t="n">
        <x:f>(Inputs!$I$8+(((A150)+1)/2)*(Inputs!$J$8-Inputs!$I$8))</x:f>
        <x:v>186.4000000000001</x:v>
      </x:c>
      <x:c r="W150" s="9" t="n">
        <x:f>(Inputs!$I$9+(((A150)+1)/2)*(Inputs!$J$9-Inputs!$I$9))</x:f>
        <x:v>186.4000000000001</x:v>
      </x:c>
      <x:c r="X150" s="10"/>
      <x:c r="Y150" s="9">
        <x:f t="shared" si="21"/>
        <x:v>0.23300000000000001</x:v>
      </x:c>
      <x:c r="Z150" s="9" t="n">
        <x:f>(Inputs!$H$6+Inputs!$L$6*(((Inputs!$I$6+(((A150)+1)/2)*(Inputs!$J$6-Inputs!$I$6)))/Inputs!$K$6)^2)</x:f>
        <x:v>400.217156</x:v>
      </x:c>
      <x:c r="AA150" s="9" t="n">
        <x:f>(Inputs!$H$7+Inputs!$L$7*(((Inputs!$I$7+(((A150)+1)/2)*(Inputs!$J$7-Inputs!$I$7)))/Inputs!$K$7)^2)</x:f>
        <x:v>54.815485000000024</x:v>
      </x:c>
      <x:c r="AB150" s="9" t="n">
        <x:f>(Inputs!$H$8+Inputs!$L$8*(((Inputs!$I$8+(((A150)+1)/2)*(Inputs!$J$8-Inputs!$I$8)))/Inputs!$K$8)^2)</x:f>
        <x:v>87.38888500000006</x:v>
      </x:c>
      <x:c r="AC150" s="9" t="n">
        <x:f>(Inputs!$H$9+Inputs!$L$9*(((Inputs!$I$9+(((A150)+1)/2)*(Inputs!$J$9-Inputs!$I$9)))/Inputs!$K$9)^2)</x:f>
        <x:v>77.93177500000006</x:v>
      </x:c>
      <x:c r="AD150" s="10"/>
      <x:c r="AE150" s="9">
        <x:f t="shared" si="22"/>
        <x:v>0.23300000000000001</x:v>
      </x:c>
      <x:c r="AF150" s="9"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9"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9"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9"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10"/>
      <x:c r="AK150" s="9">
        <x:f t="shared" si="23"/>
        <x:v>0.23300000000000001</x:v>
      </x:c>
      <x:c r="AL150" s="9"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9"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9"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9"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10"/>
      <x:c r="AQ150" s="9">
        <x:f t="shared" si="24"/>
        <x:v>0.23300000000000001</x:v>
      </x:c>
      <x:c r="AR150" s="9" t="n">
        <x:f>0</x:f>
        <x:v>0</x:v>
      </x:c>
      <x:c r="AS150" s="9"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x:f>
        <x:v>422.9764833471079</x:v>
      </x:c>
      <x:c r="AT150" s="9"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x:f>
        <x:v>173.9880715961159</x:v>
      </x:c>
      <x:c r="AU150" s="9"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x:f>
        <x:v>169.37052952909403</x:v>
      </x:c>
      <x:c r="AV150" s="9"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x:f>
        <x:v>169.37052952909403</x:v>
      </x:c>
      <x:c r="AW150" s="10"/>
      <x:c r="AX150" s="9">
        <x:f t="shared" si="25"/>
        <x:v>0.23300000000000001</x:v>
      </x:c>
      <x:c r="AY150" s="9" t="n">
        <x:f>0</x:f>
        <x:v>0</x:v>
      </x:c>
      <x:c r="AZ150" s="9" t="n">
        <x:f>IF(OR(Inputs!$F$6=TRUE,Inputs!$F$6="TRUE",Inputs!$F$6=1),(Inputs!$H$6+Inputs!$L$6*(((Inputs!$I$6+(((A150)+1)/2)*(Inputs!$J$6-Inputs!$I$6)))/Inputs!$K$6)^2),NA())</x:f>
        <x:v>400.217156</x:v>
      </x:c>
      <x:c r="BA150" s="9" t="n">
        <x:f>IF(OR(Inputs!$F$7=TRUE,Inputs!$F$7="TRUE",Inputs!$F$7=1),(Inputs!$H$7+Inputs!$L$7*(((Inputs!$I$7+(((A150)+1)/2)*(Inputs!$J$7-Inputs!$I$7)))/Inputs!$K$7)^2),NA())</x:f>
        <x:v>54.815485000000024</x:v>
      </x:c>
      <x:c r="BB150" s="9" t="n">
        <x:f>IF(OR(Inputs!$F$8=TRUE,Inputs!$F$8="TRUE",Inputs!$F$8=1),(Inputs!$H$8+Inputs!$L$8*(((Inputs!$I$8+(((A150)+1)/2)*(Inputs!$J$8-Inputs!$I$8)))/Inputs!$K$8)^2),NA())</x:f>
        <x:v>87.38888500000006</x:v>
      </x:c>
      <x:c r="BC150" s="9" t="n">
        <x:f>IF(OR(Inputs!$F$9=TRUE,Inputs!$F$9="TRUE",Inputs!$F$9=1),(Inputs!$H$9+Inputs!$L$9*(((Inputs!$I$9+(((A150)+1)/2)*(Inputs!$J$9-Inputs!$I$9)))/Inputs!$K$9)^2),NA())</x:f>
        <x:v>77.93177500000006</x:v>
      </x:c>
      <x:c r="BD150" s="10"/>
      <x:c r="BE150" s="9">
        <x:f t="shared" si="26"/>
        <x:v>0.23300000000000001</x:v>
      </x:c>
      <x:c r="BF150" s="9" t="n">
        <x:f>0</x:f>
        <x:v>0</x:v>
      </x:c>
      <x:c r="BG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9" t="n">
        <x:f>ROUND(-1+149*2/240,3)</x:f>
        <x:v>0.242</x:v>
      </x:c>
      <x:c r="B151" s="9" t="n">
        <x:f>IF(OR(Inputs!$F$6=TRUE,Inputs!$F$6="TRUE",Inputs!$F$6=1),(Inputs!$H$6+Inputs!$L$6*(((Inputs!$I$6+(((A151)+1)/2)*(Inputs!$J$6-Inputs!$I$6)))/Inputs!$K$6)^2),NA())</x:f>
        <x:v>400.234256</x:v>
      </x:c>
      <x:c r="C151" s="9" t="n">
        <x:f>IF(OR(Inputs!$F$7=TRUE,Inputs!$F$7="TRUE",Inputs!$F$7=1),(Inputs!$H$7+Inputs!$L$7*(((Inputs!$I$7+(((A151)+1)/2)*(Inputs!$J$7-Inputs!$I$7)))/Inputs!$K$7)^2),NA())</x:f>
        <x:v>56.37586</x:v>
      </x:c>
      <x:c r="D151" s="9" t="n">
        <x:f>IF(OR(Inputs!$F$8=TRUE,Inputs!$F$8="TRUE",Inputs!$F$8=1),(Inputs!$H$8+Inputs!$L$8*(((Inputs!$I$8+(((A151)+1)/2)*(Inputs!$J$8-Inputs!$I$8)))/Inputs!$K$8)^2),NA())</x:f>
        <x:v>91.51426000000001</x:v>
      </x:c>
      <x:c r="E151" s="9" t="n">
        <x:f>IF(OR(Inputs!$F$9=TRUE,Inputs!$F$9="TRUE",Inputs!$F$9=1),(Inputs!$H$9+Inputs!$L$9*(((Inputs!$I$9+(((A151)+1)/2)*(Inputs!$J$9-Inputs!$I$9)))/Inputs!$K$9)^2),NA())</x:f>
        <x:v>82.09990000000002</x:v>
      </x:c>
      <x:c r="F151" s="10"/>
      <x:c r="G151" s="9">
        <x:f t="shared" si="18"/>
        <x:v>0.24199999999999999</x:v>
      </x:c>
      <x:c r="H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10"/>
      <x:c r="M151" s="9">
        <x:f t="shared" si="19"/>
        <x:v>0.24199999999999999</x:v>
      </x:c>
      <x:c r="N151" s="9"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9"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9"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9"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10"/>
      <x:c r="S151" s="9">
        <x:f t="shared" si="20"/>
        <x:v>0.24199999999999999</x:v>
      </x:c>
      <x:c r="T151" s="9" t="n">
        <x:f>(Inputs!$I$6+(((A151)+1)/2)*(Inputs!$J$6-Inputs!$I$6))</x:f>
        <x:v>14.519999999999996</x:v>
      </x:c>
      <x:c r="U151" s="9" t="n">
        <x:f>(Inputs!$I$7+(((A151)+1)/2)*(Inputs!$J$7-Inputs!$I$7))</x:f>
        <x:v>96.80000000000001</x:v>
      </x:c>
      <x:c r="V151" s="9" t="n">
        <x:f>(Inputs!$I$8+(((A151)+1)/2)*(Inputs!$J$8-Inputs!$I$8))</x:f>
        <x:v>193.60000000000002</x:v>
      </x:c>
      <x:c r="W151" s="9" t="n">
        <x:f>(Inputs!$I$9+(((A151)+1)/2)*(Inputs!$J$9-Inputs!$I$9))</x:f>
        <x:v>193.60000000000002</x:v>
      </x:c>
      <x:c r="X151" s="10"/>
      <x:c r="Y151" s="9">
        <x:f t="shared" si="21"/>
        <x:v>0.24199999999999999</x:v>
      </x:c>
      <x:c r="Z151" s="9" t="n">
        <x:f>(Inputs!$H$6+Inputs!$L$6*(((Inputs!$I$6+(((A151)+1)/2)*(Inputs!$J$6-Inputs!$I$6)))/Inputs!$K$6)^2)</x:f>
        <x:v>400.234256</x:v>
      </x:c>
      <x:c r="AA151" s="9" t="n">
        <x:f>(Inputs!$H$7+Inputs!$L$7*(((Inputs!$I$7+(((A151)+1)/2)*(Inputs!$J$7-Inputs!$I$7)))/Inputs!$K$7)^2)</x:f>
        <x:v>56.37586</x:v>
      </x:c>
      <x:c r="AB151" s="9" t="n">
        <x:f>(Inputs!$H$8+Inputs!$L$8*(((Inputs!$I$8+(((A151)+1)/2)*(Inputs!$J$8-Inputs!$I$8)))/Inputs!$K$8)^2)</x:f>
        <x:v>91.51426000000001</x:v>
      </x:c>
      <x:c r="AC151" s="9" t="n">
        <x:f>(Inputs!$H$9+Inputs!$L$9*(((Inputs!$I$9+(((A151)+1)/2)*(Inputs!$J$9-Inputs!$I$9)))/Inputs!$K$9)^2)</x:f>
        <x:v>82.09990000000002</x:v>
      </x:c>
      <x:c r="AD151" s="10"/>
      <x:c r="AE151" s="9">
        <x:f t="shared" si="22"/>
        <x:v>0.24199999999999999</x:v>
      </x:c>
      <x:c r="AF151" s="9"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9"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9"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9"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10"/>
      <x:c r="AK151" s="9">
        <x:f t="shared" si="23"/>
        <x:v>0.24199999999999999</x:v>
      </x:c>
      <x:c r="AL151" s="9"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9"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9"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9"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10"/>
      <x:c r="AQ151" s="9">
        <x:f t="shared" si="24"/>
        <x:v>0.24199999999999999</x:v>
      </x:c>
      <x:c r="AR151" s="9" t="n">
        <x:f>0</x:f>
        <x:v>0</x:v>
      </x:c>
      <x:c r="AS151" s="9"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x:f>
        <x:v>417.44975846448233</x:v>
      </x:c>
      <x:c r="AT151" s="9"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x:f>
        <x:v>203.88439653681294</x:v>
      </x:c>
      <x:c r="AU151" s="9"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x:f>
        <x:v>85.07745798640758</x:v>
      </x:c>
      <x:c r="AV151" s="9"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x:f>
        <x:v>85.07745798640758</x:v>
      </x:c>
      <x:c r="AW151" s="10"/>
      <x:c r="AX151" s="9">
        <x:f t="shared" si="25"/>
        <x:v>0.24199999999999999</x:v>
      </x:c>
      <x:c r="AY151" s="9" t="n">
        <x:f>0</x:f>
        <x:v>0</x:v>
      </x:c>
      <x:c r="AZ151" s="9" t="n">
        <x:f>IF(OR(Inputs!$F$6=TRUE,Inputs!$F$6="TRUE",Inputs!$F$6=1),(Inputs!$H$6+Inputs!$L$6*(((Inputs!$I$6+(((A151)+1)/2)*(Inputs!$J$6-Inputs!$I$6)))/Inputs!$K$6)^2),NA())</x:f>
        <x:v>400.234256</x:v>
      </x:c>
      <x:c r="BA151" s="9" t="n">
        <x:f>IF(OR(Inputs!$F$7=TRUE,Inputs!$F$7="TRUE",Inputs!$F$7=1),(Inputs!$H$7+Inputs!$L$7*(((Inputs!$I$7+(((A151)+1)/2)*(Inputs!$J$7-Inputs!$I$7)))/Inputs!$K$7)^2),NA())</x:f>
        <x:v>56.37586</x:v>
      </x:c>
      <x:c r="BB151" s="9" t="n">
        <x:f>IF(OR(Inputs!$F$8=TRUE,Inputs!$F$8="TRUE",Inputs!$F$8=1),(Inputs!$H$8+Inputs!$L$8*(((Inputs!$I$8+(((A151)+1)/2)*(Inputs!$J$8-Inputs!$I$8)))/Inputs!$K$8)^2),NA())</x:f>
        <x:v>91.51426000000001</x:v>
      </x:c>
      <x:c r="BC151" s="9" t="n">
        <x:f>IF(OR(Inputs!$F$9=TRUE,Inputs!$F$9="TRUE",Inputs!$F$9=1),(Inputs!$H$9+Inputs!$L$9*(((Inputs!$I$9+(((A151)+1)/2)*(Inputs!$J$9-Inputs!$I$9)))/Inputs!$K$9)^2),NA())</x:f>
        <x:v>82.09990000000002</x:v>
      </x:c>
      <x:c r="BD151" s="10"/>
      <x:c r="BE151" s="9">
        <x:f t="shared" si="26"/>
        <x:v>0.24199999999999999</x:v>
      </x:c>
      <x:c r="BF151" s="9" t="n">
        <x:f>0</x:f>
        <x:v>0</x:v>
      </x:c>
      <x:c r="BG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9" t="n">
        <x:f>ROUND(-1+150*2/240,3)</x:f>
        <x:v>0.25</x:v>
      </x:c>
      <x:c r="B152" s="9" t="n">
        <x:f>IF(OR(Inputs!$F$6=TRUE,Inputs!$F$6="TRUE",Inputs!$F$6=1),(Inputs!$H$6+Inputs!$L$6*(((Inputs!$I$6+(((A152)+1)/2)*(Inputs!$J$6-Inputs!$I$6)))/Inputs!$K$6)^2),NA())</x:f>
        <x:v>400.25</x:v>
      </x:c>
      <x:c r="C152" s="9" t="n">
        <x:f>IF(OR(Inputs!$F$7=TRUE,Inputs!$F$7="TRUE",Inputs!$F$7=1),(Inputs!$H$7+Inputs!$L$7*(((Inputs!$I$7+(((A152)+1)/2)*(Inputs!$J$7-Inputs!$I$7)))/Inputs!$K$7)^2),NA())</x:f>
        <x:v>57.8125</x:v>
      </x:c>
      <x:c r="D152" s="9" t="n">
        <x:f>IF(OR(Inputs!$F$8=TRUE,Inputs!$F$8="TRUE",Inputs!$F$8=1),(Inputs!$H$8+Inputs!$L$8*(((Inputs!$I$8+(((A152)+1)/2)*(Inputs!$J$8-Inputs!$I$8)))/Inputs!$K$8)^2),NA())</x:f>
        <x:v>95.3125</x:v>
      </x:c>
      <x:c r="E152" s="9" t="n">
        <x:f>IF(OR(Inputs!$F$9=TRUE,Inputs!$F$9="TRUE",Inputs!$F$9=1),(Inputs!$H$9+Inputs!$L$9*(((Inputs!$I$9+(((A152)+1)/2)*(Inputs!$J$9-Inputs!$I$9)))/Inputs!$K$9)^2),NA())</x:f>
        <x:v>85.9375</x:v>
      </x:c>
      <x:c r="F152" s="10"/>
      <x:c r="G152" s="9">
        <x:f t="shared" si="18"/>
        <x:v>0.25</x:v>
      </x:c>
      <x:c r="H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10"/>
      <x:c r="M152" s="9">
        <x:f t="shared" si="19"/>
        <x:v>0.25</x:v>
      </x:c>
      <x:c r="N152" s="9"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9"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9"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9"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10"/>
      <x:c r="S152" s="9">
        <x:f t="shared" si="20"/>
        <x:v>0.25</x:v>
      </x:c>
      <x:c r="T152" s="9" t="n">
        <x:f>(Inputs!$I$6+(((A152)+1)/2)*(Inputs!$J$6-Inputs!$I$6))</x:f>
        <x:v>15</x:v>
      </x:c>
      <x:c r="U152" s="9" t="n">
        <x:f>(Inputs!$I$7+(((A152)+1)/2)*(Inputs!$J$7-Inputs!$I$7))</x:f>
        <x:v>100</x:v>
      </x:c>
      <x:c r="V152" s="9" t="n">
        <x:f>(Inputs!$I$8+(((A152)+1)/2)*(Inputs!$J$8-Inputs!$I$8))</x:f>
        <x:v>200</x:v>
      </x:c>
      <x:c r="W152" s="9" t="n">
        <x:f>(Inputs!$I$9+(((A152)+1)/2)*(Inputs!$J$9-Inputs!$I$9))</x:f>
        <x:v>200</x:v>
      </x:c>
      <x:c r="X152" s="10"/>
      <x:c r="Y152" s="9">
        <x:f t="shared" si="21"/>
        <x:v>0.25</x:v>
      </x:c>
      <x:c r="Z152" s="9" t="n">
        <x:f>(Inputs!$H$6+Inputs!$L$6*(((Inputs!$I$6+(((A152)+1)/2)*(Inputs!$J$6-Inputs!$I$6)))/Inputs!$K$6)^2)</x:f>
        <x:v>400.25</x:v>
      </x:c>
      <x:c r="AA152" s="9" t="n">
        <x:f>(Inputs!$H$7+Inputs!$L$7*(((Inputs!$I$7+(((A152)+1)/2)*(Inputs!$J$7-Inputs!$I$7)))/Inputs!$K$7)^2)</x:f>
        <x:v>57.8125</x:v>
      </x:c>
      <x:c r="AB152" s="9" t="n">
        <x:f>(Inputs!$H$8+Inputs!$L$8*(((Inputs!$I$8+(((A152)+1)/2)*(Inputs!$J$8-Inputs!$I$8)))/Inputs!$K$8)^2)</x:f>
        <x:v>95.3125</x:v>
      </x:c>
      <x:c r="AC152" s="9" t="n">
        <x:f>(Inputs!$H$9+Inputs!$L$9*(((Inputs!$I$9+(((A152)+1)/2)*(Inputs!$J$9-Inputs!$I$9)))/Inputs!$K$9)^2)</x:f>
        <x:v>85.9375</x:v>
      </x:c>
      <x:c r="AD152" s="10"/>
      <x:c r="AE152" s="9">
        <x:f t="shared" si="22"/>
        <x:v>0.25</x:v>
      </x:c>
      <x:c r="AF152" s="9"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9"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9"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9"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10"/>
      <x:c r="AK152" s="9">
        <x:f t="shared" si="23"/>
        <x:v>0.25</x:v>
      </x:c>
      <x:c r="AL152" s="9"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9"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9"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9"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10"/>
      <x:c r="AQ152" s="9">
        <x:f t="shared" si="24"/>
        <x:v>0.25</x:v>
      </x:c>
      <x:c r="AR152" s="9" t="n">
        <x:f>0</x:f>
        <x:v>0</x:v>
      </x:c>
      <x:c r="AS152" s="9"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x:f>
        <x:v>399.34593170493116</x:v>
      </x:c>
      <x:c r="AT152" s="9"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x:f>
        <x:v>145.81280158474385</x:v>
      </x:c>
      <x:c r="AU152" s="9"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x:f>
        <x:v>158.86775074007286</x:v>
      </x:c>
      <x:c r="AV152" s="9"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x:f>
        <x:v>158.86775074007286</x:v>
      </x:c>
      <x:c r="AW152" s="10"/>
      <x:c r="AX152" s="9">
        <x:f t="shared" si="25"/>
        <x:v>0.25</x:v>
      </x:c>
      <x:c r="AY152" s="9" t="n">
        <x:f>0</x:f>
        <x:v>0</x:v>
      </x:c>
      <x:c r="AZ152" s="9" t="n">
        <x:f>IF(OR(Inputs!$F$6=TRUE,Inputs!$F$6="TRUE",Inputs!$F$6=1),(Inputs!$H$6+Inputs!$L$6*(((Inputs!$I$6+(((A152)+1)/2)*(Inputs!$J$6-Inputs!$I$6)))/Inputs!$K$6)^2),NA())</x:f>
        <x:v>400.25</x:v>
      </x:c>
      <x:c r="BA152" s="9" t="n">
        <x:f>IF(OR(Inputs!$F$7=TRUE,Inputs!$F$7="TRUE",Inputs!$F$7=1),(Inputs!$H$7+Inputs!$L$7*(((Inputs!$I$7+(((A152)+1)/2)*(Inputs!$J$7-Inputs!$I$7)))/Inputs!$K$7)^2),NA())</x:f>
        <x:v>57.8125</x:v>
      </x:c>
      <x:c r="BB152" s="9" t="n">
        <x:f>IF(OR(Inputs!$F$8=TRUE,Inputs!$F$8="TRUE",Inputs!$F$8=1),(Inputs!$H$8+Inputs!$L$8*(((Inputs!$I$8+(((A152)+1)/2)*(Inputs!$J$8-Inputs!$I$8)))/Inputs!$K$8)^2),NA())</x:f>
        <x:v>95.3125</x:v>
      </x:c>
      <x:c r="BC152" s="9" t="n">
        <x:f>IF(OR(Inputs!$F$9=TRUE,Inputs!$F$9="TRUE",Inputs!$F$9=1),(Inputs!$H$9+Inputs!$L$9*(((Inputs!$I$9+(((A152)+1)/2)*(Inputs!$J$9-Inputs!$I$9)))/Inputs!$K$9)^2),NA())</x:f>
        <x:v>85.9375</x:v>
      </x:c>
      <x:c r="BD152" s="10"/>
      <x:c r="BE152" s="9">
        <x:f t="shared" si="26"/>
        <x:v>0.25</x:v>
      </x:c>
      <x:c r="BF152" s="9" t="n">
        <x:f>0</x:f>
        <x:v>0</x:v>
      </x:c>
      <x:c r="BG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9" t="n">
        <x:f>ROUND(-1+151*2/240,3)</x:f>
        <x:v>0.258</x:v>
      </x:c>
      <x:c r="B153" s="9" t="n">
        <x:f>IF(OR(Inputs!$F$6=TRUE,Inputs!$F$6="TRUE",Inputs!$F$6=1),(Inputs!$H$6+Inputs!$L$6*(((Inputs!$I$6+(((A153)+1)/2)*(Inputs!$J$6-Inputs!$I$6)))/Inputs!$K$6)^2),NA())</x:f>
        <x:v>400.266256</x:v>
      </x:c>
      <x:c r="C153" s="9" t="n">
        <x:f>IF(OR(Inputs!$F$7=TRUE,Inputs!$F$7="TRUE",Inputs!$F$7=1),(Inputs!$H$7+Inputs!$L$7*(((Inputs!$I$7+(((A153)+1)/2)*(Inputs!$J$7-Inputs!$I$7)))/Inputs!$K$7)^2),NA())</x:f>
        <x:v>59.29585999999999</x:v>
      </x:c>
      <x:c r="D153" s="9" t="n">
        <x:f>IF(OR(Inputs!$F$8=TRUE,Inputs!$F$8="TRUE",Inputs!$F$8=1),(Inputs!$H$8+Inputs!$L$8*(((Inputs!$I$8+(((A153)+1)/2)*(Inputs!$J$8-Inputs!$I$8)))/Inputs!$K$8)^2),NA())</x:f>
        <x:v>99.23425999999998</x:v>
      </x:c>
      <x:c r="E153" s="9" t="n">
        <x:f>IF(OR(Inputs!$F$9=TRUE,Inputs!$F$9="TRUE",Inputs!$F$9=1),(Inputs!$H$9+Inputs!$L$9*(((Inputs!$I$9+(((A153)+1)/2)*(Inputs!$J$9-Inputs!$I$9)))/Inputs!$K$9)^2),NA())</x:f>
        <x:v>89.89989999999997</x:v>
      </x:c>
      <x:c r="F153" s="10"/>
      <x:c r="G153" s="9">
        <x:f t="shared" si="18"/>
        <x:v>0.25800000000000001</x:v>
      </x:c>
      <x:c r="H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10"/>
      <x:c r="M153" s="9">
        <x:f t="shared" si="19"/>
        <x:v>0.25800000000000001</x:v>
      </x:c>
      <x:c r="N153" s="9"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9"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9"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9"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10"/>
      <x:c r="S153" s="9">
        <x:f t="shared" si="20"/>
        <x:v>0.25800000000000001</x:v>
      </x:c>
      <x:c r="T153" s="9" t="n">
        <x:f>(Inputs!$I$6+(((A153)+1)/2)*(Inputs!$J$6-Inputs!$I$6))</x:f>
        <x:v>15.480000000000004</x:v>
      </x:c>
      <x:c r="U153" s="9" t="n">
        <x:f>(Inputs!$I$7+(((A153)+1)/2)*(Inputs!$J$7-Inputs!$I$7))</x:f>
        <x:v>103.19999999999999</x:v>
      </x:c>
      <x:c r="V153" s="9" t="n">
        <x:f>(Inputs!$I$8+(((A153)+1)/2)*(Inputs!$J$8-Inputs!$I$8))</x:f>
        <x:v>206.39999999999998</x:v>
      </x:c>
      <x:c r="W153" s="9" t="n">
        <x:f>(Inputs!$I$9+(((A153)+1)/2)*(Inputs!$J$9-Inputs!$I$9))</x:f>
        <x:v>206.39999999999998</x:v>
      </x:c>
      <x:c r="X153" s="10"/>
      <x:c r="Y153" s="9">
        <x:f t="shared" si="21"/>
        <x:v>0.25800000000000001</x:v>
      </x:c>
      <x:c r="Z153" s="9" t="n">
        <x:f>(Inputs!$H$6+Inputs!$L$6*(((Inputs!$I$6+(((A153)+1)/2)*(Inputs!$J$6-Inputs!$I$6)))/Inputs!$K$6)^2)</x:f>
        <x:v>400.266256</x:v>
      </x:c>
      <x:c r="AA153" s="9" t="n">
        <x:f>(Inputs!$H$7+Inputs!$L$7*(((Inputs!$I$7+(((A153)+1)/2)*(Inputs!$J$7-Inputs!$I$7)))/Inputs!$K$7)^2)</x:f>
        <x:v>59.29585999999999</x:v>
      </x:c>
      <x:c r="AB153" s="9" t="n">
        <x:f>(Inputs!$H$8+Inputs!$L$8*(((Inputs!$I$8+(((A153)+1)/2)*(Inputs!$J$8-Inputs!$I$8)))/Inputs!$K$8)^2)</x:f>
        <x:v>99.23425999999998</x:v>
      </x:c>
      <x:c r="AC153" s="9" t="n">
        <x:f>(Inputs!$H$9+Inputs!$L$9*(((Inputs!$I$9+(((A153)+1)/2)*(Inputs!$J$9-Inputs!$I$9)))/Inputs!$K$9)^2)</x:f>
        <x:v>89.89989999999997</x:v>
      </x:c>
      <x:c r="AD153" s="10"/>
      <x:c r="AE153" s="9">
        <x:f t="shared" si="22"/>
        <x:v>0.25800000000000001</x:v>
      </x:c>
      <x:c r="AF153" s="9"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9"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9"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9"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10"/>
      <x:c r="AK153" s="9">
        <x:f t="shared" si="23"/>
        <x:v>0.25800000000000001</x:v>
      </x:c>
      <x:c r="AL153" s="9"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9"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9"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9"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10"/>
      <x:c r="AQ153" s="9">
        <x:f t="shared" si="24"/>
        <x:v>0.25800000000000001</x:v>
      </x:c>
      <x:c r="AR153" s="9" t="n">
        <x:f>0</x:f>
        <x:v>0</x:v>
      </x:c>
      <x:c r="AS153" s="9"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x:f>
        <x:v>395.3000924820049</x:v>
      </x:c>
      <x:c r="AT153" s="9"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x:f>
        <x:v>69.05880867402514</x:v>
      </x:c>
      <x:c r="AU153" s="9"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x:f>
        <x:v>151.27363630682072</x:v>
      </x:c>
      <x:c r="AV153" s="9"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x:f>
        <x:v>151.27363630682072</x:v>
      </x:c>
      <x:c r="AW153" s="10"/>
      <x:c r="AX153" s="9">
        <x:f t="shared" si="25"/>
        <x:v>0.25800000000000001</x:v>
      </x:c>
      <x:c r="AY153" s="9" t="n">
        <x:f>0</x:f>
        <x:v>0</x:v>
      </x:c>
      <x:c r="AZ153" s="9" t="n">
        <x:f>IF(OR(Inputs!$F$6=TRUE,Inputs!$F$6="TRUE",Inputs!$F$6=1),(Inputs!$H$6+Inputs!$L$6*(((Inputs!$I$6+(((A153)+1)/2)*(Inputs!$J$6-Inputs!$I$6)))/Inputs!$K$6)^2),NA())</x:f>
        <x:v>400.266256</x:v>
      </x:c>
      <x:c r="BA153" s="9" t="n">
        <x:f>IF(OR(Inputs!$F$7=TRUE,Inputs!$F$7="TRUE",Inputs!$F$7=1),(Inputs!$H$7+Inputs!$L$7*(((Inputs!$I$7+(((A153)+1)/2)*(Inputs!$J$7-Inputs!$I$7)))/Inputs!$K$7)^2),NA())</x:f>
        <x:v>59.29585999999999</x:v>
      </x:c>
      <x:c r="BB153" s="9" t="n">
        <x:f>IF(OR(Inputs!$F$8=TRUE,Inputs!$F$8="TRUE",Inputs!$F$8=1),(Inputs!$H$8+Inputs!$L$8*(((Inputs!$I$8+(((A153)+1)/2)*(Inputs!$J$8-Inputs!$I$8)))/Inputs!$K$8)^2),NA())</x:f>
        <x:v>99.23425999999998</x:v>
      </x:c>
      <x:c r="BC153" s="9" t="n">
        <x:f>IF(OR(Inputs!$F$9=TRUE,Inputs!$F$9="TRUE",Inputs!$F$9=1),(Inputs!$H$9+Inputs!$L$9*(((Inputs!$I$9+(((A153)+1)/2)*(Inputs!$J$9-Inputs!$I$9)))/Inputs!$K$9)^2),NA())</x:f>
        <x:v>89.89989999999997</x:v>
      </x:c>
      <x:c r="BD153" s="10"/>
      <x:c r="BE153" s="9">
        <x:f t="shared" si="26"/>
        <x:v>0.25800000000000001</x:v>
      </x:c>
      <x:c r="BF153" s="9" t="n">
        <x:f>0</x:f>
        <x:v>0</x:v>
      </x:c>
      <x:c r="BG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9" t="n">
        <x:f>ROUND(-1+152*2/240,3)</x:f>
        <x:v>0.267</x:v>
      </x:c>
      <x:c r="B154" s="9" t="n">
        <x:f>IF(OR(Inputs!$F$6=TRUE,Inputs!$F$6="TRUE",Inputs!$F$6=1),(Inputs!$H$6+Inputs!$L$6*(((Inputs!$I$6+(((A154)+1)/2)*(Inputs!$J$6-Inputs!$I$6)))/Inputs!$K$6)^2),NA())</x:f>
        <x:v>400.285156</x:v>
      </x:c>
      <x:c r="C154" s="9" t="n">
        <x:f>IF(OR(Inputs!$F$7=TRUE,Inputs!$F$7="TRUE",Inputs!$F$7=1),(Inputs!$H$7+Inputs!$L$7*(((Inputs!$I$7+(((A154)+1)/2)*(Inputs!$J$7-Inputs!$I$7)))/Inputs!$K$7)^2),NA())</x:f>
        <x:v>61.02048499999998</x:v>
      </x:c>
      <x:c r="D154" s="9" t="n">
        <x:f>IF(OR(Inputs!$F$8=TRUE,Inputs!$F$8="TRUE",Inputs!$F$8=1),(Inputs!$H$8+Inputs!$L$8*(((Inputs!$I$8+(((A154)+1)/2)*(Inputs!$J$8-Inputs!$I$8)))/Inputs!$K$8)^2),NA())</x:f>
        <x:v>103.79388499999995</x:v>
      </x:c>
      <x:c r="E154" s="9" t="n">
        <x:f>IF(OR(Inputs!$F$9=TRUE,Inputs!$F$9="TRUE",Inputs!$F$9=1),(Inputs!$H$9+Inputs!$L$9*(((Inputs!$I$9+(((A154)+1)/2)*(Inputs!$J$9-Inputs!$I$9)))/Inputs!$K$9)^2),NA())</x:f>
        <x:v>94.50677499999995</x:v>
      </x:c>
      <x:c r="F154" s="10"/>
      <x:c r="G154" s="9">
        <x:f t="shared" si="18"/>
        <x:v>0.26700000000000002</x:v>
      </x:c>
      <x:c r="H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10"/>
      <x:c r="M154" s="9">
        <x:f t="shared" si="19"/>
        <x:v>0.26700000000000002</x:v>
      </x:c>
      <x:c r="N154" s="9"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9"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9"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9"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10"/>
      <x:c r="S154" s="9">
        <x:f t="shared" si="20"/>
        <x:v>0.26700000000000002</x:v>
      </x:c>
      <x:c r="T154" s="9" t="n">
        <x:f>(Inputs!$I$6+(((A154)+1)/2)*(Inputs!$J$6-Inputs!$I$6))</x:f>
        <x:v>16.019999999999996</x:v>
      </x:c>
      <x:c r="U154" s="9" t="n">
        <x:f>(Inputs!$I$7+(((A154)+1)/2)*(Inputs!$J$7-Inputs!$I$7))</x:f>
        <x:v>106.79999999999995</x:v>
      </x:c>
      <x:c r="V154" s="9" t="n">
        <x:f>(Inputs!$I$8+(((A154)+1)/2)*(Inputs!$J$8-Inputs!$I$8))</x:f>
        <x:v>213.5999999999999</x:v>
      </x:c>
      <x:c r="W154" s="9" t="n">
        <x:f>(Inputs!$I$9+(((A154)+1)/2)*(Inputs!$J$9-Inputs!$I$9))</x:f>
        <x:v>213.5999999999999</x:v>
      </x:c>
      <x:c r="X154" s="10"/>
      <x:c r="Y154" s="9">
        <x:f t="shared" si="21"/>
        <x:v>0.26700000000000002</x:v>
      </x:c>
      <x:c r="Z154" s="9" t="n">
        <x:f>(Inputs!$H$6+Inputs!$L$6*(((Inputs!$I$6+(((A154)+1)/2)*(Inputs!$J$6-Inputs!$I$6)))/Inputs!$K$6)^2)</x:f>
        <x:v>400.285156</x:v>
      </x:c>
      <x:c r="AA154" s="9" t="n">
        <x:f>(Inputs!$H$7+Inputs!$L$7*(((Inputs!$I$7+(((A154)+1)/2)*(Inputs!$J$7-Inputs!$I$7)))/Inputs!$K$7)^2)</x:f>
        <x:v>61.02048499999998</x:v>
      </x:c>
      <x:c r="AB154" s="9" t="n">
        <x:f>(Inputs!$H$8+Inputs!$L$8*(((Inputs!$I$8+(((A154)+1)/2)*(Inputs!$J$8-Inputs!$I$8)))/Inputs!$K$8)^2)</x:f>
        <x:v>103.79388499999995</x:v>
      </x:c>
      <x:c r="AC154" s="9" t="n">
        <x:f>(Inputs!$H$9+Inputs!$L$9*(((Inputs!$I$9+(((A154)+1)/2)*(Inputs!$J$9-Inputs!$I$9)))/Inputs!$K$9)^2)</x:f>
        <x:v>94.50677499999995</x:v>
      </x:c>
      <x:c r="AD154" s="10"/>
      <x:c r="AE154" s="9">
        <x:f t="shared" si="22"/>
        <x:v>0.26700000000000002</x:v>
      </x:c>
      <x:c r="AF154" s="9"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9"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9"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9"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10"/>
      <x:c r="AK154" s="9">
        <x:f t="shared" si="23"/>
        <x:v>0.26700000000000002</x:v>
      </x:c>
      <x:c r="AL154" s="9"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9"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9"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9"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10"/>
      <x:c r="AQ154" s="9">
        <x:f t="shared" si="24"/>
        <x:v>0.26700000000000002</x:v>
      </x:c>
      <x:c r="AR154" s="9" t="n">
        <x:f>0</x:f>
        <x:v>0</x:v>
      </x:c>
      <x:c r="AS154" s="9"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x:f>
        <x:v>402.66314608033497</x:v>
      </x:c>
      <x:c r="AT154" s="9"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x:f>
        <x:v>113.58459570558153</x:v>
      </x:c>
      <x:c r="AU154" s="9"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x:f>
        <x:v>82.05897988380767</x:v>
      </x:c>
      <x:c r="AV154" s="9"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x:f>
        <x:v>82.05897988380767</x:v>
      </x:c>
      <x:c r="AW154" s="10"/>
      <x:c r="AX154" s="9">
        <x:f t="shared" si="25"/>
        <x:v>0.26700000000000002</x:v>
      </x:c>
      <x:c r="AY154" s="9" t="n">
        <x:f>0</x:f>
        <x:v>0</x:v>
      </x:c>
      <x:c r="AZ154" s="9" t="n">
        <x:f>IF(OR(Inputs!$F$6=TRUE,Inputs!$F$6="TRUE",Inputs!$F$6=1),(Inputs!$H$6+Inputs!$L$6*(((Inputs!$I$6+(((A154)+1)/2)*(Inputs!$J$6-Inputs!$I$6)))/Inputs!$K$6)^2),NA())</x:f>
        <x:v>400.285156</x:v>
      </x:c>
      <x:c r="BA154" s="9" t="n">
        <x:f>IF(OR(Inputs!$F$7=TRUE,Inputs!$F$7="TRUE",Inputs!$F$7=1),(Inputs!$H$7+Inputs!$L$7*(((Inputs!$I$7+(((A154)+1)/2)*(Inputs!$J$7-Inputs!$I$7)))/Inputs!$K$7)^2),NA())</x:f>
        <x:v>61.02048499999998</x:v>
      </x:c>
      <x:c r="BB154" s="9" t="n">
        <x:f>IF(OR(Inputs!$F$8=TRUE,Inputs!$F$8="TRUE",Inputs!$F$8=1),(Inputs!$H$8+Inputs!$L$8*(((Inputs!$I$8+(((A154)+1)/2)*(Inputs!$J$8-Inputs!$I$8)))/Inputs!$K$8)^2),NA())</x:f>
        <x:v>103.79388499999995</x:v>
      </x:c>
      <x:c r="BC154" s="9" t="n">
        <x:f>IF(OR(Inputs!$F$9=TRUE,Inputs!$F$9="TRUE",Inputs!$F$9=1),(Inputs!$H$9+Inputs!$L$9*(((Inputs!$I$9+(((A154)+1)/2)*(Inputs!$J$9-Inputs!$I$9)))/Inputs!$K$9)^2),NA())</x:f>
        <x:v>94.50677499999995</x:v>
      </x:c>
      <x:c r="BD154" s="10"/>
      <x:c r="BE154" s="9">
        <x:f t="shared" si="26"/>
        <x:v>0.26700000000000002</x:v>
      </x:c>
      <x:c r="BF154" s="9" t="n">
        <x:f>0</x:f>
        <x:v>0</x:v>
      </x:c>
      <x:c r="BG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9" t="n">
        <x:f>ROUND(-1+153*2/240,3)</x:f>
        <x:v>0.275</x:v>
      </x:c>
      <x:c r="B155" s="9" t="n">
        <x:f>IF(OR(Inputs!$F$6=TRUE,Inputs!$F$6="TRUE",Inputs!$F$6=1),(Inputs!$H$6+Inputs!$L$6*(((Inputs!$I$6+(((A155)+1)/2)*(Inputs!$J$6-Inputs!$I$6)))/Inputs!$K$6)^2),NA())</x:f>
        <x:v>400.3025</x:v>
      </x:c>
      <x:c r="C155" s="9" t="n">
        <x:f>IF(OR(Inputs!$F$7=TRUE,Inputs!$F$7="TRUE",Inputs!$F$7=1),(Inputs!$H$7+Inputs!$L$7*(((Inputs!$I$7+(((A155)+1)/2)*(Inputs!$J$7-Inputs!$I$7)))/Inputs!$K$7)^2),NA())</x:f>
        <x:v>62.60312499999997</x:v>
      </x:c>
      <x:c r="D155" s="9" t="n">
        <x:f>IF(OR(Inputs!$F$8=TRUE,Inputs!$F$8="TRUE",Inputs!$F$8=1),(Inputs!$H$8+Inputs!$L$8*(((Inputs!$I$8+(((A155)+1)/2)*(Inputs!$J$8-Inputs!$I$8)))/Inputs!$K$8)^2),NA())</x:f>
        <x:v>107.97812499999992</x:v>
      </x:c>
      <x:c r="E155" s="9" t="n">
        <x:f>IF(OR(Inputs!$F$9=TRUE,Inputs!$F$9="TRUE",Inputs!$F$9=1),(Inputs!$H$9+Inputs!$L$9*(((Inputs!$I$9+(((A155)+1)/2)*(Inputs!$J$9-Inputs!$I$9)))/Inputs!$K$9)^2),NA())</x:f>
        <x:v>98.73437499999991</x:v>
      </x:c>
      <x:c r="F155" s="10"/>
      <x:c r="G155" s="9">
        <x:f t="shared" si="18"/>
        <x:v>0.27500000000000002</x:v>
      </x:c>
      <x:c r="H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10"/>
      <x:c r="M155" s="9">
        <x:f t="shared" si="19"/>
        <x:v>0.27500000000000002</x:v>
      </x:c>
      <x:c r="N155" s="9"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9"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9"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9"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10"/>
      <x:c r="S155" s="9">
        <x:f t="shared" si="20"/>
        <x:v>0.27500000000000002</x:v>
      </x:c>
      <x:c r="T155" s="9" t="n">
        <x:f>(Inputs!$I$6+(((A155)+1)/2)*(Inputs!$J$6-Inputs!$I$6))</x:f>
        <x:v>16.5</x:v>
      </x:c>
      <x:c r="U155" s="9" t="n">
        <x:f>(Inputs!$I$7+(((A155)+1)/2)*(Inputs!$J$7-Inputs!$I$7))</x:f>
        <x:v>109.99999999999994</x:v>
      </x:c>
      <x:c r="V155" s="9" t="n">
        <x:f>(Inputs!$I$8+(((A155)+1)/2)*(Inputs!$J$8-Inputs!$I$8))</x:f>
        <x:v>219.9999999999999</x:v>
      </x:c>
      <x:c r="W155" s="9" t="n">
        <x:f>(Inputs!$I$9+(((A155)+1)/2)*(Inputs!$J$9-Inputs!$I$9))</x:f>
        <x:v>219.9999999999999</x:v>
      </x:c>
      <x:c r="X155" s="10"/>
      <x:c r="Y155" s="9">
        <x:f t="shared" si="21"/>
        <x:v>0.27500000000000002</x:v>
      </x:c>
      <x:c r="Z155" s="9" t="n">
        <x:f>(Inputs!$H$6+Inputs!$L$6*(((Inputs!$I$6+(((A155)+1)/2)*(Inputs!$J$6-Inputs!$I$6)))/Inputs!$K$6)^2)</x:f>
        <x:v>400.3025</x:v>
      </x:c>
      <x:c r="AA155" s="9" t="n">
        <x:f>(Inputs!$H$7+Inputs!$L$7*(((Inputs!$I$7+(((A155)+1)/2)*(Inputs!$J$7-Inputs!$I$7)))/Inputs!$K$7)^2)</x:f>
        <x:v>62.60312499999997</x:v>
      </x:c>
      <x:c r="AB155" s="9" t="n">
        <x:f>(Inputs!$H$8+Inputs!$L$8*(((Inputs!$I$8+(((A155)+1)/2)*(Inputs!$J$8-Inputs!$I$8)))/Inputs!$K$8)^2)</x:f>
        <x:v>107.97812499999992</x:v>
      </x:c>
      <x:c r="AC155" s="9" t="n">
        <x:f>(Inputs!$H$9+Inputs!$L$9*(((Inputs!$I$9+(((A155)+1)/2)*(Inputs!$J$9-Inputs!$I$9)))/Inputs!$K$9)^2)</x:f>
        <x:v>98.73437499999991</x:v>
      </x:c>
      <x:c r="AD155" s="10"/>
      <x:c r="AE155" s="9">
        <x:f t="shared" si="22"/>
        <x:v>0.27500000000000002</x:v>
      </x:c>
      <x:c r="AF155" s="9"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9"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9"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9"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10"/>
      <x:c r="AK155" s="9">
        <x:f t="shared" si="23"/>
        <x:v>0.27500000000000002</x:v>
      </x:c>
      <x:c r="AL155" s="9"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9"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9"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9"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10"/>
      <x:c r="AQ155" s="9">
        <x:f t="shared" si="24"/>
        <x:v>0.27500000000000002</x:v>
      </x:c>
      <x:c r="AR155" s="9" t="n">
        <x:f>0</x:f>
        <x:v>0</x:v>
      </x:c>
      <x:c r="AS155" s="9"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x:f>
        <x:v>406.20178346502695</x:v>
      </x:c>
      <x:c r="AT155" s="9"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x:f>
        <x:v>174.21313379386783</x:v>
      </x:c>
      <x:c r="AU155" s="9"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x:f>
        <x:v>240.54359828898043</x:v>
      </x:c>
      <x:c r="AV155" s="9"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x:f>
        <x:v>240.54359828898043</x:v>
      </x:c>
      <x:c r="AW155" s="10"/>
      <x:c r="AX155" s="9">
        <x:f t="shared" si="25"/>
        <x:v>0.27500000000000002</x:v>
      </x:c>
      <x:c r="AY155" s="9" t="n">
        <x:f>0</x:f>
        <x:v>0</x:v>
      </x:c>
      <x:c r="AZ155" s="9" t="n">
        <x:f>IF(OR(Inputs!$F$6=TRUE,Inputs!$F$6="TRUE",Inputs!$F$6=1),(Inputs!$H$6+Inputs!$L$6*(((Inputs!$I$6+(((A155)+1)/2)*(Inputs!$J$6-Inputs!$I$6)))/Inputs!$K$6)^2),NA())</x:f>
        <x:v>400.3025</x:v>
      </x:c>
      <x:c r="BA155" s="9" t="n">
        <x:f>IF(OR(Inputs!$F$7=TRUE,Inputs!$F$7="TRUE",Inputs!$F$7=1),(Inputs!$H$7+Inputs!$L$7*(((Inputs!$I$7+(((A155)+1)/2)*(Inputs!$J$7-Inputs!$I$7)))/Inputs!$K$7)^2),NA())</x:f>
        <x:v>62.60312499999997</x:v>
      </x:c>
      <x:c r="BB155" s="9" t="n">
        <x:f>IF(OR(Inputs!$F$8=TRUE,Inputs!$F$8="TRUE",Inputs!$F$8=1),(Inputs!$H$8+Inputs!$L$8*(((Inputs!$I$8+(((A155)+1)/2)*(Inputs!$J$8-Inputs!$I$8)))/Inputs!$K$8)^2),NA())</x:f>
        <x:v>107.97812499999992</x:v>
      </x:c>
      <x:c r="BC155" s="9" t="n">
        <x:f>IF(OR(Inputs!$F$9=TRUE,Inputs!$F$9="TRUE",Inputs!$F$9=1),(Inputs!$H$9+Inputs!$L$9*(((Inputs!$I$9+(((A155)+1)/2)*(Inputs!$J$9-Inputs!$I$9)))/Inputs!$K$9)^2),NA())</x:f>
        <x:v>98.73437499999991</x:v>
      </x:c>
      <x:c r="BD155" s="10"/>
      <x:c r="BE155" s="9">
        <x:f t="shared" si="26"/>
        <x:v>0.27500000000000002</x:v>
      </x:c>
      <x:c r="BF155" s="9" t="n">
        <x:f>0</x:f>
        <x:v>0</x:v>
      </x:c>
      <x:c r="BG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9" t="n">
        <x:f>ROUND(-1+154*2/240,3)</x:f>
        <x:v>0.283</x:v>
      </x:c>
      <x:c r="B156" s="9" t="n">
        <x:f>IF(OR(Inputs!$F$6=TRUE,Inputs!$F$6="TRUE",Inputs!$F$6=1),(Inputs!$H$6+Inputs!$L$6*(((Inputs!$I$6+(((A156)+1)/2)*(Inputs!$J$6-Inputs!$I$6)))/Inputs!$K$6)^2),NA())</x:f>
        <x:v>400.320356</x:v>
      </x:c>
      <x:c r="C156" s="9" t="n">
        <x:f>IF(OR(Inputs!$F$7=TRUE,Inputs!$F$7="TRUE",Inputs!$F$7=1),(Inputs!$H$7+Inputs!$L$7*(((Inputs!$I$7+(((A156)+1)/2)*(Inputs!$J$7-Inputs!$I$7)))/Inputs!$K$7)^2),NA())</x:f>
        <x:v>64.23248499999997</x:v>
      </x:c>
      <x:c r="D156" s="9" t="n">
        <x:f>IF(OR(Inputs!$F$8=TRUE,Inputs!$F$8="TRUE",Inputs!$F$8=1),(Inputs!$H$8+Inputs!$L$8*(((Inputs!$I$8+(((A156)+1)/2)*(Inputs!$J$8-Inputs!$I$8)))/Inputs!$K$8)^2),NA())</x:f>
        <x:v>112.2858849999999</x:v>
      </x:c>
      <x:c r="E156" s="9" t="n">
        <x:f>IF(OR(Inputs!$F$9=TRUE,Inputs!$F$9="TRUE",Inputs!$F$9=1),(Inputs!$H$9+Inputs!$L$9*(((Inputs!$I$9+(((A156)+1)/2)*(Inputs!$J$9-Inputs!$I$9)))/Inputs!$K$9)^2),NA())</x:f>
        <x:v>103.0867749999999</x:v>
      </x:c>
      <x:c r="F156" s="10"/>
      <x:c r="G156" s="9">
        <x:f t="shared" si="18"/>
        <x:v>0.28299999999999997</x:v>
      </x:c>
      <x:c r="H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10"/>
      <x:c r="M156" s="9">
        <x:f t="shared" si="19"/>
        <x:v>0.28299999999999997</x:v>
      </x:c>
      <x:c r="N156" s="9"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9"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9"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9"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10"/>
      <x:c r="S156" s="9">
        <x:f t="shared" si="20"/>
        <x:v>0.28299999999999997</x:v>
      </x:c>
      <x:c r="T156" s="9" t="n">
        <x:f>(Inputs!$I$6+(((A156)+1)/2)*(Inputs!$J$6-Inputs!$I$6))</x:f>
        <x:v>16.97999999999999</x:v>
      </x:c>
      <x:c r="U156" s="9" t="n">
        <x:f>(Inputs!$I$7+(((A156)+1)/2)*(Inputs!$J$7-Inputs!$I$7))</x:f>
        <x:v>113.19999999999993</x:v>
      </x:c>
      <x:c r="V156" s="9" t="n">
        <x:f>(Inputs!$I$8+(((A156)+1)/2)*(Inputs!$J$8-Inputs!$I$8))</x:f>
        <x:v>226.39999999999986</x:v>
      </x:c>
      <x:c r="W156" s="9" t="n">
        <x:f>(Inputs!$I$9+(((A156)+1)/2)*(Inputs!$J$9-Inputs!$I$9))</x:f>
        <x:v>226.39999999999986</x:v>
      </x:c>
      <x:c r="X156" s="10"/>
      <x:c r="Y156" s="9">
        <x:f t="shared" si="21"/>
        <x:v>0.28299999999999997</x:v>
      </x:c>
      <x:c r="Z156" s="9" t="n">
        <x:f>(Inputs!$H$6+Inputs!$L$6*(((Inputs!$I$6+(((A156)+1)/2)*(Inputs!$J$6-Inputs!$I$6)))/Inputs!$K$6)^2)</x:f>
        <x:v>400.320356</x:v>
      </x:c>
      <x:c r="AA156" s="9" t="n">
        <x:f>(Inputs!$H$7+Inputs!$L$7*(((Inputs!$I$7+(((A156)+1)/2)*(Inputs!$J$7-Inputs!$I$7)))/Inputs!$K$7)^2)</x:f>
        <x:v>64.23248499999997</x:v>
      </x:c>
      <x:c r="AB156" s="9" t="n">
        <x:f>(Inputs!$H$8+Inputs!$L$8*(((Inputs!$I$8+(((A156)+1)/2)*(Inputs!$J$8-Inputs!$I$8)))/Inputs!$K$8)^2)</x:f>
        <x:v>112.2858849999999</x:v>
      </x:c>
      <x:c r="AC156" s="9" t="n">
        <x:f>(Inputs!$H$9+Inputs!$L$9*(((Inputs!$I$9+(((A156)+1)/2)*(Inputs!$J$9-Inputs!$I$9)))/Inputs!$K$9)^2)</x:f>
        <x:v>103.0867749999999</x:v>
      </x:c>
      <x:c r="AD156" s="10"/>
      <x:c r="AE156" s="9">
        <x:f t="shared" si="22"/>
        <x:v>0.28299999999999997</x:v>
      </x:c>
      <x:c r="AF156" s="9"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9"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9"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9"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10"/>
      <x:c r="AK156" s="9">
        <x:f t="shared" si="23"/>
        <x:v>0.28299999999999997</x:v>
      </x:c>
      <x:c r="AL156" s="9"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9"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9"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9"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10"/>
      <x:c r="AQ156" s="9">
        <x:f t="shared" si="24"/>
        <x:v>0.28299999999999997</x:v>
      </x:c>
      <x:c r="AR156" s="9" t="n">
        <x:f>0</x:f>
        <x:v>0</x:v>
      </x:c>
      <x:c r="AS156" s="9"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x:f>
        <x:v>399.73099547465813</x:v>
      </x:c>
      <x:c r="AT156" s="9"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x:f>
        <x:v>186.77766507504103</x:v>
      </x:c>
      <x:c r="AU156" s="9"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x:f>
        <x:v>109.01586451710135</x:v>
      </x:c>
      <x:c r="AV156" s="9"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x:f>
        <x:v>109.01586451710135</x:v>
      </x:c>
      <x:c r="AW156" s="10"/>
      <x:c r="AX156" s="9">
        <x:f t="shared" si="25"/>
        <x:v>0.28299999999999997</x:v>
      </x:c>
      <x:c r="AY156" s="9" t="n">
        <x:f>0</x:f>
        <x:v>0</x:v>
      </x:c>
      <x:c r="AZ156" s="9" t="n">
        <x:f>IF(OR(Inputs!$F$6=TRUE,Inputs!$F$6="TRUE",Inputs!$F$6=1),(Inputs!$H$6+Inputs!$L$6*(((Inputs!$I$6+(((A156)+1)/2)*(Inputs!$J$6-Inputs!$I$6)))/Inputs!$K$6)^2),NA())</x:f>
        <x:v>400.320356</x:v>
      </x:c>
      <x:c r="BA156" s="9" t="n">
        <x:f>IF(OR(Inputs!$F$7=TRUE,Inputs!$F$7="TRUE",Inputs!$F$7=1),(Inputs!$H$7+Inputs!$L$7*(((Inputs!$I$7+(((A156)+1)/2)*(Inputs!$J$7-Inputs!$I$7)))/Inputs!$K$7)^2),NA())</x:f>
        <x:v>64.23248499999997</x:v>
      </x:c>
      <x:c r="BB156" s="9" t="n">
        <x:f>IF(OR(Inputs!$F$8=TRUE,Inputs!$F$8="TRUE",Inputs!$F$8=1),(Inputs!$H$8+Inputs!$L$8*(((Inputs!$I$8+(((A156)+1)/2)*(Inputs!$J$8-Inputs!$I$8)))/Inputs!$K$8)^2),NA())</x:f>
        <x:v>112.2858849999999</x:v>
      </x:c>
      <x:c r="BC156" s="9" t="n">
        <x:f>IF(OR(Inputs!$F$9=TRUE,Inputs!$F$9="TRUE",Inputs!$F$9=1),(Inputs!$H$9+Inputs!$L$9*(((Inputs!$I$9+(((A156)+1)/2)*(Inputs!$J$9-Inputs!$I$9)))/Inputs!$K$9)^2),NA())</x:f>
        <x:v>103.0867749999999</x:v>
      </x:c>
      <x:c r="BD156" s="10"/>
      <x:c r="BE156" s="9">
        <x:f t="shared" si="26"/>
        <x:v>0.28299999999999997</x:v>
      </x:c>
      <x:c r="BF156" s="9" t="n">
        <x:f>0</x:f>
        <x:v>0</x:v>
      </x:c>
      <x:c r="BG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9" t="n">
        <x:f>ROUND(-1+155*2/240,3)</x:f>
        <x:v>0.292</x:v>
      </x:c>
      <x:c r="B157" s="9" t="n">
        <x:f>IF(OR(Inputs!$F$6=TRUE,Inputs!$F$6="TRUE",Inputs!$F$6=1),(Inputs!$H$6+Inputs!$L$6*(((Inputs!$I$6+(((A157)+1)/2)*(Inputs!$J$6-Inputs!$I$6)))/Inputs!$K$6)^2),NA())</x:f>
        <x:v>400.341056</x:v>
      </x:c>
      <x:c r="C157" s="9" t="n">
        <x:f>IF(OR(Inputs!$F$7=TRUE,Inputs!$F$7="TRUE",Inputs!$F$7=1),(Inputs!$H$7+Inputs!$L$7*(((Inputs!$I$7+(((A157)+1)/2)*(Inputs!$J$7-Inputs!$I$7)))/Inputs!$K$7)^2),NA())</x:f>
        <x:v>66.12136000000004</x:v>
      </x:c>
      <x:c r="D157" s="9" t="n">
        <x:f>IF(OR(Inputs!$F$8=TRUE,Inputs!$F$8="TRUE",Inputs!$F$8=1),(Inputs!$H$8+Inputs!$L$8*(((Inputs!$I$8+(((A157)+1)/2)*(Inputs!$J$8-Inputs!$I$8)))/Inputs!$K$8)^2),NA())</x:f>
        <x:v>117.27976000000008</x:v>
      </x:c>
      <x:c r="E157" s="9" t="n">
        <x:f>IF(OR(Inputs!$F$9=TRUE,Inputs!$F$9="TRUE",Inputs!$F$9=1),(Inputs!$H$9+Inputs!$L$9*(((Inputs!$I$9+(((A157)+1)/2)*(Inputs!$J$9-Inputs!$I$9)))/Inputs!$K$9)^2),NA())</x:f>
        <x:v>108.13240000000009</x:v>
      </x:c>
      <x:c r="F157" s="10"/>
      <x:c r="G157" s="9">
        <x:f t="shared" si="18"/>
        <x:v>0.29199999999999998</x:v>
      </x:c>
      <x:c r="H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10"/>
      <x:c r="M157" s="9">
        <x:f t="shared" si="19"/>
        <x:v>0.29199999999999998</x:v>
      </x:c>
      <x:c r="N157" s="9"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9"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9"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9"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10"/>
      <x:c r="S157" s="9">
        <x:f t="shared" si="20"/>
        <x:v>0.29199999999999998</x:v>
      </x:c>
      <x:c r="T157" s="9" t="n">
        <x:f>(Inputs!$I$6+(((A157)+1)/2)*(Inputs!$J$6-Inputs!$I$6))</x:f>
        <x:v>17.519999999999996</x:v>
      </x:c>
      <x:c r="U157" s="9" t="n">
        <x:f>(Inputs!$I$7+(((A157)+1)/2)*(Inputs!$J$7-Inputs!$I$7))</x:f>
        <x:v>116.80000000000007</x:v>
      </x:c>
      <x:c r="V157" s="9" t="n">
        <x:f>(Inputs!$I$8+(((A157)+1)/2)*(Inputs!$J$8-Inputs!$I$8))</x:f>
        <x:v>233.60000000000014</x:v>
      </x:c>
      <x:c r="W157" s="9" t="n">
        <x:f>(Inputs!$I$9+(((A157)+1)/2)*(Inputs!$J$9-Inputs!$I$9))</x:f>
        <x:v>233.60000000000014</x:v>
      </x:c>
      <x:c r="X157" s="10"/>
      <x:c r="Y157" s="9">
        <x:f t="shared" si="21"/>
        <x:v>0.29199999999999998</x:v>
      </x:c>
      <x:c r="Z157" s="9" t="n">
        <x:f>(Inputs!$H$6+Inputs!$L$6*(((Inputs!$I$6+(((A157)+1)/2)*(Inputs!$J$6-Inputs!$I$6)))/Inputs!$K$6)^2)</x:f>
        <x:v>400.341056</x:v>
      </x:c>
      <x:c r="AA157" s="9" t="n">
        <x:f>(Inputs!$H$7+Inputs!$L$7*(((Inputs!$I$7+(((A157)+1)/2)*(Inputs!$J$7-Inputs!$I$7)))/Inputs!$K$7)^2)</x:f>
        <x:v>66.12136000000004</x:v>
      </x:c>
      <x:c r="AB157" s="9" t="n">
        <x:f>(Inputs!$H$8+Inputs!$L$8*(((Inputs!$I$8+(((A157)+1)/2)*(Inputs!$J$8-Inputs!$I$8)))/Inputs!$K$8)^2)</x:f>
        <x:v>117.27976000000008</x:v>
      </x:c>
      <x:c r="AC157" s="9" t="n">
        <x:f>(Inputs!$H$9+Inputs!$L$9*(((Inputs!$I$9+(((A157)+1)/2)*(Inputs!$J$9-Inputs!$I$9)))/Inputs!$K$9)^2)</x:f>
        <x:v>108.13240000000009</x:v>
      </x:c>
      <x:c r="AD157" s="10"/>
      <x:c r="AE157" s="9">
        <x:f t="shared" si="22"/>
        <x:v>0.29199999999999998</x:v>
      </x:c>
      <x:c r="AF157" s="9"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9"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9"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9"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10"/>
      <x:c r="AK157" s="9">
        <x:f t="shared" si="23"/>
        <x:v>0.29199999999999998</x:v>
      </x:c>
      <x:c r="AL157" s="9"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9"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9"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9"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10"/>
      <x:c r="AQ157" s="9">
        <x:f t="shared" si="24"/>
        <x:v>0.29199999999999998</x:v>
      </x:c>
      <x:c r="AR157" s="9" t="n">
        <x:f>0</x:f>
        <x:v>0</x:v>
      </x:c>
      <x:c r="AS157" s="9"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x:f>
        <x:v>414.8667251252668</x:v>
      </x:c>
      <x:c r="AT157" s="9"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x:f>
        <x:v>139.85330279835185</x:v>
      </x:c>
      <x:c r="AU157" s="9"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x:f>
        <x:v>168.53655761010128</x:v>
      </x:c>
      <x:c r="AV157" s="9"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x:f>
        <x:v>168.53655761010128</x:v>
      </x:c>
      <x:c r="AW157" s="10"/>
      <x:c r="AX157" s="9">
        <x:f t="shared" si="25"/>
        <x:v>0.29199999999999998</x:v>
      </x:c>
      <x:c r="AY157" s="9" t="n">
        <x:f>0</x:f>
        <x:v>0</x:v>
      </x:c>
      <x:c r="AZ157" s="9" t="n">
        <x:f>IF(OR(Inputs!$F$6=TRUE,Inputs!$F$6="TRUE",Inputs!$F$6=1),(Inputs!$H$6+Inputs!$L$6*(((Inputs!$I$6+(((A157)+1)/2)*(Inputs!$J$6-Inputs!$I$6)))/Inputs!$K$6)^2),NA())</x:f>
        <x:v>400.341056</x:v>
      </x:c>
      <x:c r="BA157" s="9" t="n">
        <x:f>IF(OR(Inputs!$F$7=TRUE,Inputs!$F$7="TRUE",Inputs!$F$7=1),(Inputs!$H$7+Inputs!$L$7*(((Inputs!$I$7+(((A157)+1)/2)*(Inputs!$J$7-Inputs!$I$7)))/Inputs!$K$7)^2),NA())</x:f>
        <x:v>66.12136000000004</x:v>
      </x:c>
      <x:c r="BB157" s="9" t="n">
        <x:f>IF(OR(Inputs!$F$8=TRUE,Inputs!$F$8="TRUE",Inputs!$F$8=1),(Inputs!$H$8+Inputs!$L$8*(((Inputs!$I$8+(((A157)+1)/2)*(Inputs!$J$8-Inputs!$I$8)))/Inputs!$K$8)^2),NA())</x:f>
        <x:v>117.27976000000008</x:v>
      </x:c>
      <x:c r="BC157" s="9" t="n">
        <x:f>IF(OR(Inputs!$F$9=TRUE,Inputs!$F$9="TRUE",Inputs!$F$9=1),(Inputs!$H$9+Inputs!$L$9*(((Inputs!$I$9+(((A157)+1)/2)*(Inputs!$J$9-Inputs!$I$9)))/Inputs!$K$9)^2),NA())</x:f>
        <x:v>108.13240000000009</x:v>
      </x:c>
      <x:c r="BD157" s="10"/>
      <x:c r="BE157" s="9">
        <x:f t="shared" si="26"/>
        <x:v>0.29199999999999998</x:v>
      </x:c>
      <x:c r="BF157" s="9" t="n">
        <x:f>0</x:f>
        <x:v>0</x:v>
      </x:c>
      <x:c r="BG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9" t="n">
        <x:f>ROUND(-1+156*2/240,3)</x:f>
        <x:v>0.3</x:v>
      </x:c>
      <x:c r="B158" s="9" t="n">
        <x:f>IF(OR(Inputs!$F$6=TRUE,Inputs!$F$6="TRUE",Inputs!$F$6=1),(Inputs!$H$6+Inputs!$L$6*(((Inputs!$I$6+(((A158)+1)/2)*(Inputs!$J$6-Inputs!$I$6)))/Inputs!$K$6)^2),NA())</x:f>
        <x:v>400.36</x:v>
      </x:c>
      <x:c r="C158" s="9" t="n">
        <x:f>IF(OR(Inputs!$F$7=TRUE,Inputs!$F$7="TRUE",Inputs!$F$7=1),(Inputs!$H$7+Inputs!$L$7*(((Inputs!$I$7+(((A158)+1)/2)*(Inputs!$J$7-Inputs!$I$7)))/Inputs!$K$7)^2),NA())</x:f>
        <x:v>67.85</x:v>
      </x:c>
      <x:c r="D158" s="9" t="n">
        <x:f>IF(OR(Inputs!$F$8=TRUE,Inputs!$F$8="TRUE",Inputs!$F$8=1),(Inputs!$H$8+Inputs!$L$8*(((Inputs!$I$8+(((A158)+1)/2)*(Inputs!$J$8-Inputs!$I$8)))/Inputs!$K$8)^2),NA())</x:f>
        <x:v>121.85</x:v>
      </x:c>
      <x:c r="E158" s="9" t="n">
        <x:f>IF(OR(Inputs!$F$9=TRUE,Inputs!$F$9="TRUE",Inputs!$F$9=1),(Inputs!$H$9+Inputs!$L$9*(((Inputs!$I$9+(((A158)+1)/2)*(Inputs!$J$9-Inputs!$I$9)))/Inputs!$K$9)^2),NA())</x:f>
        <x:v>112.75</x:v>
      </x:c>
      <x:c r="F158" s="10"/>
      <x:c r="G158" s="9">
        <x:f t="shared" si="18"/>
        <x:v>0.3</x:v>
      </x:c>
      <x:c r="H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10"/>
      <x:c r="M158" s="9">
        <x:f t="shared" si="19"/>
        <x:v>0.3</x:v>
      </x:c>
      <x:c r="N158" s="9"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9"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9"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9"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10"/>
      <x:c r="S158" s="9">
        <x:f t="shared" si="20"/>
        <x:v>0.3</x:v>
      </x:c>
      <x:c r="T158" s="9" t="n">
        <x:f>(Inputs!$I$6+(((A158)+1)/2)*(Inputs!$J$6-Inputs!$I$6))</x:f>
        <x:v>18</x:v>
      </x:c>
      <x:c r="U158" s="9" t="n">
        <x:f>(Inputs!$I$7+(((A158)+1)/2)*(Inputs!$J$7-Inputs!$I$7))</x:f>
        <x:v>120</x:v>
      </x:c>
      <x:c r="V158" s="9" t="n">
        <x:f>(Inputs!$I$8+(((A158)+1)/2)*(Inputs!$J$8-Inputs!$I$8))</x:f>
        <x:v>240</x:v>
      </x:c>
      <x:c r="W158" s="9" t="n">
        <x:f>(Inputs!$I$9+(((A158)+1)/2)*(Inputs!$J$9-Inputs!$I$9))</x:f>
        <x:v>240</x:v>
      </x:c>
      <x:c r="X158" s="10"/>
      <x:c r="Y158" s="9">
        <x:f t="shared" si="21"/>
        <x:v>0.3</x:v>
      </x:c>
      <x:c r="Z158" s="9" t="n">
        <x:f>(Inputs!$H$6+Inputs!$L$6*(((Inputs!$I$6+(((A158)+1)/2)*(Inputs!$J$6-Inputs!$I$6)))/Inputs!$K$6)^2)</x:f>
        <x:v>400.36</x:v>
      </x:c>
      <x:c r="AA158" s="9" t="n">
        <x:f>(Inputs!$H$7+Inputs!$L$7*(((Inputs!$I$7+(((A158)+1)/2)*(Inputs!$J$7-Inputs!$I$7)))/Inputs!$K$7)^2)</x:f>
        <x:v>67.85</x:v>
      </x:c>
      <x:c r="AB158" s="9" t="n">
        <x:f>(Inputs!$H$8+Inputs!$L$8*(((Inputs!$I$8+(((A158)+1)/2)*(Inputs!$J$8-Inputs!$I$8)))/Inputs!$K$8)^2)</x:f>
        <x:v>121.85</x:v>
      </x:c>
      <x:c r="AC158" s="9" t="n">
        <x:f>(Inputs!$H$9+Inputs!$L$9*(((Inputs!$I$9+(((A158)+1)/2)*(Inputs!$J$9-Inputs!$I$9)))/Inputs!$K$9)^2)</x:f>
        <x:v>112.75</x:v>
      </x:c>
      <x:c r="AD158" s="10"/>
      <x:c r="AE158" s="9">
        <x:f t="shared" si="22"/>
        <x:v>0.3</x:v>
      </x:c>
      <x:c r="AF158" s="9"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9"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9"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9"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10"/>
      <x:c r="AK158" s="9">
        <x:f t="shared" si="23"/>
        <x:v>0.3</x:v>
      </x:c>
      <x:c r="AL158" s="9"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9"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9"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9"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10"/>
      <x:c r="AQ158" s="9">
        <x:f t="shared" si="24"/>
        <x:v>0.3</x:v>
      </x:c>
      <x:c r="AR158" s="9" t="n">
        <x:f>0</x:f>
        <x:v>0</x:v>
      </x:c>
      <x:c r="AS158" s="9"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x:f>
        <x:v>417.3671248555401</x:v>
      </x:c>
      <x:c r="AT158" s="9"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x:f>
        <x:v>68.45877121555797</x:v>
      </x:c>
      <x:c r="AU158" s="9"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x:f>
        <x:v>170.07540465003</x:v>
      </x:c>
      <x:c r="AV158" s="9"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x:f>
        <x:v>170.07540465003</x:v>
      </x:c>
      <x:c r="AW158" s="10"/>
      <x:c r="AX158" s="9">
        <x:f t="shared" si="25"/>
        <x:v>0.3</x:v>
      </x:c>
      <x:c r="AY158" s="9" t="n">
        <x:f>0</x:f>
        <x:v>0</x:v>
      </x:c>
      <x:c r="AZ158" s="9" t="n">
        <x:f>IF(OR(Inputs!$F$6=TRUE,Inputs!$F$6="TRUE",Inputs!$F$6=1),(Inputs!$H$6+Inputs!$L$6*(((Inputs!$I$6+(((A158)+1)/2)*(Inputs!$J$6-Inputs!$I$6)))/Inputs!$K$6)^2),NA())</x:f>
        <x:v>400.36</x:v>
      </x:c>
      <x:c r="BA158" s="9" t="n">
        <x:f>IF(OR(Inputs!$F$7=TRUE,Inputs!$F$7="TRUE",Inputs!$F$7=1),(Inputs!$H$7+Inputs!$L$7*(((Inputs!$I$7+(((A158)+1)/2)*(Inputs!$J$7-Inputs!$I$7)))/Inputs!$K$7)^2),NA())</x:f>
        <x:v>67.85</x:v>
      </x:c>
      <x:c r="BB158" s="9" t="n">
        <x:f>IF(OR(Inputs!$F$8=TRUE,Inputs!$F$8="TRUE",Inputs!$F$8=1),(Inputs!$H$8+Inputs!$L$8*(((Inputs!$I$8+(((A158)+1)/2)*(Inputs!$J$8-Inputs!$I$8)))/Inputs!$K$8)^2),NA())</x:f>
        <x:v>121.85</x:v>
      </x:c>
      <x:c r="BC158" s="9" t="n">
        <x:f>IF(OR(Inputs!$F$9=TRUE,Inputs!$F$9="TRUE",Inputs!$F$9=1),(Inputs!$H$9+Inputs!$L$9*(((Inputs!$I$9+(((A158)+1)/2)*(Inputs!$J$9-Inputs!$I$9)))/Inputs!$K$9)^2),NA())</x:f>
        <x:v>112.75</x:v>
      </x:c>
      <x:c r="BD158" s="10"/>
      <x:c r="BE158" s="9">
        <x:f t="shared" si="26"/>
        <x:v>0.3</x:v>
      </x:c>
      <x:c r="BF158" s="9" t="n">
        <x:f>0</x:f>
        <x:v>0</x:v>
      </x:c>
      <x:c r="BG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9" t="n">
        <x:f>ROUND(-1+157*2/240,3)</x:f>
        <x:v>0.308</x:v>
      </x:c>
      <x:c r="B159" s="9" t="n">
        <x:f>IF(OR(Inputs!$F$6=TRUE,Inputs!$F$6="TRUE",Inputs!$F$6=1),(Inputs!$H$6+Inputs!$L$6*(((Inputs!$I$6+(((A159)+1)/2)*(Inputs!$J$6-Inputs!$I$6)))/Inputs!$K$6)^2),NA())</x:f>
        <x:v>400.379456</x:v>
      </x:c>
      <x:c r="C159" s="9" t="n">
        <x:f>IF(OR(Inputs!$F$7=TRUE,Inputs!$F$7="TRUE",Inputs!$F$7=1),(Inputs!$H$7+Inputs!$L$7*(((Inputs!$I$7+(((A159)+1)/2)*(Inputs!$J$7-Inputs!$I$7)))/Inputs!$K$7)^2),NA())</x:f>
        <x:v>69.62536000000003</x:v>
      </x:c>
      <x:c r="D159" s="9" t="n">
        <x:f>IF(OR(Inputs!$F$8=TRUE,Inputs!$F$8="TRUE",Inputs!$F$8=1),(Inputs!$H$8+Inputs!$L$8*(((Inputs!$I$8+(((A159)+1)/2)*(Inputs!$J$8-Inputs!$I$8)))/Inputs!$K$8)^2),NA())</x:f>
        <x:v>126.54376000000006</x:v>
      </x:c>
      <x:c r="E159" s="9" t="n">
        <x:f>IF(OR(Inputs!$F$9=TRUE,Inputs!$F$9="TRUE",Inputs!$F$9=1),(Inputs!$H$9+Inputs!$L$9*(((Inputs!$I$9+(((A159)+1)/2)*(Inputs!$J$9-Inputs!$I$9)))/Inputs!$K$9)^2),NA())</x:f>
        <x:v>117.49240000000006</x:v>
      </x:c>
      <x:c r="F159" s="10"/>
      <x:c r="G159" s="9">
        <x:f t="shared" si="18"/>
        <x:v>0.308</x:v>
      </x:c>
      <x:c r="H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10"/>
      <x:c r="M159" s="9">
        <x:f t="shared" si="19"/>
        <x:v>0.308</x:v>
      </x:c>
      <x:c r="N159" s="9"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9"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9"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9"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10"/>
      <x:c r="S159" s="9">
        <x:f t="shared" si="20"/>
        <x:v>0.308</x:v>
      </x:c>
      <x:c r="T159" s="9" t="n">
        <x:f>(Inputs!$I$6+(((A159)+1)/2)*(Inputs!$J$6-Inputs!$I$6))</x:f>
        <x:v>18.480000000000004</x:v>
      </x:c>
      <x:c r="U159" s="9" t="n">
        <x:f>(Inputs!$I$7+(((A159)+1)/2)*(Inputs!$J$7-Inputs!$I$7))</x:f>
        <x:v>123.20000000000005</x:v>
      </x:c>
      <x:c r="V159" s="9" t="n">
        <x:f>(Inputs!$I$8+(((A159)+1)/2)*(Inputs!$J$8-Inputs!$I$8))</x:f>
        <x:v>246.4000000000001</x:v>
      </x:c>
      <x:c r="W159" s="9" t="n">
        <x:f>(Inputs!$I$9+(((A159)+1)/2)*(Inputs!$J$9-Inputs!$I$9))</x:f>
        <x:v>246.4000000000001</x:v>
      </x:c>
      <x:c r="X159" s="10"/>
      <x:c r="Y159" s="9">
        <x:f t="shared" si="21"/>
        <x:v>0.308</x:v>
      </x:c>
      <x:c r="Z159" s="9" t="n">
        <x:f>(Inputs!$H$6+Inputs!$L$6*(((Inputs!$I$6+(((A159)+1)/2)*(Inputs!$J$6-Inputs!$I$6)))/Inputs!$K$6)^2)</x:f>
        <x:v>400.379456</x:v>
      </x:c>
      <x:c r="AA159" s="9" t="n">
        <x:f>(Inputs!$H$7+Inputs!$L$7*(((Inputs!$I$7+(((A159)+1)/2)*(Inputs!$J$7-Inputs!$I$7)))/Inputs!$K$7)^2)</x:f>
        <x:v>69.62536000000003</x:v>
      </x:c>
      <x:c r="AB159" s="9" t="n">
        <x:f>(Inputs!$H$8+Inputs!$L$8*(((Inputs!$I$8+(((A159)+1)/2)*(Inputs!$J$8-Inputs!$I$8)))/Inputs!$K$8)^2)</x:f>
        <x:v>126.54376000000006</x:v>
      </x:c>
      <x:c r="AC159" s="9" t="n">
        <x:f>(Inputs!$H$9+Inputs!$L$9*(((Inputs!$I$9+(((A159)+1)/2)*(Inputs!$J$9-Inputs!$I$9)))/Inputs!$K$9)^2)</x:f>
        <x:v>117.49240000000006</x:v>
      </x:c>
      <x:c r="AD159" s="10"/>
      <x:c r="AE159" s="9">
        <x:f t="shared" si="22"/>
        <x:v>0.308</x:v>
      </x:c>
      <x:c r="AF159" s="9"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9"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9"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9"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10"/>
      <x:c r="AK159" s="9">
        <x:f t="shared" si="23"/>
        <x:v>0.308</x:v>
      </x:c>
      <x:c r="AL159" s="9"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9"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9"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9"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10"/>
      <x:c r="AQ159" s="9">
        <x:f t="shared" si="24"/>
        <x:v>0.308</x:v>
      </x:c>
      <x:c r="AR159" s="9" t="n">
        <x:f>0</x:f>
        <x:v>0</x:v>
      </x:c>
      <x:c r="AS159" s="9"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x:f>
        <x:v>424.3669185609771</x:v>
      </x:c>
      <x:c r="AT159" s="9"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x:f>
        <x:v>77.97686071989834</x:v>
      </x:c>
      <x:c r="AU159" s="9"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x:f>
        <x:v>106.90420390302545</x:v>
      </x:c>
      <x:c r="AV159" s="9"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x:f>
        <x:v>106.90420390302545</x:v>
      </x:c>
      <x:c r="AW159" s="10"/>
      <x:c r="AX159" s="9">
        <x:f t="shared" si="25"/>
        <x:v>0.308</x:v>
      </x:c>
      <x:c r="AY159" s="9" t="n">
        <x:f>0</x:f>
        <x:v>0</x:v>
      </x:c>
      <x:c r="AZ159" s="9" t="n">
        <x:f>IF(OR(Inputs!$F$6=TRUE,Inputs!$F$6="TRUE",Inputs!$F$6=1),(Inputs!$H$6+Inputs!$L$6*(((Inputs!$I$6+(((A159)+1)/2)*(Inputs!$J$6-Inputs!$I$6)))/Inputs!$K$6)^2),NA())</x:f>
        <x:v>400.379456</x:v>
      </x:c>
      <x:c r="BA159" s="9" t="n">
        <x:f>IF(OR(Inputs!$F$7=TRUE,Inputs!$F$7="TRUE",Inputs!$F$7=1),(Inputs!$H$7+Inputs!$L$7*(((Inputs!$I$7+(((A159)+1)/2)*(Inputs!$J$7-Inputs!$I$7)))/Inputs!$K$7)^2),NA())</x:f>
        <x:v>69.62536000000003</x:v>
      </x:c>
      <x:c r="BB159" s="9" t="n">
        <x:f>IF(OR(Inputs!$F$8=TRUE,Inputs!$F$8="TRUE",Inputs!$F$8=1),(Inputs!$H$8+Inputs!$L$8*(((Inputs!$I$8+(((A159)+1)/2)*(Inputs!$J$8-Inputs!$I$8)))/Inputs!$K$8)^2),NA())</x:f>
        <x:v>126.54376000000006</x:v>
      </x:c>
      <x:c r="BC159" s="9" t="n">
        <x:f>IF(OR(Inputs!$F$9=TRUE,Inputs!$F$9="TRUE",Inputs!$F$9=1),(Inputs!$H$9+Inputs!$L$9*(((Inputs!$I$9+(((A159)+1)/2)*(Inputs!$J$9-Inputs!$I$9)))/Inputs!$K$9)^2),NA())</x:f>
        <x:v>117.49240000000006</x:v>
      </x:c>
      <x:c r="BD159" s="10"/>
      <x:c r="BE159" s="9">
        <x:f t="shared" si="26"/>
        <x:v>0.308</x:v>
      </x:c>
      <x:c r="BF159" s="9" t="n">
        <x:f>0</x:f>
        <x:v>0</x:v>
      </x:c>
      <x:c r="BG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9" t="n">
        <x:f>ROUND(-1+158*2/240,3)</x:f>
        <x:v>0.317</x:v>
      </x:c>
      <x:c r="B160" s="9" t="n">
        <x:f>IF(OR(Inputs!$F$6=TRUE,Inputs!$F$6="TRUE",Inputs!$F$6=1),(Inputs!$H$6+Inputs!$L$6*(((Inputs!$I$6+(((A160)+1)/2)*(Inputs!$J$6-Inputs!$I$6)))/Inputs!$K$6)^2),NA())</x:f>
        <x:v>400.401956</x:v>
      </x:c>
      <x:c r="C160" s="9" t="n">
        <x:f>IF(OR(Inputs!$F$7=TRUE,Inputs!$F$7="TRUE",Inputs!$F$7=1),(Inputs!$H$7+Inputs!$L$7*(((Inputs!$I$7+(((A160)+1)/2)*(Inputs!$J$7-Inputs!$I$7)))/Inputs!$K$7)^2),NA())</x:f>
        <x:v>71.67848499999997</x:v>
      </x:c>
      <x:c r="D160" s="9" t="n">
        <x:f>IF(OR(Inputs!$F$8=TRUE,Inputs!$F$8="TRUE",Inputs!$F$8=1),(Inputs!$H$8+Inputs!$L$8*(((Inputs!$I$8+(((A160)+1)/2)*(Inputs!$J$8-Inputs!$I$8)))/Inputs!$K$8)^2),NA())</x:f>
        <x:v>131.97188499999993</x:v>
      </x:c>
      <x:c r="E160" s="9" t="n">
        <x:f>IF(OR(Inputs!$F$9=TRUE,Inputs!$F$9="TRUE",Inputs!$F$9=1),(Inputs!$H$9+Inputs!$L$9*(((Inputs!$I$9+(((A160)+1)/2)*(Inputs!$J$9-Inputs!$I$9)))/Inputs!$K$9)^2),NA())</x:f>
        <x:v>122.97677499999993</x:v>
      </x:c>
      <x:c r="F160" s="10"/>
      <x:c r="G160" s="9">
        <x:f t="shared" si="18"/>
        <x:v>0.317</x:v>
      </x:c>
      <x:c r="H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10"/>
      <x:c r="M160" s="9">
        <x:f t="shared" si="19"/>
        <x:v>0.317</x:v>
      </x:c>
      <x:c r="N160" s="9"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9"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9"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9"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10"/>
      <x:c r="S160" s="9">
        <x:f t="shared" si="20"/>
        <x:v>0.317</x:v>
      </x:c>
      <x:c r="T160" s="9" t="n">
        <x:f>(Inputs!$I$6+(((A160)+1)/2)*(Inputs!$J$6-Inputs!$I$6))</x:f>
        <x:v>19.019999999999996</x:v>
      </x:c>
      <x:c r="U160" s="9" t="n">
        <x:f>(Inputs!$I$7+(((A160)+1)/2)*(Inputs!$J$7-Inputs!$I$7))</x:f>
        <x:v>126.79999999999995</x:v>
      </x:c>
      <x:c r="V160" s="9" t="n">
        <x:f>(Inputs!$I$8+(((A160)+1)/2)*(Inputs!$J$8-Inputs!$I$8))</x:f>
        <x:v>253.5999999999999</x:v>
      </x:c>
      <x:c r="W160" s="9" t="n">
        <x:f>(Inputs!$I$9+(((A160)+1)/2)*(Inputs!$J$9-Inputs!$I$9))</x:f>
        <x:v>253.5999999999999</x:v>
      </x:c>
      <x:c r="X160" s="10"/>
      <x:c r="Y160" s="9">
        <x:f t="shared" si="21"/>
        <x:v>0.317</x:v>
      </x:c>
      <x:c r="Z160" s="9" t="n">
        <x:f>(Inputs!$H$6+Inputs!$L$6*(((Inputs!$I$6+(((A160)+1)/2)*(Inputs!$J$6-Inputs!$I$6)))/Inputs!$K$6)^2)</x:f>
        <x:v>400.401956</x:v>
      </x:c>
      <x:c r="AA160" s="9" t="n">
        <x:f>(Inputs!$H$7+Inputs!$L$7*(((Inputs!$I$7+(((A160)+1)/2)*(Inputs!$J$7-Inputs!$I$7)))/Inputs!$K$7)^2)</x:f>
        <x:v>71.67848499999997</x:v>
      </x:c>
      <x:c r="AB160" s="9" t="n">
        <x:f>(Inputs!$H$8+Inputs!$L$8*(((Inputs!$I$8+(((A160)+1)/2)*(Inputs!$J$8-Inputs!$I$8)))/Inputs!$K$8)^2)</x:f>
        <x:v>131.97188499999993</x:v>
      </x:c>
      <x:c r="AC160" s="9" t="n">
        <x:f>(Inputs!$H$9+Inputs!$L$9*(((Inputs!$I$9+(((A160)+1)/2)*(Inputs!$J$9-Inputs!$I$9)))/Inputs!$K$9)^2)</x:f>
        <x:v>122.97677499999993</x:v>
      </x:c>
      <x:c r="AD160" s="10"/>
      <x:c r="AE160" s="9">
        <x:f t="shared" si="22"/>
        <x:v>0.317</x:v>
      </x:c>
      <x:c r="AF160" s="9"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9"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9"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9"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10"/>
      <x:c r="AK160" s="9">
        <x:f t="shared" si="23"/>
        <x:v>0.317</x:v>
      </x:c>
      <x:c r="AL160" s="9"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9"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9"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9"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10"/>
      <x:c r="AQ160" s="9">
        <x:f t="shared" si="24"/>
        <x:v>0.317</x:v>
      </x:c>
      <x:c r="AR160" s="9" t="n">
        <x:f>0</x:f>
        <x:v>0</x:v>
      </x:c>
      <x:c r="AS160" s="9"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x:f>
        <x:v>413.16626512166084</x:v>
      </x:c>
      <x:c r="AT160" s="9"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x:f>
        <x:v>148.34640520875115</x:v>
      </x:c>
      <x:c r="AU160" s="9"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x:f>
        <x:v>170.60025016119593</x:v>
      </x:c>
      <x:c r="AV160" s="9"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x:f>
        <x:v>170.60025016119593</x:v>
      </x:c>
      <x:c r="AW160" s="10"/>
      <x:c r="AX160" s="9">
        <x:f t="shared" si="25"/>
        <x:v>0.317</x:v>
      </x:c>
      <x:c r="AY160" s="9" t="n">
        <x:f>0</x:f>
        <x:v>0</x:v>
      </x:c>
      <x:c r="AZ160" s="9" t="n">
        <x:f>IF(OR(Inputs!$F$6=TRUE,Inputs!$F$6="TRUE",Inputs!$F$6=1),(Inputs!$H$6+Inputs!$L$6*(((Inputs!$I$6+(((A160)+1)/2)*(Inputs!$J$6-Inputs!$I$6)))/Inputs!$K$6)^2),NA())</x:f>
        <x:v>400.401956</x:v>
      </x:c>
      <x:c r="BA160" s="9" t="n">
        <x:f>IF(OR(Inputs!$F$7=TRUE,Inputs!$F$7="TRUE",Inputs!$F$7=1),(Inputs!$H$7+Inputs!$L$7*(((Inputs!$I$7+(((A160)+1)/2)*(Inputs!$J$7-Inputs!$I$7)))/Inputs!$K$7)^2),NA())</x:f>
        <x:v>71.67848499999997</x:v>
      </x:c>
      <x:c r="BB160" s="9" t="n">
        <x:f>IF(OR(Inputs!$F$8=TRUE,Inputs!$F$8="TRUE",Inputs!$F$8=1),(Inputs!$H$8+Inputs!$L$8*(((Inputs!$I$8+(((A160)+1)/2)*(Inputs!$J$8-Inputs!$I$8)))/Inputs!$K$8)^2),NA())</x:f>
        <x:v>131.97188499999993</x:v>
      </x:c>
      <x:c r="BC160" s="9" t="n">
        <x:f>IF(OR(Inputs!$F$9=TRUE,Inputs!$F$9="TRUE",Inputs!$F$9=1),(Inputs!$H$9+Inputs!$L$9*(((Inputs!$I$9+(((A160)+1)/2)*(Inputs!$J$9-Inputs!$I$9)))/Inputs!$K$9)^2),NA())</x:f>
        <x:v>122.97677499999993</x:v>
      </x:c>
      <x:c r="BD160" s="10"/>
      <x:c r="BE160" s="9">
        <x:f t="shared" si="26"/>
        <x:v>0.317</x:v>
      </x:c>
      <x:c r="BF160" s="9" t="n">
        <x:f>0</x:f>
        <x:v>0</x:v>
      </x:c>
      <x:c r="BG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9" t="n">
        <x:f>ROUND(-1+159*2/240,3)</x:f>
        <x:v>0.325</x:v>
      </x:c>
      <x:c r="B161" s="9" t="n">
        <x:f>IF(OR(Inputs!$F$6=TRUE,Inputs!$F$6="TRUE",Inputs!$F$6=1),(Inputs!$H$6+Inputs!$L$6*(((Inputs!$I$6+(((A161)+1)/2)*(Inputs!$J$6-Inputs!$I$6)))/Inputs!$K$6)^2),NA())</x:f>
        <x:v>400.4225</x:v>
      </x:c>
      <x:c r="C161" s="9" t="n">
        <x:f>IF(OR(Inputs!$F$7=TRUE,Inputs!$F$7="TRUE",Inputs!$F$7=1),(Inputs!$H$7+Inputs!$L$7*(((Inputs!$I$7+(((A161)+1)/2)*(Inputs!$J$7-Inputs!$I$7)))/Inputs!$K$7)^2),NA())</x:f>
        <x:v>73.553125</x:v>
      </x:c>
      <x:c r="D161" s="9" t="n">
        <x:f>IF(OR(Inputs!$F$8=TRUE,Inputs!$F$8="TRUE",Inputs!$F$8=1),(Inputs!$H$8+Inputs!$L$8*(((Inputs!$I$8+(((A161)+1)/2)*(Inputs!$J$8-Inputs!$I$8)))/Inputs!$K$8)^2),NA())</x:f>
        <x:v>136.92812500000002</x:v>
      </x:c>
      <x:c r="E161" s="9" t="n">
        <x:f>IF(OR(Inputs!$F$9=TRUE,Inputs!$F$9="TRUE",Inputs!$F$9=1),(Inputs!$H$9+Inputs!$L$9*(((Inputs!$I$9+(((A161)+1)/2)*(Inputs!$J$9-Inputs!$I$9)))/Inputs!$K$9)^2),NA())</x:f>
        <x:v>127.98437500000001</x:v>
      </x:c>
      <x:c r="F161" s="10"/>
      <x:c r="G161" s="9">
        <x:f t="shared" si="18"/>
        <x:v>0.32500000000000001</x:v>
      </x:c>
      <x:c r="H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10"/>
      <x:c r="M161" s="9">
        <x:f t="shared" si="19"/>
        <x:v>0.32500000000000001</x:v>
      </x:c>
      <x:c r="N161" s="9"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9"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9"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9"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10"/>
      <x:c r="S161" s="9">
        <x:f t="shared" si="20"/>
        <x:v>0.32500000000000001</x:v>
      </x:c>
      <x:c r="T161" s="9" t="n">
        <x:f>(Inputs!$I$6+(((A161)+1)/2)*(Inputs!$J$6-Inputs!$I$6))</x:f>
        <x:v>19.5</x:v>
      </x:c>
      <x:c r="U161" s="9" t="n">
        <x:f>(Inputs!$I$7+(((A161)+1)/2)*(Inputs!$J$7-Inputs!$I$7))</x:f>
        <x:v>130</x:v>
      </x:c>
      <x:c r="V161" s="9" t="n">
        <x:f>(Inputs!$I$8+(((A161)+1)/2)*(Inputs!$J$8-Inputs!$I$8))</x:f>
        <x:v>260</x:v>
      </x:c>
      <x:c r="W161" s="9" t="n">
        <x:f>(Inputs!$I$9+(((A161)+1)/2)*(Inputs!$J$9-Inputs!$I$9))</x:f>
        <x:v>260</x:v>
      </x:c>
      <x:c r="X161" s="10"/>
      <x:c r="Y161" s="9">
        <x:f t="shared" si="21"/>
        <x:v>0.32500000000000001</x:v>
      </x:c>
      <x:c r="Z161" s="9" t="n">
        <x:f>(Inputs!$H$6+Inputs!$L$6*(((Inputs!$I$6+(((A161)+1)/2)*(Inputs!$J$6-Inputs!$I$6)))/Inputs!$K$6)^2)</x:f>
        <x:v>400.4225</x:v>
      </x:c>
      <x:c r="AA161" s="9" t="n">
        <x:f>(Inputs!$H$7+Inputs!$L$7*(((Inputs!$I$7+(((A161)+1)/2)*(Inputs!$J$7-Inputs!$I$7)))/Inputs!$K$7)^2)</x:f>
        <x:v>73.553125</x:v>
      </x:c>
      <x:c r="AB161" s="9" t="n">
        <x:f>(Inputs!$H$8+Inputs!$L$8*(((Inputs!$I$8+(((A161)+1)/2)*(Inputs!$J$8-Inputs!$I$8)))/Inputs!$K$8)^2)</x:f>
        <x:v>136.92812500000002</x:v>
      </x:c>
      <x:c r="AC161" s="9" t="n">
        <x:f>(Inputs!$H$9+Inputs!$L$9*(((Inputs!$I$9+(((A161)+1)/2)*(Inputs!$J$9-Inputs!$I$9)))/Inputs!$K$9)^2)</x:f>
        <x:v>127.98437500000001</x:v>
      </x:c>
      <x:c r="AD161" s="10"/>
      <x:c r="AE161" s="9">
        <x:f t="shared" si="22"/>
        <x:v>0.32500000000000001</x:v>
      </x:c>
      <x:c r="AF161" s="9"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9"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9"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9"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10"/>
      <x:c r="AK161" s="9">
        <x:f t="shared" si="23"/>
        <x:v>0.32500000000000001</x:v>
      </x:c>
      <x:c r="AL161" s="9"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9"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9"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9"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10"/>
      <x:c r="AQ161" s="9">
        <x:f t="shared" si="24"/>
        <x:v>0.32500000000000001</x:v>
      </x:c>
      <x:c r="AR161" s="9" t="n">
        <x:f>0</x:f>
        <x:v>0</x:v>
      </x:c>
      <x:c r="AS161" s="9"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x:f>
        <x:v>436.66425250955575</x:v>
      </x:c>
      <x:c r="AT161" s="9"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x:f>
        <x:v>179.42575827267754</x:v>
      </x:c>
      <x:c r="AU161" s="9"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x:f>
        <x:v>134.66164099948801</x:v>
      </x:c>
      <x:c r="AV161" s="9"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x:f>
        <x:v>134.66164099948801</x:v>
      </x:c>
      <x:c r="AW161" s="10"/>
      <x:c r="AX161" s="9">
        <x:f t="shared" si="25"/>
        <x:v>0.32500000000000001</x:v>
      </x:c>
      <x:c r="AY161" s="9" t="n">
        <x:f>0</x:f>
        <x:v>0</x:v>
      </x:c>
      <x:c r="AZ161" s="9" t="n">
        <x:f>IF(OR(Inputs!$F$6=TRUE,Inputs!$F$6="TRUE",Inputs!$F$6=1),(Inputs!$H$6+Inputs!$L$6*(((Inputs!$I$6+(((A161)+1)/2)*(Inputs!$J$6-Inputs!$I$6)))/Inputs!$K$6)^2),NA())</x:f>
        <x:v>400.4225</x:v>
      </x:c>
      <x:c r="BA161" s="9" t="n">
        <x:f>IF(OR(Inputs!$F$7=TRUE,Inputs!$F$7="TRUE",Inputs!$F$7=1),(Inputs!$H$7+Inputs!$L$7*(((Inputs!$I$7+(((A161)+1)/2)*(Inputs!$J$7-Inputs!$I$7)))/Inputs!$K$7)^2),NA())</x:f>
        <x:v>73.553125</x:v>
      </x:c>
      <x:c r="BB161" s="9" t="n">
        <x:f>IF(OR(Inputs!$F$8=TRUE,Inputs!$F$8="TRUE",Inputs!$F$8=1),(Inputs!$H$8+Inputs!$L$8*(((Inputs!$I$8+(((A161)+1)/2)*(Inputs!$J$8-Inputs!$I$8)))/Inputs!$K$8)^2),NA())</x:f>
        <x:v>136.92812500000002</x:v>
      </x:c>
      <x:c r="BC161" s="9" t="n">
        <x:f>IF(OR(Inputs!$F$9=TRUE,Inputs!$F$9="TRUE",Inputs!$F$9=1),(Inputs!$H$9+Inputs!$L$9*(((Inputs!$I$9+(((A161)+1)/2)*(Inputs!$J$9-Inputs!$I$9)))/Inputs!$K$9)^2),NA())</x:f>
        <x:v>127.98437500000001</x:v>
      </x:c>
      <x:c r="BD161" s="10"/>
      <x:c r="BE161" s="9">
        <x:f t="shared" si="26"/>
        <x:v>0.32500000000000001</x:v>
      </x:c>
      <x:c r="BF161" s="9" t="n">
        <x:f>0</x:f>
        <x:v>0</x:v>
      </x:c>
      <x:c r="BG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9" t="n">
        <x:f>ROUND(-1+160*2/240,3)</x:f>
        <x:v>0.333</x:v>
      </x:c>
      <x:c r="B162" s="9" t="n">
        <x:f>IF(OR(Inputs!$F$6=TRUE,Inputs!$F$6="TRUE",Inputs!$F$6=1),(Inputs!$H$6+Inputs!$L$6*(((Inputs!$I$6+(((A162)+1)/2)*(Inputs!$J$6-Inputs!$I$6)))/Inputs!$K$6)^2),NA())</x:f>
        <x:v>400.443556</x:v>
      </x:c>
      <x:c r="C162" s="9" t="n">
        <x:f>IF(OR(Inputs!$F$7=TRUE,Inputs!$F$7="TRUE",Inputs!$F$7=1),(Inputs!$H$7+Inputs!$L$7*(((Inputs!$I$7+(((A162)+1)/2)*(Inputs!$J$7-Inputs!$I$7)))/Inputs!$K$7)^2),NA())</x:f>
        <x:v>75.47448499999996</x:v>
      </x:c>
      <x:c r="D162" s="9" t="n">
        <x:f>IF(OR(Inputs!$F$8=TRUE,Inputs!$F$8="TRUE",Inputs!$F$8=1),(Inputs!$H$8+Inputs!$L$8*(((Inputs!$I$8+(((A162)+1)/2)*(Inputs!$J$8-Inputs!$I$8)))/Inputs!$K$8)^2),NA())</x:f>
        <x:v>142.0078849999999</x:v>
      </x:c>
      <x:c r="E162" s="9" t="n">
        <x:f>IF(OR(Inputs!$F$9=TRUE,Inputs!$F$9="TRUE",Inputs!$F$9=1),(Inputs!$H$9+Inputs!$L$9*(((Inputs!$I$9+(((A162)+1)/2)*(Inputs!$J$9-Inputs!$I$9)))/Inputs!$K$9)^2),NA())</x:f>
        <x:v>133.1167749999999</x:v>
      </x:c>
      <x:c r="F162" s="10"/>
      <x:c r="G162" s="9">
        <x:f t="shared" si="18"/>
        <x:v>0.33300000000000002</x:v>
      </x:c>
      <x:c r="H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10"/>
      <x:c r="M162" s="9">
        <x:f t="shared" si="19"/>
        <x:v>0.33300000000000002</x:v>
      </x:c>
      <x:c r="N162" s="9"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9"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9"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9"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10"/>
      <x:c r="S162" s="9">
        <x:f t="shared" si="20"/>
        <x:v>0.33300000000000002</x:v>
      </x:c>
      <x:c r="T162" s="9" t="n">
        <x:f>(Inputs!$I$6+(((A162)+1)/2)*(Inputs!$J$6-Inputs!$I$6))</x:f>
        <x:v>19.980000000000004</x:v>
      </x:c>
      <x:c r="U162" s="9" t="n">
        <x:f>(Inputs!$I$7+(((A162)+1)/2)*(Inputs!$J$7-Inputs!$I$7))</x:f>
        <x:v>133.19999999999993</x:v>
      </x:c>
      <x:c r="V162" s="9" t="n">
        <x:f>(Inputs!$I$8+(((A162)+1)/2)*(Inputs!$J$8-Inputs!$I$8))</x:f>
        <x:v>266.39999999999986</x:v>
      </x:c>
      <x:c r="W162" s="9" t="n">
        <x:f>(Inputs!$I$9+(((A162)+1)/2)*(Inputs!$J$9-Inputs!$I$9))</x:f>
        <x:v>266.39999999999986</x:v>
      </x:c>
      <x:c r="X162" s="10"/>
      <x:c r="Y162" s="9">
        <x:f t="shared" si="21"/>
        <x:v>0.33300000000000002</x:v>
      </x:c>
      <x:c r="Z162" s="9" t="n">
        <x:f>(Inputs!$H$6+Inputs!$L$6*(((Inputs!$I$6+(((A162)+1)/2)*(Inputs!$J$6-Inputs!$I$6)))/Inputs!$K$6)^2)</x:f>
        <x:v>400.443556</x:v>
      </x:c>
      <x:c r="AA162" s="9" t="n">
        <x:f>(Inputs!$H$7+Inputs!$L$7*(((Inputs!$I$7+(((A162)+1)/2)*(Inputs!$J$7-Inputs!$I$7)))/Inputs!$K$7)^2)</x:f>
        <x:v>75.47448499999996</x:v>
      </x:c>
      <x:c r="AB162" s="9" t="n">
        <x:f>(Inputs!$H$8+Inputs!$L$8*(((Inputs!$I$8+(((A162)+1)/2)*(Inputs!$J$8-Inputs!$I$8)))/Inputs!$K$8)^2)</x:f>
        <x:v>142.0078849999999</x:v>
      </x:c>
      <x:c r="AC162" s="9" t="n">
        <x:f>(Inputs!$H$9+Inputs!$L$9*(((Inputs!$I$9+(((A162)+1)/2)*(Inputs!$J$9-Inputs!$I$9)))/Inputs!$K$9)^2)</x:f>
        <x:v>133.1167749999999</x:v>
      </x:c>
      <x:c r="AD162" s="10"/>
      <x:c r="AE162" s="9">
        <x:f t="shared" si="22"/>
        <x:v>0.33300000000000002</x:v>
      </x:c>
      <x:c r="AF162" s="9"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9"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9"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9"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10"/>
      <x:c r="AK162" s="9">
        <x:f t="shared" si="23"/>
        <x:v>0.33300000000000002</x:v>
      </x:c>
      <x:c r="AL162" s="9"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9"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9"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9"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10"/>
      <x:c r="AQ162" s="9">
        <x:f t="shared" si="24"/>
        <x:v>0.33300000000000002</x:v>
      </x:c>
      <x:c r="AR162" s="9" t="n">
        <x:f>0</x:f>
        <x:v>0</x:v>
      </x:c>
      <x:c r="AS162" s="9"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x:f>
        <x:v>436.47109711249175</x:v>
      </x:c>
      <x:c r="AT162" s="9"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x:f>
        <x:v>166.7327955160667</x:v>
      </x:c>
      <x:c r="AU162" s="9"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x:f>
        <x:v>101.23201096259784</x:v>
      </x:c>
      <x:c r="AV162" s="9"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x:f>
        <x:v>101.23201096259784</x:v>
      </x:c>
      <x:c r="AW162" s="10"/>
      <x:c r="AX162" s="9">
        <x:f t="shared" si="25"/>
        <x:v>0.33300000000000002</x:v>
      </x:c>
      <x:c r="AY162" s="9" t="n">
        <x:f>0</x:f>
        <x:v>0</x:v>
      </x:c>
      <x:c r="AZ162" s="9" t="n">
        <x:f>IF(OR(Inputs!$F$6=TRUE,Inputs!$F$6="TRUE",Inputs!$F$6=1),(Inputs!$H$6+Inputs!$L$6*(((Inputs!$I$6+(((A162)+1)/2)*(Inputs!$J$6-Inputs!$I$6)))/Inputs!$K$6)^2),NA())</x:f>
        <x:v>400.443556</x:v>
      </x:c>
      <x:c r="BA162" s="9" t="n">
        <x:f>IF(OR(Inputs!$F$7=TRUE,Inputs!$F$7="TRUE",Inputs!$F$7=1),(Inputs!$H$7+Inputs!$L$7*(((Inputs!$I$7+(((A162)+1)/2)*(Inputs!$J$7-Inputs!$I$7)))/Inputs!$K$7)^2),NA())</x:f>
        <x:v>75.47448499999996</x:v>
      </x:c>
      <x:c r="BB162" s="9" t="n">
        <x:f>IF(OR(Inputs!$F$8=TRUE,Inputs!$F$8="TRUE",Inputs!$F$8=1),(Inputs!$H$8+Inputs!$L$8*(((Inputs!$I$8+(((A162)+1)/2)*(Inputs!$J$8-Inputs!$I$8)))/Inputs!$K$8)^2),NA())</x:f>
        <x:v>142.0078849999999</x:v>
      </x:c>
      <x:c r="BC162" s="9" t="n">
        <x:f>IF(OR(Inputs!$F$9=TRUE,Inputs!$F$9="TRUE",Inputs!$F$9=1),(Inputs!$H$9+Inputs!$L$9*(((Inputs!$I$9+(((A162)+1)/2)*(Inputs!$J$9-Inputs!$I$9)))/Inputs!$K$9)^2),NA())</x:f>
        <x:v>133.1167749999999</x:v>
      </x:c>
      <x:c r="BD162" s="10"/>
      <x:c r="BE162" s="9">
        <x:f t="shared" si="26"/>
        <x:v>0.33300000000000002</x:v>
      </x:c>
      <x:c r="BF162" s="9" t="n">
        <x:f>0</x:f>
        <x:v>0</x:v>
      </x:c>
      <x:c r="BG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9" t="n">
        <x:f>ROUND(-1+161*2/240,3)</x:f>
        <x:v>0.342</x:v>
      </x:c>
      <x:c r="B163" s="9" t="n">
        <x:f>IF(OR(Inputs!$F$6=TRUE,Inputs!$F$6="TRUE",Inputs!$F$6=1),(Inputs!$H$6+Inputs!$L$6*(((Inputs!$I$6+(((A163)+1)/2)*(Inputs!$J$6-Inputs!$I$6)))/Inputs!$K$6)^2),NA())</x:f>
        <x:v>400.467856</x:v>
      </x:c>
      <x:c r="C163" s="9" t="n">
        <x:f>IF(OR(Inputs!$F$7=TRUE,Inputs!$F$7="TRUE",Inputs!$F$7=1),(Inputs!$H$7+Inputs!$L$7*(((Inputs!$I$7+(((A163)+1)/2)*(Inputs!$J$7-Inputs!$I$7)))/Inputs!$K$7)^2),NA())</x:f>
        <x:v>77.69186000000005</x:v>
      </x:c>
      <x:c r="D163" s="9" t="n">
        <x:f>IF(OR(Inputs!$F$8=TRUE,Inputs!$F$8="TRUE",Inputs!$F$8=1),(Inputs!$H$8+Inputs!$L$8*(((Inputs!$I$8+(((A163)+1)/2)*(Inputs!$J$8-Inputs!$I$8)))/Inputs!$K$8)^2),NA())</x:f>
        <x:v>147.87026000000014</x:v>
      </x:c>
      <x:c r="E163" s="9" t="n">
        <x:f>IF(OR(Inputs!$F$9=TRUE,Inputs!$F$9="TRUE",Inputs!$F$9=1),(Inputs!$H$9+Inputs!$L$9*(((Inputs!$I$9+(((A163)+1)/2)*(Inputs!$J$9-Inputs!$I$9)))/Inputs!$K$9)^2),NA())</x:f>
        <x:v>139.03990000000013</x:v>
      </x:c>
      <x:c r="F163" s="10"/>
      <x:c r="G163" s="9">
        <x:f t="shared" si="18"/>
        <x:v>0.34200000000000003</x:v>
      </x:c>
      <x:c r="H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10"/>
      <x:c r="M163" s="9">
        <x:f t="shared" si="19"/>
        <x:v>0.34200000000000003</x:v>
      </x:c>
      <x:c r="N163" s="9"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9"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9"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9"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10"/>
      <x:c r="S163" s="9">
        <x:f t="shared" si="20"/>
        <x:v>0.34200000000000003</x:v>
      </x:c>
      <x:c r="T163" s="9" t="n">
        <x:f>(Inputs!$I$6+(((A163)+1)/2)*(Inputs!$J$6-Inputs!$I$6))</x:f>
        <x:v>20.52000000000001</x:v>
      </x:c>
      <x:c r="U163" s="9" t="n">
        <x:f>(Inputs!$I$7+(((A163)+1)/2)*(Inputs!$J$7-Inputs!$I$7))</x:f>
        <x:v>136.80000000000007</x:v>
      </x:c>
      <x:c r="V163" s="9" t="n">
        <x:f>(Inputs!$I$8+(((A163)+1)/2)*(Inputs!$J$8-Inputs!$I$8))</x:f>
        <x:v>273.60000000000014</x:v>
      </x:c>
      <x:c r="W163" s="9" t="n">
        <x:f>(Inputs!$I$9+(((A163)+1)/2)*(Inputs!$J$9-Inputs!$I$9))</x:f>
        <x:v>273.60000000000014</x:v>
      </x:c>
      <x:c r="X163" s="10"/>
      <x:c r="Y163" s="9">
        <x:f t="shared" si="21"/>
        <x:v>0.34200000000000003</x:v>
      </x:c>
      <x:c r="Z163" s="9" t="n">
        <x:f>(Inputs!$H$6+Inputs!$L$6*(((Inputs!$I$6+(((A163)+1)/2)*(Inputs!$J$6-Inputs!$I$6)))/Inputs!$K$6)^2)</x:f>
        <x:v>400.467856</x:v>
      </x:c>
      <x:c r="AA163" s="9" t="n">
        <x:f>(Inputs!$H$7+Inputs!$L$7*(((Inputs!$I$7+(((A163)+1)/2)*(Inputs!$J$7-Inputs!$I$7)))/Inputs!$K$7)^2)</x:f>
        <x:v>77.69186000000005</x:v>
      </x:c>
      <x:c r="AB163" s="9" t="n">
        <x:f>(Inputs!$H$8+Inputs!$L$8*(((Inputs!$I$8+(((A163)+1)/2)*(Inputs!$J$8-Inputs!$I$8)))/Inputs!$K$8)^2)</x:f>
        <x:v>147.87026000000014</x:v>
      </x:c>
      <x:c r="AC163" s="9" t="n">
        <x:f>(Inputs!$H$9+Inputs!$L$9*(((Inputs!$I$9+(((A163)+1)/2)*(Inputs!$J$9-Inputs!$I$9)))/Inputs!$K$9)^2)</x:f>
        <x:v>139.03990000000013</x:v>
      </x:c>
      <x:c r="AD163" s="10"/>
      <x:c r="AE163" s="9">
        <x:f t="shared" si="22"/>
        <x:v>0.34200000000000003</x:v>
      </x:c>
      <x:c r="AF163" s="9"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9"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9"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9"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10"/>
      <x:c r="AK163" s="9">
        <x:f t="shared" si="23"/>
        <x:v>0.34200000000000003</x:v>
      </x:c>
      <x:c r="AL163" s="9"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9"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9"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9"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10"/>
      <x:c r="AQ163" s="9">
        <x:f t="shared" si="24"/>
        <x:v>0.34200000000000003</x:v>
      </x:c>
      <x:c r="AR163" s="9" t="n">
        <x:f>0</x:f>
        <x:v>0</x:v>
      </x:c>
      <x:c r="AS163" s="9"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x:f>
        <x:v>440.1680837209169</x:v>
      </x:c>
      <x:c r="AT163" s="9"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x:f>
        <x:v>98.78215108442748</x:v>
      </x:c>
      <x:c r="AU163" s="9"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x:f>
        <x:v>169.112597760329</x:v>
      </x:c>
      <x:c r="AV163" s="9"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x:f>
        <x:v>169.112597760329</x:v>
      </x:c>
      <x:c r="AW163" s="10"/>
      <x:c r="AX163" s="9">
        <x:f t="shared" si="25"/>
        <x:v>0.34200000000000003</x:v>
      </x:c>
      <x:c r="AY163" s="9" t="n">
        <x:f>0</x:f>
        <x:v>0</x:v>
      </x:c>
      <x:c r="AZ163" s="9" t="n">
        <x:f>IF(OR(Inputs!$F$6=TRUE,Inputs!$F$6="TRUE",Inputs!$F$6=1),(Inputs!$H$6+Inputs!$L$6*(((Inputs!$I$6+(((A163)+1)/2)*(Inputs!$J$6-Inputs!$I$6)))/Inputs!$K$6)^2),NA())</x:f>
        <x:v>400.467856</x:v>
      </x:c>
      <x:c r="BA163" s="9" t="n">
        <x:f>IF(OR(Inputs!$F$7=TRUE,Inputs!$F$7="TRUE",Inputs!$F$7=1),(Inputs!$H$7+Inputs!$L$7*(((Inputs!$I$7+(((A163)+1)/2)*(Inputs!$J$7-Inputs!$I$7)))/Inputs!$K$7)^2),NA())</x:f>
        <x:v>77.69186000000005</x:v>
      </x:c>
      <x:c r="BB163" s="9" t="n">
        <x:f>IF(OR(Inputs!$F$8=TRUE,Inputs!$F$8="TRUE",Inputs!$F$8=1),(Inputs!$H$8+Inputs!$L$8*(((Inputs!$I$8+(((A163)+1)/2)*(Inputs!$J$8-Inputs!$I$8)))/Inputs!$K$8)^2),NA())</x:f>
        <x:v>147.87026000000014</x:v>
      </x:c>
      <x:c r="BC163" s="9" t="n">
        <x:f>IF(OR(Inputs!$F$9=TRUE,Inputs!$F$9="TRUE",Inputs!$F$9=1),(Inputs!$H$9+Inputs!$L$9*(((Inputs!$I$9+(((A163)+1)/2)*(Inputs!$J$9-Inputs!$I$9)))/Inputs!$K$9)^2),NA())</x:f>
        <x:v>139.03990000000013</x:v>
      </x:c>
      <x:c r="BD163" s="10"/>
      <x:c r="BE163" s="9">
        <x:f t="shared" si="26"/>
        <x:v>0.34200000000000003</x:v>
      </x:c>
      <x:c r="BF163" s="9" t="n">
        <x:f>0</x:f>
        <x:v>0</x:v>
      </x:c>
      <x:c r="BG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9" t="n">
        <x:f>ROUND(-1+162*2/240,3)</x:f>
        <x:v>0.35</x:v>
      </x:c>
      <x:c r="B164" s="9" t="n">
        <x:f>IF(OR(Inputs!$F$6=TRUE,Inputs!$F$6="TRUE",Inputs!$F$6=1),(Inputs!$H$6+Inputs!$L$6*(((Inputs!$I$6+(((A164)+1)/2)*(Inputs!$J$6-Inputs!$I$6)))/Inputs!$K$6)^2),NA())</x:f>
        <x:v>400.49</x:v>
      </x:c>
      <x:c r="C164" s="9" t="n">
        <x:f>IF(OR(Inputs!$F$7=TRUE,Inputs!$F$7="TRUE",Inputs!$F$7=1),(Inputs!$H$7+Inputs!$L$7*(((Inputs!$I$7+(((A164)+1)/2)*(Inputs!$J$7-Inputs!$I$7)))/Inputs!$K$7)^2),NA())</x:f>
        <x:v>79.71249999999999</x:v>
      </x:c>
      <x:c r="D164" s="9" t="n">
        <x:f>IF(OR(Inputs!$F$8=TRUE,Inputs!$F$8="TRUE",Inputs!$F$8=1),(Inputs!$H$8+Inputs!$L$8*(((Inputs!$I$8+(((A164)+1)/2)*(Inputs!$J$8-Inputs!$I$8)))/Inputs!$K$8)^2),NA())</x:f>
        <x:v>153.21249999999998</x:v>
      </x:c>
      <x:c r="E164" s="9" t="n">
        <x:f>IF(OR(Inputs!$F$9=TRUE,Inputs!$F$9="TRUE",Inputs!$F$9=1),(Inputs!$H$9+Inputs!$L$9*(((Inputs!$I$9+(((A164)+1)/2)*(Inputs!$J$9-Inputs!$I$9)))/Inputs!$K$9)^2),NA())</x:f>
        <x:v>144.4375</x:v>
      </x:c>
      <x:c r="F164" s="10"/>
      <x:c r="G164" s="9">
        <x:f t="shared" si="18"/>
        <x:v>0.35</x:v>
      </x:c>
      <x:c r="H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10"/>
      <x:c r="M164" s="9">
        <x:f t="shared" si="19"/>
        <x:v>0.35</x:v>
      </x:c>
      <x:c r="N164" s="9"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9"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9"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9"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10"/>
      <x:c r="S164" s="9">
        <x:f t="shared" si="20"/>
        <x:v>0.35</x:v>
      </x:c>
      <x:c r="T164" s="9" t="n">
        <x:f>(Inputs!$I$6+(((A164)+1)/2)*(Inputs!$J$6-Inputs!$I$6))</x:f>
        <x:v>21</x:v>
      </x:c>
      <x:c r="U164" s="9" t="n">
        <x:f>(Inputs!$I$7+(((A164)+1)/2)*(Inputs!$J$7-Inputs!$I$7))</x:f>
        <x:v>140</x:v>
      </x:c>
      <x:c r="V164" s="9" t="n">
        <x:f>(Inputs!$I$8+(((A164)+1)/2)*(Inputs!$J$8-Inputs!$I$8))</x:f>
        <x:v>280</x:v>
      </x:c>
      <x:c r="W164" s="9" t="n">
        <x:f>(Inputs!$I$9+(((A164)+1)/2)*(Inputs!$J$9-Inputs!$I$9))</x:f>
        <x:v>280</x:v>
      </x:c>
      <x:c r="X164" s="10"/>
      <x:c r="Y164" s="9">
        <x:f t="shared" si="21"/>
        <x:v>0.35</x:v>
      </x:c>
      <x:c r="Z164" s="9" t="n">
        <x:f>(Inputs!$H$6+Inputs!$L$6*(((Inputs!$I$6+(((A164)+1)/2)*(Inputs!$J$6-Inputs!$I$6)))/Inputs!$K$6)^2)</x:f>
        <x:v>400.49</x:v>
      </x:c>
      <x:c r="AA164" s="9" t="n">
        <x:f>(Inputs!$H$7+Inputs!$L$7*(((Inputs!$I$7+(((A164)+1)/2)*(Inputs!$J$7-Inputs!$I$7)))/Inputs!$K$7)^2)</x:f>
        <x:v>79.71249999999999</x:v>
      </x:c>
      <x:c r="AB164" s="9" t="n">
        <x:f>(Inputs!$H$8+Inputs!$L$8*(((Inputs!$I$8+(((A164)+1)/2)*(Inputs!$J$8-Inputs!$I$8)))/Inputs!$K$8)^2)</x:f>
        <x:v>153.21249999999998</x:v>
      </x:c>
      <x:c r="AC164" s="9" t="n">
        <x:f>(Inputs!$H$9+Inputs!$L$9*(((Inputs!$I$9+(((A164)+1)/2)*(Inputs!$J$9-Inputs!$I$9)))/Inputs!$K$9)^2)</x:f>
        <x:v>144.4375</x:v>
      </x:c>
      <x:c r="AD164" s="10"/>
      <x:c r="AE164" s="9">
        <x:f t="shared" si="22"/>
        <x:v>0.35</x:v>
      </x:c>
      <x:c r="AF164" s="9"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9"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9"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9"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10"/>
      <x:c r="AK164" s="9">
        <x:f t="shared" si="23"/>
        <x:v>0.35</x:v>
      </x:c>
      <x:c r="AL164" s="9"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9"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9"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9"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10"/>
      <x:c r="AQ164" s="9">
        <x:f t="shared" si="24"/>
        <x:v>0.35</x:v>
      </x:c>
      <x:c r="AR164" s="9" t="n">
        <x:f>0</x:f>
        <x:v>0</x:v>
      </x:c>
      <x:c r="AS164" s="9"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x:f>
        <x:v>441.2537143317768</x:v>
      </x:c>
      <x:c r="AT164" s="9"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x:f>
        <x:v>82.3871567913042</x:v>
      </x:c>
      <x:c r="AU164" s="9"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x:f>
        <x:v>136.6689269288142</x:v>
      </x:c>
      <x:c r="AV164" s="9"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x:f>
        <x:v>136.6689269288142</x:v>
      </x:c>
      <x:c r="AW164" s="10"/>
      <x:c r="AX164" s="9">
        <x:f t="shared" si="25"/>
        <x:v>0.35</x:v>
      </x:c>
      <x:c r="AY164" s="9" t="n">
        <x:f>0</x:f>
        <x:v>0</x:v>
      </x:c>
      <x:c r="AZ164" s="9" t="n">
        <x:f>IF(OR(Inputs!$F$6=TRUE,Inputs!$F$6="TRUE",Inputs!$F$6=1),(Inputs!$H$6+Inputs!$L$6*(((Inputs!$I$6+(((A164)+1)/2)*(Inputs!$J$6-Inputs!$I$6)))/Inputs!$K$6)^2),NA())</x:f>
        <x:v>400.49</x:v>
      </x:c>
      <x:c r="BA164" s="9" t="n">
        <x:f>IF(OR(Inputs!$F$7=TRUE,Inputs!$F$7="TRUE",Inputs!$F$7=1),(Inputs!$H$7+Inputs!$L$7*(((Inputs!$I$7+(((A164)+1)/2)*(Inputs!$J$7-Inputs!$I$7)))/Inputs!$K$7)^2),NA())</x:f>
        <x:v>79.71249999999999</x:v>
      </x:c>
      <x:c r="BB164" s="9" t="n">
        <x:f>IF(OR(Inputs!$F$8=TRUE,Inputs!$F$8="TRUE",Inputs!$F$8=1),(Inputs!$H$8+Inputs!$L$8*(((Inputs!$I$8+(((A164)+1)/2)*(Inputs!$J$8-Inputs!$I$8)))/Inputs!$K$8)^2),NA())</x:f>
        <x:v>153.21249999999998</x:v>
      </x:c>
      <x:c r="BC164" s="9" t="n">
        <x:f>IF(OR(Inputs!$F$9=TRUE,Inputs!$F$9="TRUE",Inputs!$F$9=1),(Inputs!$H$9+Inputs!$L$9*(((Inputs!$I$9+(((A164)+1)/2)*(Inputs!$J$9-Inputs!$I$9)))/Inputs!$K$9)^2),NA())</x:f>
        <x:v>144.4375</x:v>
      </x:c>
      <x:c r="BD164" s="10"/>
      <x:c r="BE164" s="9">
        <x:f t="shared" si="26"/>
        <x:v>0.35</x:v>
      </x:c>
      <x:c r="BF164" s="9" t="n">
        <x:f>0</x:f>
        <x:v>0</x:v>
      </x:c>
      <x:c r="BG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9" t="n">
        <x:f>ROUND(-1+163*2/240,3)</x:f>
        <x:v>0.358</x:v>
      </x:c>
      <x:c r="B165" s="9" t="n">
        <x:f>IF(OR(Inputs!$F$6=TRUE,Inputs!$F$6="TRUE",Inputs!$F$6=1),(Inputs!$H$6+Inputs!$L$6*(((Inputs!$I$6+(((A165)+1)/2)*(Inputs!$J$6-Inputs!$I$6)))/Inputs!$K$6)^2),NA())</x:f>
        <x:v>400.512656</x:v>
      </x:c>
      <x:c r="C165" s="9" t="n">
        <x:f>IF(OR(Inputs!$F$7=TRUE,Inputs!$F$7="TRUE",Inputs!$F$7=1),(Inputs!$H$7+Inputs!$L$7*(((Inputs!$I$7+(((A165)+1)/2)*(Inputs!$J$7-Inputs!$I$7)))/Inputs!$K$7)^2),NA())</x:f>
        <x:v>81.77986000000001</x:v>
      </x:c>
      <x:c r="D165" s="9" t="n">
        <x:f>IF(OR(Inputs!$F$8=TRUE,Inputs!$F$8="TRUE",Inputs!$F$8=1),(Inputs!$H$8+Inputs!$L$8*(((Inputs!$I$8+(((A165)+1)/2)*(Inputs!$J$8-Inputs!$I$8)))/Inputs!$K$8)^2),NA())</x:f>
        <x:v>158.67826000000005</x:v>
      </x:c>
      <x:c r="E165" s="9" t="n">
        <x:f>IF(OR(Inputs!$F$9=TRUE,Inputs!$F$9="TRUE",Inputs!$F$9=1),(Inputs!$H$9+Inputs!$L$9*(((Inputs!$I$9+(((A165)+1)/2)*(Inputs!$J$9-Inputs!$I$9)))/Inputs!$K$9)^2),NA())</x:f>
        <x:v>149.95990000000006</x:v>
      </x:c>
      <x:c r="F165" s="10"/>
      <x:c r="G165" s="9">
        <x:f t="shared" si="18"/>
        <x:v>0.35799999999999998</x:v>
      </x:c>
      <x:c r="H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10"/>
      <x:c r="M165" s="9">
        <x:f t="shared" si="19"/>
        <x:v>0.35799999999999998</x:v>
      </x:c>
      <x:c r="N165" s="9"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9"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9"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9"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10"/>
      <x:c r="S165" s="9">
        <x:f t="shared" si="20"/>
        <x:v>0.35799999999999998</x:v>
      </x:c>
      <x:c r="T165" s="9" t="n">
        <x:f>(Inputs!$I$6+(((A165)+1)/2)*(Inputs!$J$6-Inputs!$I$6))</x:f>
        <x:v>21.480000000000004</x:v>
      </x:c>
      <x:c r="U165" s="9" t="n">
        <x:f>(Inputs!$I$7+(((A165)+1)/2)*(Inputs!$J$7-Inputs!$I$7))</x:f>
        <x:v>143.20000000000005</x:v>
      </x:c>
      <x:c r="V165" s="9" t="n">
        <x:f>(Inputs!$I$8+(((A165)+1)/2)*(Inputs!$J$8-Inputs!$I$8))</x:f>
        <x:v>286.4000000000001</x:v>
      </x:c>
      <x:c r="W165" s="9" t="n">
        <x:f>(Inputs!$I$9+(((A165)+1)/2)*(Inputs!$J$9-Inputs!$I$9))</x:f>
        <x:v>286.4000000000001</x:v>
      </x:c>
      <x:c r="X165" s="10"/>
      <x:c r="Y165" s="9">
        <x:f t="shared" si="21"/>
        <x:v>0.35799999999999998</x:v>
      </x:c>
      <x:c r="Z165" s="9" t="n">
        <x:f>(Inputs!$H$6+Inputs!$L$6*(((Inputs!$I$6+(((A165)+1)/2)*(Inputs!$J$6-Inputs!$I$6)))/Inputs!$K$6)^2)</x:f>
        <x:v>400.512656</x:v>
      </x:c>
      <x:c r="AA165" s="9" t="n">
        <x:f>(Inputs!$H$7+Inputs!$L$7*(((Inputs!$I$7+(((A165)+1)/2)*(Inputs!$J$7-Inputs!$I$7)))/Inputs!$K$7)^2)</x:f>
        <x:v>81.77986000000001</x:v>
      </x:c>
      <x:c r="AB165" s="9" t="n">
        <x:f>(Inputs!$H$8+Inputs!$L$8*(((Inputs!$I$8+(((A165)+1)/2)*(Inputs!$J$8-Inputs!$I$8)))/Inputs!$K$8)^2)</x:f>
        <x:v>158.67826000000005</x:v>
      </x:c>
      <x:c r="AC165" s="9" t="n">
        <x:f>(Inputs!$H$9+Inputs!$L$9*(((Inputs!$I$9+(((A165)+1)/2)*(Inputs!$J$9-Inputs!$I$9)))/Inputs!$K$9)^2)</x:f>
        <x:v>149.95990000000006</x:v>
      </x:c>
      <x:c r="AD165" s="10"/>
      <x:c r="AE165" s="9">
        <x:f t="shared" si="22"/>
        <x:v>0.35799999999999998</x:v>
      </x:c>
      <x:c r="AF165" s="9"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9"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9"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9"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10"/>
      <x:c r="AK165" s="9">
        <x:f t="shared" si="23"/>
        <x:v>0.35799999999999998</x:v>
      </x:c>
      <x:c r="AL165" s="9"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9"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9"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9"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10"/>
      <x:c r="AQ165" s="9">
        <x:f t="shared" si="24"/>
        <x:v>0.35799999999999998</x:v>
      </x:c>
      <x:c r="AR165" s="9" t="n">
        <x:f>0</x:f>
        <x:v>0</x:v>
      </x:c>
      <x:c r="AS165" s="9"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x:f>
        <x:v>439.31057826208274</x:v>
      </x:c>
      <x:c r="AT165" s="9"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x:f>
        <x:v>144.28524191413874</x:v>
      </x:c>
      <x:c r="AU165" s="9"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x:f>
        <x:v>108.791639999444</x:v>
      </x:c>
      <x:c r="AV165" s="9"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x:f>
        <x:v>108.791639999444</x:v>
      </x:c>
      <x:c r="AW165" s="10"/>
      <x:c r="AX165" s="9">
        <x:f t="shared" si="25"/>
        <x:v>0.35799999999999998</x:v>
      </x:c>
      <x:c r="AY165" s="9" t="n">
        <x:f>0</x:f>
        <x:v>0</x:v>
      </x:c>
      <x:c r="AZ165" s="9" t="n">
        <x:f>IF(OR(Inputs!$F$6=TRUE,Inputs!$F$6="TRUE",Inputs!$F$6=1),(Inputs!$H$6+Inputs!$L$6*(((Inputs!$I$6+(((A165)+1)/2)*(Inputs!$J$6-Inputs!$I$6)))/Inputs!$K$6)^2),NA())</x:f>
        <x:v>400.512656</x:v>
      </x:c>
      <x:c r="BA165" s="9" t="n">
        <x:f>IF(OR(Inputs!$F$7=TRUE,Inputs!$F$7="TRUE",Inputs!$F$7=1),(Inputs!$H$7+Inputs!$L$7*(((Inputs!$I$7+(((A165)+1)/2)*(Inputs!$J$7-Inputs!$I$7)))/Inputs!$K$7)^2),NA())</x:f>
        <x:v>81.77986000000001</x:v>
      </x:c>
      <x:c r="BB165" s="9" t="n">
        <x:f>IF(OR(Inputs!$F$8=TRUE,Inputs!$F$8="TRUE",Inputs!$F$8=1),(Inputs!$H$8+Inputs!$L$8*(((Inputs!$I$8+(((A165)+1)/2)*(Inputs!$J$8-Inputs!$I$8)))/Inputs!$K$8)^2),NA())</x:f>
        <x:v>158.67826000000005</x:v>
      </x:c>
      <x:c r="BC165" s="9" t="n">
        <x:f>IF(OR(Inputs!$F$9=TRUE,Inputs!$F$9="TRUE",Inputs!$F$9=1),(Inputs!$H$9+Inputs!$L$9*(((Inputs!$I$9+(((A165)+1)/2)*(Inputs!$J$9-Inputs!$I$9)))/Inputs!$K$9)^2),NA())</x:f>
        <x:v>149.95990000000006</x:v>
      </x:c>
      <x:c r="BD165" s="10"/>
      <x:c r="BE165" s="9">
        <x:f t="shared" si="26"/>
        <x:v>0.35799999999999998</x:v>
      </x:c>
      <x:c r="BF165" s="9" t="n">
        <x:f>0</x:f>
        <x:v>0</x:v>
      </x:c>
      <x:c r="BG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9" t="n">
        <x:f>ROUND(-1+164*2/240,3)</x:f>
        <x:v>0.367</x:v>
      </x:c>
      <x:c r="B166" s="9" t="n">
        <x:f>IF(OR(Inputs!$F$6=TRUE,Inputs!$F$6="TRUE",Inputs!$F$6=1),(Inputs!$H$6+Inputs!$L$6*(((Inputs!$I$6+(((A166)+1)/2)*(Inputs!$J$6-Inputs!$I$6)))/Inputs!$K$6)^2),NA())</x:f>
        <x:v>400.538756</x:v>
      </x:c>
      <x:c r="C166" s="9" t="n">
        <x:f>IF(OR(Inputs!$F$7=TRUE,Inputs!$F$7="TRUE",Inputs!$F$7=1),(Inputs!$H$7+Inputs!$L$7*(((Inputs!$I$7+(((A166)+1)/2)*(Inputs!$J$7-Inputs!$I$7)))/Inputs!$K$7)^2),NA())</x:f>
        <x:v>84.16148499999997</x:v>
      </x:c>
      <x:c r="D166" s="9" t="n">
        <x:f>IF(OR(Inputs!$F$8=TRUE,Inputs!$F$8="TRUE",Inputs!$F$8=1),(Inputs!$H$8+Inputs!$L$8*(((Inputs!$I$8+(((A166)+1)/2)*(Inputs!$J$8-Inputs!$I$8)))/Inputs!$K$8)^2),NA())</x:f>
        <x:v>164.97488499999992</x:v>
      </x:c>
      <x:c r="E166" s="9" t="n">
        <x:f>IF(OR(Inputs!$F$9=TRUE,Inputs!$F$9="TRUE",Inputs!$F$9=1),(Inputs!$H$9+Inputs!$L$9*(((Inputs!$I$9+(((A166)+1)/2)*(Inputs!$J$9-Inputs!$I$9)))/Inputs!$K$9)^2),NA())</x:f>
        <x:v>156.32177499999992</x:v>
      </x:c>
      <x:c r="F166" s="10"/>
      <x:c r="G166" s="9">
        <x:f t="shared" si="18"/>
        <x:v>0.36699999999999999</x:v>
      </x:c>
      <x:c r="H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10"/>
      <x:c r="M166" s="9">
        <x:f t="shared" si="19"/>
        <x:v>0.36699999999999999</x:v>
      </x:c>
      <x:c r="N166" s="9"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9"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9"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9"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10"/>
      <x:c r="S166" s="9">
        <x:f t="shared" si="20"/>
        <x:v>0.36699999999999999</x:v>
      </x:c>
      <x:c r="T166" s="9" t="n">
        <x:f>(Inputs!$I$6+(((A166)+1)/2)*(Inputs!$J$6-Inputs!$I$6))</x:f>
        <x:v>22.019999999999996</x:v>
      </x:c>
      <x:c r="U166" s="9" t="n">
        <x:f>(Inputs!$I$7+(((A166)+1)/2)*(Inputs!$J$7-Inputs!$I$7))</x:f>
        <x:v>146.79999999999995</x:v>
      </x:c>
      <x:c r="V166" s="9" t="n">
        <x:f>(Inputs!$I$8+(((A166)+1)/2)*(Inputs!$J$8-Inputs!$I$8))</x:f>
        <x:v>293.5999999999999</x:v>
      </x:c>
      <x:c r="W166" s="9" t="n">
        <x:f>(Inputs!$I$9+(((A166)+1)/2)*(Inputs!$J$9-Inputs!$I$9))</x:f>
        <x:v>293.5999999999999</x:v>
      </x:c>
      <x:c r="X166" s="10"/>
      <x:c r="Y166" s="9">
        <x:f t="shared" si="21"/>
        <x:v>0.36699999999999999</x:v>
      </x:c>
      <x:c r="Z166" s="9" t="n">
        <x:f>(Inputs!$H$6+Inputs!$L$6*(((Inputs!$I$6+(((A166)+1)/2)*(Inputs!$J$6-Inputs!$I$6)))/Inputs!$K$6)^2)</x:f>
        <x:v>400.538756</x:v>
      </x:c>
      <x:c r="AA166" s="9" t="n">
        <x:f>(Inputs!$H$7+Inputs!$L$7*(((Inputs!$I$7+(((A166)+1)/2)*(Inputs!$J$7-Inputs!$I$7)))/Inputs!$K$7)^2)</x:f>
        <x:v>84.16148499999997</x:v>
      </x:c>
      <x:c r="AB166" s="9" t="n">
        <x:f>(Inputs!$H$8+Inputs!$L$8*(((Inputs!$I$8+(((A166)+1)/2)*(Inputs!$J$8-Inputs!$I$8)))/Inputs!$K$8)^2)</x:f>
        <x:v>164.97488499999992</x:v>
      </x:c>
      <x:c r="AC166" s="9" t="n">
        <x:f>(Inputs!$H$9+Inputs!$L$9*(((Inputs!$I$9+(((A166)+1)/2)*(Inputs!$J$9-Inputs!$I$9)))/Inputs!$K$9)^2)</x:f>
        <x:v>156.32177499999992</x:v>
      </x:c>
      <x:c r="AD166" s="10"/>
      <x:c r="AE166" s="9">
        <x:f t="shared" si="22"/>
        <x:v>0.36699999999999999</x:v>
      </x:c>
      <x:c r="AF166" s="9"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9"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9"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9"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10"/>
      <x:c r="AK166" s="9">
        <x:f t="shared" si="23"/>
        <x:v>0.36699999999999999</x:v>
      </x:c>
      <x:c r="AL166" s="9"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9"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9"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9"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10"/>
      <x:c r="AQ166" s="9">
        <x:f t="shared" si="24"/>
        <x:v>0.36699999999999999</x:v>
      </x:c>
      <x:c r="AR166" s="9" t="n">
        <x:f>0</x:f>
        <x:v>0</x:v>
      </x:c>
      <x:c r="AS166" s="9"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x:f>
        <x:v>458.0886996143176</x:v>
      </x:c>
      <x:c r="AT166" s="9"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x:f>
        <x:v>228.60392437287734</x:v>
      </x:c>
      <x:c r="AU166" s="9"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x:f>
        <x:v>248.3394682718388</x:v>
      </x:c>
      <x:c r="AV166" s="9"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x:f>
        <x:v>248.3394682718388</x:v>
      </x:c>
      <x:c r="AW166" s="10"/>
      <x:c r="AX166" s="9">
        <x:f t="shared" si="25"/>
        <x:v>0.36699999999999999</x:v>
      </x:c>
      <x:c r="AY166" s="9" t="n">
        <x:f>0</x:f>
        <x:v>0</x:v>
      </x:c>
      <x:c r="AZ166" s="9" t="n">
        <x:f>IF(OR(Inputs!$F$6=TRUE,Inputs!$F$6="TRUE",Inputs!$F$6=1),(Inputs!$H$6+Inputs!$L$6*(((Inputs!$I$6+(((A166)+1)/2)*(Inputs!$J$6-Inputs!$I$6)))/Inputs!$K$6)^2),NA())</x:f>
        <x:v>400.538756</x:v>
      </x:c>
      <x:c r="BA166" s="9" t="n">
        <x:f>IF(OR(Inputs!$F$7=TRUE,Inputs!$F$7="TRUE",Inputs!$F$7=1),(Inputs!$H$7+Inputs!$L$7*(((Inputs!$I$7+(((A166)+1)/2)*(Inputs!$J$7-Inputs!$I$7)))/Inputs!$K$7)^2),NA())</x:f>
        <x:v>84.16148499999997</x:v>
      </x:c>
      <x:c r="BB166" s="9" t="n">
        <x:f>IF(OR(Inputs!$F$8=TRUE,Inputs!$F$8="TRUE",Inputs!$F$8=1),(Inputs!$H$8+Inputs!$L$8*(((Inputs!$I$8+(((A166)+1)/2)*(Inputs!$J$8-Inputs!$I$8)))/Inputs!$K$8)^2),NA())</x:f>
        <x:v>164.97488499999992</x:v>
      </x:c>
      <x:c r="BC166" s="9" t="n">
        <x:f>IF(OR(Inputs!$F$9=TRUE,Inputs!$F$9="TRUE",Inputs!$F$9=1),(Inputs!$H$9+Inputs!$L$9*(((Inputs!$I$9+(((A166)+1)/2)*(Inputs!$J$9-Inputs!$I$9)))/Inputs!$K$9)^2),NA())</x:f>
        <x:v>156.32177499999992</x:v>
      </x:c>
      <x:c r="BD166" s="10"/>
      <x:c r="BE166" s="9">
        <x:f t="shared" si="26"/>
        <x:v>0.36699999999999999</x:v>
      </x:c>
      <x:c r="BF166" s="9" t="n">
        <x:f>0</x:f>
        <x:v>0</x:v>
      </x:c>
      <x:c r="BG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9" t="n">
        <x:f>ROUND(-1+165*2/240,3)</x:f>
        <x:v>0.375</x:v>
      </x:c>
      <x:c r="B167" s="9" t="n">
        <x:f>IF(OR(Inputs!$F$6=TRUE,Inputs!$F$6="TRUE",Inputs!$F$6=1),(Inputs!$H$6+Inputs!$L$6*(((Inputs!$I$6+(((A167)+1)/2)*(Inputs!$J$6-Inputs!$I$6)))/Inputs!$K$6)^2),NA())</x:f>
        <x:v>400.5625</x:v>
      </x:c>
      <x:c r="C167" s="9" t="n">
        <x:f>IF(OR(Inputs!$F$7=TRUE,Inputs!$F$7="TRUE",Inputs!$F$7=1),(Inputs!$H$7+Inputs!$L$7*(((Inputs!$I$7+(((A167)+1)/2)*(Inputs!$J$7-Inputs!$I$7)))/Inputs!$K$7)^2),NA())</x:f>
        <x:v>86.328125</x:v>
      </x:c>
      <x:c r="D167" s="9" t="n">
        <x:f>IF(OR(Inputs!$F$8=TRUE,Inputs!$F$8="TRUE",Inputs!$F$8=1),(Inputs!$H$8+Inputs!$L$8*(((Inputs!$I$8+(((A167)+1)/2)*(Inputs!$J$8-Inputs!$I$8)))/Inputs!$K$8)^2),NA())</x:f>
        <x:v>170.703125</x:v>
      </x:c>
      <x:c r="E167" s="9" t="n">
        <x:f>IF(OR(Inputs!$F$9=TRUE,Inputs!$F$9="TRUE",Inputs!$F$9=1),(Inputs!$H$9+Inputs!$L$9*(((Inputs!$I$9+(((A167)+1)/2)*(Inputs!$J$9-Inputs!$I$9)))/Inputs!$K$9)^2),NA())</x:f>
        <x:v>162.109375</x:v>
      </x:c>
      <x:c r="F167" s="10"/>
      <x:c r="G167" s="9">
        <x:f t="shared" si="18"/>
        <x:v>0.375</x:v>
      </x:c>
      <x:c r="H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10"/>
      <x:c r="M167" s="9">
        <x:f t="shared" si="19"/>
        <x:v>0.375</x:v>
      </x:c>
      <x:c r="N167" s="9"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9"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9"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9"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10"/>
      <x:c r="S167" s="9">
        <x:f t="shared" si="20"/>
        <x:v>0.375</x:v>
      </x:c>
      <x:c r="T167" s="9" t="n">
        <x:f>(Inputs!$I$6+(((A167)+1)/2)*(Inputs!$J$6-Inputs!$I$6))</x:f>
        <x:v>22.5</x:v>
      </x:c>
      <x:c r="U167" s="9" t="n">
        <x:f>(Inputs!$I$7+(((A167)+1)/2)*(Inputs!$J$7-Inputs!$I$7))</x:f>
        <x:v>150</x:v>
      </x:c>
      <x:c r="V167" s="9" t="n">
        <x:f>(Inputs!$I$8+(((A167)+1)/2)*(Inputs!$J$8-Inputs!$I$8))</x:f>
        <x:v>300</x:v>
      </x:c>
      <x:c r="W167" s="9" t="n">
        <x:f>(Inputs!$I$9+(((A167)+1)/2)*(Inputs!$J$9-Inputs!$I$9))</x:f>
        <x:v>300</x:v>
      </x:c>
      <x:c r="X167" s="10"/>
      <x:c r="Y167" s="9">
        <x:f t="shared" si="21"/>
        <x:v>0.375</x:v>
      </x:c>
      <x:c r="Z167" s="9" t="n">
        <x:f>(Inputs!$H$6+Inputs!$L$6*(((Inputs!$I$6+(((A167)+1)/2)*(Inputs!$J$6-Inputs!$I$6)))/Inputs!$K$6)^2)</x:f>
        <x:v>400.5625</x:v>
      </x:c>
      <x:c r="AA167" s="9" t="n">
        <x:f>(Inputs!$H$7+Inputs!$L$7*(((Inputs!$I$7+(((A167)+1)/2)*(Inputs!$J$7-Inputs!$I$7)))/Inputs!$K$7)^2)</x:f>
        <x:v>86.328125</x:v>
      </x:c>
      <x:c r="AB167" s="9" t="n">
        <x:f>(Inputs!$H$8+Inputs!$L$8*(((Inputs!$I$8+(((A167)+1)/2)*(Inputs!$J$8-Inputs!$I$8)))/Inputs!$K$8)^2)</x:f>
        <x:v>170.703125</x:v>
      </x:c>
      <x:c r="AC167" s="9" t="n">
        <x:f>(Inputs!$H$9+Inputs!$L$9*(((Inputs!$I$9+(((A167)+1)/2)*(Inputs!$J$9-Inputs!$I$9)))/Inputs!$K$9)^2)</x:f>
        <x:v>162.109375</x:v>
      </x:c>
      <x:c r="AD167" s="10"/>
      <x:c r="AE167" s="9">
        <x:f t="shared" si="22"/>
        <x:v>0.375</x:v>
      </x:c>
      <x:c r="AF167" s="9"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9"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9"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9"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10"/>
      <x:c r="AK167" s="9">
        <x:f t="shared" si="23"/>
        <x:v>0.375</x:v>
      </x:c>
      <x:c r="AL167" s="9"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9"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9"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9"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10"/>
      <x:c r="AQ167" s="9">
        <x:f t="shared" si="24"/>
        <x:v>0.375</x:v>
      </x:c>
      <x:c r="AR167" s="9" t="n">
        <x:f>0</x:f>
        <x:v>0</x:v>
      </x:c>
      <x:c r="AS167" s="9"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x:f>
        <x:v>442.50927153418206</x:v>
      </x:c>
      <x:c r="AT167" s="9"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x:f>
        <x:v>210.9621930105584</x:v>
      </x:c>
      <x:c r="AU167" s="9"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x:f>
        <x:v>97.23537790937075</x:v>
      </x:c>
      <x:c r="AV167" s="9"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x:f>
        <x:v>97.23537790937075</x:v>
      </x:c>
      <x:c r="AW167" s="10"/>
      <x:c r="AX167" s="9">
        <x:f t="shared" si="25"/>
        <x:v>0.375</x:v>
      </x:c>
      <x:c r="AY167" s="9" t="n">
        <x:f>0</x:f>
        <x:v>0</x:v>
      </x:c>
      <x:c r="AZ167" s="9" t="n">
        <x:f>IF(OR(Inputs!$F$6=TRUE,Inputs!$F$6="TRUE",Inputs!$F$6=1),(Inputs!$H$6+Inputs!$L$6*(((Inputs!$I$6+(((A167)+1)/2)*(Inputs!$J$6-Inputs!$I$6)))/Inputs!$K$6)^2),NA())</x:f>
        <x:v>400.5625</x:v>
      </x:c>
      <x:c r="BA167" s="9" t="n">
        <x:f>IF(OR(Inputs!$F$7=TRUE,Inputs!$F$7="TRUE",Inputs!$F$7=1),(Inputs!$H$7+Inputs!$L$7*(((Inputs!$I$7+(((A167)+1)/2)*(Inputs!$J$7-Inputs!$I$7)))/Inputs!$K$7)^2),NA())</x:f>
        <x:v>86.328125</x:v>
      </x:c>
      <x:c r="BB167" s="9" t="n">
        <x:f>IF(OR(Inputs!$F$8=TRUE,Inputs!$F$8="TRUE",Inputs!$F$8=1),(Inputs!$H$8+Inputs!$L$8*(((Inputs!$I$8+(((A167)+1)/2)*(Inputs!$J$8-Inputs!$I$8)))/Inputs!$K$8)^2),NA())</x:f>
        <x:v>170.703125</x:v>
      </x:c>
      <x:c r="BC167" s="9" t="n">
        <x:f>IF(OR(Inputs!$F$9=TRUE,Inputs!$F$9="TRUE",Inputs!$F$9=1),(Inputs!$H$9+Inputs!$L$9*(((Inputs!$I$9+(((A167)+1)/2)*(Inputs!$J$9-Inputs!$I$9)))/Inputs!$K$9)^2),NA())</x:f>
        <x:v>162.109375</x:v>
      </x:c>
      <x:c r="BD167" s="10"/>
      <x:c r="BE167" s="9">
        <x:f t="shared" si="26"/>
        <x:v>0.375</x:v>
      </x:c>
      <x:c r="BF167" s="9" t="n">
        <x:f>0</x:f>
        <x:v>0</x:v>
      </x:c>
      <x:c r="BG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9" t="n">
        <x:f>ROUND(-1+166*2/240,3)</x:f>
        <x:v>0.383</x:v>
      </x:c>
      <x:c r="B168" s="9" t="n">
        <x:f>IF(OR(Inputs!$F$6=TRUE,Inputs!$F$6="TRUE",Inputs!$F$6=1),(Inputs!$H$6+Inputs!$L$6*(((Inputs!$I$6+(((A168)+1)/2)*(Inputs!$J$6-Inputs!$I$6)))/Inputs!$K$6)^2),NA())</x:f>
        <x:v>400.586756</x:v>
      </x:c>
      <x:c r="C168" s="9" t="n">
        <x:f>IF(OR(Inputs!$F$7=TRUE,Inputs!$F$7="TRUE",Inputs!$F$7=1),(Inputs!$H$7+Inputs!$L$7*(((Inputs!$I$7+(((A168)+1)/2)*(Inputs!$J$7-Inputs!$I$7)))/Inputs!$K$7)^2),NA())</x:f>
        <x:v>88.54148500000004</x:v>
      </x:c>
      <x:c r="D168" s="9" t="n">
        <x:f>IF(OR(Inputs!$F$8=TRUE,Inputs!$F$8="TRUE",Inputs!$F$8=1),(Inputs!$H$8+Inputs!$L$8*(((Inputs!$I$8+(((A168)+1)/2)*(Inputs!$J$8-Inputs!$I$8)))/Inputs!$K$8)^2),NA())</x:f>
        <x:v>176.5548850000001</x:v>
      </x:c>
      <x:c r="E168" s="9" t="n">
        <x:f>IF(OR(Inputs!$F$9=TRUE,Inputs!$F$9="TRUE",Inputs!$F$9=1),(Inputs!$H$9+Inputs!$L$9*(((Inputs!$I$9+(((A168)+1)/2)*(Inputs!$J$9-Inputs!$I$9)))/Inputs!$K$9)^2),NA())</x:f>
        <x:v>168.0217750000001</x:v>
      </x:c>
      <x:c r="F168" s="10"/>
      <x:c r="G168" s="9">
        <x:f t="shared" si="18"/>
        <x:v>0.38300000000000001</x:v>
      </x:c>
      <x:c r="H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10"/>
      <x:c r="M168" s="9">
        <x:f t="shared" si="19"/>
        <x:v>0.38300000000000001</x:v>
      </x:c>
      <x:c r="N168" s="9"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9"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9"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9"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10"/>
      <x:c r="S168" s="9">
        <x:f t="shared" si="20"/>
        <x:v>0.38300000000000001</x:v>
      </x:c>
      <x:c r="T168" s="9" t="n">
        <x:f>(Inputs!$I$6+(((A168)+1)/2)*(Inputs!$J$6-Inputs!$I$6))</x:f>
        <x:v>22.980000000000004</x:v>
      </x:c>
      <x:c r="U168" s="9" t="n">
        <x:f>(Inputs!$I$7+(((A168)+1)/2)*(Inputs!$J$7-Inputs!$I$7))</x:f>
        <x:v>153.20000000000005</x:v>
      </x:c>
      <x:c r="V168" s="9" t="n">
        <x:f>(Inputs!$I$8+(((A168)+1)/2)*(Inputs!$J$8-Inputs!$I$8))</x:f>
        <x:v>306.4000000000001</x:v>
      </x:c>
      <x:c r="W168" s="9" t="n">
        <x:f>(Inputs!$I$9+(((A168)+1)/2)*(Inputs!$J$9-Inputs!$I$9))</x:f>
        <x:v>306.4000000000001</x:v>
      </x:c>
      <x:c r="X168" s="10"/>
      <x:c r="Y168" s="9">
        <x:f t="shared" si="21"/>
        <x:v>0.38300000000000001</x:v>
      </x:c>
      <x:c r="Z168" s="9" t="n">
        <x:f>(Inputs!$H$6+Inputs!$L$6*(((Inputs!$I$6+(((A168)+1)/2)*(Inputs!$J$6-Inputs!$I$6)))/Inputs!$K$6)^2)</x:f>
        <x:v>400.586756</x:v>
      </x:c>
      <x:c r="AA168" s="9" t="n">
        <x:f>(Inputs!$H$7+Inputs!$L$7*(((Inputs!$I$7+(((A168)+1)/2)*(Inputs!$J$7-Inputs!$I$7)))/Inputs!$K$7)^2)</x:f>
        <x:v>88.54148500000004</x:v>
      </x:c>
      <x:c r="AB168" s="9" t="n">
        <x:f>(Inputs!$H$8+Inputs!$L$8*(((Inputs!$I$8+(((A168)+1)/2)*(Inputs!$J$8-Inputs!$I$8)))/Inputs!$K$8)^2)</x:f>
        <x:v>176.5548850000001</x:v>
      </x:c>
      <x:c r="AC168" s="9" t="n">
        <x:f>(Inputs!$H$9+Inputs!$L$9*(((Inputs!$I$9+(((A168)+1)/2)*(Inputs!$J$9-Inputs!$I$9)))/Inputs!$K$9)^2)</x:f>
        <x:v>168.0217750000001</x:v>
      </x:c>
      <x:c r="AD168" s="10"/>
      <x:c r="AE168" s="9">
        <x:f t="shared" si="22"/>
        <x:v>0.38300000000000001</x:v>
      </x:c>
      <x:c r="AF168" s="9"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9"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9"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9"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10"/>
      <x:c r="AK168" s="9">
        <x:f t="shared" si="23"/>
        <x:v>0.38300000000000001</x:v>
      </x:c>
      <x:c r="AL168" s="9"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9"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9"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9"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10"/>
      <x:c r="AQ168" s="9">
        <x:f t="shared" si="24"/>
        <x:v>0.38300000000000001</x:v>
      </x:c>
      <x:c r="AR168" s="9" t="n">
        <x:f>0</x:f>
        <x:v>0</x:v>
      </x:c>
      <x:c r="AS168" s="9"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x:f>
        <x:v>455.92133718618885</x:v>
      </x:c>
      <x:c r="AT168" s="9"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x:f>
        <x:v>134.71597497995268</x:v>
      </x:c>
      <x:c r="AU168" s="9"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x:f>
        <x:v>179.0016503669011</x:v>
      </x:c>
      <x:c r="AV168" s="9"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x:f>
        <x:v>179.0016503669011</x:v>
      </x:c>
      <x:c r="AW168" s="10"/>
      <x:c r="AX168" s="9">
        <x:f t="shared" si="25"/>
        <x:v>0.38300000000000001</x:v>
      </x:c>
      <x:c r="AY168" s="9" t="n">
        <x:f>0</x:f>
        <x:v>0</x:v>
      </x:c>
      <x:c r="AZ168" s="9" t="n">
        <x:f>IF(OR(Inputs!$F$6=TRUE,Inputs!$F$6="TRUE",Inputs!$F$6=1),(Inputs!$H$6+Inputs!$L$6*(((Inputs!$I$6+(((A168)+1)/2)*(Inputs!$J$6-Inputs!$I$6)))/Inputs!$K$6)^2),NA())</x:f>
        <x:v>400.586756</x:v>
      </x:c>
      <x:c r="BA168" s="9" t="n">
        <x:f>IF(OR(Inputs!$F$7=TRUE,Inputs!$F$7="TRUE",Inputs!$F$7=1),(Inputs!$H$7+Inputs!$L$7*(((Inputs!$I$7+(((A168)+1)/2)*(Inputs!$J$7-Inputs!$I$7)))/Inputs!$K$7)^2),NA())</x:f>
        <x:v>88.54148500000004</x:v>
      </x:c>
      <x:c r="BB168" s="9" t="n">
        <x:f>IF(OR(Inputs!$F$8=TRUE,Inputs!$F$8="TRUE",Inputs!$F$8=1),(Inputs!$H$8+Inputs!$L$8*(((Inputs!$I$8+(((A168)+1)/2)*(Inputs!$J$8-Inputs!$I$8)))/Inputs!$K$8)^2),NA())</x:f>
        <x:v>176.5548850000001</x:v>
      </x:c>
      <x:c r="BC168" s="9" t="n">
        <x:f>IF(OR(Inputs!$F$9=TRUE,Inputs!$F$9="TRUE",Inputs!$F$9=1),(Inputs!$H$9+Inputs!$L$9*(((Inputs!$I$9+(((A168)+1)/2)*(Inputs!$J$9-Inputs!$I$9)))/Inputs!$K$9)^2),NA())</x:f>
        <x:v>168.0217750000001</x:v>
      </x:c>
      <x:c r="BD168" s="10"/>
      <x:c r="BE168" s="9">
        <x:f t="shared" si="26"/>
        <x:v>0.38300000000000001</x:v>
      </x:c>
      <x:c r="BF168" s="9" t="n">
        <x:f>0</x:f>
        <x:v>0</x:v>
      </x:c>
      <x:c r="BG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9" t="n">
        <x:f>ROUND(-1+167*2/240,3)</x:f>
        <x:v>0.392</x:v>
      </x:c>
      <x:c r="B169" s="9" t="n">
        <x:f>IF(OR(Inputs!$F$6=TRUE,Inputs!$F$6="TRUE",Inputs!$F$6=1),(Inputs!$H$6+Inputs!$L$6*(((Inputs!$I$6+(((A169)+1)/2)*(Inputs!$J$6-Inputs!$I$6)))/Inputs!$K$6)^2),NA())</x:f>
        <x:v>400.614656</x:v>
      </x:c>
      <x:c r="C169" s="9" t="n">
        <x:f>IF(OR(Inputs!$F$7=TRUE,Inputs!$F$7="TRUE",Inputs!$F$7=1),(Inputs!$H$7+Inputs!$L$7*(((Inputs!$I$7+(((A169)+1)/2)*(Inputs!$J$7-Inputs!$I$7)))/Inputs!$K$7)^2),NA())</x:f>
        <x:v>91.08735999999996</x:v>
      </x:c>
      <x:c r="D169" s="9" t="n">
        <x:f>IF(OR(Inputs!$F$8=TRUE,Inputs!$F$8="TRUE",Inputs!$F$8=1),(Inputs!$H$8+Inputs!$L$8*(((Inputs!$I$8+(((A169)+1)/2)*(Inputs!$J$8-Inputs!$I$8)))/Inputs!$K$8)^2),NA())</x:f>
        <x:v>183.28575999999993</x:v>
      </x:c>
      <x:c r="E169" s="9" t="n">
        <x:f>IF(OR(Inputs!$F$9=TRUE,Inputs!$F$9="TRUE",Inputs!$F$9=1),(Inputs!$H$9+Inputs!$L$9*(((Inputs!$I$9+(((A169)+1)/2)*(Inputs!$J$9-Inputs!$I$9)))/Inputs!$K$9)^2),NA())</x:f>
        <x:v>174.8223999999999</x:v>
      </x:c>
      <x:c r="F169" s="10"/>
      <x:c r="G169" s="9">
        <x:f t="shared" si="18"/>
        <x:v>0.39200000000000002</x:v>
      </x:c>
      <x:c r="H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10"/>
      <x:c r="M169" s="9">
        <x:f t="shared" si="19"/>
        <x:v>0.39200000000000002</x:v>
      </x:c>
      <x:c r="N169" s="9"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9"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9"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9"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10"/>
      <x:c r="S169" s="9">
        <x:f t="shared" si="20"/>
        <x:v>0.39200000000000002</x:v>
      </x:c>
      <x:c r="T169" s="9" t="n">
        <x:f>(Inputs!$I$6+(((A169)+1)/2)*(Inputs!$J$6-Inputs!$I$6))</x:f>
        <x:v>23.519999999999996</x:v>
      </x:c>
      <x:c r="U169" s="9" t="n">
        <x:f>(Inputs!$I$7+(((A169)+1)/2)*(Inputs!$J$7-Inputs!$I$7))</x:f>
        <x:v>156.79999999999995</x:v>
      </x:c>
      <x:c r="V169" s="9" t="n">
        <x:f>(Inputs!$I$8+(((A169)+1)/2)*(Inputs!$J$8-Inputs!$I$8))</x:f>
        <x:v>313.5999999999999</x:v>
      </x:c>
      <x:c r="W169" s="9" t="n">
        <x:f>(Inputs!$I$9+(((A169)+1)/2)*(Inputs!$J$9-Inputs!$I$9))</x:f>
        <x:v>313.5999999999999</x:v>
      </x:c>
      <x:c r="X169" s="10"/>
      <x:c r="Y169" s="9">
        <x:f t="shared" si="21"/>
        <x:v>0.39200000000000002</x:v>
      </x:c>
      <x:c r="Z169" s="9" t="n">
        <x:f>(Inputs!$H$6+Inputs!$L$6*(((Inputs!$I$6+(((A169)+1)/2)*(Inputs!$J$6-Inputs!$I$6)))/Inputs!$K$6)^2)</x:f>
        <x:v>400.614656</x:v>
      </x:c>
      <x:c r="AA169" s="9" t="n">
        <x:f>(Inputs!$H$7+Inputs!$L$7*(((Inputs!$I$7+(((A169)+1)/2)*(Inputs!$J$7-Inputs!$I$7)))/Inputs!$K$7)^2)</x:f>
        <x:v>91.08735999999996</x:v>
      </x:c>
      <x:c r="AB169" s="9" t="n">
        <x:f>(Inputs!$H$8+Inputs!$L$8*(((Inputs!$I$8+(((A169)+1)/2)*(Inputs!$J$8-Inputs!$I$8)))/Inputs!$K$8)^2)</x:f>
        <x:v>183.28575999999993</x:v>
      </x:c>
      <x:c r="AC169" s="9" t="n">
        <x:f>(Inputs!$H$9+Inputs!$L$9*(((Inputs!$I$9+(((A169)+1)/2)*(Inputs!$J$9-Inputs!$I$9)))/Inputs!$K$9)^2)</x:f>
        <x:v>174.8223999999999</x:v>
      </x:c>
      <x:c r="AD169" s="10"/>
      <x:c r="AE169" s="9">
        <x:f t="shared" si="22"/>
        <x:v>0.39200000000000002</x:v>
      </x:c>
      <x:c r="AF169" s="9"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9"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9"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9"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10"/>
      <x:c r="AK169" s="9">
        <x:f t="shared" si="23"/>
        <x:v>0.39200000000000002</x:v>
      </x:c>
      <x:c r="AL169" s="9"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9"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9"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9"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10"/>
      <x:c r="AQ169" s="9">
        <x:f t="shared" si="24"/>
        <x:v>0.39200000000000002</x:v>
      </x:c>
      <x:c r="AR169" s="9" t="n">
        <x:f>0</x:f>
        <x:v>0</x:v>
      </x:c>
      <x:c r="AS169" s="9"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x:f>
        <x:v>440.0027154227627</x:v>
      </x:c>
      <x:c r="AT169" s="9"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x:f>
        <x:v>139.29932347579913</x:v>
      </x:c>
      <x:c r="AU169" s="9"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x:f>
        <x:v>166.25858720093478</x:v>
      </x:c>
      <x:c r="AV169" s="9"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x:f>
        <x:v>166.25858720093478</x:v>
      </x:c>
      <x:c r="AW169" s="10"/>
      <x:c r="AX169" s="9">
        <x:f t="shared" si="25"/>
        <x:v>0.39200000000000002</x:v>
      </x:c>
      <x:c r="AY169" s="9" t="n">
        <x:f>0</x:f>
        <x:v>0</x:v>
      </x:c>
      <x:c r="AZ169" s="9" t="n">
        <x:f>IF(OR(Inputs!$F$6=TRUE,Inputs!$F$6="TRUE",Inputs!$F$6=1),(Inputs!$H$6+Inputs!$L$6*(((Inputs!$I$6+(((A169)+1)/2)*(Inputs!$J$6-Inputs!$I$6)))/Inputs!$K$6)^2),NA())</x:f>
        <x:v>400.614656</x:v>
      </x:c>
      <x:c r="BA169" s="9" t="n">
        <x:f>IF(OR(Inputs!$F$7=TRUE,Inputs!$F$7="TRUE",Inputs!$F$7=1),(Inputs!$H$7+Inputs!$L$7*(((Inputs!$I$7+(((A169)+1)/2)*(Inputs!$J$7-Inputs!$I$7)))/Inputs!$K$7)^2),NA())</x:f>
        <x:v>91.08735999999996</x:v>
      </x:c>
      <x:c r="BB169" s="9" t="n">
        <x:f>IF(OR(Inputs!$F$8=TRUE,Inputs!$F$8="TRUE",Inputs!$F$8=1),(Inputs!$H$8+Inputs!$L$8*(((Inputs!$I$8+(((A169)+1)/2)*(Inputs!$J$8-Inputs!$I$8)))/Inputs!$K$8)^2),NA())</x:f>
        <x:v>183.28575999999993</x:v>
      </x:c>
      <x:c r="BC169" s="9" t="n">
        <x:f>IF(OR(Inputs!$F$9=TRUE,Inputs!$F$9="TRUE",Inputs!$F$9=1),(Inputs!$H$9+Inputs!$L$9*(((Inputs!$I$9+(((A169)+1)/2)*(Inputs!$J$9-Inputs!$I$9)))/Inputs!$K$9)^2),NA())</x:f>
        <x:v>174.8223999999999</x:v>
      </x:c>
      <x:c r="BD169" s="10"/>
      <x:c r="BE169" s="9">
        <x:f t="shared" si="26"/>
        <x:v>0.39200000000000002</x:v>
      </x:c>
      <x:c r="BF169" s="9" t="n">
        <x:f>0</x:f>
        <x:v>0</x:v>
      </x:c>
      <x:c r="BG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9" t="n">
        <x:f>ROUND(-1+168*2/240,3)</x:f>
        <x:v>0.4</x:v>
      </x:c>
      <x:c r="B170" s="9" t="n">
        <x:f>IF(OR(Inputs!$F$6=TRUE,Inputs!$F$6="TRUE",Inputs!$F$6=1),(Inputs!$H$6+Inputs!$L$6*(((Inputs!$I$6+(((A170)+1)/2)*(Inputs!$J$6-Inputs!$I$6)))/Inputs!$K$6)^2),NA())</x:f>
        <x:v>400.64</x:v>
      </x:c>
      <x:c r="C170" s="9" t="n">
        <x:f>IF(OR(Inputs!$F$7=TRUE,Inputs!$F$7="TRUE",Inputs!$F$7=1),(Inputs!$H$7+Inputs!$L$7*(((Inputs!$I$7+(((A170)+1)/2)*(Inputs!$J$7-Inputs!$I$7)))/Inputs!$K$7)^2),NA())</x:f>
        <x:v>93.4</x:v>
      </x:c>
      <x:c r="D170" s="9" t="n">
        <x:f>IF(OR(Inputs!$F$8=TRUE,Inputs!$F$8="TRUE",Inputs!$F$8=1),(Inputs!$H$8+Inputs!$L$8*(((Inputs!$I$8+(((A170)+1)/2)*(Inputs!$J$8-Inputs!$I$8)))/Inputs!$K$8)^2),NA())</x:f>
        <x:v>189.40000000000003</x:v>
      </x:c>
      <x:c r="E170" s="9" t="n">
        <x:f>IF(OR(Inputs!$F$9=TRUE,Inputs!$F$9="TRUE",Inputs!$F$9=1),(Inputs!$H$9+Inputs!$L$9*(((Inputs!$I$9+(((A170)+1)/2)*(Inputs!$J$9-Inputs!$I$9)))/Inputs!$K$9)^2),NA())</x:f>
        <x:v>181.00000000000003</x:v>
      </x:c>
      <x:c r="F170" s="10"/>
      <x:c r="G170" s="9">
        <x:f t="shared" si="18"/>
        <x:v>0.4</x:v>
      </x:c>
      <x:c r="H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10"/>
      <x:c r="M170" s="9">
        <x:f t="shared" si="19"/>
        <x:v>0.4</x:v>
      </x:c>
      <x:c r="N170" s="9"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9"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9"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9"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10"/>
      <x:c r="S170" s="9">
        <x:f t="shared" si="20"/>
        <x:v>0.4</x:v>
      </x:c>
      <x:c r="T170" s="9" t="n">
        <x:f>(Inputs!$I$6+(((A170)+1)/2)*(Inputs!$J$6-Inputs!$I$6))</x:f>
        <x:v>24</x:v>
      </x:c>
      <x:c r="U170" s="9" t="n">
        <x:f>(Inputs!$I$7+(((A170)+1)/2)*(Inputs!$J$7-Inputs!$I$7))</x:f>
        <x:v>160</x:v>
      </x:c>
      <x:c r="V170" s="9" t="n">
        <x:f>(Inputs!$I$8+(((A170)+1)/2)*(Inputs!$J$8-Inputs!$I$8))</x:f>
        <x:v>320</x:v>
      </x:c>
      <x:c r="W170" s="9" t="n">
        <x:f>(Inputs!$I$9+(((A170)+1)/2)*(Inputs!$J$9-Inputs!$I$9))</x:f>
        <x:v>320</x:v>
      </x:c>
      <x:c r="X170" s="10"/>
      <x:c r="Y170" s="9">
        <x:f t="shared" si="21"/>
        <x:v>0.4</x:v>
      </x:c>
      <x:c r="Z170" s="9" t="n">
        <x:f>(Inputs!$H$6+Inputs!$L$6*(((Inputs!$I$6+(((A170)+1)/2)*(Inputs!$J$6-Inputs!$I$6)))/Inputs!$K$6)^2)</x:f>
        <x:v>400.64</x:v>
      </x:c>
      <x:c r="AA170" s="9" t="n">
        <x:f>(Inputs!$H$7+Inputs!$L$7*(((Inputs!$I$7+(((A170)+1)/2)*(Inputs!$J$7-Inputs!$I$7)))/Inputs!$K$7)^2)</x:f>
        <x:v>93.4</x:v>
      </x:c>
      <x:c r="AB170" s="9" t="n">
        <x:f>(Inputs!$H$8+Inputs!$L$8*(((Inputs!$I$8+(((A170)+1)/2)*(Inputs!$J$8-Inputs!$I$8)))/Inputs!$K$8)^2)</x:f>
        <x:v>189.40000000000003</x:v>
      </x:c>
      <x:c r="AC170" s="9" t="n">
        <x:f>(Inputs!$H$9+Inputs!$L$9*(((Inputs!$I$9+(((A170)+1)/2)*(Inputs!$J$9-Inputs!$I$9)))/Inputs!$K$9)^2)</x:f>
        <x:v>181.00000000000003</x:v>
      </x:c>
      <x:c r="AD170" s="10"/>
      <x:c r="AE170" s="9">
        <x:f t="shared" si="22"/>
        <x:v>0.4</x:v>
      </x:c>
      <x:c r="AF170" s="9"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9"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9"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9"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10"/>
      <x:c r="AK170" s="9">
        <x:f t="shared" si="23"/>
        <x:v>0.4</x:v>
      </x:c>
      <x:c r="AL170" s="9"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9"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9"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9"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10"/>
      <x:c r="AQ170" s="9">
        <x:f t="shared" si="24"/>
        <x:v>0.4</x:v>
      </x:c>
      <x:c r="AR170" s="9" t="n">
        <x:f>0</x:f>
        <x:v>0</x:v>
      </x:c>
      <x:c r="AS170" s="9"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x:f>
        <x:v>441.2625072507224</x:v>
      </x:c>
      <x:c r="AT170" s="9"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x:f>
        <x:v>163.1736055869338</x:v>
      </x:c>
      <x:c r="AU170" s="9"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x:f>
        <x:v>63.16298590057942</x:v>
      </x:c>
      <x:c r="AV170" s="9"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x:f>
        <x:v>63.16298590057942</x:v>
      </x:c>
      <x:c r="AW170" s="10"/>
      <x:c r="AX170" s="9">
        <x:f t="shared" si="25"/>
        <x:v>0.4</x:v>
      </x:c>
      <x:c r="AY170" s="9" t="n">
        <x:f>0</x:f>
        <x:v>0</x:v>
      </x:c>
      <x:c r="AZ170" s="9" t="n">
        <x:f>IF(OR(Inputs!$F$6=TRUE,Inputs!$F$6="TRUE",Inputs!$F$6=1),(Inputs!$H$6+Inputs!$L$6*(((Inputs!$I$6+(((A170)+1)/2)*(Inputs!$J$6-Inputs!$I$6)))/Inputs!$K$6)^2),NA())</x:f>
        <x:v>400.64</x:v>
      </x:c>
      <x:c r="BA170" s="9" t="n">
        <x:f>IF(OR(Inputs!$F$7=TRUE,Inputs!$F$7="TRUE",Inputs!$F$7=1),(Inputs!$H$7+Inputs!$L$7*(((Inputs!$I$7+(((A170)+1)/2)*(Inputs!$J$7-Inputs!$I$7)))/Inputs!$K$7)^2),NA())</x:f>
        <x:v>93.4</x:v>
      </x:c>
      <x:c r="BB170" s="9" t="n">
        <x:f>IF(OR(Inputs!$F$8=TRUE,Inputs!$F$8="TRUE",Inputs!$F$8=1),(Inputs!$H$8+Inputs!$L$8*(((Inputs!$I$8+(((A170)+1)/2)*(Inputs!$J$8-Inputs!$I$8)))/Inputs!$K$8)^2),NA())</x:f>
        <x:v>189.40000000000003</x:v>
      </x:c>
      <x:c r="BC170" s="9" t="n">
        <x:f>IF(OR(Inputs!$F$9=TRUE,Inputs!$F$9="TRUE",Inputs!$F$9=1),(Inputs!$H$9+Inputs!$L$9*(((Inputs!$I$9+(((A170)+1)/2)*(Inputs!$J$9-Inputs!$I$9)))/Inputs!$K$9)^2),NA())</x:f>
        <x:v>181.00000000000003</x:v>
      </x:c>
      <x:c r="BD170" s="10"/>
      <x:c r="BE170" s="9">
        <x:f t="shared" si="26"/>
        <x:v>0.4</x:v>
      </x:c>
      <x:c r="BF170" s="9" t="n">
        <x:f>0</x:f>
        <x:v>0</x:v>
      </x:c>
      <x:c r="BG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9" t="n">
        <x:f>ROUND(-1+169*2/240,3)</x:f>
        <x:v>0.408</x:v>
      </x:c>
      <x:c r="B171" s="9" t="n">
        <x:f>IF(OR(Inputs!$F$6=TRUE,Inputs!$F$6="TRUE",Inputs!$F$6=1),(Inputs!$H$6+Inputs!$L$6*(((Inputs!$I$6+(((A171)+1)/2)*(Inputs!$J$6-Inputs!$I$6)))/Inputs!$K$6)^2),NA())</x:f>
        <x:v>400.665856</x:v>
      </x:c>
      <x:c r="C171" s="9" t="n">
        <x:f>IF(OR(Inputs!$F$7=TRUE,Inputs!$F$7="TRUE",Inputs!$F$7=1),(Inputs!$H$7+Inputs!$L$7*(((Inputs!$I$7+(((A171)+1)/2)*(Inputs!$J$7-Inputs!$I$7)))/Inputs!$K$7)^2),NA())</x:f>
        <x:v>95.75935999999993</x:v>
      </x:c>
      <x:c r="D171" s="9" t="n">
        <x:f>IF(OR(Inputs!$F$8=TRUE,Inputs!$F$8="TRUE",Inputs!$F$8=1),(Inputs!$H$8+Inputs!$L$8*(((Inputs!$I$8+(((A171)+1)/2)*(Inputs!$J$8-Inputs!$I$8)))/Inputs!$K$8)^2),NA())</x:f>
        <x:v>195.63775999999984</x:v>
      </x:c>
      <x:c r="E171" s="9" t="n">
        <x:f>IF(OR(Inputs!$F$9=TRUE,Inputs!$F$9="TRUE",Inputs!$F$9=1),(Inputs!$H$9+Inputs!$L$9*(((Inputs!$I$9+(((A171)+1)/2)*(Inputs!$J$9-Inputs!$I$9)))/Inputs!$K$9)^2),NA())</x:f>
        <x:v>187.30239999999984</x:v>
      </x:c>
      <x:c r="F171" s="10"/>
      <x:c r="G171" s="9">
        <x:f t="shared" si="18"/>
        <x:v>0.40799999999999997</x:v>
      </x:c>
      <x:c r="H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10"/>
      <x:c r="M171" s="9">
        <x:f t="shared" si="19"/>
        <x:v>0.40799999999999997</x:v>
      </x:c>
      <x:c r="N171" s="9"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9"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9"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9"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10"/>
      <x:c r="S171" s="9">
        <x:f t="shared" si="20"/>
        <x:v>0.40799999999999997</x:v>
      </x:c>
      <x:c r="T171" s="9" t="n">
        <x:f>(Inputs!$I$6+(((A171)+1)/2)*(Inputs!$J$6-Inputs!$I$6))</x:f>
        <x:v>24.47999999999999</x:v>
      </x:c>
      <x:c r="U171" s="9" t="n">
        <x:f>(Inputs!$I$7+(((A171)+1)/2)*(Inputs!$J$7-Inputs!$I$7))</x:f>
        <x:v>163.19999999999993</x:v>
      </x:c>
      <x:c r="V171" s="9" t="n">
        <x:f>(Inputs!$I$8+(((A171)+1)/2)*(Inputs!$J$8-Inputs!$I$8))</x:f>
        <x:v>326.39999999999986</x:v>
      </x:c>
      <x:c r="W171" s="9" t="n">
        <x:f>(Inputs!$I$9+(((A171)+1)/2)*(Inputs!$J$9-Inputs!$I$9))</x:f>
        <x:v>326.39999999999986</x:v>
      </x:c>
      <x:c r="X171" s="10"/>
      <x:c r="Y171" s="9">
        <x:f t="shared" si="21"/>
        <x:v>0.40799999999999997</x:v>
      </x:c>
      <x:c r="Z171" s="9" t="n">
        <x:f>(Inputs!$H$6+Inputs!$L$6*(((Inputs!$I$6+(((A171)+1)/2)*(Inputs!$J$6-Inputs!$I$6)))/Inputs!$K$6)^2)</x:f>
        <x:v>400.665856</x:v>
      </x:c>
      <x:c r="AA171" s="9" t="n">
        <x:f>(Inputs!$H$7+Inputs!$L$7*(((Inputs!$I$7+(((A171)+1)/2)*(Inputs!$J$7-Inputs!$I$7)))/Inputs!$K$7)^2)</x:f>
        <x:v>95.75935999999993</x:v>
      </x:c>
      <x:c r="AB171" s="9" t="n">
        <x:f>(Inputs!$H$8+Inputs!$L$8*(((Inputs!$I$8+(((A171)+1)/2)*(Inputs!$J$8-Inputs!$I$8)))/Inputs!$K$8)^2)</x:f>
        <x:v>195.63775999999984</x:v>
      </x:c>
      <x:c r="AC171" s="9" t="n">
        <x:f>(Inputs!$H$9+Inputs!$L$9*(((Inputs!$I$9+(((A171)+1)/2)*(Inputs!$J$9-Inputs!$I$9)))/Inputs!$K$9)^2)</x:f>
        <x:v>187.30239999999984</x:v>
      </x:c>
      <x:c r="AD171" s="10"/>
      <x:c r="AE171" s="9">
        <x:f t="shared" si="22"/>
        <x:v>0.40799999999999997</x:v>
      </x:c>
      <x:c r="AF171" s="9"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9"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9"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9"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10"/>
      <x:c r="AK171" s="9">
        <x:f t="shared" si="23"/>
        <x:v>0.40799999999999997</x:v>
      </x:c>
      <x:c r="AL171" s="9"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9"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9"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9"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10"/>
      <x:c r="AQ171" s="9">
        <x:f t="shared" si="24"/>
        <x:v>0.40799999999999997</x:v>
      </x:c>
      <x:c r="AR171" s="9" t="n">
        <x:f>0</x:f>
        <x:v>0</x:v>
      </x:c>
      <x:c r="AS171" s="9"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x:f>
        <x:v>424.7558770549224</x:v>
      </x:c>
      <x:c r="AT171" s="9"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x:f>
        <x:v>167.1199143370708</x:v>
      </x:c>
      <x:c r="AU171" s="9"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x:f>
        <x:v>179.43259642725053</x:v>
      </x:c>
      <x:c r="AV171" s="9"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x:f>
        <x:v>179.43259642725053</x:v>
      </x:c>
      <x:c r="AW171" s="10"/>
      <x:c r="AX171" s="9">
        <x:f t="shared" si="25"/>
        <x:v>0.40799999999999997</x:v>
      </x:c>
      <x:c r="AY171" s="9" t="n">
        <x:f>0</x:f>
        <x:v>0</x:v>
      </x:c>
      <x:c r="AZ171" s="9" t="n">
        <x:f>IF(OR(Inputs!$F$6=TRUE,Inputs!$F$6="TRUE",Inputs!$F$6=1),(Inputs!$H$6+Inputs!$L$6*(((Inputs!$I$6+(((A171)+1)/2)*(Inputs!$J$6-Inputs!$I$6)))/Inputs!$K$6)^2),NA())</x:f>
        <x:v>400.665856</x:v>
      </x:c>
      <x:c r="BA171" s="9" t="n">
        <x:f>IF(OR(Inputs!$F$7=TRUE,Inputs!$F$7="TRUE",Inputs!$F$7=1),(Inputs!$H$7+Inputs!$L$7*(((Inputs!$I$7+(((A171)+1)/2)*(Inputs!$J$7-Inputs!$I$7)))/Inputs!$K$7)^2),NA())</x:f>
        <x:v>95.75935999999993</x:v>
      </x:c>
      <x:c r="BB171" s="9" t="n">
        <x:f>IF(OR(Inputs!$F$8=TRUE,Inputs!$F$8="TRUE",Inputs!$F$8=1),(Inputs!$H$8+Inputs!$L$8*(((Inputs!$I$8+(((A171)+1)/2)*(Inputs!$J$8-Inputs!$I$8)))/Inputs!$K$8)^2),NA())</x:f>
        <x:v>195.63775999999984</x:v>
      </x:c>
      <x:c r="BC171" s="9" t="n">
        <x:f>IF(OR(Inputs!$F$9=TRUE,Inputs!$F$9="TRUE",Inputs!$F$9=1),(Inputs!$H$9+Inputs!$L$9*(((Inputs!$I$9+(((A171)+1)/2)*(Inputs!$J$9-Inputs!$I$9)))/Inputs!$K$9)^2),NA())</x:f>
        <x:v>187.30239999999984</x:v>
      </x:c>
      <x:c r="BD171" s="10"/>
      <x:c r="BE171" s="9">
        <x:f t="shared" si="26"/>
        <x:v>0.40799999999999997</x:v>
      </x:c>
      <x:c r="BF171" s="9" t="n">
        <x:f>0</x:f>
        <x:v>0</x:v>
      </x:c>
      <x:c r="BG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9" t="n">
        <x:f>ROUND(-1+170*2/240,3)</x:f>
        <x:v>0.417</x:v>
      </x:c>
      <x:c r="B172" s="9" t="n">
        <x:f>IF(OR(Inputs!$F$6=TRUE,Inputs!$F$6="TRUE",Inputs!$F$6=1),(Inputs!$H$6+Inputs!$L$6*(((Inputs!$I$6+(((A172)+1)/2)*(Inputs!$J$6-Inputs!$I$6)))/Inputs!$K$6)^2),NA())</x:f>
        <x:v>400.695556</x:v>
      </x:c>
      <x:c r="C172" s="9" t="n">
        <x:f>IF(OR(Inputs!$F$7=TRUE,Inputs!$F$7="TRUE",Inputs!$F$7=1),(Inputs!$H$7+Inputs!$L$7*(((Inputs!$I$7+(((A172)+1)/2)*(Inputs!$J$7-Inputs!$I$7)))/Inputs!$K$7)^2),NA())</x:f>
        <x:v>98.46948500000005</x:v>
      </x:c>
      <x:c r="D172" s="9" t="n">
        <x:f>IF(OR(Inputs!$F$8=TRUE,Inputs!$F$8="TRUE",Inputs!$F$8=1),(Inputs!$H$8+Inputs!$L$8*(((Inputs!$I$8+(((A172)+1)/2)*(Inputs!$J$8-Inputs!$I$8)))/Inputs!$K$8)^2),NA())</x:f>
        <x:v>202.80288500000012</x:v>
      </x:c>
      <x:c r="E172" s="9" t="n">
        <x:f>IF(OR(Inputs!$F$9=TRUE,Inputs!$F$9="TRUE",Inputs!$F$9=1),(Inputs!$H$9+Inputs!$L$9*(((Inputs!$I$9+(((A172)+1)/2)*(Inputs!$J$9-Inputs!$I$9)))/Inputs!$K$9)^2),NA())</x:f>
        <x:v>194.54177500000011</x:v>
      </x:c>
      <x:c r="F172" s="10"/>
      <x:c r="G172" s="9">
        <x:f t="shared" si="18"/>
        <x:v>0.41699999999999998</x:v>
      </x:c>
      <x:c r="H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10"/>
      <x:c r="M172" s="9">
        <x:f t="shared" si="19"/>
        <x:v>0.41699999999999998</x:v>
      </x:c>
      <x:c r="N172" s="9"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9"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9"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9"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10"/>
      <x:c r="S172" s="9">
        <x:f t="shared" si="20"/>
        <x:v>0.41699999999999998</x:v>
      </x:c>
      <x:c r="T172" s="9" t="n">
        <x:f>(Inputs!$I$6+(((A172)+1)/2)*(Inputs!$J$6-Inputs!$I$6))</x:f>
        <x:v>25.019999999999996</x:v>
      </x:c>
      <x:c r="U172" s="9" t="n">
        <x:f>(Inputs!$I$7+(((A172)+1)/2)*(Inputs!$J$7-Inputs!$I$7))</x:f>
        <x:v>166.80000000000007</x:v>
      </x:c>
      <x:c r="V172" s="9" t="n">
        <x:f>(Inputs!$I$8+(((A172)+1)/2)*(Inputs!$J$8-Inputs!$I$8))</x:f>
        <x:v>333.60000000000014</x:v>
      </x:c>
      <x:c r="W172" s="9" t="n">
        <x:f>(Inputs!$I$9+(((A172)+1)/2)*(Inputs!$J$9-Inputs!$I$9))</x:f>
        <x:v>333.60000000000014</x:v>
      </x:c>
      <x:c r="X172" s="10"/>
      <x:c r="Y172" s="9">
        <x:f t="shared" si="21"/>
        <x:v>0.41699999999999998</x:v>
      </x:c>
      <x:c r="Z172" s="9" t="n">
        <x:f>(Inputs!$H$6+Inputs!$L$6*(((Inputs!$I$6+(((A172)+1)/2)*(Inputs!$J$6-Inputs!$I$6)))/Inputs!$K$6)^2)</x:f>
        <x:v>400.695556</x:v>
      </x:c>
      <x:c r="AA172" s="9" t="n">
        <x:f>(Inputs!$H$7+Inputs!$L$7*(((Inputs!$I$7+(((A172)+1)/2)*(Inputs!$J$7-Inputs!$I$7)))/Inputs!$K$7)^2)</x:f>
        <x:v>98.46948500000005</x:v>
      </x:c>
      <x:c r="AB172" s="9" t="n">
        <x:f>(Inputs!$H$8+Inputs!$L$8*(((Inputs!$I$8+(((A172)+1)/2)*(Inputs!$J$8-Inputs!$I$8)))/Inputs!$K$8)^2)</x:f>
        <x:v>202.80288500000012</x:v>
      </x:c>
      <x:c r="AC172" s="9" t="n">
        <x:f>(Inputs!$H$9+Inputs!$L$9*(((Inputs!$I$9+(((A172)+1)/2)*(Inputs!$J$9-Inputs!$I$9)))/Inputs!$K$9)^2)</x:f>
        <x:v>194.54177500000011</x:v>
      </x:c>
      <x:c r="AD172" s="10"/>
      <x:c r="AE172" s="9">
        <x:f t="shared" si="22"/>
        <x:v>0.41699999999999998</x:v>
      </x:c>
      <x:c r="AF172" s="9"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9"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9"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9"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10"/>
      <x:c r="AK172" s="9">
        <x:f t="shared" si="23"/>
        <x:v>0.41699999999999998</x:v>
      </x:c>
      <x:c r="AL172" s="9"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9"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9"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9"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10"/>
      <x:c r="AQ172" s="9">
        <x:f t="shared" si="24"/>
        <x:v>0.41699999999999998</x:v>
      </x:c>
      <x:c r="AR172" s="9" t="n">
        <x:f>0</x:f>
        <x:v>0</x:v>
      </x:c>
      <x:c r="AS172" s="9"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x:f>
        <x:v>416.922716817259</x:v>
      </x:c>
      <x:c r="AT172" s="9"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x:f>
        <x:v>178.2610751125142</x:v>
      </x:c>
      <x:c r="AU172" s="9"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x:f>
        <x:v>98.744383539129</x:v>
      </x:c>
      <x:c r="AV172" s="9"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x:f>
        <x:v>98.744383539129</x:v>
      </x:c>
      <x:c r="AW172" s="10"/>
      <x:c r="AX172" s="9">
        <x:f t="shared" si="25"/>
        <x:v>0.41699999999999998</x:v>
      </x:c>
      <x:c r="AY172" s="9" t="n">
        <x:f>0</x:f>
        <x:v>0</x:v>
      </x:c>
      <x:c r="AZ172" s="9" t="n">
        <x:f>IF(OR(Inputs!$F$6=TRUE,Inputs!$F$6="TRUE",Inputs!$F$6=1),(Inputs!$H$6+Inputs!$L$6*(((Inputs!$I$6+(((A172)+1)/2)*(Inputs!$J$6-Inputs!$I$6)))/Inputs!$K$6)^2),NA())</x:f>
        <x:v>400.695556</x:v>
      </x:c>
      <x:c r="BA172" s="9" t="n">
        <x:f>IF(OR(Inputs!$F$7=TRUE,Inputs!$F$7="TRUE",Inputs!$F$7=1),(Inputs!$H$7+Inputs!$L$7*(((Inputs!$I$7+(((A172)+1)/2)*(Inputs!$J$7-Inputs!$I$7)))/Inputs!$K$7)^2),NA())</x:f>
        <x:v>98.46948500000005</x:v>
      </x:c>
      <x:c r="BB172" s="9" t="n">
        <x:f>IF(OR(Inputs!$F$8=TRUE,Inputs!$F$8="TRUE",Inputs!$F$8=1),(Inputs!$H$8+Inputs!$L$8*(((Inputs!$I$8+(((A172)+1)/2)*(Inputs!$J$8-Inputs!$I$8)))/Inputs!$K$8)^2),NA())</x:f>
        <x:v>202.80288500000012</x:v>
      </x:c>
      <x:c r="BC172" s="9" t="n">
        <x:f>IF(OR(Inputs!$F$9=TRUE,Inputs!$F$9="TRUE",Inputs!$F$9=1),(Inputs!$H$9+Inputs!$L$9*(((Inputs!$I$9+(((A172)+1)/2)*(Inputs!$J$9-Inputs!$I$9)))/Inputs!$K$9)^2),NA())</x:f>
        <x:v>194.54177500000011</x:v>
      </x:c>
      <x:c r="BD172" s="10"/>
      <x:c r="BE172" s="9">
        <x:f t="shared" si="26"/>
        <x:v>0.41699999999999998</x:v>
      </x:c>
      <x:c r="BF172" s="9" t="n">
        <x:f>0</x:f>
        <x:v>0</x:v>
      </x:c>
      <x:c r="BG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9" t="n">
        <x:f>ROUND(-1+171*2/240,3)</x:f>
        <x:v>0.425</x:v>
      </x:c>
      <x:c r="B173" s="9" t="n">
        <x:f>IF(OR(Inputs!$F$6=TRUE,Inputs!$F$6="TRUE",Inputs!$F$6=1),(Inputs!$H$6+Inputs!$L$6*(((Inputs!$I$6+(((A173)+1)/2)*(Inputs!$J$6-Inputs!$I$6)))/Inputs!$K$6)^2),NA())</x:f>
        <x:v>400.7225</x:v>
      </x:c>
      <x:c r="C173" s="9" t="n">
        <x:f>IF(OR(Inputs!$F$7=TRUE,Inputs!$F$7="TRUE",Inputs!$F$7=1),(Inputs!$H$7+Inputs!$L$7*(((Inputs!$I$7+(((A173)+1)/2)*(Inputs!$J$7-Inputs!$I$7)))/Inputs!$K$7)^2),NA())</x:f>
        <x:v>100.928125</x:v>
      </x:c>
      <x:c r="D173" s="9" t="n">
        <x:f>IF(OR(Inputs!$F$8=TRUE,Inputs!$F$8="TRUE",Inputs!$F$8=1),(Inputs!$H$8+Inputs!$L$8*(((Inputs!$I$8+(((A173)+1)/2)*(Inputs!$J$8-Inputs!$I$8)))/Inputs!$K$8)^2),NA())</x:f>
        <x:v>209.303125</x:v>
      </x:c>
      <x:c r="E173" s="9" t="n">
        <x:f>IF(OR(Inputs!$F$9=TRUE,Inputs!$F$9="TRUE",Inputs!$F$9=1),(Inputs!$H$9+Inputs!$L$9*(((Inputs!$I$9+(((A173)+1)/2)*(Inputs!$J$9-Inputs!$I$9)))/Inputs!$K$9)^2),NA())</x:f>
        <x:v>201.10937499999997</x:v>
      </x:c>
      <x:c r="F173" s="10"/>
      <x:c r="G173" s="9">
        <x:f t="shared" si="18"/>
        <x:v>0.42499999999999999</x:v>
      </x:c>
      <x:c r="H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10"/>
      <x:c r="M173" s="9">
        <x:f t="shared" si="19"/>
        <x:v>0.42499999999999999</x:v>
      </x:c>
      <x:c r="N173" s="9"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9"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9"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9"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10"/>
      <x:c r="S173" s="9">
        <x:f t="shared" si="20"/>
        <x:v>0.42499999999999999</x:v>
      </x:c>
      <x:c r="T173" s="9" t="n">
        <x:f>(Inputs!$I$6+(((A173)+1)/2)*(Inputs!$J$6-Inputs!$I$6))</x:f>
        <x:v>25.5</x:v>
      </x:c>
      <x:c r="U173" s="9" t="n">
        <x:f>(Inputs!$I$7+(((A173)+1)/2)*(Inputs!$J$7-Inputs!$I$7))</x:f>
        <x:v>170</x:v>
      </x:c>
      <x:c r="V173" s="9" t="n">
        <x:f>(Inputs!$I$8+(((A173)+1)/2)*(Inputs!$J$8-Inputs!$I$8))</x:f>
        <x:v>340</x:v>
      </x:c>
      <x:c r="W173" s="9" t="n">
        <x:f>(Inputs!$I$9+(((A173)+1)/2)*(Inputs!$J$9-Inputs!$I$9))</x:f>
        <x:v>340</x:v>
      </x:c>
      <x:c r="X173" s="10"/>
      <x:c r="Y173" s="9">
        <x:f t="shared" si="21"/>
        <x:v>0.42499999999999999</x:v>
      </x:c>
      <x:c r="Z173" s="9" t="n">
        <x:f>(Inputs!$H$6+Inputs!$L$6*(((Inputs!$I$6+(((A173)+1)/2)*(Inputs!$J$6-Inputs!$I$6)))/Inputs!$K$6)^2)</x:f>
        <x:v>400.7225</x:v>
      </x:c>
      <x:c r="AA173" s="9" t="n">
        <x:f>(Inputs!$H$7+Inputs!$L$7*(((Inputs!$I$7+(((A173)+1)/2)*(Inputs!$J$7-Inputs!$I$7)))/Inputs!$K$7)^2)</x:f>
        <x:v>100.928125</x:v>
      </x:c>
      <x:c r="AB173" s="9" t="n">
        <x:f>(Inputs!$H$8+Inputs!$L$8*(((Inputs!$I$8+(((A173)+1)/2)*(Inputs!$J$8-Inputs!$I$8)))/Inputs!$K$8)^2)</x:f>
        <x:v>209.303125</x:v>
      </x:c>
      <x:c r="AC173" s="9" t="n">
        <x:f>(Inputs!$H$9+Inputs!$L$9*(((Inputs!$I$9+(((A173)+1)/2)*(Inputs!$J$9-Inputs!$I$9)))/Inputs!$K$9)^2)</x:f>
        <x:v>201.10937499999997</x:v>
      </x:c>
      <x:c r="AD173" s="10"/>
      <x:c r="AE173" s="9">
        <x:f t="shared" si="22"/>
        <x:v>0.42499999999999999</x:v>
      </x:c>
      <x:c r="AF173" s="9"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9"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9"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9"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10"/>
      <x:c r="AK173" s="9">
        <x:f t="shared" si="23"/>
        <x:v>0.42499999999999999</x:v>
      </x:c>
      <x:c r="AL173" s="9"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9"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9"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9"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10"/>
      <x:c r="AQ173" s="9">
        <x:f t="shared" si="24"/>
        <x:v>0.42499999999999999</x:v>
      </x:c>
      <x:c r="AR173" s="9" t="n">
        <x:f>0</x:f>
        <x:v>0</x:v>
      </x:c>
      <x:c r="AS173" s="9"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x:f>
        <x:v>390.15691093629596</x:v>
      </x:c>
      <x:c r="AT173" s="9"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x:f>
        <x:v>186.5860449204655</x:v>
      </x:c>
      <x:c r="AU173" s="9"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x:f>
        <x:v>124.64043868220405</x:v>
      </x:c>
      <x:c r="AV173" s="9"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x:f>
        <x:v>124.64043868220405</x:v>
      </x:c>
      <x:c r="AW173" s="10"/>
      <x:c r="AX173" s="9">
        <x:f t="shared" si="25"/>
        <x:v>0.42499999999999999</x:v>
      </x:c>
      <x:c r="AY173" s="9" t="n">
        <x:f>0</x:f>
        <x:v>0</x:v>
      </x:c>
      <x:c r="AZ173" s="9" t="n">
        <x:f>IF(OR(Inputs!$F$6=TRUE,Inputs!$F$6="TRUE",Inputs!$F$6=1),(Inputs!$H$6+Inputs!$L$6*(((Inputs!$I$6+(((A173)+1)/2)*(Inputs!$J$6-Inputs!$I$6)))/Inputs!$K$6)^2),NA())</x:f>
        <x:v>400.7225</x:v>
      </x:c>
      <x:c r="BA173" s="9" t="n">
        <x:f>IF(OR(Inputs!$F$7=TRUE,Inputs!$F$7="TRUE",Inputs!$F$7=1),(Inputs!$H$7+Inputs!$L$7*(((Inputs!$I$7+(((A173)+1)/2)*(Inputs!$J$7-Inputs!$I$7)))/Inputs!$K$7)^2),NA())</x:f>
        <x:v>100.928125</x:v>
      </x:c>
      <x:c r="BB173" s="9" t="n">
        <x:f>IF(OR(Inputs!$F$8=TRUE,Inputs!$F$8="TRUE",Inputs!$F$8=1),(Inputs!$H$8+Inputs!$L$8*(((Inputs!$I$8+(((A173)+1)/2)*(Inputs!$J$8-Inputs!$I$8)))/Inputs!$K$8)^2),NA())</x:f>
        <x:v>209.303125</x:v>
      </x:c>
      <x:c r="BC173" s="9" t="n">
        <x:f>IF(OR(Inputs!$F$9=TRUE,Inputs!$F$9="TRUE",Inputs!$F$9=1),(Inputs!$H$9+Inputs!$L$9*(((Inputs!$I$9+(((A173)+1)/2)*(Inputs!$J$9-Inputs!$I$9)))/Inputs!$K$9)^2),NA())</x:f>
        <x:v>201.10937499999997</x:v>
      </x:c>
      <x:c r="BD173" s="10"/>
      <x:c r="BE173" s="9">
        <x:f t="shared" si="26"/>
        <x:v>0.42499999999999999</x:v>
      </x:c>
      <x:c r="BF173" s="9" t="n">
        <x:f>0</x:f>
        <x:v>0</x:v>
      </x:c>
      <x:c r="BG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9" t="n">
        <x:f>ROUND(-1+172*2/240,3)</x:f>
        <x:v>0.433</x:v>
      </x:c>
      <x:c r="B174" s="9" t="n">
        <x:f>IF(OR(Inputs!$F$6=TRUE,Inputs!$F$6="TRUE",Inputs!$F$6=1),(Inputs!$H$6+Inputs!$L$6*(((Inputs!$I$6+(((A174)+1)/2)*(Inputs!$J$6-Inputs!$I$6)))/Inputs!$K$6)^2),NA())</x:f>
        <x:v>400.749956</x:v>
      </x:c>
      <x:c r="C174" s="9" t="n">
        <x:f>IF(OR(Inputs!$F$7=TRUE,Inputs!$F$7="TRUE",Inputs!$F$7=1),(Inputs!$H$7+Inputs!$L$7*(((Inputs!$I$7+(((A174)+1)/2)*(Inputs!$J$7-Inputs!$I$7)))/Inputs!$K$7)^2),NA())</x:f>
        <x:v>103.43348500000003</x:v>
      </x:c>
      <x:c r="D174" s="9" t="n">
        <x:f>IF(OR(Inputs!$F$8=TRUE,Inputs!$F$8="TRUE",Inputs!$F$8=1),(Inputs!$H$8+Inputs!$L$8*(((Inputs!$I$8+(((A174)+1)/2)*(Inputs!$J$8-Inputs!$I$8)))/Inputs!$K$8)^2),NA())</x:f>
        <x:v>215.92688500000008</x:v>
      </x:c>
      <x:c r="E174" s="9" t="n">
        <x:f>IF(OR(Inputs!$F$9=TRUE,Inputs!$F$9="TRUE",Inputs!$F$9=1),(Inputs!$H$9+Inputs!$L$9*(((Inputs!$I$9+(((A174)+1)/2)*(Inputs!$J$9-Inputs!$I$9)))/Inputs!$K$9)^2),NA())</x:f>
        <x:v>207.8017750000001</x:v>
      </x:c>
      <x:c r="F174" s="10"/>
      <x:c r="G174" s="9">
        <x:f t="shared" si="18"/>
        <x:v>0.433</x:v>
      </x:c>
      <x:c r="H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10"/>
      <x:c r="M174" s="9">
        <x:f t="shared" si="19"/>
        <x:v>0.433</x:v>
      </x:c>
      <x:c r="N174" s="9"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9"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9"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9"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10"/>
      <x:c r="S174" s="9">
        <x:f t="shared" si="20"/>
        <x:v>0.433</x:v>
      </x:c>
      <x:c r="T174" s="9" t="n">
        <x:f>(Inputs!$I$6+(((A174)+1)/2)*(Inputs!$J$6-Inputs!$I$6))</x:f>
        <x:v>25.980000000000004</x:v>
      </x:c>
      <x:c r="U174" s="9" t="n">
        <x:f>(Inputs!$I$7+(((A174)+1)/2)*(Inputs!$J$7-Inputs!$I$7))</x:f>
        <x:v>173.20000000000005</x:v>
      </x:c>
      <x:c r="V174" s="9" t="n">
        <x:f>(Inputs!$I$8+(((A174)+1)/2)*(Inputs!$J$8-Inputs!$I$8))</x:f>
        <x:v>346.4000000000001</x:v>
      </x:c>
      <x:c r="W174" s="9" t="n">
        <x:f>(Inputs!$I$9+(((A174)+1)/2)*(Inputs!$J$9-Inputs!$I$9))</x:f>
        <x:v>346.4000000000001</x:v>
      </x:c>
      <x:c r="X174" s="10"/>
      <x:c r="Y174" s="9">
        <x:f t="shared" si="21"/>
        <x:v>0.433</x:v>
      </x:c>
      <x:c r="Z174" s="9" t="n">
        <x:f>(Inputs!$H$6+Inputs!$L$6*(((Inputs!$I$6+(((A174)+1)/2)*(Inputs!$J$6-Inputs!$I$6)))/Inputs!$K$6)^2)</x:f>
        <x:v>400.749956</x:v>
      </x:c>
      <x:c r="AA174" s="9" t="n">
        <x:f>(Inputs!$H$7+Inputs!$L$7*(((Inputs!$I$7+(((A174)+1)/2)*(Inputs!$J$7-Inputs!$I$7)))/Inputs!$K$7)^2)</x:f>
        <x:v>103.43348500000003</x:v>
      </x:c>
      <x:c r="AB174" s="9" t="n">
        <x:f>(Inputs!$H$8+Inputs!$L$8*(((Inputs!$I$8+(((A174)+1)/2)*(Inputs!$J$8-Inputs!$I$8)))/Inputs!$K$8)^2)</x:f>
        <x:v>215.92688500000008</x:v>
      </x:c>
      <x:c r="AC174" s="9" t="n">
        <x:f>(Inputs!$H$9+Inputs!$L$9*(((Inputs!$I$9+(((A174)+1)/2)*(Inputs!$J$9-Inputs!$I$9)))/Inputs!$K$9)^2)</x:f>
        <x:v>207.8017750000001</x:v>
      </x:c>
      <x:c r="AD174" s="10"/>
      <x:c r="AE174" s="9">
        <x:f t="shared" si="22"/>
        <x:v>0.433</x:v>
      </x:c>
      <x:c r="AF174" s="9"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9"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9"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9"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10"/>
      <x:c r="AK174" s="9">
        <x:f t="shared" si="23"/>
        <x:v>0.433</x:v>
      </x:c>
      <x:c r="AL174" s="9"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9"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9"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9"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10"/>
      <x:c r="AQ174" s="9">
        <x:f t="shared" si="24"/>
        <x:v>0.433</x:v>
      </x:c>
      <x:c r="AR174" s="9" t="n">
        <x:f>0</x:f>
        <x:v>0</x:v>
      </x:c>
      <x:c r="AS174" s="9"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x:f>
        <x:v>400.1962290662413</x:v>
      </x:c>
      <x:c r="AT174" s="9"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x:f>
        <x:v>126.5299055931917</x:v>
      </x:c>
      <x:c r="AU174" s="9"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x:f>
        <x:v>179.6007998283073</x:v>
      </x:c>
      <x:c r="AV174" s="9"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x:f>
        <x:v>179.6007998283073</x:v>
      </x:c>
      <x:c r="AW174" s="10"/>
      <x:c r="AX174" s="9">
        <x:f t="shared" si="25"/>
        <x:v>0.433</x:v>
      </x:c>
      <x:c r="AY174" s="9" t="n">
        <x:f>0</x:f>
        <x:v>0</x:v>
      </x:c>
      <x:c r="AZ174" s="9" t="n">
        <x:f>IF(OR(Inputs!$F$6=TRUE,Inputs!$F$6="TRUE",Inputs!$F$6=1),(Inputs!$H$6+Inputs!$L$6*(((Inputs!$I$6+(((A174)+1)/2)*(Inputs!$J$6-Inputs!$I$6)))/Inputs!$K$6)^2),NA())</x:f>
        <x:v>400.749956</x:v>
      </x:c>
      <x:c r="BA174" s="9" t="n">
        <x:f>IF(OR(Inputs!$F$7=TRUE,Inputs!$F$7="TRUE",Inputs!$F$7=1),(Inputs!$H$7+Inputs!$L$7*(((Inputs!$I$7+(((A174)+1)/2)*(Inputs!$J$7-Inputs!$I$7)))/Inputs!$K$7)^2),NA())</x:f>
        <x:v>103.43348500000003</x:v>
      </x:c>
      <x:c r="BB174" s="9" t="n">
        <x:f>IF(OR(Inputs!$F$8=TRUE,Inputs!$F$8="TRUE",Inputs!$F$8=1),(Inputs!$H$8+Inputs!$L$8*(((Inputs!$I$8+(((A174)+1)/2)*(Inputs!$J$8-Inputs!$I$8)))/Inputs!$K$8)^2),NA())</x:f>
        <x:v>215.92688500000008</x:v>
      </x:c>
      <x:c r="BC174" s="9" t="n">
        <x:f>IF(OR(Inputs!$F$9=TRUE,Inputs!$F$9="TRUE",Inputs!$F$9=1),(Inputs!$H$9+Inputs!$L$9*(((Inputs!$I$9+(((A174)+1)/2)*(Inputs!$J$9-Inputs!$I$9)))/Inputs!$K$9)^2),NA())</x:f>
        <x:v>207.8017750000001</x:v>
      </x:c>
      <x:c r="BD174" s="10"/>
      <x:c r="BE174" s="9">
        <x:f t="shared" si="26"/>
        <x:v>0.433</x:v>
      </x:c>
      <x:c r="BF174" s="9" t="n">
        <x:f>0</x:f>
        <x:v>0</x:v>
      </x:c>
      <x:c r="BG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9" t="n">
        <x:f>ROUND(-1+173*2/240,3)</x:f>
        <x:v>0.442</x:v>
      </x:c>
      <x:c r="B175" s="9" t="n">
        <x:f>IF(OR(Inputs!$F$6=TRUE,Inputs!$F$6="TRUE",Inputs!$F$6=1),(Inputs!$H$6+Inputs!$L$6*(((Inputs!$I$6+(((A175)+1)/2)*(Inputs!$J$6-Inputs!$I$6)))/Inputs!$K$6)^2),NA())</x:f>
        <x:v>400.781456</x:v>
      </x:c>
      <x:c r="C175" s="9" t="n">
        <x:f>IF(OR(Inputs!$F$7=TRUE,Inputs!$F$7="TRUE",Inputs!$F$7=1),(Inputs!$H$7+Inputs!$L$7*(((Inputs!$I$7+(((A175)+1)/2)*(Inputs!$J$7-Inputs!$I$7)))/Inputs!$K$7)^2),NA())</x:f>
        <x:v>106.30785999999996</x:v>
      </x:c>
      <x:c r="D175" s="9" t="n">
        <x:f>IF(OR(Inputs!$F$8=TRUE,Inputs!$F$8="TRUE",Inputs!$F$8=1),(Inputs!$H$8+Inputs!$L$8*(((Inputs!$I$8+(((A175)+1)/2)*(Inputs!$J$8-Inputs!$I$8)))/Inputs!$K$8)^2),NA())</x:f>
        <x:v>223.5262599999999</x:v>
      </x:c>
      <x:c r="E175" s="9" t="n">
        <x:f>IF(OR(Inputs!$F$9=TRUE,Inputs!$F$9="TRUE",Inputs!$F$9=1),(Inputs!$H$9+Inputs!$L$9*(((Inputs!$I$9+(((A175)+1)/2)*(Inputs!$J$9-Inputs!$I$9)))/Inputs!$K$9)^2),NA())</x:f>
        <x:v>215.4798999999999</x:v>
      </x:c>
      <x:c r="F175" s="10"/>
      <x:c r="G175" s="9">
        <x:f t="shared" si="18"/>
        <x:v>0.442</x:v>
      </x:c>
      <x:c r="H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10"/>
      <x:c r="M175" s="9">
        <x:f t="shared" si="19"/>
        <x:v>0.442</x:v>
      </x:c>
      <x:c r="N175" s="9"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9"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9"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9"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10"/>
      <x:c r="S175" s="9">
        <x:f t="shared" si="20"/>
        <x:v>0.442</x:v>
      </x:c>
      <x:c r="T175" s="9" t="n">
        <x:f>(Inputs!$I$6+(((A175)+1)/2)*(Inputs!$J$6-Inputs!$I$6))</x:f>
        <x:v>26.519999999999996</x:v>
      </x:c>
      <x:c r="U175" s="9" t="n">
        <x:f>(Inputs!$I$7+(((A175)+1)/2)*(Inputs!$J$7-Inputs!$I$7))</x:f>
        <x:v>176.79999999999995</x:v>
      </x:c>
      <x:c r="V175" s="9" t="n">
        <x:f>(Inputs!$I$8+(((A175)+1)/2)*(Inputs!$J$8-Inputs!$I$8))</x:f>
        <x:v>353.5999999999999</x:v>
      </x:c>
      <x:c r="W175" s="9" t="n">
        <x:f>(Inputs!$I$9+(((A175)+1)/2)*(Inputs!$J$9-Inputs!$I$9))</x:f>
        <x:v>353.5999999999999</x:v>
      </x:c>
      <x:c r="X175" s="10"/>
      <x:c r="Y175" s="9">
        <x:f t="shared" si="21"/>
        <x:v>0.442</x:v>
      </x:c>
      <x:c r="Z175" s="9" t="n">
        <x:f>(Inputs!$H$6+Inputs!$L$6*(((Inputs!$I$6+(((A175)+1)/2)*(Inputs!$J$6-Inputs!$I$6)))/Inputs!$K$6)^2)</x:f>
        <x:v>400.781456</x:v>
      </x:c>
      <x:c r="AA175" s="9" t="n">
        <x:f>(Inputs!$H$7+Inputs!$L$7*(((Inputs!$I$7+(((A175)+1)/2)*(Inputs!$J$7-Inputs!$I$7)))/Inputs!$K$7)^2)</x:f>
        <x:v>106.30785999999996</x:v>
      </x:c>
      <x:c r="AB175" s="9" t="n">
        <x:f>(Inputs!$H$8+Inputs!$L$8*(((Inputs!$I$8+(((A175)+1)/2)*(Inputs!$J$8-Inputs!$I$8)))/Inputs!$K$8)^2)</x:f>
        <x:v>223.5262599999999</x:v>
      </x:c>
      <x:c r="AC175" s="9" t="n">
        <x:f>(Inputs!$H$9+Inputs!$L$9*(((Inputs!$I$9+(((A175)+1)/2)*(Inputs!$J$9-Inputs!$I$9)))/Inputs!$K$9)^2)</x:f>
        <x:v>215.4798999999999</x:v>
      </x:c>
      <x:c r="AD175" s="10"/>
      <x:c r="AE175" s="9">
        <x:f t="shared" si="22"/>
        <x:v>0.442</x:v>
      </x:c>
      <x:c r="AF175" s="9"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9"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9"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9"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10"/>
      <x:c r="AK175" s="9">
        <x:f t="shared" si="23"/>
        <x:v>0.442</x:v>
      </x:c>
      <x:c r="AL175" s="9"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9"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9"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9"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10"/>
      <x:c r="AQ175" s="9">
        <x:f t="shared" si="24"/>
        <x:v>0.442</x:v>
      </x:c>
      <x:c r="AR175" s="9" t="n">
        <x:f>0</x:f>
        <x:v>0</x:v>
      </x:c>
      <x:c r="AS175" s="9"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x:f>
        <x:v>359.3068515071834</x:v>
      </x:c>
      <x:c r="AT175" s="9"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x:f>
        <x:v>81.54704752981823</x:v>
      </x:c>
      <x:c r="AU175" s="9"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x:f>
        <x:v>132.87376517573304</x:v>
      </x:c>
      <x:c r="AV175" s="9"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x:f>
        <x:v>132.87376517573304</x:v>
      </x:c>
      <x:c r="AW175" s="10"/>
      <x:c r="AX175" s="9">
        <x:f t="shared" si="25"/>
        <x:v>0.442</x:v>
      </x:c>
      <x:c r="AY175" s="9" t="n">
        <x:f>0</x:f>
        <x:v>0</x:v>
      </x:c>
      <x:c r="AZ175" s="9" t="n">
        <x:f>IF(OR(Inputs!$F$6=TRUE,Inputs!$F$6="TRUE",Inputs!$F$6=1),(Inputs!$H$6+Inputs!$L$6*(((Inputs!$I$6+(((A175)+1)/2)*(Inputs!$J$6-Inputs!$I$6)))/Inputs!$K$6)^2),NA())</x:f>
        <x:v>400.781456</x:v>
      </x:c>
      <x:c r="BA175" s="9" t="n">
        <x:f>IF(OR(Inputs!$F$7=TRUE,Inputs!$F$7="TRUE",Inputs!$F$7=1),(Inputs!$H$7+Inputs!$L$7*(((Inputs!$I$7+(((A175)+1)/2)*(Inputs!$J$7-Inputs!$I$7)))/Inputs!$K$7)^2),NA())</x:f>
        <x:v>106.30785999999996</x:v>
      </x:c>
      <x:c r="BB175" s="9" t="n">
        <x:f>IF(OR(Inputs!$F$8=TRUE,Inputs!$F$8="TRUE",Inputs!$F$8=1),(Inputs!$H$8+Inputs!$L$8*(((Inputs!$I$8+(((A175)+1)/2)*(Inputs!$J$8-Inputs!$I$8)))/Inputs!$K$8)^2),NA())</x:f>
        <x:v>223.5262599999999</x:v>
      </x:c>
      <x:c r="BC175" s="9" t="n">
        <x:f>IF(OR(Inputs!$F$9=TRUE,Inputs!$F$9="TRUE",Inputs!$F$9=1),(Inputs!$H$9+Inputs!$L$9*(((Inputs!$I$9+(((A175)+1)/2)*(Inputs!$J$9-Inputs!$I$9)))/Inputs!$K$9)^2),NA())</x:f>
        <x:v>215.4798999999999</x:v>
      </x:c>
      <x:c r="BD175" s="10"/>
      <x:c r="BE175" s="9">
        <x:f t="shared" si="26"/>
        <x:v>0.442</x:v>
      </x:c>
      <x:c r="BF175" s="9" t="n">
        <x:f>0</x:f>
        <x:v>0</x:v>
      </x:c>
      <x:c r="BG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9" t="n">
        <x:f>ROUND(-1+174*2/240,3)</x:f>
        <x:v>0.45</x:v>
      </x:c>
      <x:c r="B176" s="9" t="n">
        <x:f>IF(OR(Inputs!$F$6=TRUE,Inputs!$F$6="TRUE",Inputs!$F$6=1),(Inputs!$H$6+Inputs!$L$6*(((Inputs!$I$6+(((A176)+1)/2)*(Inputs!$J$6-Inputs!$I$6)))/Inputs!$K$6)^2),NA())</x:f>
        <x:v>400.81</x:v>
      </x:c>
      <x:c r="C176" s="9" t="n">
        <x:f>IF(OR(Inputs!$F$7=TRUE,Inputs!$F$7="TRUE",Inputs!$F$7=1),(Inputs!$H$7+Inputs!$L$7*(((Inputs!$I$7+(((A176)+1)/2)*(Inputs!$J$7-Inputs!$I$7)))/Inputs!$K$7)^2),NA())</x:f>
        <x:v>108.91250000000001</x:v>
      </x:c>
      <x:c r="D176" s="9" t="n">
        <x:f>IF(OR(Inputs!$F$8=TRUE,Inputs!$F$8="TRUE",Inputs!$F$8=1),(Inputs!$H$8+Inputs!$L$8*(((Inputs!$I$8+(((A176)+1)/2)*(Inputs!$J$8-Inputs!$I$8)))/Inputs!$K$8)^2),NA())</x:f>
        <x:v>230.41250000000002</x:v>
      </x:c>
      <x:c r="E176" s="9" t="n">
        <x:f>IF(OR(Inputs!$F$9=TRUE,Inputs!$F$9="TRUE",Inputs!$F$9=1),(Inputs!$H$9+Inputs!$L$9*(((Inputs!$I$9+(((A176)+1)/2)*(Inputs!$J$9-Inputs!$I$9)))/Inputs!$K$9)^2),NA())</x:f>
        <x:v>222.4375</x:v>
      </x:c>
      <x:c r="F176" s="10"/>
      <x:c r="G176" s="9">
        <x:f t="shared" si="18"/>
        <x:v>0.45</x:v>
      </x:c>
      <x:c r="H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10"/>
      <x:c r="M176" s="9">
        <x:f t="shared" si="19"/>
        <x:v>0.45</x:v>
      </x:c>
      <x:c r="N176" s="9"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9"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9"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9"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10"/>
      <x:c r="S176" s="9">
        <x:f t="shared" si="20"/>
        <x:v>0.45</x:v>
      </x:c>
      <x:c r="T176" s="9" t="n">
        <x:f>(Inputs!$I$6+(((A176)+1)/2)*(Inputs!$J$6-Inputs!$I$6))</x:f>
        <x:v>27</x:v>
      </x:c>
      <x:c r="U176" s="9" t="n">
        <x:f>(Inputs!$I$7+(((A176)+1)/2)*(Inputs!$J$7-Inputs!$I$7))</x:f>
        <x:v>180</x:v>
      </x:c>
      <x:c r="V176" s="9" t="n">
        <x:f>(Inputs!$I$8+(((A176)+1)/2)*(Inputs!$J$8-Inputs!$I$8))</x:f>
        <x:v>360</x:v>
      </x:c>
      <x:c r="W176" s="9" t="n">
        <x:f>(Inputs!$I$9+(((A176)+1)/2)*(Inputs!$J$9-Inputs!$I$9))</x:f>
        <x:v>360</x:v>
      </x:c>
      <x:c r="X176" s="10"/>
      <x:c r="Y176" s="9">
        <x:f t="shared" si="21"/>
        <x:v>0.45</x:v>
      </x:c>
      <x:c r="Z176" s="9" t="n">
        <x:f>(Inputs!$H$6+Inputs!$L$6*(((Inputs!$I$6+(((A176)+1)/2)*(Inputs!$J$6-Inputs!$I$6)))/Inputs!$K$6)^2)</x:f>
        <x:v>400.81</x:v>
      </x:c>
      <x:c r="AA176" s="9" t="n">
        <x:f>(Inputs!$H$7+Inputs!$L$7*(((Inputs!$I$7+(((A176)+1)/2)*(Inputs!$J$7-Inputs!$I$7)))/Inputs!$K$7)^2)</x:f>
        <x:v>108.91250000000001</x:v>
      </x:c>
      <x:c r="AB176" s="9" t="n">
        <x:f>(Inputs!$H$8+Inputs!$L$8*(((Inputs!$I$8+(((A176)+1)/2)*(Inputs!$J$8-Inputs!$I$8)))/Inputs!$K$8)^2)</x:f>
        <x:v>230.41250000000002</x:v>
      </x:c>
      <x:c r="AC176" s="9" t="n">
        <x:f>(Inputs!$H$9+Inputs!$L$9*(((Inputs!$I$9+(((A176)+1)/2)*(Inputs!$J$9-Inputs!$I$9)))/Inputs!$K$9)^2)</x:f>
        <x:v>222.4375</x:v>
      </x:c>
      <x:c r="AD176" s="10"/>
      <x:c r="AE176" s="9">
        <x:f t="shared" si="22"/>
        <x:v>0.45</x:v>
      </x:c>
      <x:c r="AF176" s="9"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9"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9"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9"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10"/>
      <x:c r="AK176" s="9">
        <x:f t="shared" si="23"/>
        <x:v>0.45</x:v>
      </x:c>
      <x:c r="AL176" s="9"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9"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9"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9"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10"/>
      <x:c r="AQ176" s="9">
        <x:f t="shared" si="24"/>
        <x:v>0.45</x:v>
      </x:c>
      <x:c r="AR176" s="9" t="n">
        <x:f>0</x:f>
        <x:v>0</x:v>
      </x:c>
      <x:c r="AS176" s="9"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x:f>
        <x:v>346.2287328646241</x:v>
      </x:c>
      <x:c r="AT176" s="9"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x:f>
        <x:v>131.84589525998237</x:v>
      </x:c>
      <x:c r="AU176" s="9"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x:f>
        <x:v>147.40890122893921</x:v>
      </x:c>
      <x:c r="AV176" s="9"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x:f>
        <x:v>147.40890122893921</x:v>
      </x:c>
      <x:c r="AW176" s="10"/>
      <x:c r="AX176" s="9">
        <x:f t="shared" si="25"/>
        <x:v>0.45</x:v>
      </x:c>
      <x:c r="AY176" s="9" t="n">
        <x:f>0</x:f>
        <x:v>0</x:v>
      </x:c>
      <x:c r="AZ176" s="9" t="n">
        <x:f>IF(OR(Inputs!$F$6=TRUE,Inputs!$F$6="TRUE",Inputs!$F$6=1),(Inputs!$H$6+Inputs!$L$6*(((Inputs!$I$6+(((A176)+1)/2)*(Inputs!$J$6-Inputs!$I$6)))/Inputs!$K$6)^2),NA())</x:f>
        <x:v>400.81</x:v>
      </x:c>
      <x:c r="BA176" s="9" t="n">
        <x:f>IF(OR(Inputs!$F$7=TRUE,Inputs!$F$7="TRUE",Inputs!$F$7=1),(Inputs!$H$7+Inputs!$L$7*(((Inputs!$I$7+(((A176)+1)/2)*(Inputs!$J$7-Inputs!$I$7)))/Inputs!$K$7)^2),NA())</x:f>
        <x:v>108.91250000000001</x:v>
      </x:c>
      <x:c r="BB176" s="9" t="n">
        <x:f>IF(OR(Inputs!$F$8=TRUE,Inputs!$F$8="TRUE",Inputs!$F$8=1),(Inputs!$H$8+Inputs!$L$8*(((Inputs!$I$8+(((A176)+1)/2)*(Inputs!$J$8-Inputs!$I$8)))/Inputs!$K$8)^2),NA())</x:f>
        <x:v>230.41250000000002</x:v>
      </x:c>
      <x:c r="BC176" s="9" t="n">
        <x:f>IF(OR(Inputs!$F$9=TRUE,Inputs!$F$9="TRUE",Inputs!$F$9=1),(Inputs!$H$9+Inputs!$L$9*(((Inputs!$I$9+(((A176)+1)/2)*(Inputs!$J$9-Inputs!$I$9)))/Inputs!$K$9)^2),NA())</x:f>
        <x:v>222.4375</x:v>
      </x:c>
      <x:c r="BD176" s="10"/>
      <x:c r="BE176" s="9">
        <x:f t="shared" si="26"/>
        <x:v>0.45</x:v>
      </x:c>
      <x:c r="BF176" s="9" t="n">
        <x:f>0</x:f>
        <x:v>0</x:v>
      </x:c>
      <x:c r="BG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9" t="n">
        <x:f>ROUND(-1+175*2/240,3)</x:f>
        <x:v>0.458</x:v>
      </x:c>
      <x:c r="B177" s="9" t="n">
        <x:f>IF(OR(Inputs!$F$6=TRUE,Inputs!$F$6="TRUE",Inputs!$F$6=1),(Inputs!$H$6+Inputs!$L$6*(((Inputs!$I$6+(((A177)+1)/2)*(Inputs!$J$6-Inputs!$I$6)))/Inputs!$K$6)^2),NA())</x:f>
        <x:v>400.839056</x:v>
      </x:c>
      <x:c r="C177" s="9" t="n">
        <x:f>IF(OR(Inputs!$F$7=TRUE,Inputs!$F$7="TRUE",Inputs!$F$7=1),(Inputs!$H$7+Inputs!$L$7*(((Inputs!$I$7+(((A177)+1)/2)*(Inputs!$J$7-Inputs!$I$7)))/Inputs!$K$7)^2),NA())</x:f>
        <x:v>111.56385999999995</x:v>
      </x:c>
      <x:c r="D177" s="9" t="n">
        <x:f>IF(OR(Inputs!$F$8=TRUE,Inputs!$F$8="TRUE",Inputs!$F$8=1),(Inputs!$H$8+Inputs!$L$8*(((Inputs!$I$8+(((A177)+1)/2)*(Inputs!$J$8-Inputs!$I$8)))/Inputs!$K$8)^2),NA())</x:f>
        <x:v>237.42225999999988</x:v>
      </x:c>
      <x:c r="E177" s="9" t="n">
        <x:f>IF(OR(Inputs!$F$9=TRUE,Inputs!$F$9="TRUE",Inputs!$F$9=1),(Inputs!$H$9+Inputs!$L$9*(((Inputs!$I$9+(((A177)+1)/2)*(Inputs!$J$9-Inputs!$I$9)))/Inputs!$K$9)^2),NA())</x:f>
        <x:v>229.51989999999986</x:v>
      </x:c>
      <x:c r="F177" s="10"/>
      <x:c r="G177" s="9">
        <x:f t="shared" si="18"/>
        <x:v>0.45800000000000002</x:v>
      </x:c>
      <x:c r="H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10"/>
      <x:c r="M177" s="9">
        <x:f t="shared" si="19"/>
        <x:v>0.45800000000000002</x:v>
      </x:c>
      <x:c r="N177" s="9"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9"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9"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9"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10"/>
      <x:c r="S177" s="9">
        <x:f t="shared" si="20"/>
        <x:v>0.45800000000000002</x:v>
      </x:c>
      <x:c r="T177" s="9" t="n">
        <x:f>(Inputs!$I$6+(((A177)+1)/2)*(Inputs!$J$6-Inputs!$I$6))</x:f>
        <x:v>27.480000000000004</x:v>
      </x:c>
      <x:c r="U177" s="9" t="n">
        <x:f>(Inputs!$I$7+(((A177)+1)/2)*(Inputs!$J$7-Inputs!$I$7))</x:f>
        <x:v>183.19999999999993</x:v>
      </x:c>
      <x:c r="V177" s="9" t="n">
        <x:f>(Inputs!$I$8+(((A177)+1)/2)*(Inputs!$J$8-Inputs!$I$8))</x:f>
        <x:v>366.39999999999986</x:v>
      </x:c>
      <x:c r="W177" s="9" t="n">
        <x:f>(Inputs!$I$9+(((A177)+1)/2)*(Inputs!$J$9-Inputs!$I$9))</x:f>
        <x:v>366.39999999999986</x:v>
      </x:c>
      <x:c r="X177" s="10"/>
      <x:c r="Y177" s="9">
        <x:f t="shared" si="21"/>
        <x:v>0.45800000000000002</x:v>
      </x:c>
      <x:c r="Z177" s="9" t="n">
        <x:f>(Inputs!$H$6+Inputs!$L$6*(((Inputs!$I$6+(((A177)+1)/2)*(Inputs!$J$6-Inputs!$I$6)))/Inputs!$K$6)^2)</x:f>
        <x:v>400.839056</x:v>
      </x:c>
      <x:c r="AA177" s="9" t="n">
        <x:f>(Inputs!$H$7+Inputs!$L$7*(((Inputs!$I$7+(((A177)+1)/2)*(Inputs!$J$7-Inputs!$I$7)))/Inputs!$K$7)^2)</x:f>
        <x:v>111.56385999999995</x:v>
      </x:c>
      <x:c r="AB177" s="9" t="n">
        <x:f>(Inputs!$H$8+Inputs!$L$8*(((Inputs!$I$8+(((A177)+1)/2)*(Inputs!$J$8-Inputs!$I$8)))/Inputs!$K$8)^2)</x:f>
        <x:v>237.42225999999988</x:v>
      </x:c>
      <x:c r="AC177" s="9" t="n">
        <x:f>(Inputs!$H$9+Inputs!$L$9*(((Inputs!$I$9+(((A177)+1)/2)*(Inputs!$J$9-Inputs!$I$9)))/Inputs!$K$9)^2)</x:f>
        <x:v>229.51989999999986</x:v>
      </x:c>
      <x:c r="AD177" s="10"/>
      <x:c r="AE177" s="9">
        <x:f t="shared" si="22"/>
        <x:v>0.45800000000000002</x:v>
      </x:c>
      <x:c r="AF177" s="9"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9"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9"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9"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10"/>
      <x:c r="AK177" s="9">
        <x:f t="shared" si="23"/>
        <x:v>0.45800000000000002</x:v>
      </x:c>
      <x:c r="AL177" s="9"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9"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9"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9"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10"/>
      <x:c r="AQ177" s="9">
        <x:f t="shared" si="24"/>
        <x:v>0.45800000000000002</x:v>
      </x:c>
      <x:c r="AR177" s="9" t="n">
        <x:f>0</x:f>
        <x:v>0</x:v>
      </x:c>
      <x:c r="AS177" s="9"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x:f>
        <x:v>341.6036692279352</x:v>
      </x:c>
      <x:c r="AT177" s="9"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x:f>
        <x:v>201.6045266093449</x:v>
      </x:c>
      <x:c r="AU177" s="9"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x:f>
        <x:v>218.82120570399934</x:v>
      </x:c>
      <x:c r="AV177" s="9"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x:f>
        <x:v>218.82120570399934</x:v>
      </x:c>
      <x:c r="AW177" s="10"/>
      <x:c r="AX177" s="9">
        <x:f t="shared" si="25"/>
        <x:v>0.45800000000000002</x:v>
      </x:c>
      <x:c r="AY177" s="9" t="n">
        <x:f>0</x:f>
        <x:v>0</x:v>
      </x:c>
      <x:c r="AZ177" s="9" t="n">
        <x:f>IF(OR(Inputs!$F$6=TRUE,Inputs!$F$6="TRUE",Inputs!$F$6=1),(Inputs!$H$6+Inputs!$L$6*(((Inputs!$I$6+(((A177)+1)/2)*(Inputs!$J$6-Inputs!$I$6)))/Inputs!$K$6)^2),NA())</x:f>
        <x:v>400.839056</x:v>
      </x:c>
      <x:c r="BA177" s="9" t="n">
        <x:f>IF(OR(Inputs!$F$7=TRUE,Inputs!$F$7="TRUE",Inputs!$F$7=1),(Inputs!$H$7+Inputs!$L$7*(((Inputs!$I$7+(((A177)+1)/2)*(Inputs!$J$7-Inputs!$I$7)))/Inputs!$K$7)^2),NA())</x:f>
        <x:v>111.56385999999995</x:v>
      </x:c>
      <x:c r="BB177" s="9" t="n">
        <x:f>IF(OR(Inputs!$F$8=TRUE,Inputs!$F$8="TRUE",Inputs!$F$8=1),(Inputs!$H$8+Inputs!$L$8*(((Inputs!$I$8+(((A177)+1)/2)*(Inputs!$J$8-Inputs!$I$8)))/Inputs!$K$8)^2),NA())</x:f>
        <x:v>237.42225999999988</x:v>
      </x:c>
      <x:c r="BC177" s="9" t="n">
        <x:f>IF(OR(Inputs!$F$9=TRUE,Inputs!$F$9="TRUE",Inputs!$F$9=1),(Inputs!$H$9+Inputs!$L$9*(((Inputs!$I$9+(((A177)+1)/2)*(Inputs!$J$9-Inputs!$I$9)))/Inputs!$K$9)^2),NA())</x:f>
        <x:v>229.51989999999986</x:v>
      </x:c>
      <x:c r="BD177" s="10"/>
      <x:c r="BE177" s="9">
        <x:f t="shared" si="26"/>
        <x:v>0.45800000000000002</x:v>
      </x:c>
      <x:c r="BF177" s="9" t="n">
        <x:f>0</x:f>
        <x:v>0</x:v>
      </x:c>
      <x:c r="BG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9" t="n">
        <x:f>ROUND(-1+176*2/240,3)</x:f>
        <x:v>0.467</x:v>
      </x:c>
      <x:c r="B178" s="9" t="n">
        <x:f>IF(OR(Inputs!$F$6=TRUE,Inputs!$F$6="TRUE",Inputs!$F$6=1),(Inputs!$H$6+Inputs!$L$6*(((Inputs!$I$6+(((A178)+1)/2)*(Inputs!$J$6-Inputs!$I$6)))/Inputs!$K$6)^2),NA())</x:f>
        <x:v>400.872356</x:v>
      </x:c>
      <x:c r="C178" s="9" t="n">
        <x:f>IF(OR(Inputs!$F$7=TRUE,Inputs!$F$7="TRUE",Inputs!$F$7=1),(Inputs!$H$7+Inputs!$L$7*(((Inputs!$I$7+(((A178)+1)/2)*(Inputs!$J$7-Inputs!$I$7)))/Inputs!$K$7)^2),NA())</x:f>
        <x:v>114.60248500000006</x:v>
      </x:c>
      <x:c r="D178" s="9" t="n">
        <x:f>IF(OR(Inputs!$F$8=TRUE,Inputs!$F$8="TRUE",Inputs!$F$8=1),(Inputs!$H$8+Inputs!$L$8*(((Inputs!$I$8+(((A178)+1)/2)*(Inputs!$J$8-Inputs!$I$8)))/Inputs!$K$8)^2),NA())</x:f>
        <x:v>245.45588500000017</x:v>
      </x:c>
      <x:c r="E178" s="9" t="n">
        <x:f>IF(OR(Inputs!$F$9=TRUE,Inputs!$F$9="TRUE",Inputs!$F$9=1),(Inputs!$H$9+Inputs!$L$9*(((Inputs!$I$9+(((A178)+1)/2)*(Inputs!$J$9-Inputs!$I$9)))/Inputs!$K$9)^2),NA())</x:f>
        <x:v>237.63677500000017</x:v>
      </x:c>
      <x:c r="F178" s="10"/>
      <x:c r="G178" s="9">
        <x:f t="shared" si="18"/>
        <x:v>0.46700000000000003</x:v>
      </x:c>
      <x:c r="H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10"/>
      <x:c r="M178" s="9">
        <x:f t="shared" si="19"/>
        <x:v>0.46700000000000003</x:v>
      </x:c>
      <x:c r="N178" s="9"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9"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9"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9"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10"/>
      <x:c r="S178" s="9">
        <x:f t="shared" si="20"/>
        <x:v>0.46700000000000003</x:v>
      </x:c>
      <x:c r="T178" s="9" t="n">
        <x:f>(Inputs!$I$6+(((A178)+1)/2)*(Inputs!$J$6-Inputs!$I$6))</x:f>
        <x:v>28.02000000000001</x:v>
      </x:c>
      <x:c r="U178" s="9" t="n">
        <x:f>(Inputs!$I$7+(((A178)+1)/2)*(Inputs!$J$7-Inputs!$I$7))</x:f>
        <x:v>186.80000000000007</x:v>
      </x:c>
      <x:c r="V178" s="9" t="n">
        <x:f>(Inputs!$I$8+(((A178)+1)/2)*(Inputs!$J$8-Inputs!$I$8))</x:f>
        <x:v>373.60000000000014</x:v>
      </x:c>
      <x:c r="W178" s="9" t="n">
        <x:f>(Inputs!$I$9+(((A178)+1)/2)*(Inputs!$J$9-Inputs!$I$9))</x:f>
        <x:v>373.60000000000014</x:v>
      </x:c>
      <x:c r="X178" s="10"/>
      <x:c r="Y178" s="9">
        <x:f t="shared" si="21"/>
        <x:v>0.46700000000000003</x:v>
      </x:c>
      <x:c r="Z178" s="9" t="n">
        <x:f>(Inputs!$H$6+Inputs!$L$6*(((Inputs!$I$6+(((A178)+1)/2)*(Inputs!$J$6-Inputs!$I$6)))/Inputs!$K$6)^2)</x:f>
        <x:v>400.872356</x:v>
      </x:c>
      <x:c r="AA178" s="9" t="n">
        <x:f>(Inputs!$H$7+Inputs!$L$7*(((Inputs!$I$7+(((A178)+1)/2)*(Inputs!$J$7-Inputs!$I$7)))/Inputs!$K$7)^2)</x:f>
        <x:v>114.60248500000006</x:v>
      </x:c>
      <x:c r="AB178" s="9" t="n">
        <x:f>(Inputs!$H$8+Inputs!$L$8*(((Inputs!$I$8+(((A178)+1)/2)*(Inputs!$J$8-Inputs!$I$8)))/Inputs!$K$8)^2)</x:f>
        <x:v>245.45588500000017</x:v>
      </x:c>
      <x:c r="AC178" s="9" t="n">
        <x:f>(Inputs!$H$9+Inputs!$L$9*(((Inputs!$I$9+(((A178)+1)/2)*(Inputs!$J$9-Inputs!$I$9)))/Inputs!$K$9)^2)</x:f>
        <x:v>237.63677500000017</x:v>
      </x:c>
      <x:c r="AD178" s="10"/>
      <x:c r="AE178" s="9">
        <x:f t="shared" si="22"/>
        <x:v>0.46700000000000003</x:v>
      </x:c>
      <x:c r="AF178" s="9"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9"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9"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9"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10"/>
      <x:c r="AK178" s="9">
        <x:f t="shared" si="23"/>
        <x:v>0.46700000000000003</x:v>
      </x:c>
      <x:c r="AL178" s="9"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9"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9"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9"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10"/>
      <x:c r="AQ178" s="9">
        <x:f t="shared" si="24"/>
        <x:v>0.46700000000000003</x:v>
      </x:c>
      <x:c r="AR178" s="9" t="n">
        <x:f>0</x:f>
        <x:v>0</x:v>
      </x:c>
      <x:c r="AS178" s="9"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x:f>
        <x:v>330.5843974172532</x:v>
      </x:c>
      <x:c r="AT178" s="9"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x:f>
        <x:v>166.48078773488166</x:v>
      </x:c>
      <x:c r="AU178" s="9"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x:f>
        <x:v>113.49703397252357</x:v>
      </x:c>
      <x:c r="AV178" s="9"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x:f>
        <x:v>113.49703397252357</x:v>
      </x:c>
      <x:c r="AW178" s="10"/>
      <x:c r="AX178" s="9">
        <x:f t="shared" si="25"/>
        <x:v>0.46700000000000003</x:v>
      </x:c>
      <x:c r="AY178" s="9" t="n">
        <x:f>0</x:f>
        <x:v>0</x:v>
      </x:c>
      <x:c r="AZ178" s="9" t="n">
        <x:f>IF(OR(Inputs!$F$6=TRUE,Inputs!$F$6="TRUE",Inputs!$F$6=1),(Inputs!$H$6+Inputs!$L$6*(((Inputs!$I$6+(((A178)+1)/2)*(Inputs!$J$6-Inputs!$I$6)))/Inputs!$K$6)^2),NA())</x:f>
        <x:v>400.872356</x:v>
      </x:c>
      <x:c r="BA178" s="9" t="n">
        <x:f>IF(OR(Inputs!$F$7=TRUE,Inputs!$F$7="TRUE",Inputs!$F$7=1),(Inputs!$H$7+Inputs!$L$7*(((Inputs!$I$7+(((A178)+1)/2)*(Inputs!$J$7-Inputs!$I$7)))/Inputs!$K$7)^2),NA())</x:f>
        <x:v>114.60248500000006</x:v>
      </x:c>
      <x:c r="BB178" s="9" t="n">
        <x:f>IF(OR(Inputs!$F$8=TRUE,Inputs!$F$8="TRUE",Inputs!$F$8=1),(Inputs!$H$8+Inputs!$L$8*(((Inputs!$I$8+(((A178)+1)/2)*(Inputs!$J$8-Inputs!$I$8)))/Inputs!$K$8)^2),NA())</x:f>
        <x:v>245.45588500000017</x:v>
      </x:c>
      <x:c r="BC178" s="9" t="n">
        <x:f>IF(OR(Inputs!$F$9=TRUE,Inputs!$F$9="TRUE",Inputs!$F$9=1),(Inputs!$H$9+Inputs!$L$9*(((Inputs!$I$9+(((A178)+1)/2)*(Inputs!$J$9-Inputs!$I$9)))/Inputs!$K$9)^2),NA())</x:f>
        <x:v>237.63677500000017</x:v>
      </x:c>
      <x:c r="BD178" s="10"/>
      <x:c r="BE178" s="9">
        <x:f t="shared" si="26"/>
        <x:v>0.46700000000000003</x:v>
      </x:c>
      <x:c r="BF178" s="9" t="n">
        <x:f>0</x:f>
        <x:v>0</x:v>
      </x:c>
      <x:c r="BG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9" t="n">
        <x:f>ROUND(-1+177*2/240,3)</x:f>
        <x:v>0.475</x:v>
      </x:c>
      <x:c r="B179" s="9" t="n">
        <x:f>IF(OR(Inputs!$F$6=TRUE,Inputs!$F$6="TRUE",Inputs!$F$6=1),(Inputs!$H$6+Inputs!$L$6*(((Inputs!$I$6+(((A179)+1)/2)*(Inputs!$J$6-Inputs!$I$6)))/Inputs!$K$6)^2),NA())</x:f>
        <x:v>400.9025</x:v>
      </x:c>
      <x:c r="C179" s="9" t="n">
        <x:f>IF(OR(Inputs!$F$7=TRUE,Inputs!$F$7="TRUE",Inputs!$F$7=1),(Inputs!$H$7+Inputs!$L$7*(((Inputs!$I$7+(((A179)+1)/2)*(Inputs!$J$7-Inputs!$I$7)))/Inputs!$K$7)^2),NA())</x:f>
        <x:v>117.35312499999999</x:v>
      </x:c>
      <x:c r="D179" s="9" t="n">
        <x:f>IF(OR(Inputs!$F$8=TRUE,Inputs!$F$8="TRUE",Inputs!$F$8=1),(Inputs!$H$8+Inputs!$L$8*(((Inputs!$I$8+(((A179)+1)/2)*(Inputs!$J$8-Inputs!$I$8)))/Inputs!$K$8)^2),NA())</x:f>
        <x:v>252.728125</x:v>
      </x:c>
      <x:c r="E179" s="9" t="n">
        <x:f>IF(OR(Inputs!$F$9=TRUE,Inputs!$F$9="TRUE",Inputs!$F$9=1),(Inputs!$H$9+Inputs!$L$9*(((Inputs!$I$9+(((A179)+1)/2)*(Inputs!$J$9-Inputs!$I$9)))/Inputs!$K$9)^2),NA())</x:f>
        <x:v>244.984375</x:v>
      </x:c>
      <x:c r="F179" s="10"/>
      <x:c r="G179" s="9">
        <x:f t="shared" si="18"/>
        <x:v>0.47499999999999998</x:v>
      </x:c>
      <x:c r="H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10"/>
      <x:c r="M179" s="9">
        <x:f t="shared" si="19"/>
        <x:v>0.47499999999999998</x:v>
      </x:c>
      <x:c r="N179" s="9"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9"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9"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9"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10"/>
      <x:c r="S179" s="9">
        <x:f t="shared" si="20"/>
        <x:v>0.47499999999999998</x:v>
      </x:c>
      <x:c r="T179" s="9" t="n">
        <x:f>(Inputs!$I$6+(((A179)+1)/2)*(Inputs!$J$6-Inputs!$I$6))</x:f>
        <x:v>28.5</x:v>
      </x:c>
      <x:c r="U179" s="9" t="n">
        <x:f>(Inputs!$I$7+(((A179)+1)/2)*(Inputs!$J$7-Inputs!$I$7))</x:f>
        <x:v>190</x:v>
      </x:c>
      <x:c r="V179" s="9" t="n">
        <x:f>(Inputs!$I$8+(((A179)+1)/2)*(Inputs!$J$8-Inputs!$I$8))</x:f>
        <x:v>380</x:v>
      </x:c>
      <x:c r="W179" s="9" t="n">
        <x:f>(Inputs!$I$9+(((A179)+1)/2)*(Inputs!$J$9-Inputs!$I$9))</x:f>
        <x:v>380</x:v>
      </x:c>
      <x:c r="X179" s="10"/>
      <x:c r="Y179" s="9">
        <x:f t="shared" si="21"/>
        <x:v>0.47499999999999998</x:v>
      </x:c>
      <x:c r="Z179" s="9" t="n">
        <x:f>(Inputs!$H$6+Inputs!$L$6*(((Inputs!$I$6+(((A179)+1)/2)*(Inputs!$J$6-Inputs!$I$6)))/Inputs!$K$6)^2)</x:f>
        <x:v>400.9025</x:v>
      </x:c>
      <x:c r="AA179" s="9" t="n">
        <x:f>(Inputs!$H$7+Inputs!$L$7*(((Inputs!$I$7+(((A179)+1)/2)*(Inputs!$J$7-Inputs!$I$7)))/Inputs!$K$7)^2)</x:f>
        <x:v>117.35312499999999</x:v>
      </x:c>
      <x:c r="AB179" s="9" t="n">
        <x:f>(Inputs!$H$8+Inputs!$L$8*(((Inputs!$I$8+(((A179)+1)/2)*(Inputs!$J$8-Inputs!$I$8)))/Inputs!$K$8)^2)</x:f>
        <x:v>252.728125</x:v>
      </x:c>
      <x:c r="AC179" s="9" t="n">
        <x:f>(Inputs!$H$9+Inputs!$L$9*(((Inputs!$I$9+(((A179)+1)/2)*(Inputs!$J$9-Inputs!$I$9)))/Inputs!$K$9)^2)</x:f>
        <x:v>244.984375</x:v>
      </x:c>
      <x:c r="AD179" s="10"/>
      <x:c r="AE179" s="9">
        <x:f t="shared" si="22"/>
        <x:v>0.47499999999999998</x:v>
      </x:c>
      <x:c r="AF179" s="9"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9"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9"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9"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10"/>
      <x:c r="AK179" s="9">
        <x:f t="shared" si="23"/>
        <x:v>0.47499999999999998</x:v>
      </x:c>
      <x:c r="AL179" s="9"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9"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9"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9"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10"/>
      <x:c r="AQ179" s="9">
        <x:f t="shared" si="24"/>
        <x:v>0.47499999999999998</x:v>
      </x:c>
      <x:c r="AR179" s="9" t="n">
        <x:f>0</x:f>
        <x:v>0</x:v>
      </x:c>
      <x:c r="AS179" s="9"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x:f>
        <x:v>310.4659866511931</x:v>
      </x:c>
      <x:c r="AT179" s="9"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x:f>
        <x:v>125.04995835066069</x:v>
      </x:c>
      <x:c r="AU179" s="9"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x:f>
        <x:v>190.6077590066482</x:v>
      </x:c>
      <x:c r="AV179" s="9"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x:f>
        <x:v>190.6077590066482</x:v>
      </x:c>
      <x:c r="AW179" s="10"/>
      <x:c r="AX179" s="9">
        <x:f t="shared" si="25"/>
        <x:v>0.47499999999999998</x:v>
      </x:c>
      <x:c r="AY179" s="9" t="n">
        <x:f>0</x:f>
        <x:v>0</x:v>
      </x:c>
      <x:c r="AZ179" s="9" t="n">
        <x:f>IF(OR(Inputs!$F$6=TRUE,Inputs!$F$6="TRUE",Inputs!$F$6=1),(Inputs!$H$6+Inputs!$L$6*(((Inputs!$I$6+(((A179)+1)/2)*(Inputs!$J$6-Inputs!$I$6)))/Inputs!$K$6)^2),NA())</x:f>
        <x:v>400.9025</x:v>
      </x:c>
      <x:c r="BA179" s="9" t="n">
        <x:f>IF(OR(Inputs!$F$7=TRUE,Inputs!$F$7="TRUE",Inputs!$F$7=1),(Inputs!$H$7+Inputs!$L$7*(((Inputs!$I$7+(((A179)+1)/2)*(Inputs!$J$7-Inputs!$I$7)))/Inputs!$K$7)^2),NA())</x:f>
        <x:v>117.35312499999999</x:v>
      </x:c>
      <x:c r="BB179" s="9" t="n">
        <x:f>IF(OR(Inputs!$F$8=TRUE,Inputs!$F$8="TRUE",Inputs!$F$8=1),(Inputs!$H$8+Inputs!$L$8*(((Inputs!$I$8+(((A179)+1)/2)*(Inputs!$J$8-Inputs!$I$8)))/Inputs!$K$8)^2),NA())</x:f>
        <x:v>252.728125</x:v>
      </x:c>
      <x:c r="BC179" s="9" t="n">
        <x:f>IF(OR(Inputs!$F$9=TRUE,Inputs!$F$9="TRUE",Inputs!$F$9=1),(Inputs!$H$9+Inputs!$L$9*(((Inputs!$I$9+(((A179)+1)/2)*(Inputs!$J$9-Inputs!$I$9)))/Inputs!$K$9)^2),NA())</x:f>
        <x:v>244.984375</x:v>
      </x:c>
      <x:c r="BD179" s="10"/>
      <x:c r="BE179" s="9">
        <x:f t="shared" si="26"/>
        <x:v>0.47499999999999998</x:v>
      </x:c>
      <x:c r="BF179" s="9" t="n">
        <x:f>0</x:f>
        <x:v>0</x:v>
      </x:c>
      <x:c r="BG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9" t="n">
        <x:f>ROUND(-1+178*2/240,3)</x:f>
        <x:v>0.483</x:v>
      </x:c>
      <x:c r="B180" s="9" t="n">
        <x:f>IF(OR(Inputs!$F$6=TRUE,Inputs!$F$6="TRUE",Inputs!$F$6=1),(Inputs!$H$6+Inputs!$L$6*(((Inputs!$I$6+(((A180)+1)/2)*(Inputs!$J$6-Inputs!$I$6)))/Inputs!$K$6)^2),NA())</x:f>
        <x:v>400.933156</x:v>
      </x:c>
      <x:c r="C180" s="9" t="n">
        <x:f>IF(OR(Inputs!$F$7=TRUE,Inputs!$F$7="TRUE",Inputs!$F$7=1),(Inputs!$H$7+Inputs!$L$7*(((Inputs!$I$7+(((A180)+1)/2)*(Inputs!$J$7-Inputs!$I$7)))/Inputs!$K$7)^2),NA())</x:f>
        <x:v>120.15048500000003</x:v>
      </x:c>
      <x:c r="D180" s="9" t="n">
        <x:f>IF(OR(Inputs!$F$8=TRUE,Inputs!$F$8="TRUE",Inputs!$F$8=1),(Inputs!$H$8+Inputs!$L$8*(((Inputs!$I$8+(((A180)+1)/2)*(Inputs!$J$8-Inputs!$I$8)))/Inputs!$K$8)^2),NA())</x:f>
        <x:v>260.1238850000001</x:v>
      </x:c>
      <x:c r="E180" s="9" t="n">
        <x:f>IF(OR(Inputs!$F$9=TRUE,Inputs!$F$9="TRUE",Inputs!$F$9=1),(Inputs!$H$9+Inputs!$L$9*(((Inputs!$I$9+(((A180)+1)/2)*(Inputs!$J$9-Inputs!$I$9)))/Inputs!$K$9)^2),NA())</x:f>
        <x:v>252.45677500000008</x:v>
      </x:c>
      <x:c r="F180" s="10"/>
      <x:c r="G180" s="9">
        <x:f t="shared" si="18"/>
        <x:v>0.48299999999999998</x:v>
      </x:c>
      <x:c r="H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10"/>
      <x:c r="M180" s="9">
        <x:f t="shared" si="19"/>
        <x:v>0.48299999999999998</x:v>
      </x:c>
      <x:c r="N180" s="9"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9"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9"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9"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10"/>
      <x:c r="S180" s="9">
        <x:f t="shared" si="20"/>
        <x:v>0.48299999999999998</x:v>
      </x:c>
      <x:c r="T180" s="9" t="n">
        <x:f>(Inputs!$I$6+(((A180)+1)/2)*(Inputs!$J$6-Inputs!$I$6))</x:f>
        <x:v>28.980000000000004</x:v>
      </x:c>
      <x:c r="U180" s="9" t="n">
        <x:f>(Inputs!$I$7+(((A180)+1)/2)*(Inputs!$J$7-Inputs!$I$7))</x:f>
        <x:v>193.20000000000005</x:v>
      </x:c>
      <x:c r="V180" s="9" t="n">
        <x:f>(Inputs!$I$8+(((A180)+1)/2)*(Inputs!$J$8-Inputs!$I$8))</x:f>
        <x:v>386.4000000000001</x:v>
      </x:c>
      <x:c r="W180" s="9" t="n">
        <x:f>(Inputs!$I$9+(((A180)+1)/2)*(Inputs!$J$9-Inputs!$I$9))</x:f>
        <x:v>386.4000000000001</x:v>
      </x:c>
      <x:c r="X180" s="10"/>
      <x:c r="Y180" s="9">
        <x:f t="shared" si="21"/>
        <x:v>0.48299999999999998</x:v>
      </x:c>
      <x:c r="Z180" s="9" t="n">
        <x:f>(Inputs!$H$6+Inputs!$L$6*(((Inputs!$I$6+(((A180)+1)/2)*(Inputs!$J$6-Inputs!$I$6)))/Inputs!$K$6)^2)</x:f>
        <x:v>400.933156</x:v>
      </x:c>
      <x:c r="AA180" s="9" t="n">
        <x:f>(Inputs!$H$7+Inputs!$L$7*(((Inputs!$I$7+(((A180)+1)/2)*(Inputs!$J$7-Inputs!$I$7)))/Inputs!$K$7)^2)</x:f>
        <x:v>120.15048500000003</x:v>
      </x:c>
      <x:c r="AB180" s="9" t="n">
        <x:f>(Inputs!$H$8+Inputs!$L$8*(((Inputs!$I$8+(((A180)+1)/2)*(Inputs!$J$8-Inputs!$I$8)))/Inputs!$K$8)^2)</x:f>
        <x:v>260.1238850000001</x:v>
      </x:c>
      <x:c r="AC180" s="9" t="n">
        <x:f>(Inputs!$H$9+Inputs!$L$9*(((Inputs!$I$9+(((A180)+1)/2)*(Inputs!$J$9-Inputs!$I$9)))/Inputs!$K$9)^2)</x:f>
        <x:v>252.45677500000008</x:v>
      </x:c>
      <x:c r="AD180" s="10"/>
      <x:c r="AE180" s="9">
        <x:f t="shared" si="22"/>
        <x:v>0.48299999999999998</x:v>
      </x:c>
      <x:c r="AF180" s="9"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9"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9"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9"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10"/>
      <x:c r="AK180" s="9">
        <x:f t="shared" si="23"/>
        <x:v>0.48299999999999998</x:v>
      </x:c>
      <x:c r="AL180" s="9"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9"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9"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9"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10"/>
      <x:c r="AQ180" s="9">
        <x:f t="shared" si="24"/>
        <x:v>0.48299999999999998</x:v>
      </x:c>
      <x:c r="AR180" s="9" t="n">
        <x:f>0</x:f>
        <x:v>0</x:v>
      </x:c>
      <x:c r="AS180" s="9"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x:f>
        <x:v>275.3322887066261</x:v>
      </x:c>
      <x:c r="AT180" s="9"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x:f>
        <x:v>75.65034076290499</x:v>
      </x:c>
      <x:c r="AU180" s="9"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x:f>
        <x:v>172.29954163024684</x:v>
      </x:c>
      <x:c r="AV180" s="9"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x:f>
        <x:v>172.29954163024684</x:v>
      </x:c>
      <x:c r="AW180" s="10"/>
      <x:c r="AX180" s="9">
        <x:f t="shared" si="25"/>
        <x:v>0.48299999999999998</x:v>
      </x:c>
      <x:c r="AY180" s="9" t="n">
        <x:f>0</x:f>
        <x:v>0</x:v>
      </x:c>
      <x:c r="AZ180" s="9" t="n">
        <x:f>IF(OR(Inputs!$F$6=TRUE,Inputs!$F$6="TRUE",Inputs!$F$6=1),(Inputs!$H$6+Inputs!$L$6*(((Inputs!$I$6+(((A180)+1)/2)*(Inputs!$J$6-Inputs!$I$6)))/Inputs!$K$6)^2),NA())</x:f>
        <x:v>400.933156</x:v>
      </x:c>
      <x:c r="BA180" s="9" t="n">
        <x:f>IF(OR(Inputs!$F$7=TRUE,Inputs!$F$7="TRUE",Inputs!$F$7=1),(Inputs!$H$7+Inputs!$L$7*(((Inputs!$I$7+(((A180)+1)/2)*(Inputs!$J$7-Inputs!$I$7)))/Inputs!$K$7)^2),NA())</x:f>
        <x:v>120.15048500000003</x:v>
      </x:c>
      <x:c r="BB180" s="9" t="n">
        <x:f>IF(OR(Inputs!$F$8=TRUE,Inputs!$F$8="TRUE",Inputs!$F$8=1),(Inputs!$H$8+Inputs!$L$8*(((Inputs!$I$8+(((A180)+1)/2)*(Inputs!$J$8-Inputs!$I$8)))/Inputs!$K$8)^2),NA())</x:f>
        <x:v>260.1238850000001</x:v>
      </x:c>
      <x:c r="BC180" s="9" t="n">
        <x:f>IF(OR(Inputs!$F$9=TRUE,Inputs!$F$9="TRUE",Inputs!$F$9=1),(Inputs!$H$9+Inputs!$L$9*(((Inputs!$I$9+(((A180)+1)/2)*(Inputs!$J$9-Inputs!$I$9)))/Inputs!$K$9)^2),NA())</x:f>
        <x:v>252.45677500000008</x:v>
      </x:c>
      <x:c r="BD180" s="10"/>
      <x:c r="BE180" s="9">
        <x:f t="shared" si="26"/>
        <x:v>0.48299999999999998</x:v>
      </x:c>
      <x:c r="BF180" s="9" t="n">
        <x:f>0</x:f>
        <x:v>0</x:v>
      </x:c>
      <x:c r="BG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9" t="n">
        <x:f>ROUND(-1+179*2/240,3)</x:f>
        <x:v>0.492</x:v>
      </x:c>
      <x:c r="B181" s="9" t="n">
        <x:f>IF(OR(Inputs!$F$6=TRUE,Inputs!$F$6="TRUE",Inputs!$F$6=1),(Inputs!$H$6+Inputs!$L$6*(((Inputs!$I$6+(((A181)+1)/2)*(Inputs!$J$6-Inputs!$I$6)))/Inputs!$K$6)^2),NA())</x:f>
        <x:v>400.968256</x:v>
      </x:c>
      <x:c r="C181" s="9" t="n">
        <x:f>IF(OR(Inputs!$F$7=TRUE,Inputs!$F$7="TRUE",Inputs!$F$7=1),(Inputs!$H$7+Inputs!$L$7*(((Inputs!$I$7+(((A181)+1)/2)*(Inputs!$J$7-Inputs!$I$7)))/Inputs!$K$7)^2),NA())</x:f>
        <x:v>123.35335999999997</x:v>
      </x:c>
      <x:c r="D181" s="9" t="n">
        <x:f>IF(OR(Inputs!$F$8=TRUE,Inputs!$F$8="TRUE",Inputs!$F$8=1),(Inputs!$H$8+Inputs!$L$8*(((Inputs!$I$8+(((A181)+1)/2)*(Inputs!$J$8-Inputs!$I$8)))/Inputs!$K$8)^2),NA())</x:f>
        <x:v>268.5917599999999</x:v>
      </x:c>
      <x:c r="E181" s="9" t="n">
        <x:f>IF(OR(Inputs!$F$9=TRUE,Inputs!$F$9="TRUE",Inputs!$F$9=1),(Inputs!$H$9+Inputs!$L$9*(((Inputs!$I$9+(((A181)+1)/2)*(Inputs!$J$9-Inputs!$I$9)))/Inputs!$K$9)^2),NA())</x:f>
        <x:v>261.0123999999999</x:v>
      </x:c>
      <x:c r="F181" s="10"/>
      <x:c r="G181" s="9">
        <x:f t="shared" si="18"/>
        <x:v>0.49199999999999999</x:v>
      </x:c>
      <x:c r="H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10"/>
      <x:c r="M181" s="9">
        <x:f t="shared" si="19"/>
        <x:v>0.49199999999999999</x:v>
      </x:c>
      <x:c r="N181" s="9"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9"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9"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9"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10"/>
      <x:c r="S181" s="9">
        <x:f t="shared" si="20"/>
        <x:v>0.49199999999999999</x:v>
      </x:c>
      <x:c r="T181" s="9" t="n">
        <x:f>(Inputs!$I$6+(((A181)+1)/2)*(Inputs!$J$6-Inputs!$I$6))</x:f>
        <x:v>29.519999999999996</x:v>
      </x:c>
      <x:c r="U181" s="9" t="n">
        <x:f>(Inputs!$I$7+(((A181)+1)/2)*(Inputs!$J$7-Inputs!$I$7))</x:f>
        <x:v>196.79999999999995</x:v>
      </x:c>
      <x:c r="V181" s="9" t="n">
        <x:f>(Inputs!$I$8+(((A181)+1)/2)*(Inputs!$J$8-Inputs!$I$8))</x:f>
        <x:v>393.5999999999999</x:v>
      </x:c>
      <x:c r="W181" s="9" t="n">
        <x:f>(Inputs!$I$9+(((A181)+1)/2)*(Inputs!$J$9-Inputs!$I$9))</x:f>
        <x:v>393.5999999999999</x:v>
      </x:c>
      <x:c r="X181" s="10"/>
      <x:c r="Y181" s="9">
        <x:f t="shared" si="21"/>
        <x:v>0.49199999999999999</x:v>
      </x:c>
      <x:c r="Z181" s="9" t="n">
        <x:f>(Inputs!$H$6+Inputs!$L$6*(((Inputs!$I$6+(((A181)+1)/2)*(Inputs!$J$6-Inputs!$I$6)))/Inputs!$K$6)^2)</x:f>
        <x:v>400.968256</x:v>
      </x:c>
      <x:c r="AA181" s="9" t="n">
        <x:f>(Inputs!$H$7+Inputs!$L$7*(((Inputs!$I$7+(((A181)+1)/2)*(Inputs!$J$7-Inputs!$I$7)))/Inputs!$K$7)^2)</x:f>
        <x:v>123.35335999999997</x:v>
      </x:c>
      <x:c r="AB181" s="9" t="n">
        <x:f>(Inputs!$H$8+Inputs!$L$8*(((Inputs!$I$8+(((A181)+1)/2)*(Inputs!$J$8-Inputs!$I$8)))/Inputs!$K$8)^2)</x:f>
        <x:v>268.5917599999999</x:v>
      </x:c>
      <x:c r="AC181" s="9" t="n">
        <x:f>(Inputs!$H$9+Inputs!$L$9*(((Inputs!$I$9+(((A181)+1)/2)*(Inputs!$J$9-Inputs!$I$9)))/Inputs!$K$9)^2)</x:f>
        <x:v>261.0123999999999</x:v>
      </x:c>
      <x:c r="AD181" s="10"/>
      <x:c r="AE181" s="9">
        <x:f t="shared" si="22"/>
        <x:v>0.49199999999999999</x:v>
      </x:c>
      <x:c r="AF181" s="9"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9"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9"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9"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10"/>
      <x:c r="AK181" s="9">
        <x:f t="shared" si="23"/>
        <x:v>0.49199999999999999</x:v>
      </x:c>
      <x:c r="AL181" s="9"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9"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9"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9"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10"/>
      <x:c r="AQ181" s="9">
        <x:f t="shared" si="24"/>
        <x:v>0.49199999999999999</x:v>
      </x:c>
      <x:c r="AR181" s="9" t="n">
        <x:f>0</x:f>
        <x:v>0</x:v>
      </x:c>
      <x:c r="AS181" s="9"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x:f>
        <x:v>279.435104404469</x:v>
      </x:c>
      <x:c r="AT181" s="9"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x:f>
        <x:v>107.35304268822318</x:v>
      </x:c>
      <x:c r="AU181" s="9"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x:f>
        <x:v>80.87930746996554</x:v>
      </x:c>
      <x:c r="AV181" s="9"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x:f>
        <x:v>80.87930746996554</x:v>
      </x:c>
      <x:c r="AW181" s="10"/>
      <x:c r="AX181" s="9">
        <x:f t="shared" si="25"/>
        <x:v>0.49199999999999999</x:v>
      </x:c>
      <x:c r="AY181" s="9" t="n">
        <x:f>0</x:f>
        <x:v>0</x:v>
      </x:c>
      <x:c r="AZ181" s="9" t="n">
        <x:f>IF(OR(Inputs!$F$6=TRUE,Inputs!$F$6="TRUE",Inputs!$F$6=1),(Inputs!$H$6+Inputs!$L$6*(((Inputs!$I$6+(((A181)+1)/2)*(Inputs!$J$6-Inputs!$I$6)))/Inputs!$K$6)^2),NA())</x:f>
        <x:v>400.968256</x:v>
      </x:c>
      <x:c r="BA181" s="9" t="n">
        <x:f>IF(OR(Inputs!$F$7=TRUE,Inputs!$F$7="TRUE",Inputs!$F$7=1),(Inputs!$H$7+Inputs!$L$7*(((Inputs!$I$7+(((A181)+1)/2)*(Inputs!$J$7-Inputs!$I$7)))/Inputs!$K$7)^2),NA())</x:f>
        <x:v>123.35335999999997</x:v>
      </x:c>
      <x:c r="BB181" s="9" t="n">
        <x:f>IF(OR(Inputs!$F$8=TRUE,Inputs!$F$8="TRUE",Inputs!$F$8=1),(Inputs!$H$8+Inputs!$L$8*(((Inputs!$I$8+(((A181)+1)/2)*(Inputs!$J$8-Inputs!$I$8)))/Inputs!$K$8)^2),NA())</x:f>
        <x:v>268.5917599999999</x:v>
      </x:c>
      <x:c r="BC181" s="9" t="n">
        <x:f>IF(OR(Inputs!$F$9=TRUE,Inputs!$F$9="TRUE",Inputs!$F$9=1),(Inputs!$H$9+Inputs!$L$9*(((Inputs!$I$9+(((A181)+1)/2)*(Inputs!$J$9-Inputs!$I$9)))/Inputs!$K$9)^2),NA())</x:f>
        <x:v>261.0123999999999</x:v>
      </x:c>
      <x:c r="BD181" s="10"/>
      <x:c r="BE181" s="9">
        <x:f t="shared" si="26"/>
        <x:v>0.49199999999999999</x:v>
      </x:c>
      <x:c r="BF181" s="9" t="n">
        <x:f>0</x:f>
        <x:v>0</x:v>
      </x:c>
      <x:c r="BG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9" t="n">
        <x:f>ROUND(-1+180*2/240,3)</x:f>
        <x:v>0.5</x:v>
      </x:c>
      <x:c r="B182" s="9" t="n">
        <x:f>IF(OR(Inputs!$F$6=TRUE,Inputs!$F$6="TRUE",Inputs!$F$6=1),(Inputs!$H$6+Inputs!$L$6*(((Inputs!$I$6+(((A182)+1)/2)*(Inputs!$J$6-Inputs!$I$6)))/Inputs!$K$6)^2),NA())</x:f>
        <x:v>401</x:v>
      </x:c>
      <x:c r="C182" s="9" t="n">
        <x:f>IF(OR(Inputs!$F$7=TRUE,Inputs!$F$7="TRUE",Inputs!$F$7=1),(Inputs!$H$7+Inputs!$L$7*(((Inputs!$I$7+(((A182)+1)/2)*(Inputs!$J$7-Inputs!$I$7)))/Inputs!$K$7)^2),NA())</x:f>
        <x:v>126.25</x:v>
      </x:c>
      <x:c r="D182" s="9" t="n">
        <x:f>IF(OR(Inputs!$F$8=TRUE,Inputs!$F$8="TRUE",Inputs!$F$8=1),(Inputs!$H$8+Inputs!$L$8*(((Inputs!$I$8+(((A182)+1)/2)*(Inputs!$J$8-Inputs!$I$8)))/Inputs!$K$8)^2),NA())</x:f>
        <x:v>276.25</x:v>
      </x:c>
      <x:c r="E182" s="9" t="n">
        <x:f>IF(OR(Inputs!$F$9=TRUE,Inputs!$F$9="TRUE",Inputs!$F$9=1),(Inputs!$H$9+Inputs!$L$9*(((Inputs!$I$9+(((A182)+1)/2)*(Inputs!$J$9-Inputs!$I$9)))/Inputs!$K$9)^2),NA())</x:f>
        <x:v>268.75</x:v>
      </x:c>
      <x:c r="F182" s="10"/>
      <x:c r="G182" s="9">
        <x:f t="shared" si="18"/>
        <x:v>0.5</x:v>
      </x:c>
      <x:c r="H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10"/>
      <x:c r="M182" s="9">
        <x:f t="shared" si="19"/>
        <x:v>0.5</x:v>
      </x:c>
      <x:c r="N182" s="9"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9"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9"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9"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10"/>
      <x:c r="S182" s="9">
        <x:f t="shared" si="20"/>
        <x:v>0.5</x:v>
      </x:c>
      <x:c r="T182" s="9" t="n">
        <x:f>(Inputs!$I$6+(((A182)+1)/2)*(Inputs!$J$6-Inputs!$I$6))</x:f>
        <x:v>30</x:v>
      </x:c>
      <x:c r="U182" s="9" t="n">
        <x:f>(Inputs!$I$7+(((A182)+1)/2)*(Inputs!$J$7-Inputs!$I$7))</x:f>
        <x:v>200</x:v>
      </x:c>
      <x:c r="V182" s="9" t="n">
        <x:f>(Inputs!$I$8+(((A182)+1)/2)*(Inputs!$J$8-Inputs!$I$8))</x:f>
        <x:v>400</x:v>
      </x:c>
      <x:c r="W182" s="9" t="n">
        <x:f>(Inputs!$I$9+(((A182)+1)/2)*(Inputs!$J$9-Inputs!$I$9))</x:f>
        <x:v>400</x:v>
      </x:c>
      <x:c r="X182" s="10"/>
      <x:c r="Y182" s="9">
        <x:f t="shared" si="21"/>
        <x:v>0.5</x:v>
      </x:c>
      <x:c r="Z182" s="9" t="n">
        <x:f>(Inputs!$H$6+Inputs!$L$6*(((Inputs!$I$6+(((A182)+1)/2)*(Inputs!$J$6-Inputs!$I$6)))/Inputs!$K$6)^2)</x:f>
        <x:v>401</x:v>
      </x:c>
      <x:c r="AA182" s="9" t="n">
        <x:f>(Inputs!$H$7+Inputs!$L$7*(((Inputs!$I$7+(((A182)+1)/2)*(Inputs!$J$7-Inputs!$I$7)))/Inputs!$K$7)^2)</x:f>
        <x:v>126.25</x:v>
      </x:c>
      <x:c r="AB182" s="9" t="n">
        <x:f>(Inputs!$H$8+Inputs!$L$8*(((Inputs!$I$8+(((A182)+1)/2)*(Inputs!$J$8-Inputs!$I$8)))/Inputs!$K$8)^2)</x:f>
        <x:v>276.25</x:v>
      </x:c>
      <x:c r="AC182" s="9" t="n">
        <x:f>(Inputs!$H$9+Inputs!$L$9*(((Inputs!$I$9+(((A182)+1)/2)*(Inputs!$J$9-Inputs!$I$9)))/Inputs!$K$9)^2)</x:f>
        <x:v>268.75</x:v>
      </x:c>
      <x:c r="AD182" s="10"/>
      <x:c r="AE182" s="9">
        <x:f t="shared" si="22"/>
        <x:v>0.5</x:v>
      </x:c>
      <x:c r="AF182" s="9"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9"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9"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9"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10"/>
      <x:c r="AK182" s="9">
        <x:f t="shared" si="23"/>
        <x:v>0.5</x:v>
      </x:c>
      <x:c r="AL182" s="9"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9"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9"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9"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10"/>
      <x:c r="AQ182" s="9">
        <x:f t="shared" si="24"/>
        <x:v>0.5</x:v>
      </x:c>
      <x:c r="AR182" s="9" t="n">
        <x:f>0</x:f>
        <x:v>0</x:v>
      </x:c>
      <x:c r="AS182" s="9"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x:f>
        <x:v>258.3810354027646</x:v>
      </x:c>
      <x:c r="AT182" s="9"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x:f>
        <x:v>158.86775074007286</x:v>
      </x:c>
      <x:c r="AU182" s="9"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x:f>
        <x:v>200.7418453023654</x:v>
      </x:c>
      <x:c r="AV182" s="9"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x:f>
        <x:v>200.7418453023654</x:v>
      </x:c>
      <x:c r="AW182" s="10"/>
      <x:c r="AX182" s="9">
        <x:f t="shared" si="25"/>
        <x:v>0.5</x:v>
      </x:c>
      <x:c r="AY182" s="9" t="n">
        <x:f>0</x:f>
        <x:v>0</x:v>
      </x:c>
      <x:c r="AZ182" s="9" t="n">
        <x:f>IF(OR(Inputs!$F$6=TRUE,Inputs!$F$6="TRUE",Inputs!$F$6=1),(Inputs!$H$6+Inputs!$L$6*(((Inputs!$I$6+(((A182)+1)/2)*(Inputs!$J$6-Inputs!$I$6)))/Inputs!$K$6)^2),NA())</x:f>
        <x:v>401</x:v>
      </x:c>
      <x:c r="BA182" s="9" t="n">
        <x:f>IF(OR(Inputs!$F$7=TRUE,Inputs!$F$7="TRUE",Inputs!$F$7=1),(Inputs!$H$7+Inputs!$L$7*(((Inputs!$I$7+(((A182)+1)/2)*(Inputs!$J$7-Inputs!$I$7)))/Inputs!$K$7)^2),NA())</x:f>
        <x:v>126.25</x:v>
      </x:c>
      <x:c r="BB182" s="9" t="n">
        <x:f>IF(OR(Inputs!$F$8=TRUE,Inputs!$F$8="TRUE",Inputs!$F$8=1),(Inputs!$H$8+Inputs!$L$8*(((Inputs!$I$8+(((A182)+1)/2)*(Inputs!$J$8-Inputs!$I$8)))/Inputs!$K$8)^2),NA())</x:f>
        <x:v>276.25</x:v>
      </x:c>
      <x:c r="BC182" s="9" t="n">
        <x:f>IF(OR(Inputs!$F$9=TRUE,Inputs!$F$9="TRUE",Inputs!$F$9=1),(Inputs!$H$9+Inputs!$L$9*(((Inputs!$I$9+(((A182)+1)/2)*(Inputs!$J$9-Inputs!$I$9)))/Inputs!$K$9)^2),NA())</x:f>
        <x:v>268.75</x:v>
      </x:c>
      <x:c r="BD182" s="10"/>
      <x:c r="BE182" s="9">
        <x:f t="shared" si="26"/>
        <x:v>0.5</x:v>
      </x:c>
      <x:c r="BF182" s="9" t="n">
        <x:f>0</x:f>
        <x:v>0</x:v>
      </x:c>
      <x:c r="BG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9" t="n">
        <x:f>ROUND(-1+181*2/240,3)</x:f>
        <x:v>0.508</x:v>
      </x:c>
      <x:c r="B183" s="9" t="n">
        <x:f>IF(OR(Inputs!$F$6=TRUE,Inputs!$F$6="TRUE",Inputs!$F$6=1),(Inputs!$H$6+Inputs!$L$6*(((Inputs!$I$6+(((A183)+1)/2)*(Inputs!$J$6-Inputs!$I$6)))/Inputs!$K$6)^2),NA())</x:f>
        <x:v>401.032256</x:v>
      </x:c>
      <x:c r="C183" s="9" t="n">
        <x:f>IF(OR(Inputs!$F$7=TRUE,Inputs!$F$7="TRUE",Inputs!$F$7=1),(Inputs!$H$7+Inputs!$L$7*(((Inputs!$I$7+(((A183)+1)/2)*(Inputs!$J$7-Inputs!$I$7)))/Inputs!$K$7)^2),NA())</x:f>
        <x:v>129.19336000000004</x:v>
      </x:c>
      <x:c r="D183" s="9" t="n">
        <x:f>IF(OR(Inputs!$F$8=TRUE,Inputs!$F$8="TRUE",Inputs!$F$8=1),(Inputs!$H$8+Inputs!$L$8*(((Inputs!$I$8+(((A183)+1)/2)*(Inputs!$J$8-Inputs!$I$8)))/Inputs!$K$8)^2),NA())</x:f>
        <x:v>284.03176000000013</x:v>
      </x:c>
      <x:c r="E183" s="9" t="n">
        <x:f>IF(OR(Inputs!$F$9=TRUE,Inputs!$F$9="TRUE",Inputs!$F$9=1),(Inputs!$H$9+Inputs!$L$9*(((Inputs!$I$9+(((A183)+1)/2)*(Inputs!$J$9-Inputs!$I$9)))/Inputs!$K$9)^2),NA())</x:f>
        <x:v>276.6124000000001</x:v>
      </x:c>
      <x:c r="F183" s="10"/>
      <x:c r="G183" s="9">
        <x:f t="shared" si="18"/>
        <x:v>0.50800000000000001</x:v>
      </x:c>
      <x:c r="H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10"/>
      <x:c r="M183" s="9">
        <x:f t="shared" si="19"/>
        <x:v>0.50800000000000001</x:v>
      </x:c>
      <x:c r="N183" s="9"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9"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9"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9"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10"/>
      <x:c r="S183" s="9">
        <x:f t="shared" si="20"/>
        <x:v>0.50800000000000001</x:v>
      </x:c>
      <x:c r="T183" s="9" t="n">
        <x:f>(Inputs!$I$6+(((A183)+1)/2)*(Inputs!$J$6-Inputs!$I$6))</x:f>
        <x:v>30.480000000000004</x:v>
      </x:c>
      <x:c r="U183" s="9" t="n">
        <x:f>(Inputs!$I$7+(((A183)+1)/2)*(Inputs!$J$7-Inputs!$I$7))</x:f>
        <x:v>203.20000000000005</x:v>
      </x:c>
      <x:c r="V183" s="9" t="n">
        <x:f>(Inputs!$I$8+(((A183)+1)/2)*(Inputs!$J$8-Inputs!$I$8))</x:f>
        <x:v>406.4000000000001</x:v>
      </x:c>
      <x:c r="W183" s="9" t="n">
        <x:f>(Inputs!$I$9+(((A183)+1)/2)*(Inputs!$J$9-Inputs!$I$9))</x:f>
        <x:v>406.4000000000001</x:v>
      </x:c>
      <x:c r="X183" s="10"/>
      <x:c r="Y183" s="9">
        <x:f t="shared" si="21"/>
        <x:v>0.50800000000000001</x:v>
      </x:c>
      <x:c r="Z183" s="9" t="n">
        <x:f>(Inputs!$H$6+Inputs!$L$6*(((Inputs!$I$6+(((A183)+1)/2)*(Inputs!$J$6-Inputs!$I$6)))/Inputs!$K$6)^2)</x:f>
        <x:v>401.032256</x:v>
      </x:c>
      <x:c r="AA183" s="9" t="n">
        <x:f>(Inputs!$H$7+Inputs!$L$7*(((Inputs!$I$7+(((A183)+1)/2)*(Inputs!$J$7-Inputs!$I$7)))/Inputs!$K$7)^2)</x:f>
        <x:v>129.19336000000004</x:v>
      </x:c>
      <x:c r="AB183" s="9" t="n">
        <x:f>(Inputs!$H$8+Inputs!$L$8*(((Inputs!$I$8+(((A183)+1)/2)*(Inputs!$J$8-Inputs!$I$8)))/Inputs!$K$8)^2)</x:f>
        <x:v>284.03176000000013</x:v>
      </x:c>
      <x:c r="AC183" s="9" t="n">
        <x:f>(Inputs!$H$9+Inputs!$L$9*(((Inputs!$I$9+(((A183)+1)/2)*(Inputs!$J$9-Inputs!$I$9)))/Inputs!$K$9)^2)</x:f>
        <x:v>276.6124000000001</x:v>
      </x:c>
      <x:c r="AD183" s="10"/>
      <x:c r="AE183" s="9">
        <x:f t="shared" si="22"/>
        <x:v>0.50800000000000001</x:v>
      </x:c>
      <x:c r="AF183" s="9"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9"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9"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9"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10"/>
      <x:c r="AK183" s="9">
        <x:f t="shared" si="23"/>
        <x:v>0.50800000000000001</x:v>
      </x:c>
      <x:c r="AL183" s="9"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9"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9"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9"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10"/>
      <x:c r="AQ183" s="9">
        <x:f t="shared" si="24"/>
        <x:v>0.50800000000000001</x:v>
      </x:c>
      <x:c r="AR183" s="9" t="n">
        <x:f>0</x:f>
        <x:v>0</x:v>
      </x:c>
      <x:c r="AS183" s="9"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x:f>
        <x:v>248.30462581119681</x:v>
      </x:c>
      <x:c r="AT183" s="9"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x:f>
        <x:v>188.56626253642412</x:v>
      </x:c>
      <x:c r="AU183" s="9"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x:f>
        <x:v>74.77995597742478</x:v>
      </x:c>
      <x:c r="AV183" s="9"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x:f>
        <x:v>74.77995597742478</x:v>
      </x:c>
      <x:c r="AW183" s="10"/>
      <x:c r="AX183" s="9">
        <x:f t="shared" si="25"/>
        <x:v>0.50800000000000001</x:v>
      </x:c>
      <x:c r="AY183" s="9" t="n">
        <x:f>0</x:f>
        <x:v>0</x:v>
      </x:c>
      <x:c r="AZ183" s="9" t="n">
        <x:f>IF(OR(Inputs!$F$6=TRUE,Inputs!$F$6="TRUE",Inputs!$F$6=1),(Inputs!$H$6+Inputs!$L$6*(((Inputs!$I$6+(((A183)+1)/2)*(Inputs!$J$6-Inputs!$I$6)))/Inputs!$K$6)^2),NA())</x:f>
        <x:v>401.032256</x:v>
      </x:c>
      <x:c r="BA183" s="9" t="n">
        <x:f>IF(OR(Inputs!$F$7=TRUE,Inputs!$F$7="TRUE",Inputs!$F$7=1),(Inputs!$H$7+Inputs!$L$7*(((Inputs!$I$7+(((A183)+1)/2)*(Inputs!$J$7-Inputs!$I$7)))/Inputs!$K$7)^2),NA())</x:f>
        <x:v>129.19336000000004</x:v>
      </x:c>
      <x:c r="BB183" s="9" t="n">
        <x:f>IF(OR(Inputs!$F$8=TRUE,Inputs!$F$8="TRUE",Inputs!$F$8=1),(Inputs!$H$8+Inputs!$L$8*(((Inputs!$I$8+(((A183)+1)/2)*(Inputs!$J$8-Inputs!$I$8)))/Inputs!$K$8)^2),NA())</x:f>
        <x:v>284.03176000000013</x:v>
      </x:c>
      <x:c r="BC183" s="9" t="n">
        <x:f>IF(OR(Inputs!$F$9=TRUE,Inputs!$F$9="TRUE",Inputs!$F$9=1),(Inputs!$H$9+Inputs!$L$9*(((Inputs!$I$9+(((A183)+1)/2)*(Inputs!$J$9-Inputs!$I$9)))/Inputs!$K$9)^2),NA())</x:f>
        <x:v>276.6124000000001</x:v>
      </x:c>
      <x:c r="BD183" s="10"/>
      <x:c r="BE183" s="9">
        <x:f t="shared" si="26"/>
        <x:v>0.50800000000000001</x:v>
      </x:c>
      <x:c r="BF183" s="9" t="n">
        <x:f>0</x:f>
        <x:v>0</x:v>
      </x:c>
      <x:c r="BG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9" t="n">
        <x:f>ROUND(-1+182*2/240,3)</x:f>
        <x:v>0.517</x:v>
      </x:c>
      <x:c r="B184" s="9" t="n">
        <x:f>IF(OR(Inputs!$F$6=TRUE,Inputs!$F$6="TRUE",Inputs!$F$6=1),(Inputs!$H$6+Inputs!$L$6*(((Inputs!$I$6+(((A184)+1)/2)*(Inputs!$J$6-Inputs!$I$6)))/Inputs!$K$6)^2),NA())</x:f>
        <x:v>401.069156</x:v>
      </x:c>
      <x:c r="C184" s="9" t="n">
        <x:f>IF(OR(Inputs!$F$7=TRUE,Inputs!$F$7="TRUE",Inputs!$F$7=1),(Inputs!$H$7+Inputs!$L$7*(((Inputs!$I$7+(((A184)+1)/2)*(Inputs!$J$7-Inputs!$I$7)))/Inputs!$K$7)^2),NA())</x:f>
        <x:v>132.56048499999997</x:v>
      </x:c>
      <x:c r="D184" s="9" t="n">
        <x:f>IF(OR(Inputs!$F$8=TRUE,Inputs!$F$8="TRUE",Inputs!$F$8=1),(Inputs!$H$8+Inputs!$L$8*(((Inputs!$I$8+(((A184)+1)/2)*(Inputs!$J$8-Inputs!$I$8)))/Inputs!$K$8)^2),NA())</x:f>
        <x:v>292.9338849999999</x:v>
      </x:c>
      <x:c r="E184" s="9" t="n">
        <x:f>IF(OR(Inputs!$F$9=TRUE,Inputs!$F$9="TRUE",Inputs!$F$9=1),(Inputs!$H$9+Inputs!$L$9*(((Inputs!$I$9+(((A184)+1)/2)*(Inputs!$J$9-Inputs!$I$9)))/Inputs!$K$9)^2),NA())</x:f>
        <x:v>285.6067749999999</x:v>
      </x:c>
      <x:c r="F184" s="10"/>
      <x:c r="G184" s="9">
        <x:f t="shared" si="18"/>
        <x:v>0.51700000000000002</x:v>
      </x:c>
      <x:c r="H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10"/>
      <x:c r="M184" s="9">
        <x:f t="shared" si="19"/>
        <x:v>0.51700000000000002</x:v>
      </x:c>
      <x:c r="N184" s="9"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9"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9"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9"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10"/>
      <x:c r="S184" s="9">
        <x:f t="shared" si="20"/>
        <x:v>0.51700000000000002</x:v>
      </x:c>
      <x:c r="T184" s="9" t="n">
        <x:f>(Inputs!$I$6+(((A184)+1)/2)*(Inputs!$J$6-Inputs!$I$6))</x:f>
        <x:v>31.019999999999996</x:v>
      </x:c>
      <x:c r="U184" s="9" t="n">
        <x:f>(Inputs!$I$7+(((A184)+1)/2)*(Inputs!$J$7-Inputs!$I$7))</x:f>
        <x:v>206.79999999999995</x:v>
      </x:c>
      <x:c r="V184" s="9" t="n">
        <x:f>(Inputs!$I$8+(((A184)+1)/2)*(Inputs!$J$8-Inputs!$I$8))</x:f>
        <x:v>413.5999999999999</x:v>
      </x:c>
      <x:c r="W184" s="9" t="n">
        <x:f>(Inputs!$I$9+(((A184)+1)/2)*(Inputs!$J$9-Inputs!$I$9))</x:f>
        <x:v>413.5999999999999</x:v>
      </x:c>
      <x:c r="X184" s="10"/>
      <x:c r="Y184" s="9">
        <x:f t="shared" si="21"/>
        <x:v>0.51700000000000002</x:v>
      </x:c>
      <x:c r="Z184" s="9" t="n">
        <x:f>(Inputs!$H$6+Inputs!$L$6*(((Inputs!$I$6+(((A184)+1)/2)*(Inputs!$J$6-Inputs!$I$6)))/Inputs!$K$6)^2)</x:f>
        <x:v>401.069156</x:v>
      </x:c>
      <x:c r="AA184" s="9" t="n">
        <x:f>(Inputs!$H$7+Inputs!$L$7*(((Inputs!$I$7+(((A184)+1)/2)*(Inputs!$J$7-Inputs!$I$7)))/Inputs!$K$7)^2)</x:f>
        <x:v>132.56048499999997</x:v>
      </x:c>
      <x:c r="AB184" s="9" t="n">
        <x:f>(Inputs!$H$8+Inputs!$L$8*(((Inputs!$I$8+(((A184)+1)/2)*(Inputs!$J$8-Inputs!$I$8)))/Inputs!$K$8)^2)</x:f>
        <x:v>292.9338849999999</x:v>
      </x:c>
      <x:c r="AC184" s="9" t="n">
        <x:f>(Inputs!$H$9+Inputs!$L$9*(((Inputs!$I$9+(((A184)+1)/2)*(Inputs!$J$9-Inputs!$I$9)))/Inputs!$K$9)^2)</x:f>
        <x:v>285.6067749999999</x:v>
      </x:c>
      <x:c r="AD184" s="10"/>
      <x:c r="AE184" s="9">
        <x:f t="shared" si="22"/>
        <x:v>0.51700000000000002</x:v>
      </x:c>
      <x:c r="AF184" s="9"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9"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9"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9"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10"/>
      <x:c r="AK184" s="9">
        <x:f t="shared" si="23"/>
        <x:v>0.51700000000000002</x:v>
      </x:c>
      <x:c r="AL184" s="9"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9"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9"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9"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10"/>
      <x:c r="AQ184" s="9">
        <x:f t="shared" si="24"/>
        <x:v>0.51700000000000002</x:v>
      </x:c>
      <x:c r="AR184" s="9" t="n">
        <x:f>0</x:f>
        <x:v>0</x:v>
      </x:c>
      <x:c r="AS184" s="9"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x:f>
        <x:v>244.67710451674026</x:v>
      </x:c>
      <x:c r="AT184" s="9"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x:f>
        <x:v>165.27951163003507</x:v>
      </x:c>
      <x:c r="AU184" s="9"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x:f>
        <x:v>139.62227780424172</x:v>
      </x:c>
      <x:c r="AV184" s="9"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x:f>
        <x:v>139.62227780424172</x:v>
      </x:c>
      <x:c r="AW184" s="10"/>
      <x:c r="AX184" s="9">
        <x:f t="shared" si="25"/>
        <x:v>0.51700000000000002</x:v>
      </x:c>
      <x:c r="AY184" s="9" t="n">
        <x:f>0</x:f>
        <x:v>0</x:v>
      </x:c>
      <x:c r="AZ184" s="9" t="n">
        <x:f>IF(OR(Inputs!$F$6=TRUE,Inputs!$F$6="TRUE",Inputs!$F$6=1),(Inputs!$H$6+Inputs!$L$6*(((Inputs!$I$6+(((A184)+1)/2)*(Inputs!$J$6-Inputs!$I$6)))/Inputs!$K$6)^2),NA())</x:f>
        <x:v>401.069156</x:v>
      </x:c>
      <x:c r="BA184" s="9" t="n">
        <x:f>IF(OR(Inputs!$F$7=TRUE,Inputs!$F$7="TRUE",Inputs!$F$7=1),(Inputs!$H$7+Inputs!$L$7*(((Inputs!$I$7+(((A184)+1)/2)*(Inputs!$J$7-Inputs!$I$7)))/Inputs!$K$7)^2),NA())</x:f>
        <x:v>132.56048499999997</x:v>
      </x:c>
      <x:c r="BB184" s="9" t="n">
        <x:f>IF(OR(Inputs!$F$8=TRUE,Inputs!$F$8="TRUE",Inputs!$F$8=1),(Inputs!$H$8+Inputs!$L$8*(((Inputs!$I$8+(((A184)+1)/2)*(Inputs!$J$8-Inputs!$I$8)))/Inputs!$K$8)^2),NA())</x:f>
        <x:v>292.9338849999999</x:v>
      </x:c>
      <x:c r="BC184" s="9" t="n">
        <x:f>IF(OR(Inputs!$F$9=TRUE,Inputs!$F$9="TRUE",Inputs!$F$9=1),(Inputs!$H$9+Inputs!$L$9*(((Inputs!$I$9+(((A184)+1)/2)*(Inputs!$J$9-Inputs!$I$9)))/Inputs!$K$9)^2),NA())</x:f>
        <x:v>285.6067749999999</x:v>
      </x:c>
      <x:c r="BD184" s="10"/>
      <x:c r="BE184" s="9">
        <x:f t="shared" si="26"/>
        <x:v>0.51700000000000002</x:v>
      </x:c>
      <x:c r="BF184" s="9" t="n">
        <x:f>0</x:f>
        <x:v>0</x:v>
      </x:c>
      <x:c r="BG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9" t="n">
        <x:f>ROUND(-1+183*2/240,3)</x:f>
        <x:v>0.525</x:v>
      </x:c>
      <x:c r="B185" s="9" t="n">
        <x:f>IF(OR(Inputs!$F$6=TRUE,Inputs!$F$6="TRUE",Inputs!$F$6=1),(Inputs!$H$6+Inputs!$L$6*(((Inputs!$I$6+(((A185)+1)/2)*(Inputs!$J$6-Inputs!$I$6)))/Inputs!$K$6)^2),NA())</x:f>
        <x:v>401.1025</x:v>
      </x:c>
      <x:c r="C185" s="9" t="n">
        <x:f>IF(OR(Inputs!$F$7=TRUE,Inputs!$F$7="TRUE",Inputs!$F$7=1),(Inputs!$H$7+Inputs!$L$7*(((Inputs!$I$7+(((A185)+1)/2)*(Inputs!$J$7-Inputs!$I$7)))/Inputs!$K$7)^2),NA())</x:f>
        <x:v>135.603125</x:v>
      </x:c>
      <x:c r="D185" s="9" t="n">
        <x:f>IF(OR(Inputs!$F$8=TRUE,Inputs!$F$8="TRUE",Inputs!$F$8=1),(Inputs!$H$8+Inputs!$L$8*(((Inputs!$I$8+(((A185)+1)/2)*(Inputs!$J$8-Inputs!$I$8)))/Inputs!$K$8)^2),NA())</x:f>
        <x:v>300.97812500000003</x:v>
      </x:c>
      <x:c r="E185" s="9" t="n">
        <x:f>IF(OR(Inputs!$F$9=TRUE,Inputs!$F$9="TRUE",Inputs!$F$9=1),(Inputs!$H$9+Inputs!$L$9*(((Inputs!$I$9+(((A185)+1)/2)*(Inputs!$J$9-Inputs!$I$9)))/Inputs!$K$9)^2),NA())</x:f>
        <x:v>293.734375</x:v>
      </x:c>
      <x:c r="F185" s="10"/>
      <x:c r="G185" s="9">
        <x:f t="shared" si="18"/>
        <x:v>0.52500000000000002</x:v>
      </x:c>
      <x:c r="H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10"/>
      <x:c r="M185" s="9">
        <x:f t="shared" si="19"/>
        <x:v>0.52500000000000002</x:v>
      </x:c>
      <x:c r="N185" s="9"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9"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9"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9"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10"/>
      <x:c r="S185" s="9">
        <x:f t="shared" si="20"/>
        <x:v>0.52500000000000002</x:v>
      </x:c>
      <x:c r="T185" s="9" t="n">
        <x:f>(Inputs!$I$6+(((A185)+1)/2)*(Inputs!$J$6-Inputs!$I$6))</x:f>
        <x:v>31.5</x:v>
      </x:c>
      <x:c r="U185" s="9" t="n">
        <x:f>(Inputs!$I$7+(((A185)+1)/2)*(Inputs!$J$7-Inputs!$I$7))</x:f>
        <x:v>210</x:v>
      </x:c>
      <x:c r="V185" s="9" t="n">
        <x:f>(Inputs!$I$8+(((A185)+1)/2)*(Inputs!$J$8-Inputs!$I$8))</x:f>
        <x:v>420</x:v>
      </x:c>
      <x:c r="W185" s="9" t="n">
        <x:f>(Inputs!$I$9+(((A185)+1)/2)*(Inputs!$J$9-Inputs!$I$9))</x:f>
        <x:v>420</x:v>
      </x:c>
      <x:c r="X185" s="10"/>
      <x:c r="Y185" s="9">
        <x:f t="shared" si="21"/>
        <x:v>0.52500000000000002</x:v>
      </x:c>
      <x:c r="Z185" s="9" t="n">
        <x:f>(Inputs!$H$6+Inputs!$L$6*(((Inputs!$I$6+(((A185)+1)/2)*(Inputs!$J$6-Inputs!$I$6)))/Inputs!$K$6)^2)</x:f>
        <x:v>401.1025</x:v>
      </x:c>
      <x:c r="AA185" s="9" t="n">
        <x:f>(Inputs!$H$7+Inputs!$L$7*(((Inputs!$I$7+(((A185)+1)/2)*(Inputs!$J$7-Inputs!$I$7)))/Inputs!$K$7)^2)</x:f>
        <x:v>135.603125</x:v>
      </x:c>
      <x:c r="AB185" s="9" t="n">
        <x:f>(Inputs!$H$8+Inputs!$L$8*(((Inputs!$I$8+(((A185)+1)/2)*(Inputs!$J$8-Inputs!$I$8)))/Inputs!$K$8)^2)</x:f>
        <x:v>300.97812500000003</x:v>
      </x:c>
      <x:c r="AC185" s="9" t="n">
        <x:f>(Inputs!$H$9+Inputs!$L$9*(((Inputs!$I$9+(((A185)+1)/2)*(Inputs!$J$9-Inputs!$I$9)))/Inputs!$K$9)^2)</x:f>
        <x:v>293.734375</x:v>
      </x:c>
      <x:c r="AD185" s="10"/>
      <x:c r="AE185" s="9">
        <x:f t="shared" si="22"/>
        <x:v>0.52500000000000002</x:v>
      </x:c>
      <x:c r="AF185" s="9"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9"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9"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9"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10"/>
      <x:c r="AK185" s="9">
        <x:f t="shared" si="23"/>
        <x:v>0.52500000000000002</x:v>
      </x:c>
      <x:c r="AL185" s="9"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9"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9"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9"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10"/>
      <x:c r="AQ185" s="9">
        <x:f t="shared" si="24"/>
        <x:v>0.52500000000000002</x:v>
      </x:c>
      <x:c r="AR185" s="9" t="n">
        <x:f>0</x:f>
        <x:v>0</x:v>
      </x:c>
      <x:c r="AS185" s="9"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x:f>
        <x:v>216.56157473369862</x:v>
      </x:c>
      <x:c r="AT185" s="9"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x:f>
        <x:v>96.44039390212929</x:v>
      </x:c>
      <x:c r="AU185" s="9"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x:f>
        <x:v>172.26894270522027</x:v>
      </x:c>
      <x:c r="AV185" s="9"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x:f>
        <x:v>172.26894270522027</x:v>
      </x:c>
      <x:c r="AW185" s="10"/>
      <x:c r="AX185" s="9">
        <x:f t="shared" si="25"/>
        <x:v>0.52500000000000002</x:v>
      </x:c>
      <x:c r="AY185" s="9" t="n">
        <x:f>0</x:f>
        <x:v>0</x:v>
      </x:c>
      <x:c r="AZ185" s="9" t="n">
        <x:f>IF(OR(Inputs!$F$6=TRUE,Inputs!$F$6="TRUE",Inputs!$F$6=1),(Inputs!$H$6+Inputs!$L$6*(((Inputs!$I$6+(((A185)+1)/2)*(Inputs!$J$6-Inputs!$I$6)))/Inputs!$K$6)^2),NA())</x:f>
        <x:v>401.1025</x:v>
      </x:c>
      <x:c r="BA185" s="9" t="n">
        <x:f>IF(OR(Inputs!$F$7=TRUE,Inputs!$F$7="TRUE",Inputs!$F$7=1),(Inputs!$H$7+Inputs!$L$7*(((Inputs!$I$7+(((A185)+1)/2)*(Inputs!$J$7-Inputs!$I$7)))/Inputs!$K$7)^2),NA())</x:f>
        <x:v>135.603125</x:v>
      </x:c>
      <x:c r="BB185" s="9" t="n">
        <x:f>IF(OR(Inputs!$F$8=TRUE,Inputs!$F$8="TRUE",Inputs!$F$8=1),(Inputs!$H$8+Inputs!$L$8*(((Inputs!$I$8+(((A185)+1)/2)*(Inputs!$J$8-Inputs!$I$8)))/Inputs!$K$8)^2),NA())</x:f>
        <x:v>300.97812500000003</x:v>
      </x:c>
      <x:c r="BC185" s="9" t="n">
        <x:f>IF(OR(Inputs!$F$9=TRUE,Inputs!$F$9="TRUE",Inputs!$F$9=1),(Inputs!$H$9+Inputs!$L$9*(((Inputs!$I$9+(((A185)+1)/2)*(Inputs!$J$9-Inputs!$I$9)))/Inputs!$K$9)^2),NA())</x:f>
        <x:v>293.734375</x:v>
      </x:c>
      <x:c r="BD185" s="10"/>
      <x:c r="BE185" s="9">
        <x:f t="shared" si="26"/>
        <x:v>0.52500000000000002</x:v>
      </x:c>
      <x:c r="BF185" s="9" t="n">
        <x:f>0</x:f>
        <x:v>0</x:v>
      </x:c>
      <x:c r="BG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9" t="n">
        <x:f>ROUND(-1+184*2/240,3)</x:f>
        <x:v>0.533</x:v>
      </x:c>
      <x:c r="B186" s="9" t="n">
        <x:f>IF(OR(Inputs!$F$6=TRUE,Inputs!$F$6="TRUE",Inputs!$F$6=1),(Inputs!$H$6+Inputs!$L$6*(((Inputs!$I$6+(((A186)+1)/2)*(Inputs!$J$6-Inputs!$I$6)))/Inputs!$K$6)^2),NA())</x:f>
        <x:v>401.136356</x:v>
      </x:c>
      <x:c r="C186" s="9" t="n">
        <x:f>IF(OR(Inputs!$F$7=TRUE,Inputs!$F$7="TRUE",Inputs!$F$7=1),(Inputs!$H$7+Inputs!$L$7*(((Inputs!$I$7+(((A186)+1)/2)*(Inputs!$J$7-Inputs!$I$7)))/Inputs!$K$7)^2),NA())</x:f>
        <x:v>138.69248499999992</x:v>
      </x:c>
      <x:c r="D186" s="9" t="n">
        <x:f>IF(OR(Inputs!$F$8=TRUE,Inputs!$F$8="TRUE",Inputs!$F$8=1),(Inputs!$H$8+Inputs!$L$8*(((Inputs!$I$8+(((A186)+1)/2)*(Inputs!$J$8-Inputs!$I$8)))/Inputs!$K$8)^2),NA())</x:f>
        <x:v>309.1458849999998</x:v>
      </x:c>
      <x:c r="E186" s="9" t="n">
        <x:f>IF(OR(Inputs!$F$9=TRUE,Inputs!$F$9="TRUE",Inputs!$F$9=1),(Inputs!$H$9+Inputs!$L$9*(((Inputs!$I$9+(((A186)+1)/2)*(Inputs!$J$9-Inputs!$I$9)))/Inputs!$K$9)^2),NA())</x:f>
        <x:v>301.9867749999998</x:v>
      </x:c>
      <x:c r="F186" s="10"/>
      <x:c r="G186" s="9">
        <x:f t="shared" si="18"/>
        <x:v>0.53300000000000003</x:v>
      </x:c>
      <x:c r="H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10"/>
      <x:c r="M186" s="9">
        <x:f t="shared" si="19"/>
        <x:v>0.53300000000000003</x:v>
      </x:c>
      <x:c r="N186" s="9"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9"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9"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9"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10"/>
      <x:c r="S186" s="9">
        <x:f t="shared" si="20"/>
        <x:v>0.53300000000000003</x:v>
      </x:c>
      <x:c r="T186" s="9" t="n">
        <x:f>(Inputs!$I$6+(((A186)+1)/2)*(Inputs!$J$6-Inputs!$I$6))</x:f>
        <x:v>31.97999999999999</x:v>
      </x:c>
      <x:c r="U186" s="9" t="n">
        <x:f>(Inputs!$I$7+(((A186)+1)/2)*(Inputs!$J$7-Inputs!$I$7))</x:f>
        <x:v>213.19999999999993</x:v>
      </x:c>
      <x:c r="V186" s="9" t="n">
        <x:f>(Inputs!$I$8+(((A186)+1)/2)*(Inputs!$J$8-Inputs!$I$8))</x:f>
        <x:v>426.39999999999986</x:v>
      </x:c>
      <x:c r="W186" s="9" t="n">
        <x:f>(Inputs!$I$9+(((A186)+1)/2)*(Inputs!$J$9-Inputs!$I$9))</x:f>
        <x:v>426.39999999999986</x:v>
      </x:c>
      <x:c r="X186" s="10"/>
      <x:c r="Y186" s="9">
        <x:f t="shared" si="21"/>
        <x:v>0.53300000000000003</x:v>
      </x:c>
      <x:c r="Z186" s="9" t="n">
        <x:f>(Inputs!$H$6+Inputs!$L$6*(((Inputs!$I$6+(((A186)+1)/2)*(Inputs!$J$6-Inputs!$I$6)))/Inputs!$K$6)^2)</x:f>
        <x:v>401.136356</x:v>
      </x:c>
      <x:c r="AA186" s="9" t="n">
        <x:f>(Inputs!$H$7+Inputs!$L$7*(((Inputs!$I$7+(((A186)+1)/2)*(Inputs!$J$7-Inputs!$I$7)))/Inputs!$K$7)^2)</x:f>
        <x:v>138.69248499999992</x:v>
      </x:c>
      <x:c r="AB186" s="9" t="n">
        <x:f>(Inputs!$H$8+Inputs!$L$8*(((Inputs!$I$8+(((A186)+1)/2)*(Inputs!$J$8-Inputs!$I$8)))/Inputs!$K$8)^2)</x:f>
        <x:v>309.1458849999998</x:v>
      </x:c>
      <x:c r="AC186" s="9" t="n">
        <x:f>(Inputs!$H$9+Inputs!$L$9*(((Inputs!$I$9+(((A186)+1)/2)*(Inputs!$J$9-Inputs!$I$9)))/Inputs!$K$9)^2)</x:f>
        <x:v>301.9867749999998</x:v>
      </x:c>
      <x:c r="AD186" s="10"/>
      <x:c r="AE186" s="9">
        <x:f t="shared" si="22"/>
        <x:v>0.53300000000000003</x:v>
      </x:c>
      <x:c r="AF186" s="9"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9"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9"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9"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10"/>
      <x:c r="AK186" s="9">
        <x:f t="shared" si="23"/>
        <x:v>0.53300000000000003</x:v>
      </x:c>
      <x:c r="AL186" s="9"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9"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9"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9"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10"/>
      <x:c r="AQ186" s="9">
        <x:f t="shared" si="24"/>
        <x:v>0.53300000000000003</x:v>
      </x:c>
      <x:c r="AR186" s="9" t="n">
        <x:f>0</x:f>
        <x:v>0</x:v>
      </x:c>
      <x:c r="AS186" s="9"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x:f>
        <x:v>234.55267372275344</x:v>
      </x:c>
      <x:c r="AT186" s="9"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x:f>
        <x:v>87.70672320070028</x:v>
      </x:c>
      <x:c r="AU186" s="9"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x:f>
        <x:v>118.12668531371337</x:v>
      </x:c>
      <x:c r="AV186" s="9"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x:f>
        <x:v>118.12668531371337</x:v>
      </x:c>
      <x:c r="AW186" s="10"/>
      <x:c r="AX186" s="9">
        <x:f t="shared" si="25"/>
        <x:v>0.53300000000000003</x:v>
      </x:c>
      <x:c r="AY186" s="9" t="n">
        <x:f>0</x:f>
        <x:v>0</x:v>
      </x:c>
      <x:c r="AZ186" s="9" t="n">
        <x:f>IF(OR(Inputs!$F$6=TRUE,Inputs!$F$6="TRUE",Inputs!$F$6=1),(Inputs!$H$6+Inputs!$L$6*(((Inputs!$I$6+(((A186)+1)/2)*(Inputs!$J$6-Inputs!$I$6)))/Inputs!$K$6)^2),NA())</x:f>
        <x:v>401.136356</x:v>
      </x:c>
      <x:c r="BA186" s="9" t="n">
        <x:f>IF(OR(Inputs!$F$7=TRUE,Inputs!$F$7="TRUE",Inputs!$F$7=1),(Inputs!$H$7+Inputs!$L$7*(((Inputs!$I$7+(((A186)+1)/2)*(Inputs!$J$7-Inputs!$I$7)))/Inputs!$K$7)^2),NA())</x:f>
        <x:v>138.69248499999992</x:v>
      </x:c>
      <x:c r="BB186" s="9" t="n">
        <x:f>IF(OR(Inputs!$F$8=TRUE,Inputs!$F$8="TRUE",Inputs!$F$8=1),(Inputs!$H$8+Inputs!$L$8*(((Inputs!$I$8+(((A186)+1)/2)*(Inputs!$J$8-Inputs!$I$8)))/Inputs!$K$8)^2),NA())</x:f>
        <x:v>309.1458849999998</x:v>
      </x:c>
      <x:c r="BC186" s="9" t="n">
        <x:f>IF(OR(Inputs!$F$9=TRUE,Inputs!$F$9="TRUE",Inputs!$F$9=1),(Inputs!$H$9+Inputs!$L$9*(((Inputs!$I$9+(((A186)+1)/2)*(Inputs!$J$9-Inputs!$I$9)))/Inputs!$K$9)^2),NA())</x:f>
        <x:v>301.9867749999998</x:v>
      </x:c>
      <x:c r="BD186" s="10"/>
      <x:c r="BE186" s="9">
        <x:f t="shared" si="26"/>
        <x:v>0.53300000000000003</x:v>
      </x:c>
      <x:c r="BF186" s="9" t="n">
        <x:f>0</x:f>
        <x:v>0</x:v>
      </x:c>
      <x:c r="BG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9" t="n">
        <x:f>ROUND(-1+185*2/240,3)</x:f>
        <x:v>0.542</x:v>
      </x:c>
      <x:c r="B187" s="9" t="n">
        <x:f>IF(OR(Inputs!$F$6=TRUE,Inputs!$F$6="TRUE",Inputs!$F$6=1),(Inputs!$H$6+Inputs!$L$6*(((Inputs!$I$6+(((A187)+1)/2)*(Inputs!$J$6-Inputs!$I$6)))/Inputs!$K$6)^2),NA())</x:f>
        <x:v>401.175056</x:v>
      </x:c>
      <x:c r="C187" s="9" t="n">
        <x:f>IF(OR(Inputs!$F$7=TRUE,Inputs!$F$7="TRUE",Inputs!$F$7=1),(Inputs!$H$7+Inputs!$L$7*(((Inputs!$I$7+(((A187)+1)/2)*(Inputs!$J$7-Inputs!$I$7)))/Inputs!$K$7)^2),NA())</x:f>
        <x:v>142.22386000000006</x:v>
      </x:c>
      <x:c r="D187" s="9" t="n">
        <x:f>IF(OR(Inputs!$F$8=TRUE,Inputs!$F$8="TRUE",Inputs!$F$8=1),(Inputs!$H$8+Inputs!$L$8*(((Inputs!$I$8+(((A187)+1)/2)*(Inputs!$J$8-Inputs!$I$8)))/Inputs!$K$8)^2),NA())</x:f>
        <x:v>318.4822600000001</x:v>
      </x:c>
      <x:c r="E187" s="9" t="n">
        <x:f>IF(OR(Inputs!$F$9=TRUE,Inputs!$F$9="TRUE",Inputs!$F$9=1),(Inputs!$H$9+Inputs!$L$9*(((Inputs!$I$9+(((A187)+1)/2)*(Inputs!$J$9-Inputs!$I$9)))/Inputs!$K$9)^2),NA())</x:f>
        <x:v>311.41990000000015</x:v>
      </x:c>
      <x:c r="F187" s="10"/>
      <x:c r="G187" s="9">
        <x:f t="shared" si="18"/>
        <x:v>0.54200000000000004</x:v>
      </x:c>
      <x:c r="H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10"/>
      <x:c r="M187" s="9">
        <x:f t="shared" si="19"/>
        <x:v>0.54200000000000004</x:v>
      </x:c>
      <x:c r="N187" s="9"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9"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9"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9"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10"/>
      <x:c r="S187" s="9">
        <x:f t="shared" si="20"/>
        <x:v>0.54200000000000004</x:v>
      </x:c>
      <x:c r="T187" s="9" t="n">
        <x:f>(Inputs!$I$6+(((A187)+1)/2)*(Inputs!$J$6-Inputs!$I$6))</x:f>
        <x:v>32.519999999999996</x:v>
      </x:c>
      <x:c r="U187" s="9" t="n">
        <x:f>(Inputs!$I$7+(((A187)+1)/2)*(Inputs!$J$7-Inputs!$I$7))</x:f>
        <x:v>216.80000000000007</x:v>
      </x:c>
      <x:c r="V187" s="9" t="n">
        <x:f>(Inputs!$I$8+(((A187)+1)/2)*(Inputs!$J$8-Inputs!$I$8))</x:f>
        <x:v>433.60000000000014</x:v>
      </x:c>
      <x:c r="W187" s="9" t="n">
        <x:f>(Inputs!$I$9+(((A187)+1)/2)*(Inputs!$J$9-Inputs!$I$9))</x:f>
        <x:v>433.60000000000014</x:v>
      </x:c>
      <x:c r="X187" s="10"/>
      <x:c r="Y187" s="9">
        <x:f t="shared" si="21"/>
        <x:v>0.54200000000000004</x:v>
      </x:c>
      <x:c r="Z187" s="9" t="n">
        <x:f>(Inputs!$H$6+Inputs!$L$6*(((Inputs!$I$6+(((A187)+1)/2)*(Inputs!$J$6-Inputs!$I$6)))/Inputs!$K$6)^2)</x:f>
        <x:v>401.175056</x:v>
      </x:c>
      <x:c r="AA187" s="9" t="n">
        <x:f>(Inputs!$H$7+Inputs!$L$7*(((Inputs!$I$7+(((A187)+1)/2)*(Inputs!$J$7-Inputs!$I$7)))/Inputs!$K$7)^2)</x:f>
        <x:v>142.22386000000006</x:v>
      </x:c>
      <x:c r="AB187" s="9" t="n">
        <x:f>(Inputs!$H$8+Inputs!$L$8*(((Inputs!$I$8+(((A187)+1)/2)*(Inputs!$J$8-Inputs!$I$8)))/Inputs!$K$8)^2)</x:f>
        <x:v>318.4822600000001</x:v>
      </x:c>
      <x:c r="AC187" s="9" t="n">
        <x:f>(Inputs!$H$9+Inputs!$L$9*(((Inputs!$I$9+(((A187)+1)/2)*(Inputs!$J$9-Inputs!$I$9)))/Inputs!$K$9)^2)</x:f>
        <x:v>311.41990000000015</x:v>
      </x:c>
      <x:c r="AD187" s="10"/>
      <x:c r="AE187" s="9">
        <x:f t="shared" si="22"/>
        <x:v>0.54200000000000004</x:v>
      </x:c>
      <x:c r="AF187" s="9"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9"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9"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9"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10"/>
      <x:c r="AK187" s="9">
        <x:f t="shared" si="23"/>
        <x:v>0.54200000000000004</x:v>
      </x:c>
      <x:c r="AL187" s="9"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9"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9"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9"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10"/>
      <x:c r="AQ187" s="9">
        <x:f t="shared" si="24"/>
        <x:v>0.54200000000000004</x:v>
      </x:c>
      <x:c r="AR187" s="9" t="n">
        <x:f>0</x:f>
        <x:v>0</x:v>
      </x:c>
      <x:c r="AS187" s="9"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x:f>
        <x:v>233.8203072732271</x:v>
      </x:c>
      <x:c r="AT187" s="9"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x:f>
        <x:v>174.08127263830204</x:v>
      </x:c>
      <x:c r="AU187" s="9"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x:f>
        <x:v>183.3457754988744</x:v>
      </x:c>
      <x:c r="AV187" s="9"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x:f>
        <x:v>183.3457754988744</x:v>
      </x:c>
      <x:c r="AW187" s="10"/>
      <x:c r="AX187" s="9">
        <x:f t="shared" si="25"/>
        <x:v>0.54200000000000004</x:v>
      </x:c>
      <x:c r="AY187" s="9" t="n">
        <x:f>0</x:f>
        <x:v>0</x:v>
      </x:c>
      <x:c r="AZ187" s="9" t="n">
        <x:f>IF(OR(Inputs!$F$6=TRUE,Inputs!$F$6="TRUE",Inputs!$F$6=1),(Inputs!$H$6+Inputs!$L$6*(((Inputs!$I$6+(((A187)+1)/2)*(Inputs!$J$6-Inputs!$I$6)))/Inputs!$K$6)^2),NA())</x:f>
        <x:v>401.175056</x:v>
      </x:c>
      <x:c r="BA187" s="9" t="n">
        <x:f>IF(OR(Inputs!$F$7=TRUE,Inputs!$F$7="TRUE",Inputs!$F$7=1),(Inputs!$H$7+Inputs!$L$7*(((Inputs!$I$7+(((A187)+1)/2)*(Inputs!$J$7-Inputs!$I$7)))/Inputs!$K$7)^2),NA())</x:f>
        <x:v>142.22386000000006</x:v>
      </x:c>
      <x:c r="BB187" s="9" t="n">
        <x:f>IF(OR(Inputs!$F$8=TRUE,Inputs!$F$8="TRUE",Inputs!$F$8=1),(Inputs!$H$8+Inputs!$L$8*(((Inputs!$I$8+(((A187)+1)/2)*(Inputs!$J$8-Inputs!$I$8)))/Inputs!$K$8)^2),NA())</x:f>
        <x:v>318.4822600000001</x:v>
      </x:c>
      <x:c r="BC187" s="9" t="n">
        <x:f>IF(OR(Inputs!$F$9=TRUE,Inputs!$F$9="TRUE",Inputs!$F$9=1),(Inputs!$H$9+Inputs!$L$9*(((Inputs!$I$9+(((A187)+1)/2)*(Inputs!$J$9-Inputs!$I$9)))/Inputs!$K$9)^2),NA())</x:f>
        <x:v>311.41990000000015</x:v>
      </x:c>
      <x:c r="BD187" s="10"/>
      <x:c r="BE187" s="9">
        <x:f t="shared" si="26"/>
        <x:v>0.54200000000000004</x:v>
      </x:c>
      <x:c r="BF187" s="9" t="n">
        <x:f>0</x:f>
        <x:v>0</x:v>
      </x:c>
      <x:c r="BG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9" t="n">
        <x:f>ROUND(-1+186*2/240,3)</x:f>
        <x:v>0.55</x:v>
      </x:c>
      <x:c r="B188" s="9" t="n">
        <x:f>IF(OR(Inputs!$F$6=TRUE,Inputs!$F$6="TRUE",Inputs!$F$6=1),(Inputs!$H$6+Inputs!$L$6*(((Inputs!$I$6+(((A188)+1)/2)*(Inputs!$J$6-Inputs!$I$6)))/Inputs!$K$6)^2),NA())</x:f>
        <x:v>401.21</x:v>
      </x:c>
      <x:c r="C188" s="9" t="n">
        <x:f>IF(OR(Inputs!$F$7=TRUE,Inputs!$F$7="TRUE",Inputs!$F$7=1),(Inputs!$H$7+Inputs!$L$7*(((Inputs!$I$7+(((A188)+1)/2)*(Inputs!$J$7-Inputs!$I$7)))/Inputs!$K$7)^2),NA())</x:f>
        <x:v>145.41250000000002</x:v>
      </x:c>
      <x:c r="D188" s="9" t="n">
        <x:f>IF(OR(Inputs!$F$8=TRUE,Inputs!$F$8="TRUE",Inputs!$F$8=1),(Inputs!$H$8+Inputs!$L$8*(((Inputs!$I$8+(((A188)+1)/2)*(Inputs!$J$8-Inputs!$I$8)))/Inputs!$K$8)^2),NA())</x:f>
        <x:v>326.9125</x:v>
      </x:c>
      <x:c r="E188" s="9" t="n">
        <x:f>IF(OR(Inputs!$F$9=TRUE,Inputs!$F$9="TRUE",Inputs!$F$9=1),(Inputs!$H$9+Inputs!$L$9*(((Inputs!$I$9+(((A188)+1)/2)*(Inputs!$J$9-Inputs!$I$9)))/Inputs!$K$9)^2),NA())</x:f>
        <x:v>319.93750000000006</x:v>
      </x:c>
      <x:c r="F188" s="10"/>
      <x:c r="G188" s="9">
        <x:f t="shared" si="18"/>
        <x:v>0.55000000000000004</x:v>
      </x:c>
      <x:c r="H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10"/>
      <x:c r="M188" s="9">
        <x:f t="shared" si="19"/>
        <x:v>0.55000000000000004</x:v>
      </x:c>
      <x:c r="N188" s="9"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9"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9"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9"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10"/>
      <x:c r="S188" s="9">
        <x:f t="shared" si="20"/>
        <x:v>0.55000000000000004</x:v>
      </x:c>
      <x:c r="T188" s="9" t="n">
        <x:f>(Inputs!$I$6+(((A188)+1)/2)*(Inputs!$J$6-Inputs!$I$6))</x:f>
        <x:v>33</x:v>
      </x:c>
      <x:c r="U188" s="9" t="n">
        <x:f>(Inputs!$I$7+(((A188)+1)/2)*(Inputs!$J$7-Inputs!$I$7))</x:f>
        <x:v>220</x:v>
      </x:c>
      <x:c r="V188" s="9" t="n">
        <x:f>(Inputs!$I$8+(((A188)+1)/2)*(Inputs!$J$8-Inputs!$I$8))</x:f>
        <x:v>440</x:v>
      </x:c>
      <x:c r="W188" s="9" t="n">
        <x:f>(Inputs!$I$9+(((A188)+1)/2)*(Inputs!$J$9-Inputs!$I$9))</x:f>
        <x:v>440</x:v>
      </x:c>
      <x:c r="X188" s="10"/>
      <x:c r="Y188" s="9">
        <x:f t="shared" si="21"/>
        <x:v>0.55000000000000004</x:v>
      </x:c>
      <x:c r="Z188" s="9" t="n">
        <x:f>(Inputs!$H$6+Inputs!$L$6*(((Inputs!$I$6+(((A188)+1)/2)*(Inputs!$J$6-Inputs!$I$6)))/Inputs!$K$6)^2)</x:f>
        <x:v>401.21</x:v>
      </x:c>
      <x:c r="AA188" s="9" t="n">
        <x:f>(Inputs!$H$7+Inputs!$L$7*(((Inputs!$I$7+(((A188)+1)/2)*(Inputs!$J$7-Inputs!$I$7)))/Inputs!$K$7)^2)</x:f>
        <x:v>145.41250000000002</x:v>
      </x:c>
      <x:c r="AB188" s="9" t="n">
        <x:f>(Inputs!$H$8+Inputs!$L$8*(((Inputs!$I$8+(((A188)+1)/2)*(Inputs!$J$8-Inputs!$I$8)))/Inputs!$K$8)^2)</x:f>
        <x:v>326.9125</x:v>
      </x:c>
      <x:c r="AC188" s="9" t="n">
        <x:f>(Inputs!$H$9+Inputs!$L$9*(((Inputs!$I$9+(((A188)+1)/2)*(Inputs!$J$9-Inputs!$I$9)))/Inputs!$K$9)^2)</x:f>
        <x:v>319.93750000000006</x:v>
      </x:c>
      <x:c r="AD188" s="10"/>
      <x:c r="AE188" s="9">
        <x:f t="shared" si="22"/>
        <x:v>0.55000000000000004</x:v>
      </x:c>
      <x:c r="AF188" s="9"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9"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9"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9"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10"/>
      <x:c r="AK188" s="9">
        <x:f t="shared" si="23"/>
        <x:v>0.55000000000000004</x:v>
      </x:c>
      <x:c r="AL188" s="9"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9"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9"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9"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10"/>
      <x:c r="AQ188" s="9">
        <x:f t="shared" si="24"/>
        <x:v>0.55000000000000004</x:v>
      </x:c>
      <x:c r="AR188" s="9" t="n">
        <x:f>0</x:f>
        <x:v>0</x:v>
      </x:c>
      <x:c r="AS188" s="9"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x:f>
        <x:v>226.0841822180117</x:v>
      </x:c>
      <x:c r="AT188" s="9"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x:f>
        <x:v>240.54359978583835</x:v>
      </x:c>
      <x:c r="AU188" s="9"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x:f>
        <x:v>169.69698765986362</x:v>
      </x:c>
      <x:c r="AV188" s="9"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x:f>
        <x:v>169.69698765986362</x:v>
      </x:c>
      <x:c r="AW188" s="10"/>
      <x:c r="AX188" s="9">
        <x:f t="shared" si="25"/>
        <x:v>0.55000000000000004</x:v>
      </x:c>
      <x:c r="AY188" s="9" t="n">
        <x:f>0</x:f>
        <x:v>0</x:v>
      </x:c>
      <x:c r="AZ188" s="9" t="n">
        <x:f>IF(OR(Inputs!$F$6=TRUE,Inputs!$F$6="TRUE",Inputs!$F$6=1),(Inputs!$H$6+Inputs!$L$6*(((Inputs!$I$6+(((A188)+1)/2)*(Inputs!$J$6-Inputs!$I$6)))/Inputs!$K$6)^2),NA())</x:f>
        <x:v>401.21</x:v>
      </x:c>
      <x:c r="BA188" s="9" t="n">
        <x:f>IF(OR(Inputs!$F$7=TRUE,Inputs!$F$7="TRUE",Inputs!$F$7=1),(Inputs!$H$7+Inputs!$L$7*(((Inputs!$I$7+(((A188)+1)/2)*(Inputs!$J$7-Inputs!$I$7)))/Inputs!$K$7)^2),NA())</x:f>
        <x:v>145.41250000000002</x:v>
      </x:c>
      <x:c r="BB188" s="9" t="n">
        <x:f>IF(OR(Inputs!$F$8=TRUE,Inputs!$F$8="TRUE",Inputs!$F$8=1),(Inputs!$H$8+Inputs!$L$8*(((Inputs!$I$8+(((A188)+1)/2)*(Inputs!$J$8-Inputs!$I$8)))/Inputs!$K$8)^2),NA())</x:f>
        <x:v>326.9125</x:v>
      </x:c>
      <x:c r="BC188" s="9" t="n">
        <x:f>IF(OR(Inputs!$F$9=TRUE,Inputs!$F$9="TRUE",Inputs!$F$9=1),(Inputs!$H$9+Inputs!$L$9*(((Inputs!$I$9+(((A188)+1)/2)*(Inputs!$J$9-Inputs!$I$9)))/Inputs!$K$9)^2),NA())</x:f>
        <x:v>319.93750000000006</x:v>
      </x:c>
      <x:c r="BD188" s="10"/>
      <x:c r="BE188" s="9">
        <x:f t="shared" si="26"/>
        <x:v>0.55000000000000004</x:v>
      </x:c>
      <x:c r="BF188" s="9" t="n">
        <x:f>0</x:f>
        <x:v>0</x:v>
      </x:c>
      <x:c r="BG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9" t="n">
        <x:f>ROUND(-1+187*2/240,3)</x:f>
        <x:v>0.558</x:v>
      </x:c>
      <x:c r="B189" s="9" t="n">
        <x:f>IF(OR(Inputs!$F$6=TRUE,Inputs!$F$6="TRUE",Inputs!$F$6=1),(Inputs!$H$6+Inputs!$L$6*(((Inputs!$I$6+(((A189)+1)/2)*(Inputs!$J$6-Inputs!$I$6)))/Inputs!$K$6)^2),NA())</x:f>
        <x:v>401.245456</x:v>
      </x:c>
      <x:c r="C189" s="9" t="n">
        <x:f>IF(OR(Inputs!$F$7=TRUE,Inputs!$F$7="TRUE",Inputs!$F$7=1),(Inputs!$H$7+Inputs!$L$7*(((Inputs!$I$7+(((A189)+1)/2)*(Inputs!$J$7-Inputs!$I$7)))/Inputs!$K$7)^2),NA())</x:f>
        <x:v>148.64786000000007</x:v>
      </x:c>
      <x:c r="D189" s="9" t="n">
        <x:f>IF(OR(Inputs!$F$8=TRUE,Inputs!$F$8="TRUE",Inputs!$F$8=1),(Inputs!$H$8+Inputs!$L$8*(((Inputs!$I$8+(((A189)+1)/2)*(Inputs!$J$8-Inputs!$I$8)))/Inputs!$K$8)^2),NA())</x:f>
        <x:v>335.4662600000002</x:v>
      </x:c>
      <x:c r="E189" s="9" t="n">
        <x:f>IF(OR(Inputs!$F$9=TRUE,Inputs!$F$9="TRUE",Inputs!$F$9=1),(Inputs!$H$9+Inputs!$L$9*(((Inputs!$I$9+(((A189)+1)/2)*(Inputs!$J$9-Inputs!$I$9)))/Inputs!$K$9)^2),NA())</x:f>
        <x:v>328.5799000000002</x:v>
      </x:c>
      <x:c r="F189" s="10"/>
      <x:c r="G189" s="9">
        <x:f t="shared" si="18"/>
        <x:v>0.55800000000000005</x:v>
      </x:c>
      <x:c r="H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10"/>
      <x:c r="M189" s="9">
        <x:f t="shared" si="19"/>
        <x:v>0.55800000000000005</x:v>
      </x:c>
      <x:c r="N189" s="9"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9"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9"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9"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10"/>
      <x:c r="S189" s="9">
        <x:f t="shared" si="20"/>
        <x:v>0.55800000000000005</x:v>
      </x:c>
      <x:c r="T189" s="9" t="n">
        <x:f>(Inputs!$I$6+(((A189)+1)/2)*(Inputs!$J$6-Inputs!$I$6))</x:f>
        <x:v>33.480000000000004</x:v>
      </x:c>
      <x:c r="U189" s="9" t="n">
        <x:f>(Inputs!$I$7+(((A189)+1)/2)*(Inputs!$J$7-Inputs!$I$7))</x:f>
        <x:v>223.20000000000005</x:v>
      </x:c>
      <x:c r="V189" s="9" t="n">
        <x:f>(Inputs!$I$8+(((A189)+1)/2)*(Inputs!$J$8-Inputs!$I$8))</x:f>
        <x:v>446.4000000000001</x:v>
      </x:c>
      <x:c r="W189" s="9" t="n">
        <x:f>(Inputs!$I$9+(((A189)+1)/2)*(Inputs!$J$9-Inputs!$I$9))</x:f>
        <x:v>446.4000000000001</x:v>
      </x:c>
      <x:c r="X189" s="10"/>
      <x:c r="Y189" s="9">
        <x:f t="shared" si="21"/>
        <x:v>0.55800000000000005</x:v>
      </x:c>
      <x:c r="Z189" s="9" t="n">
        <x:f>(Inputs!$H$6+Inputs!$L$6*(((Inputs!$I$6+(((A189)+1)/2)*(Inputs!$J$6-Inputs!$I$6)))/Inputs!$K$6)^2)</x:f>
        <x:v>401.245456</x:v>
      </x:c>
      <x:c r="AA189" s="9" t="n">
        <x:f>(Inputs!$H$7+Inputs!$L$7*(((Inputs!$I$7+(((A189)+1)/2)*(Inputs!$J$7-Inputs!$I$7)))/Inputs!$K$7)^2)</x:f>
        <x:v>148.64786000000007</x:v>
      </x:c>
      <x:c r="AB189" s="9" t="n">
        <x:f>(Inputs!$H$8+Inputs!$L$8*(((Inputs!$I$8+(((A189)+1)/2)*(Inputs!$J$8-Inputs!$I$8)))/Inputs!$K$8)^2)</x:f>
        <x:v>335.4662600000002</x:v>
      </x:c>
      <x:c r="AC189" s="9" t="n">
        <x:f>(Inputs!$H$9+Inputs!$L$9*(((Inputs!$I$9+(((A189)+1)/2)*(Inputs!$J$9-Inputs!$I$9)))/Inputs!$K$9)^2)</x:f>
        <x:v>328.5799000000002</x:v>
      </x:c>
      <x:c r="AD189" s="10"/>
      <x:c r="AE189" s="9">
        <x:f t="shared" si="22"/>
        <x:v>0.55800000000000005</x:v>
      </x:c>
      <x:c r="AF189" s="9"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9"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9"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9"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10"/>
      <x:c r="AK189" s="9">
        <x:f t="shared" si="23"/>
        <x:v>0.55800000000000005</x:v>
      </x:c>
      <x:c r="AL189" s="9"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9"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9"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9"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10"/>
      <x:c r="AQ189" s="9">
        <x:f t="shared" si="24"/>
        <x:v>0.55800000000000005</x:v>
      </x:c>
      <x:c r="AR189" s="9" t="n">
        <x:f>0</x:f>
        <x:v>0</x:v>
      </x:c>
      <x:c r="AS189" s="9"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x:f>
        <x:v>220.25536491486793</x:v>
      </x:c>
      <x:c r="AT189" s="9"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x:f>
        <x:v>188.2622323547676</x:v>
      </x:c>
      <x:c r="AU189" s="9"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x:f>
        <x:v>122.91233991859974</x:v>
      </x:c>
      <x:c r="AV189" s="9"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x:f>
        <x:v>122.91233991859974</x:v>
      </x:c>
      <x:c r="AW189" s="10"/>
      <x:c r="AX189" s="9">
        <x:f t="shared" si="25"/>
        <x:v>0.55800000000000005</x:v>
      </x:c>
      <x:c r="AY189" s="9" t="n">
        <x:f>0</x:f>
        <x:v>0</x:v>
      </x:c>
      <x:c r="AZ189" s="9" t="n">
        <x:f>IF(OR(Inputs!$F$6=TRUE,Inputs!$F$6="TRUE",Inputs!$F$6=1),(Inputs!$H$6+Inputs!$L$6*(((Inputs!$I$6+(((A189)+1)/2)*(Inputs!$J$6-Inputs!$I$6)))/Inputs!$K$6)^2),NA())</x:f>
        <x:v>401.245456</x:v>
      </x:c>
      <x:c r="BA189" s="9" t="n">
        <x:f>IF(OR(Inputs!$F$7=TRUE,Inputs!$F$7="TRUE",Inputs!$F$7=1),(Inputs!$H$7+Inputs!$L$7*(((Inputs!$I$7+(((A189)+1)/2)*(Inputs!$J$7-Inputs!$I$7)))/Inputs!$K$7)^2),NA())</x:f>
        <x:v>148.64786000000007</x:v>
      </x:c>
      <x:c r="BB189" s="9" t="n">
        <x:f>IF(OR(Inputs!$F$8=TRUE,Inputs!$F$8="TRUE",Inputs!$F$8=1),(Inputs!$H$8+Inputs!$L$8*(((Inputs!$I$8+(((A189)+1)/2)*(Inputs!$J$8-Inputs!$I$8)))/Inputs!$K$8)^2),NA())</x:f>
        <x:v>335.4662600000002</x:v>
      </x:c>
      <x:c r="BC189" s="9" t="n">
        <x:f>IF(OR(Inputs!$F$9=TRUE,Inputs!$F$9="TRUE",Inputs!$F$9=1),(Inputs!$H$9+Inputs!$L$9*(((Inputs!$I$9+(((A189)+1)/2)*(Inputs!$J$9-Inputs!$I$9)))/Inputs!$K$9)^2),NA())</x:f>
        <x:v>328.5799000000002</x:v>
      </x:c>
      <x:c r="BD189" s="10"/>
      <x:c r="BE189" s="9">
        <x:f t="shared" si="26"/>
        <x:v>0.55800000000000005</x:v>
      </x:c>
      <x:c r="BF189" s="9" t="n">
        <x:f>0</x:f>
        <x:v>0</x:v>
      </x:c>
      <x:c r="BG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9" t="n">
        <x:f>ROUND(-1+188*2/240,3)</x:f>
        <x:v>0.567</x:v>
      </x:c>
      <x:c r="B190" s="9" t="n">
        <x:f>IF(OR(Inputs!$F$6=TRUE,Inputs!$F$6="TRUE",Inputs!$F$6=1),(Inputs!$H$6+Inputs!$L$6*(((Inputs!$I$6+(((A190)+1)/2)*(Inputs!$J$6-Inputs!$I$6)))/Inputs!$K$6)^2),NA())</x:f>
        <x:v>401.285956</x:v>
      </x:c>
      <x:c r="C190" s="9" t="n">
        <x:f>IF(OR(Inputs!$F$7=TRUE,Inputs!$F$7="TRUE",Inputs!$F$7=1),(Inputs!$H$7+Inputs!$L$7*(((Inputs!$I$7+(((A190)+1)/2)*(Inputs!$J$7-Inputs!$I$7)))/Inputs!$K$7)^2),NA())</x:f>
        <x:v>152.34348499999993</x:v>
      </x:c>
      <x:c r="D190" s="9" t="n">
        <x:f>IF(OR(Inputs!$F$8=TRUE,Inputs!$F$8="TRUE",Inputs!$F$8=1),(Inputs!$H$8+Inputs!$L$8*(((Inputs!$I$8+(((A190)+1)/2)*(Inputs!$J$8-Inputs!$I$8)))/Inputs!$K$8)^2),NA())</x:f>
        <x:v>345.2368849999998</x:v>
      </x:c>
      <x:c r="E190" s="9" t="n">
        <x:f>IF(OR(Inputs!$F$9=TRUE,Inputs!$F$9="TRUE",Inputs!$F$9=1),(Inputs!$H$9+Inputs!$L$9*(((Inputs!$I$9+(((A190)+1)/2)*(Inputs!$J$9-Inputs!$I$9)))/Inputs!$K$9)^2),NA())</x:f>
        <x:v>338.4517749999998</x:v>
      </x:c>
      <x:c r="F190" s="10"/>
      <x:c r="G190" s="9">
        <x:f t="shared" si="18"/>
        <x:v>0.56699999999999995</x:v>
      </x:c>
      <x:c r="H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10"/>
      <x:c r="M190" s="9">
        <x:f t="shared" si="19"/>
        <x:v>0.56699999999999995</x:v>
      </x:c>
      <x:c r="N190" s="9"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9"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9"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9"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10"/>
      <x:c r="S190" s="9">
        <x:f t="shared" si="20"/>
        <x:v>0.56699999999999995</x:v>
      </x:c>
      <x:c r="T190" s="9" t="n">
        <x:f>(Inputs!$I$6+(((A190)+1)/2)*(Inputs!$J$6-Inputs!$I$6))</x:f>
        <x:v>34.019999999999996</x:v>
      </x:c>
      <x:c r="U190" s="9" t="n">
        <x:f>(Inputs!$I$7+(((A190)+1)/2)*(Inputs!$J$7-Inputs!$I$7))</x:f>
        <x:v>226.79999999999995</x:v>
      </x:c>
      <x:c r="V190" s="9" t="n">
        <x:f>(Inputs!$I$8+(((A190)+1)/2)*(Inputs!$J$8-Inputs!$I$8))</x:f>
        <x:v>453.5999999999999</x:v>
      </x:c>
      <x:c r="W190" s="9" t="n">
        <x:f>(Inputs!$I$9+(((A190)+1)/2)*(Inputs!$J$9-Inputs!$I$9))</x:f>
        <x:v>453.5999999999999</x:v>
      </x:c>
      <x:c r="X190" s="10"/>
      <x:c r="Y190" s="9">
        <x:f t="shared" si="21"/>
        <x:v>0.56699999999999995</x:v>
      </x:c>
      <x:c r="Z190" s="9" t="n">
        <x:f>(Inputs!$H$6+Inputs!$L$6*(((Inputs!$I$6+(((A190)+1)/2)*(Inputs!$J$6-Inputs!$I$6)))/Inputs!$K$6)^2)</x:f>
        <x:v>401.285956</x:v>
      </x:c>
      <x:c r="AA190" s="9" t="n">
        <x:f>(Inputs!$H$7+Inputs!$L$7*(((Inputs!$I$7+(((A190)+1)/2)*(Inputs!$J$7-Inputs!$I$7)))/Inputs!$K$7)^2)</x:f>
        <x:v>152.34348499999993</x:v>
      </x:c>
      <x:c r="AB190" s="9" t="n">
        <x:f>(Inputs!$H$8+Inputs!$L$8*(((Inputs!$I$8+(((A190)+1)/2)*(Inputs!$J$8-Inputs!$I$8)))/Inputs!$K$8)^2)</x:f>
        <x:v>345.2368849999998</x:v>
      </x:c>
      <x:c r="AC190" s="9" t="n">
        <x:f>(Inputs!$H$9+Inputs!$L$9*(((Inputs!$I$9+(((A190)+1)/2)*(Inputs!$J$9-Inputs!$I$9)))/Inputs!$K$9)^2)</x:f>
        <x:v>338.4517749999998</x:v>
      </x:c>
      <x:c r="AD190" s="10"/>
      <x:c r="AE190" s="9">
        <x:f t="shared" si="22"/>
        <x:v>0.56699999999999995</x:v>
      </x:c>
      <x:c r="AF190" s="9"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9"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9"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9"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10"/>
      <x:c r="AK190" s="9">
        <x:f t="shared" si="23"/>
        <x:v>0.56699999999999995</x:v>
      </x:c>
      <x:c r="AL190" s="9"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9"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9"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9"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10"/>
      <x:c r="AQ190" s="9">
        <x:f t="shared" si="24"/>
        <x:v>0.56699999999999995</x:v>
      </x:c>
      <x:c r="AR190" s="9" t="n">
        <x:f>0</x:f>
        <x:v>0</x:v>
      </x:c>
      <x:c r="AS190" s="9"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x:f>
        <x:v>233.5321920735234</x:v>
      </x:c>
      <x:c r="AT190" s="9"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x:f>
        <x:v>101.48995263897521</x:v>
      </x:c>
      <x:c r="AU190" s="9"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x:f>
        <x:v>188.27460287615003</x:v>
      </x:c>
      <x:c r="AV190" s="9"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x:f>
        <x:v>188.27460287615003</x:v>
      </x:c>
      <x:c r="AW190" s="10"/>
      <x:c r="AX190" s="9">
        <x:f t="shared" si="25"/>
        <x:v>0.56699999999999995</x:v>
      </x:c>
      <x:c r="AY190" s="9" t="n">
        <x:f>0</x:f>
        <x:v>0</x:v>
      </x:c>
      <x:c r="AZ190" s="9" t="n">
        <x:f>IF(OR(Inputs!$F$6=TRUE,Inputs!$F$6="TRUE",Inputs!$F$6=1),(Inputs!$H$6+Inputs!$L$6*(((Inputs!$I$6+(((A190)+1)/2)*(Inputs!$J$6-Inputs!$I$6)))/Inputs!$K$6)^2),NA())</x:f>
        <x:v>401.285956</x:v>
      </x:c>
      <x:c r="BA190" s="9" t="n">
        <x:f>IF(OR(Inputs!$F$7=TRUE,Inputs!$F$7="TRUE",Inputs!$F$7=1),(Inputs!$H$7+Inputs!$L$7*(((Inputs!$I$7+(((A190)+1)/2)*(Inputs!$J$7-Inputs!$I$7)))/Inputs!$K$7)^2),NA())</x:f>
        <x:v>152.34348499999993</x:v>
      </x:c>
      <x:c r="BB190" s="9" t="n">
        <x:f>IF(OR(Inputs!$F$8=TRUE,Inputs!$F$8="TRUE",Inputs!$F$8=1),(Inputs!$H$8+Inputs!$L$8*(((Inputs!$I$8+(((A190)+1)/2)*(Inputs!$J$8-Inputs!$I$8)))/Inputs!$K$8)^2),NA())</x:f>
        <x:v>345.2368849999998</x:v>
      </x:c>
      <x:c r="BC190" s="9" t="n">
        <x:f>IF(OR(Inputs!$F$9=TRUE,Inputs!$F$9="TRUE",Inputs!$F$9=1),(Inputs!$H$9+Inputs!$L$9*(((Inputs!$I$9+(((A190)+1)/2)*(Inputs!$J$9-Inputs!$I$9)))/Inputs!$K$9)^2),NA())</x:f>
        <x:v>338.4517749999998</x:v>
      </x:c>
      <x:c r="BD190" s="10"/>
      <x:c r="BE190" s="9">
        <x:f t="shared" si="26"/>
        <x:v>0.56699999999999995</x:v>
      </x:c>
      <x:c r="BF190" s="9" t="n">
        <x:f>0</x:f>
        <x:v>0</x:v>
      </x:c>
      <x:c r="BG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9" t="n">
        <x:f>ROUND(-1+189*2/240,3)</x:f>
        <x:v>0.575</x:v>
      </x:c>
      <x:c r="B191" s="9" t="n">
        <x:f>IF(OR(Inputs!$F$6=TRUE,Inputs!$F$6="TRUE",Inputs!$F$6=1),(Inputs!$H$6+Inputs!$L$6*(((Inputs!$I$6+(((A191)+1)/2)*(Inputs!$J$6-Inputs!$I$6)))/Inputs!$K$6)^2),NA())</x:f>
        <x:v>401.3225</x:v>
      </x:c>
      <x:c r="C191" s="9" t="n">
        <x:f>IF(OR(Inputs!$F$7=TRUE,Inputs!$F$7="TRUE",Inputs!$F$7=1),(Inputs!$H$7+Inputs!$L$7*(((Inputs!$I$7+(((A191)+1)/2)*(Inputs!$J$7-Inputs!$I$7)))/Inputs!$K$7)^2),NA())</x:f>
        <x:v>155.67812499999997</x:v>
      </x:c>
      <x:c r="D191" s="9" t="n">
        <x:f>IF(OR(Inputs!$F$8=TRUE,Inputs!$F$8="TRUE",Inputs!$F$8=1),(Inputs!$H$8+Inputs!$L$8*(((Inputs!$I$8+(((A191)+1)/2)*(Inputs!$J$8-Inputs!$I$8)))/Inputs!$K$8)^2),NA())</x:f>
        <x:v>354.05312499999997</x:v>
      </x:c>
      <x:c r="E191" s="9" t="n">
        <x:f>IF(OR(Inputs!$F$9=TRUE,Inputs!$F$9="TRUE",Inputs!$F$9=1),(Inputs!$H$9+Inputs!$L$9*(((Inputs!$I$9+(((A191)+1)/2)*(Inputs!$J$9-Inputs!$I$9)))/Inputs!$K$9)^2),NA())</x:f>
        <x:v>347.35937499999994</x:v>
      </x:c>
      <x:c r="F191" s="10"/>
      <x:c r="G191" s="9">
        <x:f t="shared" si="18"/>
        <x:v>0.57499999999999996</x:v>
      </x:c>
      <x:c r="H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10"/>
      <x:c r="M191" s="9">
        <x:f t="shared" si="19"/>
        <x:v>0.57499999999999996</x:v>
      </x:c>
      <x:c r="N191" s="9"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9"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9"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9"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10"/>
      <x:c r="S191" s="9">
        <x:f t="shared" si="20"/>
        <x:v>0.57499999999999996</x:v>
      </x:c>
      <x:c r="T191" s="9" t="n">
        <x:f>(Inputs!$I$6+(((A191)+1)/2)*(Inputs!$J$6-Inputs!$I$6))</x:f>
        <x:v>34.5</x:v>
      </x:c>
      <x:c r="U191" s="9" t="n">
        <x:f>(Inputs!$I$7+(((A191)+1)/2)*(Inputs!$J$7-Inputs!$I$7))</x:f>
        <x:v>230</x:v>
      </x:c>
      <x:c r="V191" s="9" t="n">
        <x:f>(Inputs!$I$8+(((A191)+1)/2)*(Inputs!$J$8-Inputs!$I$8))</x:f>
        <x:v>460</x:v>
      </x:c>
      <x:c r="W191" s="9" t="n">
        <x:f>(Inputs!$I$9+(((A191)+1)/2)*(Inputs!$J$9-Inputs!$I$9))</x:f>
        <x:v>460</x:v>
      </x:c>
      <x:c r="X191" s="10"/>
      <x:c r="Y191" s="9">
        <x:f t="shared" si="21"/>
        <x:v>0.57499999999999996</x:v>
      </x:c>
      <x:c r="Z191" s="9" t="n">
        <x:f>(Inputs!$H$6+Inputs!$L$6*(((Inputs!$I$6+(((A191)+1)/2)*(Inputs!$J$6-Inputs!$I$6)))/Inputs!$K$6)^2)</x:f>
        <x:v>401.3225</x:v>
      </x:c>
      <x:c r="AA191" s="9" t="n">
        <x:f>(Inputs!$H$7+Inputs!$L$7*(((Inputs!$I$7+(((A191)+1)/2)*(Inputs!$J$7-Inputs!$I$7)))/Inputs!$K$7)^2)</x:f>
        <x:v>155.67812499999997</x:v>
      </x:c>
      <x:c r="AB191" s="9" t="n">
        <x:f>(Inputs!$H$8+Inputs!$L$8*(((Inputs!$I$8+(((A191)+1)/2)*(Inputs!$J$8-Inputs!$I$8)))/Inputs!$K$8)^2)</x:f>
        <x:v>354.05312499999997</x:v>
      </x:c>
      <x:c r="AC191" s="9" t="n">
        <x:f>(Inputs!$H$9+Inputs!$L$9*(((Inputs!$I$9+(((A191)+1)/2)*(Inputs!$J$9-Inputs!$I$9)))/Inputs!$K$9)^2)</x:f>
        <x:v>347.35937499999994</x:v>
      </x:c>
      <x:c r="AD191" s="10"/>
      <x:c r="AE191" s="9">
        <x:f t="shared" si="22"/>
        <x:v>0.57499999999999996</x:v>
      </x:c>
      <x:c r="AF191" s="9"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9"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9"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9"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10"/>
      <x:c r="AK191" s="9">
        <x:f t="shared" si="23"/>
        <x:v>0.57499999999999996</x:v>
      </x:c>
      <x:c r="AL191" s="9"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9"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9"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9"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10"/>
      <x:c r="AQ191" s="9">
        <x:f t="shared" si="24"/>
        <x:v>0.57499999999999996</x:v>
      </x:c>
      <x:c r="AR191" s="9" t="n">
        <x:f>0</x:f>
        <x:v>0</x:v>
      </x:c>
      <x:c r="AS191" s="9"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x:f>
        <x:v>248.8414359782273</x:v>
      </x:c>
      <x:c r="AT191" s="9"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x:f>
        <x:v>126.80278001898783</x:v>
      </x:c>
      <x:c r="AU191" s="9"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x:f>
        <x:v>139.45599759727173</x:v>
      </x:c>
      <x:c r="AV191" s="9"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x:f>
        <x:v>139.45599759727173</x:v>
      </x:c>
      <x:c r="AW191" s="10"/>
      <x:c r="AX191" s="9">
        <x:f t="shared" si="25"/>
        <x:v>0.57499999999999996</x:v>
      </x:c>
      <x:c r="AY191" s="9" t="n">
        <x:f>0</x:f>
        <x:v>0</x:v>
      </x:c>
      <x:c r="AZ191" s="9" t="n">
        <x:f>IF(OR(Inputs!$F$6=TRUE,Inputs!$F$6="TRUE",Inputs!$F$6=1),(Inputs!$H$6+Inputs!$L$6*(((Inputs!$I$6+(((A191)+1)/2)*(Inputs!$J$6-Inputs!$I$6)))/Inputs!$K$6)^2),NA())</x:f>
        <x:v>401.3225</x:v>
      </x:c>
      <x:c r="BA191" s="9" t="n">
        <x:f>IF(OR(Inputs!$F$7=TRUE,Inputs!$F$7="TRUE",Inputs!$F$7=1),(Inputs!$H$7+Inputs!$L$7*(((Inputs!$I$7+(((A191)+1)/2)*(Inputs!$J$7-Inputs!$I$7)))/Inputs!$K$7)^2),NA())</x:f>
        <x:v>155.67812499999997</x:v>
      </x:c>
      <x:c r="BB191" s="9" t="n">
        <x:f>IF(OR(Inputs!$F$8=TRUE,Inputs!$F$8="TRUE",Inputs!$F$8=1),(Inputs!$H$8+Inputs!$L$8*(((Inputs!$I$8+(((A191)+1)/2)*(Inputs!$J$8-Inputs!$I$8)))/Inputs!$K$8)^2),NA())</x:f>
        <x:v>354.05312499999997</x:v>
      </x:c>
      <x:c r="BC191" s="9" t="n">
        <x:f>IF(OR(Inputs!$F$9=TRUE,Inputs!$F$9="TRUE",Inputs!$F$9=1),(Inputs!$H$9+Inputs!$L$9*(((Inputs!$I$9+(((A191)+1)/2)*(Inputs!$J$9-Inputs!$I$9)))/Inputs!$K$9)^2),NA())</x:f>
        <x:v>347.35937499999994</x:v>
      </x:c>
      <x:c r="BD191" s="10"/>
      <x:c r="BE191" s="9">
        <x:f t="shared" si="26"/>
        <x:v>0.57499999999999996</x:v>
      </x:c>
      <x:c r="BF191" s="9" t="n">
        <x:f>0</x:f>
        <x:v>0</x:v>
      </x:c>
      <x:c r="BG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9" t="n">
        <x:f>ROUND(-1+190*2/240,3)</x:f>
        <x:v>0.583</x:v>
      </x:c>
      <x:c r="B192" s="9" t="n">
        <x:f>IF(OR(Inputs!$F$6=TRUE,Inputs!$F$6="TRUE",Inputs!$F$6=1),(Inputs!$H$6+Inputs!$L$6*(((Inputs!$I$6+(((A192)+1)/2)*(Inputs!$J$6-Inputs!$I$6)))/Inputs!$K$6)^2),NA())</x:f>
        <x:v>401.359556</x:v>
      </x:c>
      <x:c r="C192" s="9" t="n">
        <x:f>IF(OR(Inputs!$F$7=TRUE,Inputs!$F$7="TRUE",Inputs!$F$7=1),(Inputs!$H$7+Inputs!$L$7*(((Inputs!$I$7+(((A192)+1)/2)*(Inputs!$J$7-Inputs!$I$7)))/Inputs!$K$7)^2),NA())</x:f>
        <x:v>159.05948499999994</x:v>
      </x:c>
      <x:c r="D192" s="9" t="n">
        <x:f>IF(OR(Inputs!$F$8=TRUE,Inputs!$F$8="TRUE",Inputs!$F$8=1),(Inputs!$H$8+Inputs!$L$8*(((Inputs!$I$8+(((A192)+1)/2)*(Inputs!$J$8-Inputs!$I$8)))/Inputs!$K$8)^2),NA())</x:f>
        <x:v>362.99288499999983</x:v>
      </x:c>
      <x:c r="E192" s="9" t="n">
        <x:f>IF(OR(Inputs!$F$9=TRUE,Inputs!$F$9="TRUE",Inputs!$F$9=1),(Inputs!$H$9+Inputs!$L$9*(((Inputs!$I$9+(((A192)+1)/2)*(Inputs!$J$9-Inputs!$I$9)))/Inputs!$K$9)^2),NA())</x:f>
        <x:v>356.3917749999998</x:v>
      </x:c>
      <x:c r="F192" s="10"/>
      <x:c r="G192" s="9">
        <x:f t="shared" si="18"/>
        <x:v>0.58299999999999996</x:v>
      </x:c>
      <x:c r="H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10"/>
      <x:c r="M192" s="9">
        <x:f t="shared" si="19"/>
        <x:v>0.58299999999999996</x:v>
      </x:c>
      <x:c r="N192" s="9"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9"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9"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9"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10"/>
      <x:c r="S192" s="9">
        <x:f t="shared" si="20"/>
        <x:v>0.58299999999999996</x:v>
      </x:c>
      <x:c r="T192" s="9" t="n">
        <x:f>(Inputs!$I$6+(((A192)+1)/2)*(Inputs!$J$6-Inputs!$I$6))</x:f>
        <x:v>34.980000000000004</x:v>
      </x:c>
      <x:c r="U192" s="9" t="n">
        <x:f>(Inputs!$I$7+(((A192)+1)/2)*(Inputs!$J$7-Inputs!$I$7))</x:f>
        <x:v>233.19999999999993</x:v>
      </x:c>
      <x:c r="V192" s="9" t="n">
        <x:f>(Inputs!$I$8+(((A192)+1)/2)*(Inputs!$J$8-Inputs!$I$8))</x:f>
        <x:v>466.39999999999986</x:v>
      </x:c>
      <x:c r="W192" s="9" t="n">
        <x:f>(Inputs!$I$9+(((A192)+1)/2)*(Inputs!$J$9-Inputs!$I$9))</x:f>
        <x:v>466.39999999999986</x:v>
      </x:c>
      <x:c r="X192" s="10"/>
      <x:c r="Y192" s="9">
        <x:f t="shared" si="21"/>
        <x:v>0.58299999999999996</x:v>
      </x:c>
      <x:c r="Z192" s="9" t="n">
        <x:f>(Inputs!$H$6+Inputs!$L$6*(((Inputs!$I$6+(((A192)+1)/2)*(Inputs!$J$6-Inputs!$I$6)))/Inputs!$K$6)^2)</x:f>
        <x:v>401.359556</x:v>
      </x:c>
      <x:c r="AA192" s="9" t="n">
        <x:f>(Inputs!$H$7+Inputs!$L$7*(((Inputs!$I$7+(((A192)+1)/2)*(Inputs!$J$7-Inputs!$I$7)))/Inputs!$K$7)^2)</x:f>
        <x:v>159.05948499999994</x:v>
      </x:c>
      <x:c r="AB192" s="9" t="n">
        <x:f>(Inputs!$H$8+Inputs!$L$8*(((Inputs!$I$8+(((A192)+1)/2)*(Inputs!$J$8-Inputs!$I$8)))/Inputs!$K$8)^2)</x:f>
        <x:v>362.99288499999983</x:v>
      </x:c>
      <x:c r="AC192" s="9" t="n">
        <x:f>(Inputs!$H$9+Inputs!$L$9*(((Inputs!$I$9+(((A192)+1)/2)*(Inputs!$J$9-Inputs!$I$9)))/Inputs!$K$9)^2)</x:f>
        <x:v>356.3917749999998</x:v>
      </x:c>
      <x:c r="AD192" s="10"/>
      <x:c r="AE192" s="9">
        <x:f t="shared" si="22"/>
        <x:v>0.58299999999999996</x:v>
      </x:c>
      <x:c r="AF192" s="9"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9"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9"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9"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10"/>
      <x:c r="AK192" s="9">
        <x:f t="shared" si="23"/>
        <x:v>0.58299999999999996</x:v>
      </x:c>
      <x:c r="AL192" s="9"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9"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9"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9"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10"/>
      <x:c r="AQ192" s="9">
        <x:f t="shared" si="24"/>
        <x:v>0.58299999999999996</x:v>
      </x:c>
      <x:c r="AR192" s="9" t="n">
        <x:f>0</x:f>
        <x:v>0</x:v>
      </x:c>
      <x:c r="AS192" s="9"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x:f>
        <x:v>241.8095055557128</x:v>
      </x:c>
      <x:c r="AT192" s="9"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x:f>
        <x:v>165.87643471965114</x:v>
      </x:c>
      <x:c r="AU192" s="9"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x:f>
        <x:v>80.8835067903751</x:v>
      </x:c>
      <x:c r="AV192" s="9"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x:f>
        <x:v>80.8835067903751</x:v>
      </x:c>
      <x:c r="AW192" s="10"/>
      <x:c r="AX192" s="9">
        <x:f t="shared" si="25"/>
        <x:v>0.58299999999999996</x:v>
      </x:c>
      <x:c r="AY192" s="9" t="n">
        <x:f>0</x:f>
        <x:v>0</x:v>
      </x:c>
      <x:c r="AZ192" s="9" t="n">
        <x:f>IF(OR(Inputs!$F$6=TRUE,Inputs!$F$6="TRUE",Inputs!$F$6=1),(Inputs!$H$6+Inputs!$L$6*(((Inputs!$I$6+(((A192)+1)/2)*(Inputs!$J$6-Inputs!$I$6)))/Inputs!$K$6)^2),NA())</x:f>
        <x:v>401.359556</x:v>
      </x:c>
      <x:c r="BA192" s="9" t="n">
        <x:f>IF(OR(Inputs!$F$7=TRUE,Inputs!$F$7="TRUE",Inputs!$F$7=1),(Inputs!$H$7+Inputs!$L$7*(((Inputs!$I$7+(((A192)+1)/2)*(Inputs!$J$7-Inputs!$I$7)))/Inputs!$K$7)^2),NA())</x:f>
        <x:v>159.05948499999994</x:v>
      </x:c>
      <x:c r="BB192" s="9" t="n">
        <x:f>IF(OR(Inputs!$F$8=TRUE,Inputs!$F$8="TRUE",Inputs!$F$8=1),(Inputs!$H$8+Inputs!$L$8*(((Inputs!$I$8+(((A192)+1)/2)*(Inputs!$J$8-Inputs!$I$8)))/Inputs!$K$8)^2),NA())</x:f>
        <x:v>362.99288499999983</x:v>
      </x:c>
      <x:c r="BC192" s="9" t="n">
        <x:f>IF(OR(Inputs!$F$9=TRUE,Inputs!$F$9="TRUE",Inputs!$F$9=1),(Inputs!$H$9+Inputs!$L$9*(((Inputs!$I$9+(((A192)+1)/2)*(Inputs!$J$9-Inputs!$I$9)))/Inputs!$K$9)^2),NA())</x:f>
        <x:v>356.3917749999998</x:v>
      </x:c>
      <x:c r="BD192" s="10"/>
      <x:c r="BE192" s="9">
        <x:f t="shared" si="26"/>
        <x:v>0.58299999999999996</x:v>
      </x:c>
      <x:c r="BF192" s="9" t="n">
        <x:f>0</x:f>
        <x:v>0</x:v>
      </x:c>
      <x:c r="BG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9" t="n">
        <x:f>ROUND(-1+191*2/240,3)</x:f>
        <x:v>0.592</x:v>
      </x:c>
      <x:c r="B193" s="9" t="n">
        <x:f>IF(OR(Inputs!$F$6=TRUE,Inputs!$F$6="TRUE",Inputs!$F$6=1),(Inputs!$H$6+Inputs!$L$6*(((Inputs!$I$6+(((A193)+1)/2)*(Inputs!$J$6-Inputs!$I$6)))/Inputs!$K$6)^2),NA())</x:f>
        <x:v>401.401856</x:v>
      </x:c>
      <x:c r="C193" s="9" t="n">
        <x:f>IF(OR(Inputs!$F$7=TRUE,Inputs!$F$7="TRUE",Inputs!$F$7=1),(Inputs!$H$7+Inputs!$L$7*(((Inputs!$I$7+(((A193)+1)/2)*(Inputs!$J$7-Inputs!$I$7)))/Inputs!$K$7)^2),NA())</x:f>
        <x:v>162.9193600000001</x:v>
      </x:c>
      <x:c r="D193" s="9" t="n">
        <x:f>IF(OR(Inputs!$F$8=TRUE,Inputs!$F$8="TRUE",Inputs!$F$8=1),(Inputs!$H$8+Inputs!$L$8*(((Inputs!$I$8+(((A193)+1)/2)*(Inputs!$J$8-Inputs!$I$8)))/Inputs!$K$8)^2),NA())</x:f>
        <x:v>373.1977600000002</x:v>
      </x:c>
      <x:c r="E193" s="9" t="n">
        <x:f>IF(OR(Inputs!$F$9=TRUE,Inputs!$F$9="TRUE",Inputs!$F$9=1),(Inputs!$H$9+Inputs!$L$9*(((Inputs!$I$9+(((A193)+1)/2)*(Inputs!$J$9-Inputs!$I$9)))/Inputs!$K$9)^2),NA())</x:f>
        <x:v>366.70240000000024</x:v>
      </x:c>
      <x:c r="F193" s="10"/>
      <x:c r="G193" s="9">
        <x:f t="shared" si="18"/>
        <x:v>0.59199999999999997</x:v>
      </x:c>
      <x:c r="H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10"/>
      <x:c r="M193" s="9">
        <x:f t="shared" si="19"/>
        <x:v>0.59199999999999997</x:v>
      </x:c>
      <x:c r="N193" s="9"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9"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9"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9"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10"/>
      <x:c r="S193" s="9">
        <x:f t="shared" si="20"/>
        <x:v>0.59199999999999997</x:v>
      </x:c>
      <x:c r="T193" s="9" t="n">
        <x:f>(Inputs!$I$6+(((A193)+1)/2)*(Inputs!$J$6-Inputs!$I$6))</x:f>
        <x:v>35.52000000000001</x:v>
      </x:c>
      <x:c r="U193" s="9" t="n">
        <x:f>(Inputs!$I$7+(((A193)+1)/2)*(Inputs!$J$7-Inputs!$I$7))</x:f>
        <x:v>236.80000000000007</x:v>
      </x:c>
      <x:c r="V193" s="9" t="n">
        <x:f>(Inputs!$I$8+(((A193)+1)/2)*(Inputs!$J$8-Inputs!$I$8))</x:f>
        <x:v>473.60000000000014</x:v>
      </x:c>
      <x:c r="W193" s="9" t="n">
        <x:f>(Inputs!$I$9+(((A193)+1)/2)*(Inputs!$J$9-Inputs!$I$9))</x:f>
        <x:v>473.60000000000014</x:v>
      </x:c>
      <x:c r="X193" s="10"/>
      <x:c r="Y193" s="9">
        <x:f t="shared" si="21"/>
        <x:v>0.59199999999999997</x:v>
      </x:c>
      <x:c r="Z193" s="9" t="n">
        <x:f>(Inputs!$H$6+Inputs!$L$6*(((Inputs!$I$6+(((A193)+1)/2)*(Inputs!$J$6-Inputs!$I$6)))/Inputs!$K$6)^2)</x:f>
        <x:v>401.401856</x:v>
      </x:c>
      <x:c r="AA193" s="9" t="n">
        <x:f>(Inputs!$H$7+Inputs!$L$7*(((Inputs!$I$7+(((A193)+1)/2)*(Inputs!$J$7-Inputs!$I$7)))/Inputs!$K$7)^2)</x:f>
        <x:v>162.9193600000001</x:v>
      </x:c>
      <x:c r="AB193" s="9" t="n">
        <x:f>(Inputs!$H$8+Inputs!$L$8*(((Inputs!$I$8+(((A193)+1)/2)*(Inputs!$J$8-Inputs!$I$8)))/Inputs!$K$8)^2)</x:f>
        <x:v>373.1977600000002</x:v>
      </x:c>
      <x:c r="AC193" s="9" t="n">
        <x:f>(Inputs!$H$9+Inputs!$L$9*(((Inputs!$I$9+(((A193)+1)/2)*(Inputs!$J$9-Inputs!$I$9)))/Inputs!$K$9)^2)</x:f>
        <x:v>366.70240000000024</x:v>
      </x:c>
      <x:c r="AD193" s="10"/>
      <x:c r="AE193" s="9">
        <x:f t="shared" si="22"/>
        <x:v>0.59199999999999997</x:v>
      </x:c>
      <x:c r="AF193" s="9"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9"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9"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9"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10"/>
      <x:c r="AK193" s="9">
        <x:f t="shared" si="23"/>
        <x:v>0.59199999999999997</x:v>
      </x:c>
      <x:c r="AL193" s="9"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9"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9"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9"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10"/>
      <x:c r="AQ193" s="9">
        <x:f t="shared" si="24"/>
        <x:v>0.59199999999999997</x:v>
      </x:c>
      <x:c r="AR193" s="9" t="n">
        <x:f>0</x:f>
        <x:v>0</x:v>
      </x:c>
      <x:c r="AS193" s="9"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x:f>
        <x:v>243.39165379312112</x:v>
      </x:c>
      <x:c r="AT193" s="9"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x:f>
        <x:v>197.41284277336752</x:v>
      </x:c>
      <x:c r="AU193" s="9"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x:f>
        <x:v>191.00762165969738</x:v>
      </x:c>
      <x:c r="AV193" s="9"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x:f>
        <x:v>191.00762165969738</x:v>
      </x:c>
      <x:c r="AW193" s="10"/>
      <x:c r="AX193" s="9">
        <x:f t="shared" si="25"/>
        <x:v>0.59199999999999997</x:v>
      </x:c>
      <x:c r="AY193" s="9" t="n">
        <x:f>0</x:f>
        <x:v>0</x:v>
      </x:c>
      <x:c r="AZ193" s="9" t="n">
        <x:f>IF(OR(Inputs!$F$6=TRUE,Inputs!$F$6="TRUE",Inputs!$F$6=1),(Inputs!$H$6+Inputs!$L$6*(((Inputs!$I$6+(((A193)+1)/2)*(Inputs!$J$6-Inputs!$I$6)))/Inputs!$K$6)^2),NA())</x:f>
        <x:v>401.401856</x:v>
      </x:c>
      <x:c r="BA193" s="9" t="n">
        <x:f>IF(OR(Inputs!$F$7=TRUE,Inputs!$F$7="TRUE",Inputs!$F$7=1),(Inputs!$H$7+Inputs!$L$7*(((Inputs!$I$7+(((A193)+1)/2)*(Inputs!$J$7-Inputs!$I$7)))/Inputs!$K$7)^2),NA())</x:f>
        <x:v>162.9193600000001</x:v>
      </x:c>
      <x:c r="BB193" s="9" t="n">
        <x:f>IF(OR(Inputs!$F$8=TRUE,Inputs!$F$8="TRUE",Inputs!$F$8=1),(Inputs!$H$8+Inputs!$L$8*(((Inputs!$I$8+(((A193)+1)/2)*(Inputs!$J$8-Inputs!$I$8)))/Inputs!$K$8)^2),NA())</x:f>
        <x:v>373.1977600000002</x:v>
      </x:c>
      <x:c r="BC193" s="9" t="n">
        <x:f>IF(OR(Inputs!$F$9=TRUE,Inputs!$F$9="TRUE",Inputs!$F$9=1),(Inputs!$H$9+Inputs!$L$9*(((Inputs!$I$9+(((A193)+1)/2)*(Inputs!$J$9-Inputs!$I$9)))/Inputs!$K$9)^2),NA())</x:f>
        <x:v>366.70240000000024</x:v>
      </x:c>
      <x:c r="BD193" s="10"/>
      <x:c r="BE193" s="9">
        <x:f t="shared" si="26"/>
        <x:v>0.59199999999999997</x:v>
      </x:c>
      <x:c r="BF193" s="9" t="n">
        <x:f>0</x:f>
        <x:v>0</x:v>
      </x:c>
      <x:c r="BG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9" t="n">
        <x:f>ROUND(-1+192*2/240,3)</x:f>
        <x:v>0.6</x:v>
      </x:c>
      <x:c r="B194" s="9" t="n">
        <x:f>IF(OR(Inputs!$F$6=TRUE,Inputs!$F$6="TRUE",Inputs!$F$6=1),(Inputs!$H$6+Inputs!$L$6*(((Inputs!$I$6+(((A194)+1)/2)*(Inputs!$J$6-Inputs!$I$6)))/Inputs!$K$6)^2),NA())</x:f>
        <x:v>401.44</x:v>
      </x:c>
      <x:c r="C194" s="9" t="n">
        <x:f>IF(OR(Inputs!$F$7=TRUE,Inputs!$F$7="TRUE",Inputs!$F$7=1),(Inputs!$H$7+Inputs!$L$7*(((Inputs!$I$7+(((A194)+1)/2)*(Inputs!$J$7-Inputs!$I$7)))/Inputs!$K$7)^2),NA())</x:f>
        <x:v>166.4</x:v>
      </x:c>
      <x:c r="D194" s="9" t="n">
        <x:f>IF(OR(Inputs!$F$8=TRUE,Inputs!$F$8="TRUE",Inputs!$F$8=1),(Inputs!$H$8+Inputs!$L$8*(((Inputs!$I$8+(((A194)+1)/2)*(Inputs!$J$8-Inputs!$I$8)))/Inputs!$K$8)^2),NA())</x:f>
        <x:v>382.4</x:v>
      </x:c>
      <x:c r="E194" s="9" t="n">
        <x:f>IF(OR(Inputs!$F$9=TRUE,Inputs!$F$9="TRUE",Inputs!$F$9=1),(Inputs!$H$9+Inputs!$L$9*(((Inputs!$I$9+(((A194)+1)/2)*(Inputs!$J$9-Inputs!$I$9)))/Inputs!$K$9)^2),NA())</x:f>
        <x:v>376</x:v>
      </x:c>
      <x:c r="F194" s="10"/>
      <x:c r="G194" s="9" t="n">
        <x:f t="shared" ref="G194:G242" si="27">A194</x:f>
        <x:v>0.6</x:v>
      </x:c>
      <x:c r="H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10"/>
      <x:c r="M194" s="9" t="n">
        <x:f t="shared" ref="M194:M242" si="28">A194</x:f>
        <x:v>0.6</x:v>
      </x:c>
      <x:c r="N194" s="9"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9"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9"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9"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10"/>
      <x:c r="S194" s="9" t="n">
        <x:f t="shared" ref="S194:S242" si="29">A194</x:f>
        <x:v>0.6</x:v>
      </x:c>
      <x:c r="T194" s="9" t="n">
        <x:f>(Inputs!$I$6+(((A194)+1)/2)*(Inputs!$J$6-Inputs!$I$6))</x:f>
        <x:v>36</x:v>
      </x:c>
      <x:c r="U194" s="9" t="n">
        <x:f>(Inputs!$I$7+(((A194)+1)/2)*(Inputs!$J$7-Inputs!$I$7))</x:f>
        <x:v>240</x:v>
      </x:c>
      <x:c r="V194" s="9" t="n">
        <x:f>(Inputs!$I$8+(((A194)+1)/2)*(Inputs!$J$8-Inputs!$I$8))</x:f>
        <x:v>480</x:v>
      </x:c>
      <x:c r="W194" s="9" t="n">
        <x:f>(Inputs!$I$9+(((A194)+1)/2)*(Inputs!$J$9-Inputs!$I$9))</x:f>
        <x:v>480</x:v>
      </x:c>
      <x:c r="X194" s="10"/>
      <x:c r="Y194" s="9" t="n">
        <x:f t="shared" ref="Y194:Y242" si="30">A194</x:f>
        <x:v>0.6</x:v>
      </x:c>
      <x:c r="Z194" s="9" t="n">
        <x:f>(Inputs!$H$6+Inputs!$L$6*(((Inputs!$I$6+(((A194)+1)/2)*(Inputs!$J$6-Inputs!$I$6)))/Inputs!$K$6)^2)</x:f>
        <x:v>401.44</x:v>
      </x:c>
      <x:c r="AA194" s="9" t="n">
        <x:f>(Inputs!$H$7+Inputs!$L$7*(((Inputs!$I$7+(((A194)+1)/2)*(Inputs!$J$7-Inputs!$I$7)))/Inputs!$K$7)^2)</x:f>
        <x:v>166.4</x:v>
      </x:c>
      <x:c r="AB194" s="9" t="n">
        <x:f>(Inputs!$H$8+Inputs!$L$8*(((Inputs!$I$8+(((A194)+1)/2)*(Inputs!$J$8-Inputs!$I$8)))/Inputs!$K$8)^2)</x:f>
        <x:v>382.4</x:v>
      </x:c>
      <x:c r="AC194" s="9" t="n">
        <x:f>(Inputs!$H$9+Inputs!$L$9*(((Inputs!$I$9+(((A194)+1)/2)*(Inputs!$J$9-Inputs!$I$9)))/Inputs!$K$9)^2)</x:f>
        <x:v>376</x:v>
      </x:c>
      <x:c r="AD194" s="10"/>
      <x:c r="AE194" s="9" t="n">
        <x:f t="shared" ref="AE194:AE242" si="31">A194</x:f>
        <x:v>0.6</x:v>
      </x:c>
      <x:c r="AF194" s="9"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9"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9"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9"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10"/>
      <x:c r="AK194" s="9" t="n">
        <x:f t="shared" ref="AK194:AK242" si="32">A194</x:f>
        <x:v>0.6</x:v>
      </x:c>
      <x:c r="AL194" s="9"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9"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9"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9"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10"/>
      <x:c r="AQ194" s="9" t="n">
        <x:f t="shared" ref="AQ194:AQ242" si="33">A194</x:f>
        <x:v>0.6</x:v>
      </x:c>
      <x:c r="AR194" s="9" t="n">
        <x:f>0</x:f>
        <x:v>0</x:v>
      </x:c>
      <x:c r="AS194" s="9"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x:f>
        <x:v>251.8480330414438</x:v>
      </x:c>
      <x:c r="AT194" s="9"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x:f>
        <x:v>170.07540465003</x:v>
      </x:c>
      <x:c r="AU194" s="9"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x:f>
        <x:v>66.49025407923727</x:v>
      </x:c>
      <x:c r="AV194" s="9"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x:f>
        <x:v>66.49025407923727</x:v>
      </x:c>
      <x:c r="AW194" s="10"/>
      <x:c r="AX194" s="9" t="n">
        <x:f t="shared" ref="AX194:AX242" si="34">A194</x:f>
        <x:v>0.6</x:v>
      </x:c>
      <x:c r="AY194" s="9" t="n">
        <x:f>0</x:f>
        <x:v>0</x:v>
      </x:c>
      <x:c r="AZ194" s="9" t="n">
        <x:f>IF(OR(Inputs!$F$6=TRUE,Inputs!$F$6="TRUE",Inputs!$F$6=1),(Inputs!$H$6+Inputs!$L$6*(((Inputs!$I$6+(((A194)+1)/2)*(Inputs!$J$6-Inputs!$I$6)))/Inputs!$K$6)^2),NA())</x:f>
        <x:v>401.44</x:v>
      </x:c>
      <x:c r="BA194" s="9" t="n">
        <x:f>IF(OR(Inputs!$F$7=TRUE,Inputs!$F$7="TRUE",Inputs!$F$7=1),(Inputs!$H$7+Inputs!$L$7*(((Inputs!$I$7+(((A194)+1)/2)*(Inputs!$J$7-Inputs!$I$7)))/Inputs!$K$7)^2),NA())</x:f>
        <x:v>166.4</x:v>
      </x:c>
      <x:c r="BB194" s="9" t="n">
        <x:f>IF(OR(Inputs!$F$8=TRUE,Inputs!$F$8="TRUE",Inputs!$F$8=1),(Inputs!$H$8+Inputs!$L$8*(((Inputs!$I$8+(((A194)+1)/2)*(Inputs!$J$8-Inputs!$I$8)))/Inputs!$K$8)^2),NA())</x:f>
        <x:v>382.4</x:v>
      </x:c>
      <x:c r="BC194" s="9" t="n">
        <x:f>IF(OR(Inputs!$F$9=TRUE,Inputs!$F$9="TRUE",Inputs!$F$9=1),(Inputs!$H$9+Inputs!$L$9*(((Inputs!$I$9+(((A194)+1)/2)*(Inputs!$J$9-Inputs!$I$9)))/Inputs!$K$9)^2),NA())</x:f>
        <x:v>376</x:v>
      </x:c>
      <x:c r="BD194" s="10"/>
      <x:c r="BE194" s="9" t="n">
        <x:f t="shared" ref="BE194:BE242" si="35">A194</x:f>
        <x:v>0.6</x:v>
      </x:c>
      <x:c r="BF194" s="9" t="n">
        <x:f>0</x:f>
        <x:v>0</x:v>
      </x:c>
      <x:c r="BG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9" t="n">
        <x:f>ROUND(-1+193*2/240,3)</x:f>
        <x:v>0.608</x:v>
      </x:c>
      <x:c r="B195" s="9" t="n">
        <x:f>IF(OR(Inputs!$F$6=TRUE,Inputs!$F$6="TRUE",Inputs!$F$6=1),(Inputs!$H$6+Inputs!$L$6*(((Inputs!$I$6+(((A195)+1)/2)*(Inputs!$J$6-Inputs!$I$6)))/Inputs!$K$6)^2),NA())</x:f>
        <x:v>401.478656</x:v>
      </x:c>
      <x:c r="C195" s="9" t="n">
        <x:f>IF(OR(Inputs!$F$7=TRUE,Inputs!$F$7="TRUE",Inputs!$F$7=1),(Inputs!$H$7+Inputs!$L$7*(((Inputs!$I$7+(((A195)+1)/2)*(Inputs!$J$7-Inputs!$I$7)))/Inputs!$K$7)^2),NA())</x:f>
        <x:v>169.92736000000005</x:v>
      </x:c>
      <x:c r="D195" s="9" t="n">
        <x:f>IF(OR(Inputs!$F$8=TRUE,Inputs!$F$8="TRUE",Inputs!$F$8=1),(Inputs!$H$8+Inputs!$L$8*(((Inputs!$I$8+(((A195)+1)/2)*(Inputs!$J$8-Inputs!$I$8)))/Inputs!$K$8)^2),NA())</x:f>
        <x:v>391.7257600000001</x:v>
      </x:c>
      <x:c r="E195" s="9" t="n">
        <x:f>IF(OR(Inputs!$F$9=TRUE,Inputs!$F$9="TRUE",Inputs!$F$9=1),(Inputs!$H$9+Inputs!$L$9*(((Inputs!$I$9+(((A195)+1)/2)*(Inputs!$J$9-Inputs!$I$9)))/Inputs!$K$9)^2),NA())</x:f>
        <x:v>385.4224000000001</x:v>
      </x:c>
      <x:c r="F195" s="10"/>
      <x:c r="G195" s="9">
        <x:f t="shared" si="27"/>
        <x:v>0.60799999999999998</x:v>
      </x:c>
      <x:c r="H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10"/>
      <x:c r="M195" s="9">
        <x:f t="shared" si="28"/>
        <x:v>0.60799999999999998</x:v>
      </x:c>
      <x:c r="N195" s="9"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9"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9"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9"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10"/>
      <x:c r="S195" s="9">
        <x:f t="shared" si="29"/>
        <x:v>0.60799999999999998</x:v>
      </x:c>
      <x:c r="T195" s="9" t="n">
        <x:f>(Inputs!$I$6+(((A195)+1)/2)*(Inputs!$J$6-Inputs!$I$6))</x:f>
        <x:v>36.480000000000004</x:v>
      </x:c>
      <x:c r="U195" s="9" t="n">
        <x:f>(Inputs!$I$7+(((A195)+1)/2)*(Inputs!$J$7-Inputs!$I$7))</x:f>
        <x:v>243.20000000000005</x:v>
      </x:c>
      <x:c r="V195" s="9" t="n">
        <x:f>(Inputs!$I$8+(((A195)+1)/2)*(Inputs!$J$8-Inputs!$I$8))</x:f>
        <x:v>486.4000000000001</x:v>
      </x:c>
      <x:c r="W195" s="9" t="n">
        <x:f>(Inputs!$I$9+(((A195)+1)/2)*(Inputs!$J$9-Inputs!$I$9))</x:f>
        <x:v>486.4000000000001</x:v>
      </x:c>
      <x:c r="X195" s="10"/>
      <x:c r="Y195" s="9">
        <x:f t="shared" si="30"/>
        <x:v>0.60799999999999998</x:v>
      </x:c>
      <x:c r="Z195" s="9" t="n">
        <x:f>(Inputs!$H$6+Inputs!$L$6*(((Inputs!$I$6+(((A195)+1)/2)*(Inputs!$J$6-Inputs!$I$6)))/Inputs!$K$6)^2)</x:f>
        <x:v>401.478656</x:v>
      </x:c>
      <x:c r="AA195" s="9" t="n">
        <x:f>(Inputs!$H$7+Inputs!$L$7*(((Inputs!$I$7+(((A195)+1)/2)*(Inputs!$J$7-Inputs!$I$7)))/Inputs!$K$7)^2)</x:f>
        <x:v>169.92736000000005</x:v>
      </x:c>
      <x:c r="AB195" s="9" t="n">
        <x:f>(Inputs!$H$8+Inputs!$L$8*(((Inputs!$I$8+(((A195)+1)/2)*(Inputs!$J$8-Inputs!$I$8)))/Inputs!$K$8)^2)</x:f>
        <x:v>391.7257600000001</x:v>
      </x:c>
      <x:c r="AC195" s="9" t="n">
        <x:f>(Inputs!$H$9+Inputs!$L$9*(((Inputs!$I$9+(((A195)+1)/2)*(Inputs!$J$9-Inputs!$I$9)))/Inputs!$K$9)^2)</x:f>
        <x:v>385.4224000000001</x:v>
      </x:c>
      <x:c r="AD195" s="10"/>
      <x:c r="AE195" s="9">
        <x:f t="shared" si="31"/>
        <x:v>0.60799999999999998</x:v>
      </x:c>
      <x:c r="AF195" s="9"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9"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9"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9"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10"/>
      <x:c r="AK195" s="9">
        <x:f t="shared" si="32"/>
        <x:v>0.60799999999999998</x:v>
      </x:c>
      <x:c r="AL195" s="9"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9"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9"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9"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10"/>
      <x:c r="AQ195" s="9">
        <x:f t="shared" si="33"/>
        <x:v>0.60799999999999998</x:v>
      </x:c>
      <x:c r="AR195" s="9" t="n">
        <x:f>0</x:f>
        <x:v>0</x:v>
      </x:c>
      <x:c r="AS195" s="9"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x:f>
        <x:v>263.79859830925744</x:v>
      </x:c>
      <x:c r="AT195" s="9"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x:f>
        <x:v>158.89225646657422</x:v>
      </x:c>
      <x:c r="AU195" s="9"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x:f>
        <x:v>172.31839877924762</x:v>
      </x:c>
      <x:c r="AV195" s="9"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x:f>
        <x:v>172.31839877924762</x:v>
      </x:c>
      <x:c r="AW195" s="10"/>
      <x:c r="AX195" s="9">
        <x:f t="shared" si="34"/>
        <x:v>0.60799999999999998</x:v>
      </x:c>
      <x:c r="AY195" s="9" t="n">
        <x:f>0</x:f>
        <x:v>0</x:v>
      </x:c>
      <x:c r="AZ195" s="9" t="n">
        <x:f>IF(OR(Inputs!$F$6=TRUE,Inputs!$F$6="TRUE",Inputs!$F$6=1),(Inputs!$H$6+Inputs!$L$6*(((Inputs!$I$6+(((A195)+1)/2)*(Inputs!$J$6-Inputs!$I$6)))/Inputs!$K$6)^2),NA())</x:f>
        <x:v>401.478656</x:v>
      </x:c>
      <x:c r="BA195" s="9" t="n">
        <x:f>IF(OR(Inputs!$F$7=TRUE,Inputs!$F$7="TRUE",Inputs!$F$7=1),(Inputs!$H$7+Inputs!$L$7*(((Inputs!$I$7+(((A195)+1)/2)*(Inputs!$J$7-Inputs!$I$7)))/Inputs!$K$7)^2),NA())</x:f>
        <x:v>169.92736000000005</x:v>
      </x:c>
      <x:c r="BB195" s="9" t="n">
        <x:f>IF(OR(Inputs!$F$8=TRUE,Inputs!$F$8="TRUE",Inputs!$F$8=1),(Inputs!$H$8+Inputs!$L$8*(((Inputs!$I$8+(((A195)+1)/2)*(Inputs!$J$8-Inputs!$I$8)))/Inputs!$K$8)^2),NA())</x:f>
        <x:v>391.7257600000001</x:v>
      </x:c>
      <x:c r="BC195" s="9" t="n">
        <x:f>IF(OR(Inputs!$F$9=TRUE,Inputs!$F$9="TRUE",Inputs!$F$9=1),(Inputs!$H$9+Inputs!$L$9*(((Inputs!$I$9+(((A195)+1)/2)*(Inputs!$J$9-Inputs!$I$9)))/Inputs!$K$9)^2),NA())</x:f>
        <x:v>385.4224000000001</x:v>
      </x:c>
      <x:c r="BD195" s="10"/>
      <x:c r="BE195" s="9">
        <x:f t="shared" si="35"/>
        <x:v>0.60799999999999998</x:v>
      </x:c>
      <x:c r="BF195" s="9" t="n">
        <x:f>0</x:f>
        <x:v>0</x:v>
      </x:c>
      <x:c r="BG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9" t="n">
        <x:f>ROUND(-1+194*2/240,3)</x:f>
        <x:v>0.617</x:v>
      </x:c>
      <x:c r="B196" s="9" t="n">
        <x:f>IF(OR(Inputs!$F$6=TRUE,Inputs!$F$6="TRUE",Inputs!$F$6=1),(Inputs!$H$6+Inputs!$L$6*(((Inputs!$I$6+(((A196)+1)/2)*(Inputs!$J$6-Inputs!$I$6)))/Inputs!$K$6)^2),NA())</x:f>
        <x:v>401.522756</x:v>
      </x:c>
      <x:c r="C196" s="9" t="n">
        <x:f>IF(OR(Inputs!$F$7=TRUE,Inputs!$F$7="TRUE",Inputs!$F$7=1),(Inputs!$H$7+Inputs!$L$7*(((Inputs!$I$7+(((A196)+1)/2)*(Inputs!$J$7-Inputs!$I$7)))/Inputs!$K$7)^2),NA())</x:f>
        <x:v>173.95148499999993</x:v>
      </x:c>
      <x:c r="D196" s="9" t="n">
        <x:f>IF(OR(Inputs!$F$8=TRUE,Inputs!$F$8="TRUE",Inputs!$F$8=1),(Inputs!$H$8+Inputs!$L$8*(((Inputs!$I$8+(((A196)+1)/2)*(Inputs!$J$8-Inputs!$I$8)))/Inputs!$K$8)^2),NA())</x:f>
        <x:v>402.36488499999984</x:v>
      </x:c>
      <x:c r="E196" s="9" t="n">
        <x:f>IF(OR(Inputs!$F$9=TRUE,Inputs!$F$9="TRUE",Inputs!$F$9=1),(Inputs!$H$9+Inputs!$L$9*(((Inputs!$I$9+(((A196)+1)/2)*(Inputs!$J$9-Inputs!$I$9)))/Inputs!$K$9)^2),NA())</x:f>
        <x:v>396.17177499999985</x:v>
      </x:c>
      <x:c r="F196" s="10"/>
      <x:c r="G196" s="9">
        <x:f t="shared" si="27"/>
        <x:v>0.61699999999999999</x:v>
      </x:c>
      <x:c r="H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10"/>
      <x:c r="M196" s="9">
        <x:f t="shared" si="28"/>
        <x:v>0.61699999999999999</x:v>
      </x:c>
      <x:c r="N196" s="9"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9"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9"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9"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10"/>
      <x:c r="S196" s="9">
        <x:f t="shared" si="29"/>
        <x:v>0.61699999999999999</x:v>
      </x:c>
      <x:c r="T196" s="9" t="n">
        <x:f>(Inputs!$I$6+(((A196)+1)/2)*(Inputs!$J$6-Inputs!$I$6))</x:f>
        <x:v>37.019999999999996</x:v>
      </x:c>
      <x:c r="U196" s="9" t="n">
        <x:f>(Inputs!$I$7+(((A196)+1)/2)*(Inputs!$J$7-Inputs!$I$7))</x:f>
        <x:v>246.79999999999995</x:v>
      </x:c>
      <x:c r="V196" s="9" t="n">
        <x:f>(Inputs!$I$8+(((A196)+1)/2)*(Inputs!$J$8-Inputs!$I$8))</x:f>
        <x:v>493.5999999999999</x:v>
      </x:c>
      <x:c r="W196" s="9" t="n">
        <x:f>(Inputs!$I$9+(((A196)+1)/2)*(Inputs!$J$9-Inputs!$I$9))</x:f>
        <x:v>493.5999999999999</x:v>
      </x:c>
      <x:c r="X196" s="10"/>
      <x:c r="Y196" s="9">
        <x:f t="shared" si="30"/>
        <x:v>0.61699999999999999</x:v>
      </x:c>
      <x:c r="Z196" s="9" t="n">
        <x:f>(Inputs!$H$6+Inputs!$L$6*(((Inputs!$I$6+(((A196)+1)/2)*(Inputs!$J$6-Inputs!$I$6)))/Inputs!$K$6)^2)</x:f>
        <x:v>401.522756</x:v>
      </x:c>
      <x:c r="AA196" s="9" t="n">
        <x:f>(Inputs!$H$7+Inputs!$L$7*(((Inputs!$I$7+(((A196)+1)/2)*(Inputs!$J$7-Inputs!$I$7)))/Inputs!$K$7)^2)</x:f>
        <x:v>173.95148499999993</x:v>
      </x:c>
      <x:c r="AB196" s="9" t="n">
        <x:f>(Inputs!$H$8+Inputs!$L$8*(((Inputs!$I$8+(((A196)+1)/2)*(Inputs!$J$8-Inputs!$I$8)))/Inputs!$K$8)^2)</x:f>
        <x:v>402.36488499999984</x:v>
      </x:c>
      <x:c r="AC196" s="9" t="n">
        <x:f>(Inputs!$H$9+Inputs!$L$9*(((Inputs!$I$9+(((A196)+1)/2)*(Inputs!$J$9-Inputs!$I$9)))/Inputs!$K$9)^2)</x:f>
        <x:v>396.17177499999985</x:v>
      </x:c>
      <x:c r="AD196" s="10"/>
      <x:c r="AE196" s="9">
        <x:f t="shared" si="31"/>
        <x:v>0.61699999999999999</x:v>
      </x:c>
      <x:c r="AF196" s="9"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9"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9"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9"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10"/>
      <x:c r="AK196" s="9">
        <x:f t="shared" si="32"/>
        <x:v>0.61699999999999999</x:v>
      </x:c>
      <x:c r="AL196" s="9"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9"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9"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9"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10"/>
      <x:c r="AQ196" s="9">
        <x:f t="shared" si="33"/>
        <x:v>0.61699999999999999</x:v>
      </x:c>
      <x:c r="AR196" s="9" t="n">
        <x:f>0</x:f>
        <x:v>0</x:v>
      </x:c>
      <x:c r="AS196" s="9"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x:f>
        <x:v>291.9604238286151</x:v>
      </x:c>
      <x:c r="AT196" s="9"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x:f>
        <x:v>98.4447031183825</x:v>
      </x:c>
      <x:c r="AU196" s="9"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x:f>
        <x:v>173.92601532672532</x:v>
      </x:c>
      <x:c r="AV196" s="9"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x:f>
        <x:v>173.92601532672532</x:v>
      </x:c>
      <x:c r="AW196" s="10"/>
      <x:c r="AX196" s="9">
        <x:f t="shared" si="34"/>
        <x:v>0.61699999999999999</x:v>
      </x:c>
      <x:c r="AY196" s="9" t="n">
        <x:f>0</x:f>
        <x:v>0</x:v>
      </x:c>
      <x:c r="AZ196" s="9" t="n">
        <x:f>IF(OR(Inputs!$F$6=TRUE,Inputs!$F$6="TRUE",Inputs!$F$6=1),(Inputs!$H$6+Inputs!$L$6*(((Inputs!$I$6+(((A196)+1)/2)*(Inputs!$J$6-Inputs!$I$6)))/Inputs!$K$6)^2),NA())</x:f>
        <x:v>401.522756</x:v>
      </x:c>
      <x:c r="BA196" s="9" t="n">
        <x:f>IF(OR(Inputs!$F$7=TRUE,Inputs!$F$7="TRUE",Inputs!$F$7=1),(Inputs!$H$7+Inputs!$L$7*(((Inputs!$I$7+(((A196)+1)/2)*(Inputs!$J$7-Inputs!$I$7)))/Inputs!$K$7)^2),NA())</x:f>
        <x:v>173.95148499999993</x:v>
      </x:c>
      <x:c r="BB196" s="9" t="n">
        <x:f>IF(OR(Inputs!$F$8=TRUE,Inputs!$F$8="TRUE",Inputs!$F$8=1),(Inputs!$H$8+Inputs!$L$8*(((Inputs!$I$8+(((A196)+1)/2)*(Inputs!$J$8-Inputs!$I$8)))/Inputs!$K$8)^2),NA())</x:f>
        <x:v>402.36488499999984</x:v>
      </x:c>
      <x:c r="BC196" s="9" t="n">
        <x:f>IF(OR(Inputs!$F$9=TRUE,Inputs!$F$9="TRUE",Inputs!$F$9=1),(Inputs!$H$9+Inputs!$L$9*(((Inputs!$I$9+(((A196)+1)/2)*(Inputs!$J$9-Inputs!$I$9)))/Inputs!$K$9)^2),NA())</x:f>
        <x:v>396.17177499999985</x:v>
      </x:c>
      <x:c r="BD196" s="10"/>
      <x:c r="BE196" s="9">
        <x:f t="shared" si="35"/>
        <x:v>0.61699999999999999</x:v>
      </x:c>
      <x:c r="BF196" s="9" t="n">
        <x:f>0</x:f>
        <x:v>0</x:v>
      </x:c>
      <x:c r="BG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9" t="n">
        <x:f>ROUND(-1+195*2/240,3)</x:f>
        <x:v>0.625</x:v>
      </x:c>
      <x:c r="B197" s="9" t="n">
        <x:f>IF(OR(Inputs!$F$6=TRUE,Inputs!$F$6="TRUE",Inputs!$F$6=1),(Inputs!$H$6+Inputs!$L$6*(((Inputs!$I$6+(((A197)+1)/2)*(Inputs!$J$6-Inputs!$I$6)))/Inputs!$K$6)^2),NA())</x:f>
        <x:v>401.5625</x:v>
      </x:c>
      <x:c r="C197" s="9" t="n">
        <x:f>IF(OR(Inputs!$F$7=TRUE,Inputs!$F$7="TRUE",Inputs!$F$7=1),(Inputs!$H$7+Inputs!$L$7*(((Inputs!$I$7+(((A197)+1)/2)*(Inputs!$J$7-Inputs!$I$7)))/Inputs!$K$7)^2),NA())</x:f>
        <x:v>177.578125</x:v>
      </x:c>
      <x:c r="D197" s="9" t="n">
        <x:f>IF(OR(Inputs!$F$8=TRUE,Inputs!$F$8="TRUE",Inputs!$F$8=1),(Inputs!$H$8+Inputs!$L$8*(((Inputs!$I$8+(((A197)+1)/2)*(Inputs!$J$8-Inputs!$I$8)))/Inputs!$K$8)^2),NA())</x:f>
        <x:v>411.953125</x:v>
      </x:c>
      <x:c r="E197" s="9" t="n">
        <x:f>IF(OR(Inputs!$F$9=TRUE,Inputs!$F$9="TRUE",Inputs!$F$9=1),(Inputs!$H$9+Inputs!$L$9*(((Inputs!$I$9+(((A197)+1)/2)*(Inputs!$J$9-Inputs!$I$9)))/Inputs!$K$9)^2),NA())</x:f>
        <x:v>405.859375</x:v>
      </x:c>
      <x:c r="F197" s="10"/>
      <x:c r="G197" s="9">
        <x:f t="shared" si="27"/>
        <x:v>0.625</x:v>
      </x:c>
      <x:c r="H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10"/>
      <x:c r="M197" s="9">
        <x:f t="shared" si="28"/>
        <x:v>0.625</x:v>
      </x:c>
      <x:c r="N197" s="9"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9"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9"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9"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10"/>
      <x:c r="S197" s="9">
        <x:f t="shared" si="29"/>
        <x:v>0.625</x:v>
      </x:c>
      <x:c r="T197" s="9" t="n">
        <x:f>(Inputs!$I$6+(((A197)+1)/2)*(Inputs!$J$6-Inputs!$I$6))</x:f>
        <x:v>37.5</x:v>
      </x:c>
      <x:c r="U197" s="9" t="n">
        <x:f>(Inputs!$I$7+(((A197)+1)/2)*(Inputs!$J$7-Inputs!$I$7))</x:f>
        <x:v>250</x:v>
      </x:c>
      <x:c r="V197" s="9" t="n">
        <x:f>(Inputs!$I$8+(((A197)+1)/2)*(Inputs!$J$8-Inputs!$I$8))</x:f>
        <x:v>500</x:v>
      </x:c>
      <x:c r="W197" s="9" t="n">
        <x:f>(Inputs!$I$9+(((A197)+1)/2)*(Inputs!$J$9-Inputs!$I$9))</x:f>
        <x:v>500</x:v>
      </x:c>
      <x:c r="X197" s="10"/>
      <x:c r="Y197" s="9">
        <x:f t="shared" si="30"/>
        <x:v>0.625</x:v>
      </x:c>
      <x:c r="Z197" s="9" t="n">
        <x:f>(Inputs!$H$6+Inputs!$L$6*(((Inputs!$I$6+(((A197)+1)/2)*(Inputs!$J$6-Inputs!$I$6)))/Inputs!$K$6)^2)</x:f>
        <x:v>401.5625</x:v>
      </x:c>
      <x:c r="AA197" s="9" t="n">
        <x:f>(Inputs!$H$7+Inputs!$L$7*(((Inputs!$I$7+(((A197)+1)/2)*(Inputs!$J$7-Inputs!$I$7)))/Inputs!$K$7)^2)</x:f>
        <x:v>177.578125</x:v>
      </x:c>
      <x:c r="AB197" s="9" t="n">
        <x:f>(Inputs!$H$8+Inputs!$L$8*(((Inputs!$I$8+(((A197)+1)/2)*(Inputs!$J$8-Inputs!$I$8)))/Inputs!$K$8)^2)</x:f>
        <x:v>411.953125</x:v>
      </x:c>
      <x:c r="AC197" s="9" t="n">
        <x:f>(Inputs!$H$9+Inputs!$L$9*(((Inputs!$I$9+(((A197)+1)/2)*(Inputs!$J$9-Inputs!$I$9)))/Inputs!$K$9)^2)</x:f>
        <x:v>405.859375</x:v>
      </x:c>
      <x:c r="AD197" s="10"/>
      <x:c r="AE197" s="9">
        <x:f t="shared" si="31"/>
        <x:v>0.625</x:v>
      </x:c>
      <x:c r="AF197" s="9"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9"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9"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9"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10"/>
      <x:c r="AK197" s="9">
        <x:f t="shared" si="32"/>
        <x:v>0.625</x:v>
      </x:c>
      <x:c r="AL197" s="9"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9"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9"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9"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10"/>
      <x:c r="AQ197" s="9">
        <x:f t="shared" si="33"/>
        <x:v>0.625</x:v>
      </x:c>
      <x:c r="AR197" s="9" t="n">
        <x:f>0</x:f>
        <x:v>0</x:v>
      </x:c>
      <x:c r="AS197" s="9"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x:f>
        <x:v>280.6842863692354</x:v>
      </x:c>
      <x:c r="AT197" s="9"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x:f>
        <x:v>92.40373147606812</x:v>
      </x:c>
      <x:c r="AU197" s="9"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x:f>
        <x:v>107.71497999857905</x:v>
      </x:c>
      <x:c r="AV197" s="9"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x:f>
        <x:v>107.71497999857905</x:v>
      </x:c>
      <x:c r="AW197" s="10"/>
      <x:c r="AX197" s="9">
        <x:f t="shared" si="34"/>
        <x:v>0.625</x:v>
      </x:c>
      <x:c r="AY197" s="9" t="n">
        <x:f>0</x:f>
        <x:v>0</x:v>
      </x:c>
      <x:c r="AZ197" s="9" t="n">
        <x:f>IF(OR(Inputs!$F$6=TRUE,Inputs!$F$6="TRUE",Inputs!$F$6=1),(Inputs!$H$6+Inputs!$L$6*(((Inputs!$I$6+(((A197)+1)/2)*(Inputs!$J$6-Inputs!$I$6)))/Inputs!$K$6)^2),NA())</x:f>
        <x:v>401.5625</x:v>
      </x:c>
      <x:c r="BA197" s="9" t="n">
        <x:f>IF(OR(Inputs!$F$7=TRUE,Inputs!$F$7="TRUE",Inputs!$F$7=1),(Inputs!$H$7+Inputs!$L$7*(((Inputs!$I$7+(((A197)+1)/2)*(Inputs!$J$7-Inputs!$I$7)))/Inputs!$K$7)^2),NA())</x:f>
        <x:v>177.578125</x:v>
      </x:c>
      <x:c r="BB197" s="9" t="n">
        <x:f>IF(OR(Inputs!$F$8=TRUE,Inputs!$F$8="TRUE",Inputs!$F$8=1),(Inputs!$H$8+Inputs!$L$8*(((Inputs!$I$8+(((A197)+1)/2)*(Inputs!$J$8-Inputs!$I$8)))/Inputs!$K$8)^2),NA())</x:f>
        <x:v>411.953125</x:v>
      </x:c>
      <x:c r="BC197" s="9" t="n">
        <x:f>IF(OR(Inputs!$F$9=TRUE,Inputs!$F$9="TRUE",Inputs!$F$9=1),(Inputs!$H$9+Inputs!$L$9*(((Inputs!$I$9+(((A197)+1)/2)*(Inputs!$J$9-Inputs!$I$9)))/Inputs!$K$9)^2),NA())</x:f>
        <x:v>405.859375</x:v>
      </x:c>
      <x:c r="BD197" s="10"/>
      <x:c r="BE197" s="9">
        <x:f t="shared" si="35"/>
        <x:v>0.625</x:v>
      </x:c>
      <x:c r="BF197" s="9" t="n">
        <x:f>0</x:f>
        <x:v>0</x:v>
      </x:c>
      <x:c r="BG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9" t="n">
        <x:f>ROUND(-1+196*2/240,3)</x:f>
        <x:v>0.633</x:v>
      </x:c>
      <x:c r="B198" s="9" t="n">
        <x:f>IF(OR(Inputs!$F$6=TRUE,Inputs!$F$6="TRUE",Inputs!$F$6=1),(Inputs!$H$6+Inputs!$L$6*(((Inputs!$I$6+(((A198)+1)/2)*(Inputs!$J$6-Inputs!$I$6)))/Inputs!$K$6)^2),NA())</x:f>
        <x:v>401.602756</x:v>
      </x:c>
      <x:c r="C198" s="9" t="n">
        <x:f>IF(OR(Inputs!$F$7=TRUE,Inputs!$F$7="TRUE",Inputs!$F$7=1),(Inputs!$H$7+Inputs!$L$7*(((Inputs!$I$7+(((A198)+1)/2)*(Inputs!$J$7-Inputs!$I$7)))/Inputs!$K$7)^2),NA())</x:f>
        <x:v>181.25148500000006</x:v>
      </x:c>
      <x:c r="D198" s="9" t="n">
        <x:f>IF(OR(Inputs!$F$8=TRUE,Inputs!$F$8="TRUE",Inputs!$F$8=1),(Inputs!$H$8+Inputs!$L$8*(((Inputs!$I$8+(((A198)+1)/2)*(Inputs!$J$8-Inputs!$I$8)))/Inputs!$K$8)^2),NA())</x:f>
        <x:v>421.66488500000014</x:v>
      </x:c>
      <x:c r="E198" s="9" t="n">
        <x:f>IF(OR(Inputs!$F$9=TRUE,Inputs!$F$9="TRUE",Inputs!$F$9=1),(Inputs!$H$9+Inputs!$L$9*(((Inputs!$I$9+(((A198)+1)/2)*(Inputs!$J$9-Inputs!$I$9)))/Inputs!$K$9)^2),NA())</x:f>
        <x:v>415.67177500000014</x:v>
      </x:c>
      <x:c r="F198" s="10"/>
      <x:c r="G198" s="9">
        <x:f t="shared" si="27"/>
        <x:v>0.63300000000000001</x:v>
      </x:c>
      <x:c r="H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10"/>
      <x:c r="M198" s="9">
        <x:f t="shared" si="28"/>
        <x:v>0.63300000000000001</x:v>
      </x:c>
      <x:c r="N198" s="9"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9"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9"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9"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10"/>
      <x:c r="S198" s="9">
        <x:f t="shared" si="29"/>
        <x:v>0.63300000000000001</x:v>
      </x:c>
      <x:c r="T198" s="9" t="n">
        <x:f>(Inputs!$I$6+(((A198)+1)/2)*(Inputs!$J$6-Inputs!$I$6))</x:f>
        <x:v>37.980000000000004</x:v>
      </x:c>
      <x:c r="U198" s="9" t="n">
        <x:f>(Inputs!$I$7+(((A198)+1)/2)*(Inputs!$J$7-Inputs!$I$7))</x:f>
        <x:v>253.20000000000005</x:v>
      </x:c>
      <x:c r="V198" s="9" t="n">
        <x:f>(Inputs!$I$8+(((A198)+1)/2)*(Inputs!$J$8-Inputs!$I$8))</x:f>
        <x:v>506.4000000000001</x:v>
      </x:c>
      <x:c r="W198" s="9" t="n">
        <x:f>(Inputs!$I$9+(((A198)+1)/2)*(Inputs!$J$9-Inputs!$I$9))</x:f>
        <x:v>506.4000000000001</x:v>
      </x:c>
      <x:c r="X198" s="10"/>
      <x:c r="Y198" s="9">
        <x:f t="shared" si="30"/>
        <x:v>0.63300000000000001</x:v>
      </x:c>
      <x:c r="Z198" s="9" t="n">
        <x:f>(Inputs!$H$6+Inputs!$L$6*(((Inputs!$I$6+(((A198)+1)/2)*(Inputs!$J$6-Inputs!$I$6)))/Inputs!$K$6)^2)</x:f>
        <x:v>401.602756</x:v>
      </x:c>
      <x:c r="AA198" s="9" t="n">
        <x:f>(Inputs!$H$7+Inputs!$L$7*(((Inputs!$I$7+(((A198)+1)/2)*(Inputs!$J$7-Inputs!$I$7)))/Inputs!$K$7)^2)</x:f>
        <x:v>181.25148500000006</x:v>
      </x:c>
      <x:c r="AB198" s="9" t="n">
        <x:f>(Inputs!$H$8+Inputs!$L$8*(((Inputs!$I$8+(((A198)+1)/2)*(Inputs!$J$8-Inputs!$I$8)))/Inputs!$K$8)^2)</x:f>
        <x:v>421.66488500000014</x:v>
      </x:c>
      <x:c r="AC198" s="9" t="n">
        <x:f>(Inputs!$H$9+Inputs!$L$9*(((Inputs!$I$9+(((A198)+1)/2)*(Inputs!$J$9-Inputs!$I$9)))/Inputs!$K$9)^2)</x:f>
        <x:v>415.67177500000014</x:v>
      </x:c>
      <x:c r="AD198" s="10"/>
      <x:c r="AE198" s="9">
        <x:f t="shared" si="31"/>
        <x:v>0.63300000000000001</x:v>
      </x:c>
      <x:c r="AF198" s="9"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9"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9"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9"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10"/>
      <x:c r="AK198" s="9">
        <x:f t="shared" si="32"/>
        <x:v>0.63300000000000001</x:v>
      </x:c>
      <x:c r="AL198" s="9"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9"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9"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9"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10"/>
      <x:c r="AQ198" s="9">
        <x:f t="shared" si="33"/>
        <x:v>0.63300000000000001</x:v>
      </x:c>
      <x:c r="AR198" s="9" t="n">
        <x:f>0</x:f>
        <x:v>0</x:v>
      </x:c>
      <x:c r="AS198" s="9"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x:f>
        <x:v>297.2895650251546</x:v>
      </x:c>
      <x:c r="AT198" s="9"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x:f>
        <x:v>151.8367233752328</x:v>
      </x:c>
      <x:c r="AU198" s="9"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x:f>
        <x:v>230.8279849864777</x:v>
      </x:c>
      <x:c r="AV198" s="9"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x:f>
        <x:v>230.8279849864777</x:v>
      </x:c>
      <x:c r="AW198" s="10"/>
      <x:c r="AX198" s="9">
        <x:f t="shared" si="34"/>
        <x:v>0.63300000000000001</x:v>
      </x:c>
      <x:c r="AY198" s="9" t="n">
        <x:f>0</x:f>
        <x:v>0</x:v>
      </x:c>
      <x:c r="AZ198" s="9" t="n">
        <x:f>IF(OR(Inputs!$F$6=TRUE,Inputs!$F$6="TRUE",Inputs!$F$6=1),(Inputs!$H$6+Inputs!$L$6*(((Inputs!$I$6+(((A198)+1)/2)*(Inputs!$J$6-Inputs!$I$6)))/Inputs!$K$6)^2),NA())</x:f>
        <x:v>401.602756</x:v>
      </x:c>
      <x:c r="BA198" s="9" t="n">
        <x:f>IF(OR(Inputs!$F$7=TRUE,Inputs!$F$7="TRUE",Inputs!$F$7=1),(Inputs!$H$7+Inputs!$L$7*(((Inputs!$I$7+(((A198)+1)/2)*(Inputs!$J$7-Inputs!$I$7)))/Inputs!$K$7)^2),NA())</x:f>
        <x:v>181.25148500000006</x:v>
      </x:c>
      <x:c r="BB198" s="9" t="n">
        <x:f>IF(OR(Inputs!$F$8=TRUE,Inputs!$F$8="TRUE",Inputs!$F$8=1),(Inputs!$H$8+Inputs!$L$8*(((Inputs!$I$8+(((A198)+1)/2)*(Inputs!$J$8-Inputs!$I$8)))/Inputs!$K$8)^2),NA())</x:f>
        <x:v>421.66488500000014</x:v>
      </x:c>
      <x:c r="BC198" s="9" t="n">
        <x:f>IF(OR(Inputs!$F$9=TRUE,Inputs!$F$9="TRUE",Inputs!$F$9=1),(Inputs!$H$9+Inputs!$L$9*(((Inputs!$I$9+(((A198)+1)/2)*(Inputs!$J$9-Inputs!$I$9)))/Inputs!$K$9)^2),NA())</x:f>
        <x:v>415.67177500000014</x:v>
      </x:c>
      <x:c r="BD198" s="10"/>
      <x:c r="BE198" s="9">
        <x:f t="shared" si="35"/>
        <x:v>0.63300000000000001</x:v>
      </x:c>
      <x:c r="BF198" s="9" t="n">
        <x:f>0</x:f>
        <x:v>0</x:v>
      </x:c>
      <x:c r="BG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9" t="n">
        <x:f>ROUND(-1+197*2/240,3)</x:f>
        <x:v>0.642</x:v>
      </x:c>
      <x:c r="B199" s="9" t="n">
        <x:f>IF(OR(Inputs!$F$6=TRUE,Inputs!$F$6="TRUE",Inputs!$F$6=1),(Inputs!$H$6+Inputs!$L$6*(((Inputs!$I$6+(((A199)+1)/2)*(Inputs!$J$6-Inputs!$I$6)))/Inputs!$K$6)^2),NA())</x:f>
        <x:v>401.648656</x:v>
      </x:c>
      <x:c r="C199" s="9" t="n">
        <x:f>IF(OR(Inputs!$F$7=TRUE,Inputs!$F$7="TRUE",Inputs!$F$7=1),(Inputs!$H$7+Inputs!$L$7*(((Inputs!$I$7+(((A199)+1)/2)*(Inputs!$J$7-Inputs!$I$7)))/Inputs!$K$7)^2),NA())</x:f>
        <x:v>185.43985999999995</x:v>
      </x:c>
      <x:c r="D199" s="9" t="n">
        <x:f>IF(OR(Inputs!$F$8=TRUE,Inputs!$F$8="TRUE",Inputs!$F$8=1),(Inputs!$H$8+Inputs!$L$8*(((Inputs!$I$8+(((A199)+1)/2)*(Inputs!$J$8-Inputs!$I$8)))/Inputs!$K$8)^2),NA())</x:f>
        <x:v>432.73825999999985</x:v>
      </x:c>
      <x:c r="E199" s="9" t="n">
        <x:f>IF(OR(Inputs!$F$9=TRUE,Inputs!$F$9="TRUE",Inputs!$F$9=1),(Inputs!$H$9+Inputs!$L$9*(((Inputs!$I$9+(((A199)+1)/2)*(Inputs!$J$9-Inputs!$I$9)))/Inputs!$K$9)^2),NA())</x:f>
        <x:v>426.85989999999987</x:v>
      </x:c>
      <x:c r="F199" s="10"/>
      <x:c r="G199" s="9">
        <x:f t="shared" si="27"/>
        <x:v>0.64200000000000002</x:v>
      </x:c>
      <x:c r="H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10"/>
      <x:c r="M199" s="9">
        <x:f t="shared" si="28"/>
        <x:v>0.64200000000000002</x:v>
      </x:c>
      <x:c r="N199" s="9"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9"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9"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9"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10"/>
      <x:c r="S199" s="9">
        <x:f t="shared" si="29"/>
        <x:v>0.64200000000000002</x:v>
      </x:c>
      <x:c r="T199" s="9" t="n">
        <x:f>(Inputs!$I$6+(((A199)+1)/2)*(Inputs!$J$6-Inputs!$I$6))</x:f>
        <x:v>38.519999999999996</x:v>
      </x:c>
      <x:c r="U199" s="9" t="n">
        <x:f>(Inputs!$I$7+(((A199)+1)/2)*(Inputs!$J$7-Inputs!$I$7))</x:f>
        <x:v>256.79999999999995</x:v>
      </x:c>
      <x:c r="V199" s="9" t="n">
        <x:f>(Inputs!$I$8+(((A199)+1)/2)*(Inputs!$J$8-Inputs!$I$8))</x:f>
        <x:v>513.5999999999999</x:v>
      </x:c>
      <x:c r="W199" s="9" t="n">
        <x:f>(Inputs!$I$9+(((A199)+1)/2)*(Inputs!$J$9-Inputs!$I$9))</x:f>
        <x:v>513.5999999999999</x:v>
      </x:c>
      <x:c r="X199" s="10"/>
      <x:c r="Y199" s="9">
        <x:f t="shared" si="30"/>
        <x:v>0.64200000000000002</x:v>
      </x:c>
      <x:c r="Z199" s="9" t="n">
        <x:f>(Inputs!$H$6+Inputs!$L$6*(((Inputs!$I$6+(((A199)+1)/2)*(Inputs!$J$6-Inputs!$I$6)))/Inputs!$K$6)^2)</x:f>
        <x:v>401.648656</x:v>
      </x:c>
      <x:c r="AA199" s="9" t="n">
        <x:f>(Inputs!$H$7+Inputs!$L$7*(((Inputs!$I$7+(((A199)+1)/2)*(Inputs!$J$7-Inputs!$I$7)))/Inputs!$K$7)^2)</x:f>
        <x:v>185.43985999999995</x:v>
      </x:c>
      <x:c r="AB199" s="9" t="n">
        <x:f>(Inputs!$H$8+Inputs!$L$8*(((Inputs!$I$8+(((A199)+1)/2)*(Inputs!$J$8-Inputs!$I$8)))/Inputs!$K$8)^2)</x:f>
        <x:v>432.73825999999985</x:v>
      </x:c>
      <x:c r="AC199" s="9" t="n">
        <x:f>(Inputs!$H$9+Inputs!$L$9*(((Inputs!$I$9+(((A199)+1)/2)*(Inputs!$J$9-Inputs!$I$9)))/Inputs!$K$9)^2)</x:f>
        <x:v>426.85989999999987</x:v>
      </x:c>
      <x:c r="AD199" s="10"/>
      <x:c r="AE199" s="9">
        <x:f t="shared" si="31"/>
        <x:v>0.64200000000000002</x:v>
      </x:c>
      <x:c r="AF199" s="9"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9"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9"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9"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10"/>
      <x:c r="AK199" s="9">
        <x:f t="shared" si="32"/>
        <x:v>0.64200000000000002</x:v>
      </x:c>
      <x:c r="AL199" s="9"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9"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9"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9"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10"/>
      <x:c r="AQ199" s="9">
        <x:f t="shared" si="33"/>
        <x:v>0.64200000000000002</x:v>
      </x:c>
      <x:c r="AR199" s="9" t="n">
        <x:f>0</x:f>
        <x:v>0</x:v>
      </x:c>
      <x:c r="AS199" s="9"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x:f>
        <x:v>286.1309734009917</x:v>
      </x:c>
      <x:c r="AT199" s="9"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x:f>
        <x:v>191.01298983214508</x:v>
      </x:c>
      <x:c r="AU199" s="9"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x:f>
        <x:v>142.91530810568608</x:v>
      </x:c>
      <x:c r="AV199" s="9"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x:f>
        <x:v>142.91530810568608</x:v>
      </x:c>
      <x:c r="AW199" s="10"/>
      <x:c r="AX199" s="9">
        <x:f t="shared" si="34"/>
        <x:v>0.64200000000000002</x:v>
      </x:c>
      <x:c r="AY199" s="9" t="n">
        <x:f>0</x:f>
        <x:v>0</x:v>
      </x:c>
      <x:c r="AZ199" s="9" t="n">
        <x:f>IF(OR(Inputs!$F$6=TRUE,Inputs!$F$6="TRUE",Inputs!$F$6=1),(Inputs!$H$6+Inputs!$L$6*(((Inputs!$I$6+(((A199)+1)/2)*(Inputs!$J$6-Inputs!$I$6)))/Inputs!$K$6)^2),NA())</x:f>
        <x:v>401.648656</x:v>
      </x:c>
      <x:c r="BA199" s="9" t="n">
        <x:f>IF(OR(Inputs!$F$7=TRUE,Inputs!$F$7="TRUE",Inputs!$F$7=1),(Inputs!$H$7+Inputs!$L$7*(((Inputs!$I$7+(((A199)+1)/2)*(Inputs!$J$7-Inputs!$I$7)))/Inputs!$K$7)^2),NA())</x:f>
        <x:v>185.43985999999995</x:v>
      </x:c>
      <x:c r="BB199" s="9" t="n">
        <x:f>IF(OR(Inputs!$F$8=TRUE,Inputs!$F$8="TRUE",Inputs!$F$8=1),(Inputs!$H$8+Inputs!$L$8*(((Inputs!$I$8+(((A199)+1)/2)*(Inputs!$J$8-Inputs!$I$8)))/Inputs!$K$8)^2),NA())</x:f>
        <x:v>432.73825999999985</x:v>
      </x:c>
      <x:c r="BC199" s="9" t="n">
        <x:f>IF(OR(Inputs!$F$9=TRUE,Inputs!$F$9="TRUE",Inputs!$F$9=1),(Inputs!$H$9+Inputs!$L$9*(((Inputs!$I$9+(((A199)+1)/2)*(Inputs!$J$9-Inputs!$I$9)))/Inputs!$K$9)^2),NA())</x:f>
        <x:v>426.85989999999987</x:v>
      </x:c>
      <x:c r="BD199" s="10"/>
      <x:c r="BE199" s="9">
        <x:f t="shared" si="35"/>
        <x:v>0.64200000000000002</x:v>
      </x:c>
      <x:c r="BF199" s="9" t="n">
        <x:f>0</x:f>
        <x:v>0</x:v>
      </x:c>
      <x:c r="BG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9" t="n">
        <x:f>ROUND(-1+198*2/240,3)</x:f>
        <x:v>0.65</x:v>
      </x:c>
      <x:c r="B200" s="9" t="n">
        <x:f>IF(OR(Inputs!$F$6=TRUE,Inputs!$F$6="TRUE",Inputs!$F$6=1),(Inputs!$H$6+Inputs!$L$6*(((Inputs!$I$6+(((A200)+1)/2)*(Inputs!$J$6-Inputs!$I$6)))/Inputs!$K$6)^2),NA())</x:f>
        <x:v>401.69</x:v>
      </x:c>
      <x:c r="C200" s="9" t="n">
        <x:f>IF(OR(Inputs!$F$7=TRUE,Inputs!$F$7="TRUE",Inputs!$F$7=1),(Inputs!$H$7+Inputs!$L$7*(((Inputs!$I$7+(((A200)+1)/2)*(Inputs!$J$7-Inputs!$I$7)))/Inputs!$K$7)^2),NA())</x:f>
        <x:v>189.2125</x:v>
      </x:c>
      <x:c r="D200" s="9" t="n">
        <x:f>IF(OR(Inputs!$F$8=TRUE,Inputs!$F$8="TRUE",Inputs!$F$8=1),(Inputs!$H$8+Inputs!$L$8*(((Inputs!$I$8+(((A200)+1)/2)*(Inputs!$J$8-Inputs!$I$8)))/Inputs!$K$8)^2),NA())</x:f>
        <x:v>442.71250000000003</x:v>
      </x:c>
      <x:c r="E200" s="9" t="n">
        <x:f>IF(OR(Inputs!$F$9=TRUE,Inputs!$F$9="TRUE",Inputs!$F$9=1),(Inputs!$H$9+Inputs!$L$9*(((Inputs!$I$9+(((A200)+1)/2)*(Inputs!$J$9-Inputs!$I$9)))/Inputs!$K$9)^2),NA())</x:f>
        <x:v>436.93750000000006</x:v>
      </x:c>
      <x:c r="F200" s="10"/>
      <x:c r="G200" s="9">
        <x:f t="shared" si="27"/>
        <x:v>0.65</x:v>
      </x:c>
      <x:c r="H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10"/>
      <x:c r="M200" s="9">
        <x:f t="shared" si="28"/>
        <x:v>0.65</x:v>
      </x:c>
      <x:c r="N200" s="9"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9"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9"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9"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10"/>
      <x:c r="S200" s="9">
        <x:f t="shared" si="29"/>
        <x:v>0.65</x:v>
      </x:c>
      <x:c r="T200" s="9" t="n">
        <x:f>(Inputs!$I$6+(((A200)+1)/2)*(Inputs!$J$6-Inputs!$I$6))</x:f>
        <x:v>39</x:v>
      </x:c>
      <x:c r="U200" s="9" t="n">
        <x:f>(Inputs!$I$7+(((A200)+1)/2)*(Inputs!$J$7-Inputs!$I$7))</x:f>
        <x:v>260</x:v>
      </x:c>
      <x:c r="V200" s="9" t="n">
        <x:f>(Inputs!$I$8+(((A200)+1)/2)*(Inputs!$J$8-Inputs!$I$8))</x:f>
        <x:v>520</x:v>
      </x:c>
      <x:c r="W200" s="9" t="n">
        <x:f>(Inputs!$I$9+(((A200)+1)/2)*(Inputs!$J$9-Inputs!$I$9))</x:f>
        <x:v>520</x:v>
      </x:c>
      <x:c r="X200" s="10"/>
      <x:c r="Y200" s="9">
        <x:f t="shared" si="30"/>
        <x:v>0.65</x:v>
      </x:c>
      <x:c r="Z200" s="9" t="n">
        <x:f>(Inputs!$H$6+Inputs!$L$6*(((Inputs!$I$6+(((A200)+1)/2)*(Inputs!$J$6-Inputs!$I$6)))/Inputs!$K$6)^2)</x:f>
        <x:v>401.69</x:v>
      </x:c>
      <x:c r="AA200" s="9" t="n">
        <x:f>(Inputs!$H$7+Inputs!$L$7*(((Inputs!$I$7+(((A200)+1)/2)*(Inputs!$J$7-Inputs!$I$7)))/Inputs!$K$7)^2)</x:f>
        <x:v>189.2125</x:v>
      </x:c>
      <x:c r="AB200" s="9" t="n">
        <x:f>(Inputs!$H$8+Inputs!$L$8*(((Inputs!$I$8+(((A200)+1)/2)*(Inputs!$J$8-Inputs!$I$8)))/Inputs!$K$8)^2)</x:f>
        <x:v>442.71250000000003</x:v>
      </x:c>
      <x:c r="AC200" s="9" t="n">
        <x:f>(Inputs!$H$9+Inputs!$L$9*(((Inputs!$I$9+(((A200)+1)/2)*(Inputs!$J$9-Inputs!$I$9)))/Inputs!$K$9)^2)</x:f>
        <x:v>436.93750000000006</x:v>
      </x:c>
      <x:c r="AD200" s="10"/>
      <x:c r="AE200" s="9">
        <x:f t="shared" si="31"/>
        <x:v>0.65</x:v>
      </x:c>
      <x:c r="AF200" s="9"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9"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9"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9"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10"/>
      <x:c r="AK200" s="9">
        <x:f t="shared" si="32"/>
        <x:v>0.65</x:v>
      </x:c>
      <x:c r="AL200" s="9"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9"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9"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9"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10"/>
      <x:c r="AQ200" s="9">
        <x:f t="shared" si="33"/>
        <x:v>0.65</x:v>
      </x:c>
      <x:c r="AR200" s="9" t="n">
        <x:f>0</x:f>
        <x:v>0</x:v>
      </x:c>
      <x:c r="AS200" s="9"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x:f>
        <x:v>302.8435496777789</x:v>
      </x:c>
      <x:c r="AT200" s="9"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x:f>
        <x:v>134.66164099948801</x:v>
      </x:c>
      <x:c r="AU200" s="9"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x:f>
        <x:v>150.399514077023</x:v>
      </x:c>
      <x:c r="AV200" s="9"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x:f>
        <x:v>150.399514077023</x:v>
      </x:c>
      <x:c r="AW200" s="10"/>
      <x:c r="AX200" s="9">
        <x:f t="shared" si="34"/>
        <x:v>0.65</x:v>
      </x:c>
      <x:c r="AY200" s="9" t="n">
        <x:f>0</x:f>
        <x:v>0</x:v>
      </x:c>
      <x:c r="AZ200" s="9" t="n">
        <x:f>IF(OR(Inputs!$F$6=TRUE,Inputs!$F$6="TRUE",Inputs!$F$6=1),(Inputs!$H$6+Inputs!$L$6*(((Inputs!$I$6+(((A200)+1)/2)*(Inputs!$J$6-Inputs!$I$6)))/Inputs!$K$6)^2),NA())</x:f>
        <x:v>401.69</x:v>
      </x:c>
      <x:c r="BA200" s="9" t="n">
        <x:f>IF(OR(Inputs!$F$7=TRUE,Inputs!$F$7="TRUE",Inputs!$F$7=1),(Inputs!$H$7+Inputs!$L$7*(((Inputs!$I$7+(((A200)+1)/2)*(Inputs!$J$7-Inputs!$I$7)))/Inputs!$K$7)^2),NA())</x:f>
        <x:v>189.2125</x:v>
      </x:c>
      <x:c r="BB200" s="9" t="n">
        <x:f>IF(OR(Inputs!$F$8=TRUE,Inputs!$F$8="TRUE",Inputs!$F$8=1),(Inputs!$H$8+Inputs!$L$8*(((Inputs!$I$8+(((A200)+1)/2)*(Inputs!$J$8-Inputs!$I$8)))/Inputs!$K$8)^2),NA())</x:f>
        <x:v>442.71250000000003</x:v>
      </x:c>
      <x:c r="BC200" s="9" t="n">
        <x:f>IF(OR(Inputs!$F$9=TRUE,Inputs!$F$9="TRUE",Inputs!$F$9=1),(Inputs!$H$9+Inputs!$L$9*(((Inputs!$I$9+(((A200)+1)/2)*(Inputs!$J$9-Inputs!$I$9)))/Inputs!$K$9)^2),NA())</x:f>
        <x:v>436.93750000000006</x:v>
      </x:c>
      <x:c r="BD200" s="10"/>
      <x:c r="BE200" s="9">
        <x:f t="shared" si="35"/>
        <x:v>0.65</x:v>
      </x:c>
      <x:c r="BF200" s="9" t="n">
        <x:f>0</x:f>
        <x:v>0</x:v>
      </x:c>
      <x:c r="BG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9" t="n">
        <x:f>ROUND(-1+199*2/240,3)</x:f>
        <x:v>0.658</x:v>
      </x:c>
      <x:c r="B201" s="9" t="n">
        <x:f>IF(OR(Inputs!$F$6=TRUE,Inputs!$F$6="TRUE",Inputs!$F$6=1),(Inputs!$H$6+Inputs!$L$6*(((Inputs!$I$6+(((A201)+1)/2)*(Inputs!$J$6-Inputs!$I$6)))/Inputs!$K$6)^2),NA())</x:f>
        <x:v>401.731856</x:v>
      </x:c>
      <x:c r="C201" s="9" t="n">
        <x:f>IF(OR(Inputs!$F$7=TRUE,Inputs!$F$7="TRUE",Inputs!$F$7=1),(Inputs!$H$7+Inputs!$L$7*(((Inputs!$I$7+(((A201)+1)/2)*(Inputs!$J$7-Inputs!$I$7)))/Inputs!$K$7)^2),NA())</x:f>
        <x:v>193.0318599999999</x:v>
      </x:c>
      <x:c r="D201" s="9" t="n">
        <x:f>IF(OR(Inputs!$F$8=TRUE,Inputs!$F$8="TRUE",Inputs!$F$8=1),(Inputs!$H$8+Inputs!$L$8*(((Inputs!$I$8+(((A201)+1)/2)*(Inputs!$J$8-Inputs!$I$8)))/Inputs!$K$8)^2),NA())</x:f>
        <x:v>452.81025999999974</x:v>
      </x:c>
      <x:c r="E201" s="9" t="n">
        <x:f>IF(OR(Inputs!$F$9=TRUE,Inputs!$F$9="TRUE",Inputs!$F$9=1),(Inputs!$H$9+Inputs!$L$9*(((Inputs!$I$9+(((A201)+1)/2)*(Inputs!$J$9-Inputs!$I$9)))/Inputs!$K$9)^2),NA())</x:f>
        <x:v>447.1398999999997</x:v>
      </x:c>
      <x:c r="F201" s="10"/>
      <x:c r="G201" s="9">
        <x:f t="shared" si="27"/>
        <x:v>0.65800000000000003</x:v>
      </x:c>
      <x:c r="H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10"/>
      <x:c r="M201" s="9">
        <x:f t="shared" si="28"/>
        <x:v>0.65800000000000003</x:v>
      </x:c>
      <x:c r="N201" s="9"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9"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9"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9"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10"/>
      <x:c r="S201" s="9">
        <x:f t="shared" si="29"/>
        <x:v>0.65800000000000003</x:v>
      </x:c>
      <x:c r="T201" s="9" t="n">
        <x:f>(Inputs!$I$6+(((A201)+1)/2)*(Inputs!$J$6-Inputs!$I$6))</x:f>
        <x:v>39.47999999999999</x:v>
      </x:c>
      <x:c r="U201" s="9" t="n">
        <x:f>(Inputs!$I$7+(((A201)+1)/2)*(Inputs!$J$7-Inputs!$I$7))</x:f>
        <x:v>263.19999999999993</x:v>
      </x:c>
      <x:c r="V201" s="9" t="n">
        <x:f>(Inputs!$I$8+(((A201)+1)/2)*(Inputs!$J$8-Inputs!$I$8))</x:f>
        <x:v>526.3999999999999</x:v>
      </x:c>
      <x:c r="W201" s="9" t="n">
        <x:f>(Inputs!$I$9+(((A201)+1)/2)*(Inputs!$J$9-Inputs!$I$9))</x:f>
        <x:v>526.3999999999999</x:v>
      </x:c>
      <x:c r="X201" s="10"/>
      <x:c r="Y201" s="9">
        <x:f t="shared" si="30"/>
        <x:v>0.65800000000000003</x:v>
      </x:c>
      <x:c r="Z201" s="9" t="n">
        <x:f>(Inputs!$H$6+Inputs!$L$6*(((Inputs!$I$6+(((A201)+1)/2)*(Inputs!$J$6-Inputs!$I$6)))/Inputs!$K$6)^2)</x:f>
        <x:v>401.731856</x:v>
      </x:c>
      <x:c r="AA201" s="9" t="n">
        <x:f>(Inputs!$H$7+Inputs!$L$7*(((Inputs!$I$7+(((A201)+1)/2)*(Inputs!$J$7-Inputs!$I$7)))/Inputs!$K$7)^2)</x:f>
        <x:v>193.0318599999999</x:v>
      </x:c>
      <x:c r="AB201" s="9" t="n">
        <x:f>(Inputs!$H$8+Inputs!$L$8*(((Inputs!$I$8+(((A201)+1)/2)*(Inputs!$J$8-Inputs!$I$8)))/Inputs!$K$8)^2)</x:f>
        <x:v>452.81025999999974</x:v>
      </x:c>
      <x:c r="AC201" s="9" t="n">
        <x:f>(Inputs!$H$9+Inputs!$L$9*(((Inputs!$I$9+(((A201)+1)/2)*(Inputs!$J$9-Inputs!$I$9)))/Inputs!$K$9)^2)</x:f>
        <x:v>447.1398999999997</x:v>
      </x:c>
      <x:c r="AD201" s="10"/>
      <x:c r="AE201" s="9">
        <x:f t="shared" si="31"/>
        <x:v>0.65800000000000003</x:v>
      </x:c>
      <x:c r="AF201" s="9"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9"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9"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9"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10"/>
      <x:c r="AK201" s="9">
        <x:f t="shared" si="32"/>
        <x:v>0.65800000000000003</x:v>
      </x:c>
      <x:c r="AL201" s="9"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9"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9"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9"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10"/>
      <x:c r="AQ201" s="9">
        <x:f t="shared" si="33"/>
        <x:v>0.65800000000000003</x:v>
      </x:c>
      <x:c r="AR201" s="9" t="n">
        <x:f>0</x:f>
        <x:v>0</x:v>
      </x:c>
      <x:c r="AS201" s="9"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x:f>
        <x:v>298.1246265269959</x:v>
      </x:c>
      <x:c r="AT201" s="9"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x:f>
        <x:v>95.89669072680768</x:v>
      </x:c>
      <x:c r="AU201" s="9"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x:f>
        <x:v>188.5487058552943</x:v>
      </x:c>
      <x:c r="AV201" s="9"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x:f>
        <x:v>188.5487058552943</x:v>
      </x:c>
      <x:c r="AW201" s="10"/>
      <x:c r="AX201" s="9">
        <x:f t="shared" si="34"/>
        <x:v>0.65800000000000003</x:v>
      </x:c>
      <x:c r="AY201" s="9" t="n">
        <x:f>0</x:f>
        <x:v>0</x:v>
      </x:c>
      <x:c r="AZ201" s="9" t="n">
        <x:f>IF(OR(Inputs!$F$6=TRUE,Inputs!$F$6="TRUE",Inputs!$F$6=1),(Inputs!$H$6+Inputs!$L$6*(((Inputs!$I$6+(((A201)+1)/2)*(Inputs!$J$6-Inputs!$I$6)))/Inputs!$K$6)^2),NA())</x:f>
        <x:v>401.731856</x:v>
      </x:c>
      <x:c r="BA201" s="9" t="n">
        <x:f>IF(OR(Inputs!$F$7=TRUE,Inputs!$F$7="TRUE",Inputs!$F$7=1),(Inputs!$H$7+Inputs!$L$7*(((Inputs!$I$7+(((A201)+1)/2)*(Inputs!$J$7-Inputs!$I$7)))/Inputs!$K$7)^2),NA())</x:f>
        <x:v>193.0318599999999</x:v>
      </x:c>
      <x:c r="BB201" s="9" t="n">
        <x:f>IF(OR(Inputs!$F$8=TRUE,Inputs!$F$8="TRUE",Inputs!$F$8=1),(Inputs!$H$8+Inputs!$L$8*(((Inputs!$I$8+(((A201)+1)/2)*(Inputs!$J$8-Inputs!$I$8)))/Inputs!$K$8)^2),NA())</x:f>
        <x:v>452.81025999999974</x:v>
      </x:c>
      <x:c r="BC201" s="9" t="n">
        <x:f>IF(OR(Inputs!$F$9=TRUE,Inputs!$F$9="TRUE",Inputs!$F$9=1),(Inputs!$H$9+Inputs!$L$9*(((Inputs!$I$9+(((A201)+1)/2)*(Inputs!$J$9-Inputs!$I$9)))/Inputs!$K$9)^2),NA())</x:f>
        <x:v>447.1398999999997</x:v>
      </x:c>
      <x:c r="BD201" s="10"/>
      <x:c r="BE201" s="9">
        <x:f t="shared" si="35"/>
        <x:v>0.65800000000000003</x:v>
      </x:c>
      <x:c r="BF201" s="9" t="n">
        <x:f>0</x:f>
        <x:v>0</x:v>
      </x:c>
      <x:c r="BG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9" t="n">
        <x:f>ROUND(-1+200*2/240,3)</x:f>
        <x:v>0.667</x:v>
      </x:c>
      <x:c r="B202" s="9" t="n">
        <x:f>IF(OR(Inputs!$F$6=TRUE,Inputs!$F$6="TRUE",Inputs!$F$6=1),(Inputs!$H$6+Inputs!$L$6*(((Inputs!$I$6+(((A202)+1)/2)*(Inputs!$J$6-Inputs!$I$6)))/Inputs!$K$6)^2),NA())</x:f>
        <x:v>401.779556</x:v>
      </x:c>
      <x:c r="C202" s="9" t="n">
        <x:f>IF(OR(Inputs!$F$7=TRUE,Inputs!$F$7="TRUE",Inputs!$F$7=1),(Inputs!$H$7+Inputs!$L$7*(((Inputs!$I$7+(((A202)+1)/2)*(Inputs!$J$7-Inputs!$I$7)))/Inputs!$K$7)^2),NA())</x:f>
        <x:v>197.38448500000007</x:v>
      </x:c>
      <x:c r="D202" s="9" t="n">
        <x:f>IF(OR(Inputs!$F$8=TRUE,Inputs!$F$8="TRUE",Inputs!$F$8=1),(Inputs!$H$8+Inputs!$L$8*(((Inputs!$I$8+(((A202)+1)/2)*(Inputs!$J$8-Inputs!$I$8)))/Inputs!$K$8)^2),NA())</x:f>
        <x:v>464.3178850000002</x:v>
      </x:c>
      <x:c r="E202" s="9" t="n">
        <x:f>IF(OR(Inputs!$F$9=TRUE,Inputs!$F$9="TRUE",Inputs!$F$9=1),(Inputs!$H$9+Inputs!$L$9*(((Inputs!$I$9+(((A202)+1)/2)*(Inputs!$J$9-Inputs!$I$9)))/Inputs!$K$9)^2),NA())</x:f>
        <x:v>458.7667750000002</x:v>
      </x:c>
      <x:c r="F202" s="10"/>
      <x:c r="G202" s="9">
        <x:f t="shared" si="27"/>
        <x:v>0.66700000000000004</x:v>
      </x:c>
      <x:c r="H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10"/>
      <x:c r="M202" s="9">
        <x:f t="shared" si="28"/>
        <x:v>0.66700000000000004</x:v>
      </x:c>
      <x:c r="N202" s="9"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9"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9"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9"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10"/>
      <x:c r="S202" s="9">
        <x:f t="shared" si="29"/>
        <x:v>0.66700000000000004</x:v>
      </x:c>
      <x:c r="T202" s="9" t="n">
        <x:f>(Inputs!$I$6+(((A202)+1)/2)*(Inputs!$J$6-Inputs!$I$6))</x:f>
        <x:v>40.019999999999996</x:v>
      </x:c>
      <x:c r="U202" s="9" t="n">
        <x:f>(Inputs!$I$7+(((A202)+1)/2)*(Inputs!$J$7-Inputs!$I$7))</x:f>
        <x:v>266.80000000000007</x:v>
      </x:c>
      <x:c r="V202" s="9" t="n">
        <x:f>(Inputs!$I$8+(((A202)+1)/2)*(Inputs!$J$8-Inputs!$I$8))</x:f>
        <x:v>533.6000000000001</x:v>
      </x:c>
      <x:c r="W202" s="9" t="n">
        <x:f>(Inputs!$I$9+(((A202)+1)/2)*(Inputs!$J$9-Inputs!$I$9))</x:f>
        <x:v>533.6000000000001</x:v>
      </x:c>
      <x:c r="X202" s="10"/>
      <x:c r="Y202" s="9">
        <x:f t="shared" si="30"/>
        <x:v>0.66700000000000004</x:v>
      </x:c>
      <x:c r="Z202" s="9" t="n">
        <x:f>(Inputs!$H$6+Inputs!$L$6*(((Inputs!$I$6+(((A202)+1)/2)*(Inputs!$J$6-Inputs!$I$6)))/Inputs!$K$6)^2)</x:f>
        <x:v>401.779556</x:v>
      </x:c>
      <x:c r="AA202" s="9" t="n">
        <x:f>(Inputs!$H$7+Inputs!$L$7*(((Inputs!$I$7+(((A202)+1)/2)*(Inputs!$J$7-Inputs!$I$7)))/Inputs!$K$7)^2)</x:f>
        <x:v>197.38448500000007</x:v>
      </x:c>
      <x:c r="AB202" s="9" t="n">
        <x:f>(Inputs!$H$8+Inputs!$L$8*(((Inputs!$I$8+(((A202)+1)/2)*(Inputs!$J$8-Inputs!$I$8)))/Inputs!$K$8)^2)</x:f>
        <x:v>464.3178850000002</x:v>
      </x:c>
      <x:c r="AC202" s="9" t="n">
        <x:f>(Inputs!$H$9+Inputs!$L$9*(((Inputs!$I$9+(((A202)+1)/2)*(Inputs!$J$9-Inputs!$I$9)))/Inputs!$K$9)^2)</x:f>
        <x:v>458.7667750000002</x:v>
      </x:c>
      <x:c r="AD202" s="10"/>
      <x:c r="AE202" s="9">
        <x:f t="shared" si="31"/>
        <x:v>0.66700000000000004</x:v>
      </x:c>
      <x:c r="AF202" s="9"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9"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9"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9"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10"/>
      <x:c r="AK202" s="9">
        <x:f t="shared" si="32"/>
        <x:v>0.66700000000000004</x:v>
      </x:c>
      <x:c r="AL202" s="9"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9"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9"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9"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10"/>
      <x:c r="AQ202" s="9">
        <x:f t="shared" si="33"/>
        <x:v>0.66700000000000004</x:v>
      </x:c>
      <x:c r="AR202" s="9" t="n">
        <x:f>0</x:f>
        <x:v>0</x:v>
      </x:c>
      <x:c r="AS202" s="9"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x:f>
        <x:v>289.9754467837871</x:v>
      </x:c>
      <x:c r="AT202" s="9"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x:f>
        <x:v>109.33064948267874</x:v>
      </x:c>
      <x:c r="AU202" s="9"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x:f>
        <x:v>107.54564181018011</x:v>
      </x:c>
      <x:c r="AV202" s="9"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x:f>
        <x:v>107.54564181018011</x:v>
      </x:c>
      <x:c r="AW202" s="10"/>
      <x:c r="AX202" s="9">
        <x:f t="shared" si="34"/>
        <x:v>0.66700000000000004</x:v>
      </x:c>
      <x:c r="AY202" s="9" t="n">
        <x:f>0</x:f>
        <x:v>0</x:v>
      </x:c>
      <x:c r="AZ202" s="9" t="n">
        <x:f>IF(OR(Inputs!$F$6=TRUE,Inputs!$F$6="TRUE",Inputs!$F$6=1),(Inputs!$H$6+Inputs!$L$6*(((Inputs!$I$6+(((A202)+1)/2)*(Inputs!$J$6-Inputs!$I$6)))/Inputs!$K$6)^2),NA())</x:f>
        <x:v>401.779556</x:v>
      </x:c>
      <x:c r="BA202" s="9" t="n">
        <x:f>IF(OR(Inputs!$F$7=TRUE,Inputs!$F$7="TRUE",Inputs!$F$7=1),(Inputs!$H$7+Inputs!$L$7*(((Inputs!$I$7+(((A202)+1)/2)*(Inputs!$J$7-Inputs!$I$7)))/Inputs!$K$7)^2),NA())</x:f>
        <x:v>197.38448500000007</x:v>
      </x:c>
      <x:c r="BB202" s="9" t="n">
        <x:f>IF(OR(Inputs!$F$8=TRUE,Inputs!$F$8="TRUE",Inputs!$F$8=1),(Inputs!$H$8+Inputs!$L$8*(((Inputs!$I$8+(((A202)+1)/2)*(Inputs!$J$8-Inputs!$I$8)))/Inputs!$K$8)^2),NA())</x:f>
        <x:v>464.3178850000002</x:v>
      </x:c>
      <x:c r="BC202" s="9" t="n">
        <x:f>IF(OR(Inputs!$F$9=TRUE,Inputs!$F$9="TRUE",Inputs!$F$9=1),(Inputs!$H$9+Inputs!$L$9*(((Inputs!$I$9+(((A202)+1)/2)*(Inputs!$J$9-Inputs!$I$9)))/Inputs!$K$9)^2),NA())</x:f>
        <x:v>458.7667750000002</x:v>
      </x:c>
      <x:c r="BD202" s="10"/>
      <x:c r="BE202" s="9">
        <x:f t="shared" si="35"/>
        <x:v>0.66700000000000004</x:v>
      </x:c>
      <x:c r="BF202" s="9" t="n">
        <x:f>0</x:f>
        <x:v>0</x:v>
      </x:c>
      <x:c r="BG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9" t="n">
        <x:f>ROUND(-1+201*2/240,3)</x:f>
        <x:v>0.675</x:v>
      </x:c>
      <x:c r="B203" s="9" t="n">
        <x:f>IF(OR(Inputs!$F$6=TRUE,Inputs!$F$6="TRUE",Inputs!$F$6=1),(Inputs!$H$6+Inputs!$L$6*(((Inputs!$I$6+(((A203)+1)/2)*(Inputs!$J$6-Inputs!$I$6)))/Inputs!$K$6)^2),NA())</x:f>
        <x:v>401.8225</x:v>
      </x:c>
      <x:c r="C203" s="9" t="n">
        <x:f>IF(OR(Inputs!$F$7=TRUE,Inputs!$F$7="TRUE",Inputs!$F$7=1),(Inputs!$H$7+Inputs!$L$7*(((Inputs!$I$7+(((A203)+1)/2)*(Inputs!$J$7-Inputs!$I$7)))/Inputs!$K$7)^2),NA())</x:f>
        <x:v>201.30312500000002</x:v>
      </x:c>
      <x:c r="D203" s="9" t="n">
        <x:f>IF(OR(Inputs!$F$8=TRUE,Inputs!$F$8="TRUE",Inputs!$F$8=1),(Inputs!$H$8+Inputs!$L$8*(((Inputs!$I$8+(((A203)+1)/2)*(Inputs!$J$8-Inputs!$I$8)))/Inputs!$K$8)^2),NA())</x:f>
        <x:v>474.6781250000001</x:v>
      </x:c>
      <x:c r="E203" s="9" t="n">
        <x:f>IF(OR(Inputs!$F$9=TRUE,Inputs!$F$9="TRUE",Inputs!$F$9=1),(Inputs!$H$9+Inputs!$L$9*(((Inputs!$I$9+(((A203)+1)/2)*(Inputs!$J$9-Inputs!$I$9)))/Inputs!$K$9)^2),NA())</x:f>
        <x:v>469.23437500000006</x:v>
      </x:c>
      <x:c r="F203" s="10"/>
      <x:c r="G203" s="9">
        <x:f t="shared" si="27"/>
        <x:v>0.67500000000000004</x:v>
      </x:c>
      <x:c r="H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10"/>
      <x:c r="M203" s="9">
        <x:f t="shared" si="28"/>
        <x:v>0.67500000000000004</x:v>
      </x:c>
      <x:c r="N203" s="9"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9"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9"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9"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10"/>
      <x:c r="S203" s="9">
        <x:f t="shared" si="29"/>
        <x:v>0.67500000000000004</x:v>
      </x:c>
      <x:c r="T203" s="9" t="n">
        <x:f>(Inputs!$I$6+(((A203)+1)/2)*(Inputs!$J$6-Inputs!$I$6))</x:f>
        <x:v>40.5</x:v>
      </x:c>
      <x:c r="U203" s="9" t="n">
        <x:f>(Inputs!$I$7+(((A203)+1)/2)*(Inputs!$J$7-Inputs!$I$7))</x:f>
        <x:v>270</x:v>
      </x:c>
      <x:c r="V203" s="9" t="n">
        <x:f>(Inputs!$I$8+(((A203)+1)/2)*(Inputs!$J$8-Inputs!$I$8))</x:f>
        <x:v>540</x:v>
      </x:c>
      <x:c r="W203" s="9" t="n">
        <x:f>(Inputs!$I$9+(((A203)+1)/2)*(Inputs!$J$9-Inputs!$I$9))</x:f>
        <x:v>540</x:v>
      </x:c>
      <x:c r="X203" s="10"/>
      <x:c r="Y203" s="9">
        <x:f t="shared" si="30"/>
        <x:v>0.67500000000000004</x:v>
      </x:c>
      <x:c r="Z203" s="9" t="n">
        <x:f>(Inputs!$H$6+Inputs!$L$6*(((Inputs!$I$6+(((A203)+1)/2)*(Inputs!$J$6-Inputs!$I$6)))/Inputs!$K$6)^2)</x:f>
        <x:v>401.8225</x:v>
      </x:c>
      <x:c r="AA203" s="9" t="n">
        <x:f>(Inputs!$H$7+Inputs!$L$7*(((Inputs!$I$7+(((A203)+1)/2)*(Inputs!$J$7-Inputs!$I$7)))/Inputs!$K$7)^2)</x:f>
        <x:v>201.30312500000002</x:v>
      </x:c>
      <x:c r="AB203" s="9" t="n">
        <x:f>(Inputs!$H$8+Inputs!$L$8*(((Inputs!$I$8+(((A203)+1)/2)*(Inputs!$J$8-Inputs!$I$8)))/Inputs!$K$8)^2)</x:f>
        <x:v>474.6781250000001</x:v>
      </x:c>
      <x:c r="AC203" s="9" t="n">
        <x:f>(Inputs!$H$9+Inputs!$L$9*(((Inputs!$I$9+(((A203)+1)/2)*(Inputs!$J$9-Inputs!$I$9)))/Inputs!$K$9)^2)</x:f>
        <x:v>469.23437500000006</x:v>
      </x:c>
      <x:c r="AD203" s="10"/>
      <x:c r="AE203" s="9">
        <x:f t="shared" si="31"/>
        <x:v>0.67500000000000004</x:v>
      </x:c>
      <x:c r="AF203" s="9"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9"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9"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9"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10"/>
      <x:c r="AK203" s="9">
        <x:f t="shared" si="32"/>
        <x:v>0.67500000000000004</x:v>
      </x:c>
      <x:c r="AL203" s="9"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9"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9"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9"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10"/>
      <x:c r="AQ203" s="9">
        <x:f t="shared" si="33"/>
        <x:v>0.67500000000000004</x:v>
      </x:c>
      <x:c r="AR203" s="9" t="n">
        <x:f>0</x:f>
        <x:v>0</x:v>
      </x:c>
      <x:c r="AS203" s="9"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x:f>
        <x:v>300.6975060152245</x:v>
      </x:c>
      <x:c r="AT203" s="9"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x:f>
        <x:v>112.61223727911373</x:v>
      </x:c>
      <x:c r="AU203" s="9"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x:f>
        <x:v>107.49826996155427</x:v>
      </x:c>
      <x:c r="AV203" s="9"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x:f>
        <x:v>107.49826996155427</x:v>
      </x:c>
      <x:c r="AW203" s="10"/>
      <x:c r="AX203" s="9">
        <x:f t="shared" si="34"/>
        <x:v>0.67500000000000004</x:v>
      </x:c>
      <x:c r="AY203" s="9" t="n">
        <x:f>0</x:f>
        <x:v>0</x:v>
      </x:c>
      <x:c r="AZ203" s="9" t="n">
        <x:f>IF(OR(Inputs!$F$6=TRUE,Inputs!$F$6="TRUE",Inputs!$F$6=1),(Inputs!$H$6+Inputs!$L$6*(((Inputs!$I$6+(((A203)+1)/2)*(Inputs!$J$6-Inputs!$I$6)))/Inputs!$K$6)^2),NA())</x:f>
        <x:v>401.8225</x:v>
      </x:c>
      <x:c r="BA203" s="9" t="n">
        <x:f>IF(OR(Inputs!$F$7=TRUE,Inputs!$F$7="TRUE",Inputs!$F$7=1),(Inputs!$H$7+Inputs!$L$7*(((Inputs!$I$7+(((A203)+1)/2)*(Inputs!$J$7-Inputs!$I$7)))/Inputs!$K$7)^2),NA())</x:f>
        <x:v>201.30312500000002</x:v>
      </x:c>
      <x:c r="BB203" s="9" t="n">
        <x:f>IF(OR(Inputs!$F$8=TRUE,Inputs!$F$8="TRUE",Inputs!$F$8=1),(Inputs!$H$8+Inputs!$L$8*(((Inputs!$I$8+(((A203)+1)/2)*(Inputs!$J$8-Inputs!$I$8)))/Inputs!$K$8)^2),NA())</x:f>
        <x:v>474.6781250000001</x:v>
      </x:c>
      <x:c r="BC203" s="9" t="n">
        <x:f>IF(OR(Inputs!$F$9=TRUE,Inputs!$F$9="TRUE",Inputs!$F$9=1),(Inputs!$H$9+Inputs!$L$9*(((Inputs!$I$9+(((A203)+1)/2)*(Inputs!$J$9-Inputs!$I$9)))/Inputs!$K$9)^2),NA())</x:f>
        <x:v>469.23437500000006</x:v>
      </x:c>
      <x:c r="BD203" s="10"/>
      <x:c r="BE203" s="9">
        <x:f t="shared" si="35"/>
        <x:v>0.67500000000000004</x:v>
      </x:c>
      <x:c r="BF203" s="9" t="n">
        <x:f>0</x:f>
        <x:v>0</x:v>
      </x:c>
      <x:c r="BG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9" t="n">
        <x:f>ROUND(-1+202*2/240,3)</x:f>
        <x:v>0.683</x:v>
      </x:c>
      <x:c r="B204" s="9" t="n">
        <x:f>IF(OR(Inputs!$F$6=TRUE,Inputs!$F$6="TRUE",Inputs!$F$6=1),(Inputs!$H$6+Inputs!$L$6*(((Inputs!$I$6+(((A204)+1)/2)*(Inputs!$J$6-Inputs!$I$6)))/Inputs!$K$6)^2),NA())</x:f>
        <x:v>401.865956</x:v>
      </x:c>
      <x:c r="C204" s="9" t="n">
        <x:f>IF(OR(Inputs!$F$7=TRUE,Inputs!$F$7="TRUE",Inputs!$F$7=1),(Inputs!$H$7+Inputs!$L$7*(((Inputs!$I$7+(((A204)+1)/2)*(Inputs!$J$7-Inputs!$I$7)))/Inputs!$K$7)^2),NA())</x:f>
        <x:v>205.26848500000008</x:v>
      </x:c>
      <x:c r="D204" s="9" t="n">
        <x:f>IF(OR(Inputs!$F$8=TRUE,Inputs!$F$8="TRUE",Inputs!$F$8=1),(Inputs!$H$8+Inputs!$L$8*(((Inputs!$I$8+(((A204)+1)/2)*(Inputs!$J$8-Inputs!$I$8)))/Inputs!$K$8)^2),NA())</x:f>
        <x:v>485.1618850000002</x:v>
      </x:c>
      <x:c r="E204" s="9" t="n">
        <x:f>IF(OR(Inputs!$F$9=TRUE,Inputs!$F$9="TRUE",Inputs!$F$9=1),(Inputs!$H$9+Inputs!$L$9*(((Inputs!$I$9+(((A204)+1)/2)*(Inputs!$J$9-Inputs!$I$9)))/Inputs!$K$9)^2),NA())</x:f>
        <x:v>479.8267750000002</x:v>
      </x:c>
      <x:c r="F204" s="10"/>
      <x:c r="G204" s="9">
        <x:f t="shared" si="27"/>
        <x:v>0.68300000000000005</x:v>
      </x:c>
      <x:c r="H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10"/>
      <x:c r="M204" s="9">
        <x:f t="shared" si="28"/>
        <x:v>0.68300000000000005</x:v>
      </x:c>
      <x:c r="N204" s="9"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9"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9"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9"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10"/>
      <x:c r="S204" s="9">
        <x:f t="shared" si="29"/>
        <x:v>0.68300000000000005</x:v>
      </x:c>
      <x:c r="T204" s="9" t="n">
        <x:f>(Inputs!$I$6+(((A204)+1)/2)*(Inputs!$J$6-Inputs!$I$6))</x:f>
        <x:v>40.980000000000004</x:v>
      </x:c>
      <x:c r="U204" s="9" t="n">
        <x:f>(Inputs!$I$7+(((A204)+1)/2)*(Inputs!$J$7-Inputs!$I$7))</x:f>
        <x:v>273.20000000000005</x:v>
      </x:c>
      <x:c r="V204" s="9" t="n">
        <x:f>(Inputs!$I$8+(((A204)+1)/2)*(Inputs!$J$8-Inputs!$I$8))</x:f>
        <x:v>546.4000000000001</x:v>
      </x:c>
      <x:c r="W204" s="9" t="n">
        <x:f>(Inputs!$I$9+(((A204)+1)/2)*(Inputs!$J$9-Inputs!$I$9))</x:f>
        <x:v>546.4000000000001</x:v>
      </x:c>
      <x:c r="X204" s="10"/>
      <x:c r="Y204" s="9">
        <x:f t="shared" si="30"/>
        <x:v>0.68300000000000005</x:v>
      </x:c>
      <x:c r="Z204" s="9" t="n">
        <x:f>(Inputs!$H$6+Inputs!$L$6*(((Inputs!$I$6+(((A204)+1)/2)*(Inputs!$J$6-Inputs!$I$6)))/Inputs!$K$6)^2)</x:f>
        <x:v>401.865956</x:v>
      </x:c>
      <x:c r="AA204" s="9" t="n">
        <x:f>(Inputs!$H$7+Inputs!$L$7*(((Inputs!$I$7+(((A204)+1)/2)*(Inputs!$J$7-Inputs!$I$7)))/Inputs!$K$7)^2)</x:f>
        <x:v>205.26848500000008</x:v>
      </x:c>
      <x:c r="AB204" s="9" t="n">
        <x:f>(Inputs!$H$8+Inputs!$L$8*(((Inputs!$I$8+(((A204)+1)/2)*(Inputs!$J$8-Inputs!$I$8)))/Inputs!$K$8)^2)</x:f>
        <x:v>485.1618850000002</x:v>
      </x:c>
      <x:c r="AC204" s="9" t="n">
        <x:f>(Inputs!$H$9+Inputs!$L$9*(((Inputs!$I$9+(((A204)+1)/2)*(Inputs!$J$9-Inputs!$I$9)))/Inputs!$K$9)^2)</x:f>
        <x:v>479.8267750000002</x:v>
      </x:c>
      <x:c r="AD204" s="10"/>
      <x:c r="AE204" s="9">
        <x:f t="shared" si="31"/>
        <x:v>0.68300000000000005</x:v>
      </x:c>
      <x:c r="AF204" s="9"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9"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9"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9"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10"/>
      <x:c r="AK204" s="9">
        <x:f t="shared" si="32"/>
        <x:v>0.68300000000000005</x:v>
      </x:c>
      <x:c r="AL204" s="9"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9"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9"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9"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10"/>
      <x:c r="AQ204" s="9">
        <x:f t="shared" si="33"/>
        <x:v>0.68300000000000005</x:v>
      </x:c>
      <x:c r="AR204" s="9" t="n">
        <x:f>0</x:f>
        <x:v>0</x:v>
      </x:c>
      <x:c r="AS204" s="9"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x:f>
        <x:v>298.5295338306238</x:v>
      </x:c>
      <x:c r="AT204" s="9"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x:f>
        <x:v>176.70490916263046</x:v>
      </x:c>
      <x:c r="AU204" s="9"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x:f>
        <x:v>180.5130458668658</x:v>
      </x:c>
      <x:c r="AV204" s="9"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x:f>
        <x:v>180.5130458668658</x:v>
      </x:c>
      <x:c r="AW204" s="10"/>
      <x:c r="AX204" s="9">
        <x:f t="shared" si="34"/>
        <x:v>0.68300000000000005</x:v>
      </x:c>
      <x:c r="AY204" s="9" t="n">
        <x:f>0</x:f>
        <x:v>0</x:v>
      </x:c>
      <x:c r="AZ204" s="9" t="n">
        <x:f>IF(OR(Inputs!$F$6=TRUE,Inputs!$F$6="TRUE",Inputs!$F$6=1),(Inputs!$H$6+Inputs!$L$6*(((Inputs!$I$6+(((A204)+1)/2)*(Inputs!$J$6-Inputs!$I$6)))/Inputs!$K$6)^2),NA())</x:f>
        <x:v>401.865956</x:v>
      </x:c>
      <x:c r="BA204" s="9" t="n">
        <x:f>IF(OR(Inputs!$F$7=TRUE,Inputs!$F$7="TRUE",Inputs!$F$7=1),(Inputs!$H$7+Inputs!$L$7*(((Inputs!$I$7+(((A204)+1)/2)*(Inputs!$J$7-Inputs!$I$7)))/Inputs!$K$7)^2),NA())</x:f>
        <x:v>205.26848500000008</x:v>
      </x:c>
      <x:c r="BB204" s="9" t="n">
        <x:f>IF(OR(Inputs!$F$8=TRUE,Inputs!$F$8="TRUE",Inputs!$F$8=1),(Inputs!$H$8+Inputs!$L$8*(((Inputs!$I$8+(((A204)+1)/2)*(Inputs!$J$8-Inputs!$I$8)))/Inputs!$K$8)^2),NA())</x:f>
        <x:v>485.1618850000002</x:v>
      </x:c>
      <x:c r="BC204" s="9" t="n">
        <x:f>IF(OR(Inputs!$F$9=TRUE,Inputs!$F$9="TRUE",Inputs!$F$9=1),(Inputs!$H$9+Inputs!$L$9*(((Inputs!$I$9+(((A204)+1)/2)*(Inputs!$J$9-Inputs!$I$9)))/Inputs!$K$9)^2),NA())</x:f>
        <x:v>479.8267750000002</x:v>
      </x:c>
      <x:c r="BD204" s="10"/>
      <x:c r="BE204" s="9">
        <x:f t="shared" si="35"/>
        <x:v>0.68300000000000005</x:v>
      </x:c>
      <x:c r="BF204" s="9" t="n">
        <x:f>0</x:f>
        <x:v>0</x:v>
      </x:c>
      <x:c r="BG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9" t="n">
        <x:f>ROUND(-1+203*2/240,3)</x:f>
        <x:v>0.692</x:v>
      </x:c>
      <x:c r="B205" s="9" t="n">
        <x:f>IF(OR(Inputs!$F$6=TRUE,Inputs!$F$6="TRUE",Inputs!$F$6=1),(Inputs!$H$6+Inputs!$L$6*(((Inputs!$I$6+(((A205)+1)/2)*(Inputs!$J$6-Inputs!$I$6)))/Inputs!$K$6)^2),NA())</x:f>
        <x:v>401.915456</x:v>
      </x:c>
      <x:c r="C205" s="9" t="n">
        <x:f>IF(OR(Inputs!$F$7=TRUE,Inputs!$F$7="TRUE",Inputs!$F$7=1),(Inputs!$H$7+Inputs!$L$7*(((Inputs!$I$7+(((A205)+1)/2)*(Inputs!$J$7-Inputs!$I$7)))/Inputs!$K$7)^2),NA())</x:f>
        <x:v>209.7853599999999</x:v>
      </x:c>
      <x:c r="D205" s="9" t="n">
        <x:f>IF(OR(Inputs!$F$8=TRUE,Inputs!$F$8="TRUE",Inputs!$F$8=1),(Inputs!$H$8+Inputs!$L$8*(((Inputs!$I$8+(((A205)+1)/2)*(Inputs!$J$8-Inputs!$I$8)))/Inputs!$K$8)^2),NA())</x:f>
        <x:v>497.1037599999998</x:v>
      </x:c>
      <x:c r="E205" s="9" t="n">
        <x:f>IF(OR(Inputs!$F$9=TRUE,Inputs!$F$9="TRUE",Inputs!$F$9=1),(Inputs!$H$9+Inputs!$L$9*(((Inputs!$I$9+(((A205)+1)/2)*(Inputs!$J$9-Inputs!$I$9)))/Inputs!$K$9)^2),NA())</x:f>
        <x:v>491.8923999999998</x:v>
      </x:c>
      <x:c r="F205" s="10"/>
      <x:c r="G205" s="9">
        <x:f t="shared" si="27"/>
        <x:v>0.69199999999999995</x:v>
      </x:c>
      <x:c r="H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10"/>
      <x:c r="M205" s="9">
        <x:f t="shared" si="28"/>
        <x:v>0.69199999999999995</x:v>
      </x:c>
      <x:c r="N205" s="9"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9"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9"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9"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10"/>
      <x:c r="S205" s="9">
        <x:f t="shared" si="29"/>
        <x:v>0.69199999999999995</x:v>
      </x:c>
      <x:c r="T205" s="9" t="n">
        <x:f>(Inputs!$I$6+(((A205)+1)/2)*(Inputs!$J$6-Inputs!$I$6))</x:f>
        <x:v>41.519999999999996</x:v>
      </x:c>
      <x:c r="U205" s="9" t="n">
        <x:f>(Inputs!$I$7+(((A205)+1)/2)*(Inputs!$J$7-Inputs!$I$7))</x:f>
        <x:v>276.79999999999995</x:v>
      </x:c>
      <x:c r="V205" s="9" t="n">
        <x:f>(Inputs!$I$8+(((A205)+1)/2)*(Inputs!$J$8-Inputs!$I$8))</x:f>
        <x:v>553.5999999999999</x:v>
      </x:c>
      <x:c r="W205" s="9" t="n">
        <x:f>(Inputs!$I$9+(((A205)+1)/2)*(Inputs!$J$9-Inputs!$I$9))</x:f>
        <x:v>553.5999999999999</x:v>
      </x:c>
      <x:c r="X205" s="10"/>
      <x:c r="Y205" s="9">
        <x:f t="shared" si="30"/>
        <x:v>0.69199999999999995</x:v>
      </x:c>
      <x:c r="Z205" s="9" t="n">
        <x:f>(Inputs!$H$6+Inputs!$L$6*(((Inputs!$I$6+(((A205)+1)/2)*(Inputs!$J$6-Inputs!$I$6)))/Inputs!$K$6)^2)</x:f>
        <x:v>401.915456</x:v>
      </x:c>
      <x:c r="AA205" s="9" t="n">
        <x:f>(Inputs!$H$7+Inputs!$L$7*(((Inputs!$I$7+(((A205)+1)/2)*(Inputs!$J$7-Inputs!$I$7)))/Inputs!$K$7)^2)</x:f>
        <x:v>209.7853599999999</x:v>
      </x:c>
      <x:c r="AB205" s="9" t="n">
        <x:f>(Inputs!$H$8+Inputs!$L$8*(((Inputs!$I$8+(((A205)+1)/2)*(Inputs!$J$8-Inputs!$I$8)))/Inputs!$K$8)^2)</x:f>
        <x:v>497.1037599999998</x:v>
      </x:c>
      <x:c r="AC205" s="9" t="n">
        <x:f>(Inputs!$H$9+Inputs!$L$9*(((Inputs!$I$9+(((A205)+1)/2)*(Inputs!$J$9-Inputs!$I$9)))/Inputs!$K$9)^2)</x:f>
        <x:v>491.8923999999998</x:v>
      </x:c>
      <x:c r="AD205" s="10"/>
      <x:c r="AE205" s="9">
        <x:f t="shared" si="31"/>
        <x:v>0.69199999999999995</x:v>
      </x:c>
      <x:c r="AF205" s="9"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9"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9"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9"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10"/>
      <x:c r="AK205" s="9">
        <x:f t="shared" si="32"/>
        <x:v>0.69199999999999995</x:v>
      </x:c>
      <x:c r="AL205" s="9"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9"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9"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9"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10"/>
      <x:c r="AQ205" s="9">
        <x:f t="shared" si="33"/>
        <x:v>0.69199999999999995</x:v>
      </x:c>
      <x:c r="AR205" s="9" t="n">
        <x:f>0</x:f>
        <x:v>0</x:v>
      </x:c>
      <x:c r="AS205" s="9"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x:f>
        <x:v>285.413102267198</x:v>
      </x:c>
      <x:c r="AT205" s="9"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x:f>
        <x:v>197.15245723927592</x:v>
      </x:c>
      <x:c r="AU205" s="9"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x:f>
        <x:v>72.78326795030202</x:v>
      </x:c>
      <x:c r="AV205" s="9"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x:f>
        <x:v>72.78326795030202</x:v>
      </x:c>
      <x:c r="AW205" s="10"/>
      <x:c r="AX205" s="9">
        <x:f t="shared" si="34"/>
        <x:v>0.69199999999999995</x:v>
      </x:c>
      <x:c r="AY205" s="9" t="n">
        <x:f>0</x:f>
        <x:v>0</x:v>
      </x:c>
      <x:c r="AZ205" s="9" t="n">
        <x:f>IF(OR(Inputs!$F$6=TRUE,Inputs!$F$6="TRUE",Inputs!$F$6=1),(Inputs!$H$6+Inputs!$L$6*(((Inputs!$I$6+(((A205)+1)/2)*(Inputs!$J$6-Inputs!$I$6)))/Inputs!$K$6)^2),NA())</x:f>
        <x:v>401.915456</x:v>
      </x:c>
      <x:c r="BA205" s="9" t="n">
        <x:f>IF(OR(Inputs!$F$7=TRUE,Inputs!$F$7="TRUE",Inputs!$F$7=1),(Inputs!$H$7+Inputs!$L$7*(((Inputs!$I$7+(((A205)+1)/2)*(Inputs!$J$7-Inputs!$I$7)))/Inputs!$K$7)^2),NA())</x:f>
        <x:v>209.7853599999999</x:v>
      </x:c>
      <x:c r="BB205" s="9" t="n">
        <x:f>IF(OR(Inputs!$F$8=TRUE,Inputs!$F$8="TRUE",Inputs!$F$8=1),(Inputs!$H$8+Inputs!$L$8*(((Inputs!$I$8+(((A205)+1)/2)*(Inputs!$J$8-Inputs!$I$8)))/Inputs!$K$8)^2),NA())</x:f>
        <x:v>497.1037599999998</x:v>
      </x:c>
      <x:c r="BC205" s="9" t="n">
        <x:f>IF(OR(Inputs!$F$9=TRUE,Inputs!$F$9="TRUE",Inputs!$F$9=1),(Inputs!$H$9+Inputs!$L$9*(((Inputs!$I$9+(((A205)+1)/2)*(Inputs!$J$9-Inputs!$I$9)))/Inputs!$K$9)^2),NA())</x:f>
        <x:v>491.8923999999998</x:v>
      </x:c>
      <x:c r="BD205" s="10"/>
      <x:c r="BE205" s="9">
        <x:f t="shared" si="35"/>
        <x:v>0.69199999999999995</x:v>
      </x:c>
      <x:c r="BF205" s="9" t="n">
        <x:f>0</x:f>
        <x:v>0</x:v>
      </x:c>
      <x:c r="BG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9" t="n">
        <x:f>ROUND(-1+204*2/240,3)</x:f>
        <x:v>0.7</x:v>
      </x:c>
      <x:c r="B206" s="9" t="n">
        <x:f>IF(OR(Inputs!$F$6=TRUE,Inputs!$F$6="TRUE",Inputs!$F$6=1),(Inputs!$H$6+Inputs!$L$6*(((Inputs!$I$6+(((A206)+1)/2)*(Inputs!$J$6-Inputs!$I$6)))/Inputs!$K$6)^2),NA())</x:f>
        <x:v>401.96</x:v>
      </x:c>
      <x:c r="C206" s="9" t="n">
        <x:f>IF(OR(Inputs!$F$7=TRUE,Inputs!$F$7="TRUE",Inputs!$F$7=1),(Inputs!$H$7+Inputs!$L$7*(((Inputs!$I$7+(((A206)+1)/2)*(Inputs!$J$7-Inputs!$I$7)))/Inputs!$K$7)^2),NA())</x:f>
        <x:v>213.84999999999997</x:v>
      </x:c>
      <x:c r="D206" s="9" t="n">
        <x:f>IF(OR(Inputs!$F$8=TRUE,Inputs!$F$8="TRUE",Inputs!$F$8=1),(Inputs!$H$8+Inputs!$L$8*(((Inputs!$I$8+(((A206)+1)/2)*(Inputs!$J$8-Inputs!$I$8)))/Inputs!$K$8)^2),NA())</x:f>
        <x:v>507.84999999999997</x:v>
      </x:c>
      <x:c r="E206" s="9" t="n">
        <x:f>IF(OR(Inputs!$F$9=TRUE,Inputs!$F$9="TRUE",Inputs!$F$9=1),(Inputs!$H$9+Inputs!$L$9*(((Inputs!$I$9+(((A206)+1)/2)*(Inputs!$J$9-Inputs!$I$9)))/Inputs!$K$9)^2),NA())</x:f>
        <x:v>502.74999999999994</x:v>
      </x:c>
      <x:c r="F206" s="10"/>
      <x:c r="G206" s="9">
        <x:f t="shared" si="27"/>
        <x:v>0.7</x:v>
      </x:c>
      <x:c r="H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10"/>
      <x:c r="M206" s="9">
        <x:f t="shared" si="28"/>
        <x:v>0.7</x:v>
      </x:c>
      <x:c r="N206" s="9"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9"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9"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9"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10"/>
      <x:c r="S206" s="9">
        <x:f t="shared" si="29"/>
        <x:v>0.7</x:v>
      </x:c>
      <x:c r="T206" s="9" t="n">
        <x:f>(Inputs!$I$6+(((A206)+1)/2)*(Inputs!$J$6-Inputs!$I$6))</x:f>
        <x:v>42</x:v>
      </x:c>
      <x:c r="U206" s="9" t="n">
        <x:f>(Inputs!$I$7+(((A206)+1)/2)*(Inputs!$J$7-Inputs!$I$7))</x:f>
        <x:v>280</x:v>
      </x:c>
      <x:c r="V206" s="9" t="n">
        <x:f>(Inputs!$I$8+(((A206)+1)/2)*(Inputs!$J$8-Inputs!$I$8))</x:f>
        <x:v>560</x:v>
      </x:c>
      <x:c r="W206" s="9" t="n">
        <x:f>(Inputs!$I$9+(((A206)+1)/2)*(Inputs!$J$9-Inputs!$I$9))</x:f>
        <x:v>560</x:v>
      </x:c>
      <x:c r="X206" s="10"/>
      <x:c r="Y206" s="9">
        <x:f t="shared" si="30"/>
        <x:v>0.7</x:v>
      </x:c>
      <x:c r="Z206" s="9" t="n">
        <x:f>(Inputs!$H$6+Inputs!$L$6*(((Inputs!$I$6+(((A206)+1)/2)*(Inputs!$J$6-Inputs!$I$6)))/Inputs!$K$6)^2)</x:f>
        <x:v>401.96</x:v>
      </x:c>
      <x:c r="AA206" s="9" t="n">
        <x:f>(Inputs!$H$7+Inputs!$L$7*(((Inputs!$I$7+(((A206)+1)/2)*(Inputs!$J$7-Inputs!$I$7)))/Inputs!$K$7)^2)</x:f>
        <x:v>213.84999999999997</x:v>
      </x:c>
      <x:c r="AB206" s="9" t="n">
        <x:f>(Inputs!$H$8+Inputs!$L$8*(((Inputs!$I$8+(((A206)+1)/2)*(Inputs!$J$8-Inputs!$I$8)))/Inputs!$K$8)^2)</x:f>
        <x:v>507.84999999999997</x:v>
      </x:c>
      <x:c r="AC206" s="9" t="n">
        <x:f>(Inputs!$H$9+Inputs!$L$9*(((Inputs!$I$9+(((A206)+1)/2)*(Inputs!$J$9-Inputs!$I$9)))/Inputs!$K$9)^2)</x:f>
        <x:v>502.74999999999994</x:v>
      </x:c>
      <x:c r="AD206" s="10"/>
      <x:c r="AE206" s="9">
        <x:f t="shared" si="31"/>
        <x:v>0.7</x:v>
      </x:c>
      <x:c r="AF206" s="9"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9"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9"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9"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10"/>
      <x:c r="AK206" s="9">
        <x:f t="shared" si="32"/>
        <x:v>0.7</x:v>
      </x:c>
      <x:c r="AL206" s="9"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9"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9"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9"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10"/>
      <x:c r="AQ206" s="9">
        <x:f t="shared" si="33"/>
        <x:v>0.7</x:v>
      </x:c>
      <x:c r="AR206" s="9" t="n">
        <x:f>0</x:f>
        <x:v>0</x:v>
      </x:c>
      <x:c r="AS206" s="9"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x:f>
        <x:v>271.1262021129023</x:v>
      </x:c>
      <x:c r="AT206" s="9"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x:f>
        <x:v>136.6689269288142</x:v>
      </x:c>
      <x:c r="AU206" s="9"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x:f>
        <x:v>162.4877576725972</x:v>
      </x:c>
      <x:c r="AV206" s="9"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x:f>
        <x:v>162.4877576725972</x:v>
      </x:c>
      <x:c r="AW206" s="10"/>
      <x:c r="AX206" s="9">
        <x:f t="shared" si="34"/>
        <x:v>0.7</x:v>
      </x:c>
      <x:c r="AY206" s="9" t="n">
        <x:f>0</x:f>
        <x:v>0</x:v>
      </x:c>
      <x:c r="AZ206" s="9" t="n">
        <x:f>IF(OR(Inputs!$F$6=TRUE,Inputs!$F$6="TRUE",Inputs!$F$6=1),(Inputs!$H$6+Inputs!$L$6*(((Inputs!$I$6+(((A206)+1)/2)*(Inputs!$J$6-Inputs!$I$6)))/Inputs!$K$6)^2),NA())</x:f>
        <x:v>401.96</x:v>
      </x:c>
      <x:c r="BA206" s="9" t="n">
        <x:f>IF(OR(Inputs!$F$7=TRUE,Inputs!$F$7="TRUE",Inputs!$F$7=1),(Inputs!$H$7+Inputs!$L$7*(((Inputs!$I$7+(((A206)+1)/2)*(Inputs!$J$7-Inputs!$I$7)))/Inputs!$K$7)^2),NA())</x:f>
        <x:v>213.84999999999997</x:v>
      </x:c>
      <x:c r="BB206" s="9" t="n">
        <x:f>IF(OR(Inputs!$F$8=TRUE,Inputs!$F$8="TRUE",Inputs!$F$8=1),(Inputs!$H$8+Inputs!$L$8*(((Inputs!$I$8+(((A206)+1)/2)*(Inputs!$J$8-Inputs!$I$8)))/Inputs!$K$8)^2),NA())</x:f>
        <x:v>507.84999999999997</x:v>
      </x:c>
      <x:c r="BC206" s="9" t="n">
        <x:f>IF(OR(Inputs!$F$9=TRUE,Inputs!$F$9="TRUE",Inputs!$F$9=1),(Inputs!$H$9+Inputs!$L$9*(((Inputs!$I$9+(((A206)+1)/2)*(Inputs!$J$9-Inputs!$I$9)))/Inputs!$K$9)^2),NA())</x:f>
        <x:v>502.74999999999994</x:v>
      </x:c>
      <x:c r="BD206" s="10"/>
      <x:c r="BE206" s="9">
        <x:f t="shared" si="35"/>
        <x:v>0.7</x:v>
      </x:c>
      <x:c r="BF206" s="9" t="n">
        <x:f>0</x:f>
        <x:v>0</x:v>
      </x:c>
      <x:c r="BG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9" t="n">
        <x:f>ROUND(-1+205*2/240,3)</x:f>
        <x:v>0.708</x:v>
      </x:c>
      <x:c r="B207" s="9" t="n">
        <x:f>IF(OR(Inputs!$F$6=TRUE,Inputs!$F$6="TRUE",Inputs!$F$6=1),(Inputs!$H$6+Inputs!$L$6*(((Inputs!$I$6+(((A207)+1)/2)*(Inputs!$J$6-Inputs!$I$6)))/Inputs!$K$6)^2),NA())</x:f>
        <x:v>402.005056</x:v>
      </x:c>
      <x:c r="C207" s="9" t="n">
        <x:f>IF(OR(Inputs!$F$7=TRUE,Inputs!$F$7="TRUE",Inputs!$F$7=1),(Inputs!$H$7+Inputs!$L$7*(((Inputs!$I$7+(((A207)+1)/2)*(Inputs!$J$7-Inputs!$I$7)))/Inputs!$K$7)^2),NA())</x:f>
        <x:v>217.96135999999993</x:v>
      </x:c>
      <x:c r="D207" s="9" t="n">
        <x:f>IF(OR(Inputs!$F$8=TRUE,Inputs!$F$8="TRUE",Inputs!$F$8=1),(Inputs!$H$8+Inputs!$L$8*(((Inputs!$I$8+(((A207)+1)/2)*(Inputs!$J$8-Inputs!$I$8)))/Inputs!$K$8)^2),NA())</x:f>
        <x:v>518.7197599999998</x:v>
      </x:c>
      <x:c r="E207" s="9" t="n">
        <x:f>IF(OR(Inputs!$F$9=TRUE,Inputs!$F$9="TRUE",Inputs!$F$9=1),(Inputs!$H$9+Inputs!$L$9*(((Inputs!$I$9+(((A207)+1)/2)*(Inputs!$J$9-Inputs!$I$9)))/Inputs!$K$9)^2),NA())</x:f>
        <x:v>513.7323999999999</x:v>
      </x:c>
      <x:c r="F207" s="10"/>
      <x:c r="G207" s="9">
        <x:f t="shared" si="27"/>
        <x:v>0.70799999999999996</x:v>
      </x:c>
      <x:c r="H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10"/>
      <x:c r="M207" s="9">
        <x:f t="shared" si="28"/>
        <x:v>0.70799999999999996</x:v>
      </x:c>
      <x:c r="N207" s="9"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9"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9"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9"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10"/>
      <x:c r="S207" s="9">
        <x:f t="shared" si="29"/>
        <x:v>0.70799999999999996</x:v>
      </x:c>
      <x:c r="T207" s="9" t="n">
        <x:f>(Inputs!$I$6+(((A207)+1)/2)*(Inputs!$J$6-Inputs!$I$6))</x:f>
        <x:v>42.480000000000004</x:v>
      </x:c>
      <x:c r="U207" s="9" t="n">
        <x:f>(Inputs!$I$7+(((A207)+1)/2)*(Inputs!$J$7-Inputs!$I$7))</x:f>
        <x:v>283.19999999999993</x:v>
      </x:c>
      <x:c r="V207" s="9" t="n">
        <x:f>(Inputs!$I$8+(((A207)+1)/2)*(Inputs!$J$8-Inputs!$I$8))</x:f>
        <x:v>566.3999999999999</x:v>
      </x:c>
      <x:c r="W207" s="9" t="n">
        <x:f>(Inputs!$I$9+(((A207)+1)/2)*(Inputs!$J$9-Inputs!$I$9))</x:f>
        <x:v>566.3999999999999</x:v>
      </x:c>
      <x:c r="X207" s="10"/>
      <x:c r="Y207" s="9">
        <x:f t="shared" si="30"/>
        <x:v>0.70799999999999996</x:v>
      </x:c>
      <x:c r="Z207" s="9" t="n">
        <x:f>(Inputs!$H$6+Inputs!$L$6*(((Inputs!$I$6+(((A207)+1)/2)*(Inputs!$J$6-Inputs!$I$6)))/Inputs!$K$6)^2)</x:f>
        <x:v>402.005056</x:v>
      </x:c>
      <x:c r="AA207" s="9" t="n">
        <x:f>(Inputs!$H$7+Inputs!$L$7*(((Inputs!$I$7+(((A207)+1)/2)*(Inputs!$J$7-Inputs!$I$7)))/Inputs!$K$7)^2)</x:f>
        <x:v>217.96135999999993</x:v>
      </x:c>
      <x:c r="AB207" s="9" t="n">
        <x:f>(Inputs!$H$8+Inputs!$L$8*(((Inputs!$I$8+(((A207)+1)/2)*(Inputs!$J$8-Inputs!$I$8)))/Inputs!$K$8)^2)</x:f>
        <x:v>518.7197599999998</x:v>
      </x:c>
      <x:c r="AC207" s="9" t="n">
        <x:f>(Inputs!$H$9+Inputs!$L$9*(((Inputs!$I$9+(((A207)+1)/2)*(Inputs!$J$9-Inputs!$I$9)))/Inputs!$K$9)^2)</x:f>
        <x:v>513.7323999999999</x:v>
      </x:c>
      <x:c r="AD207" s="10"/>
      <x:c r="AE207" s="9">
        <x:f t="shared" si="31"/>
        <x:v>0.70799999999999996</x:v>
      </x:c>
      <x:c r="AF207" s="9"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9"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9"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9"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10"/>
      <x:c r="AK207" s="9">
        <x:f t="shared" si="32"/>
        <x:v>0.70799999999999996</x:v>
      </x:c>
      <x:c r="AL207" s="9"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9"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9"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9"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10"/>
      <x:c r="AQ207" s="9">
        <x:f t="shared" si="33"/>
        <x:v>0.70799999999999996</x:v>
      </x:c>
      <x:c r="AR207" s="9" t="n">
        <x:f>0</x:f>
        <x:v>0</x:v>
      </x:c>
      <x:c r="AS207" s="9"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x:f>
        <x:v>268.50313597712363</x:v>
      </x:c>
      <x:c r="AT207" s="9"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x:f>
        <x:v>89.51088137188027</x:v>
      </x:c>
      <x:c r="AU207" s="9"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x:f>
        <x:v>176.90824782568845</x:v>
      </x:c>
      <x:c r="AV207" s="9"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x:f>
        <x:v>176.90824782568845</x:v>
      </x:c>
      <x:c r="AW207" s="10"/>
      <x:c r="AX207" s="9">
        <x:f t="shared" si="34"/>
        <x:v>0.70799999999999996</x:v>
      </x:c>
      <x:c r="AY207" s="9" t="n">
        <x:f>0</x:f>
        <x:v>0</x:v>
      </x:c>
      <x:c r="AZ207" s="9" t="n">
        <x:f>IF(OR(Inputs!$F$6=TRUE,Inputs!$F$6="TRUE",Inputs!$F$6=1),(Inputs!$H$6+Inputs!$L$6*(((Inputs!$I$6+(((A207)+1)/2)*(Inputs!$J$6-Inputs!$I$6)))/Inputs!$K$6)^2),NA())</x:f>
        <x:v>402.005056</x:v>
      </x:c>
      <x:c r="BA207" s="9" t="n">
        <x:f>IF(OR(Inputs!$F$7=TRUE,Inputs!$F$7="TRUE",Inputs!$F$7=1),(Inputs!$H$7+Inputs!$L$7*(((Inputs!$I$7+(((A207)+1)/2)*(Inputs!$J$7-Inputs!$I$7)))/Inputs!$K$7)^2),NA())</x:f>
        <x:v>217.96135999999993</x:v>
      </x:c>
      <x:c r="BB207" s="9" t="n">
        <x:f>IF(OR(Inputs!$F$8=TRUE,Inputs!$F$8="TRUE",Inputs!$F$8=1),(Inputs!$H$8+Inputs!$L$8*(((Inputs!$I$8+(((A207)+1)/2)*(Inputs!$J$8-Inputs!$I$8)))/Inputs!$K$8)^2),NA())</x:f>
        <x:v>518.7197599999998</x:v>
      </x:c>
      <x:c r="BC207" s="9" t="n">
        <x:f>IF(OR(Inputs!$F$9=TRUE,Inputs!$F$9="TRUE",Inputs!$F$9=1),(Inputs!$H$9+Inputs!$L$9*(((Inputs!$I$9+(((A207)+1)/2)*(Inputs!$J$9-Inputs!$I$9)))/Inputs!$K$9)^2),NA())</x:f>
        <x:v>513.7323999999999</x:v>
      </x:c>
      <x:c r="BD207" s="10"/>
      <x:c r="BE207" s="9">
        <x:f t="shared" si="35"/>
        <x:v>0.70799999999999996</x:v>
      </x:c>
      <x:c r="BF207" s="9" t="n">
        <x:f>0</x:f>
        <x:v>0</x:v>
      </x:c>
      <x:c r="BG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9" t="n">
        <x:f>ROUND(-1+206*2/240,3)</x:f>
        <x:v>0.717</x:v>
      </x:c>
      <x:c r="B208" s="9" t="n">
        <x:f>IF(OR(Inputs!$F$6=TRUE,Inputs!$F$6="TRUE",Inputs!$F$6=1),(Inputs!$H$6+Inputs!$L$6*(((Inputs!$I$6+(((A208)+1)/2)*(Inputs!$J$6-Inputs!$I$6)))/Inputs!$K$6)^2),NA())</x:f>
        <x:v>402.056356</x:v>
      </x:c>
      <x:c r="C208" s="9" t="n">
        <x:f>IF(OR(Inputs!$F$7=TRUE,Inputs!$F$7="TRUE",Inputs!$F$7=1),(Inputs!$H$7+Inputs!$L$7*(((Inputs!$I$7+(((A208)+1)/2)*(Inputs!$J$7-Inputs!$I$7)))/Inputs!$K$7)^2),NA())</x:f>
        <x:v>222.64248500000008</x:v>
      </x:c>
      <x:c r="D208" s="9" t="n">
        <x:f>IF(OR(Inputs!$F$8=TRUE,Inputs!$F$8="TRUE",Inputs!$F$8=1),(Inputs!$H$8+Inputs!$L$8*(((Inputs!$I$8+(((A208)+1)/2)*(Inputs!$J$8-Inputs!$I$8)))/Inputs!$K$8)^2),NA())</x:f>
        <x:v>531.0958850000002</x:v>
      </x:c>
      <x:c r="E208" s="9" t="n">
        <x:f>IF(OR(Inputs!$F$9=TRUE,Inputs!$F$9="TRUE",Inputs!$F$9=1),(Inputs!$H$9+Inputs!$L$9*(((Inputs!$I$9+(((A208)+1)/2)*(Inputs!$J$9-Inputs!$I$9)))/Inputs!$K$9)^2),NA())</x:f>
        <x:v>526.2367750000003</x:v>
      </x:c>
      <x:c r="F208" s="10"/>
      <x:c r="G208" s="9">
        <x:f t="shared" si="27"/>
        <x:v>0.71699999999999997</x:v>
      </x:c>
      <x:c r="H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10"/>
      <x:c r="M208" s="9">
        <x:f t="shared" si="28"/>
        <x:v>0.71699999999999997</x:v>
      </x:c>
      <x:c r="N208" s="9"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9"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9"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9"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10"/>
      <x:c r="S208" s="9">
        <x:f t="shared" si="29"/>
        <x:v>0.71699999999999997</x:v>
      </x:c>
      <x:c r="T208" s="9" t="n">
        <x:f>(Inputs!$I$6+(((A208)+1)/2)*(Inputs!$J$6-Inputs!$I$6))</x:f>
        <x:v>43.02000000000001</x:v>
      </x:c>
      <x:c r="U208" s="9" t="n">
        <x:f>(Inputs!$I$7+(((A208)+1)/2)*(Inputs!$J$7-Inputs!$I$7))</x:f>
        <x:v>286.80000000000007</x:v>
      </x:c>
      <x:c r="V208" s="9" t="n">
        <x:f>(Inputs!$I$8+(((A208)+1)/2)*(Inputs!$J$8-Inputs!$I$8))</x:f>
        <x:v>573.6000000000001</x:v>
      </x:c>
      <x:c r="W208" s="9" t="n">
        <x:f>(Inputs!$I$9+(((A208)+1)/2)*(Inputs!$J$9-Inputs!$I$9))</x:f>
        <x:v>573.6000000000001</x:v>
      </x:c>
      <x:c r="X208" s="10"/>
      <x:c r="Y208" s="9">
        <x:f t="shared" si="30"/>
        <x:v>0.71699999999999997</x:v>
      </x:c>
      <x:c r="Z208" s="9" t="n">
        <x:f>(Inputs!$H$6+Inputs!$L$6*(((Inputs!$I$6+(((A208)+1)/2)*(Inputs!$J$6-Inputs!$I$6)))/Inputs!$K$6)^2)</x:f>
        <x:v>402.056356</x:v>
      </x:c>
      <x:c r="AA208" s="9" t="n">
        <x:f>(Inputs!$H$7+Inputs!$L$7*(((Inputs!$I$7+(((A208)+1)/2)*(Inputs!$J$7-Inputs!$I$7)))/Inputs!$K$7)^2)</x:f>
        <x:v>222.64248500000008</x:v>
      </x:c>
      <x:c r="AB208" s="9" t="n">
        <x:f>(Inputs!$H$8+Inputs!$L$8*(((Inputs!$I$8+(((A208)+1)/2)*(Inputs!$J$8-Inputs!$I$8)))/Inputs!$K$8)^2)</x:f>
        <x:v>531.0958850000002</x:v>
      </x:c>
      <x:c r="AC208" s="9" t="n">
        <x:f>(Inputs!$H$9+Inputs!$L$9*(((Inputs!$I$9+(((A208)+1)/2)*(Inputs!$J$9-Inputs!$I$9)))/Inputs!$K$9)^2)</x:f>
        <x:v>526.2367750000003</x:v>
      </x:c>
      <x:c r="AD208" s="10"/>
      <x:c r="AE208" s="9">
        <x:f t="shared" si="31"/>
        <x:v>0.71699999999999997</x:v>
      </x:c>
      <x:c r="AF208" s="9"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9"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9"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9"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10"/>
      <x:c r="AK208" s="9">
        <x:f t="shared" si="32"/>
        <x:v>0.71699999999999997</x:v>
      </x:c>
      <x:c r="AL208" s="9"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9"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9"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9"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10"/>
      <x:c r="AQ208" s="9">
        <x:f t="shared" si="33"/>
        <x:v>0.71699999999999997</x:v>
      </x:c>
      <x:c r="AR208" s="9" t="n">
        <x:f>0</x:f>
        <x:v>0</x:v>
      </x:c>
      <x:c r="AS208" s="9"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x:f>
        <x:v>228.73323738958655</x:v>
      </x:c>
      <x:c r="AT208" s="9"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x:f>
        <x:v>132.01989806599863</x:v>
      </x:c>
      <x:c r="AU208" s="9"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x:f>
        <x:v>79.48808163669973</x:v>
      </x:c>
      <x:c r="AV208" s="9"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x:f>
        <x:v>79.48808163669973</x:v>
      </x:c>
      <x:c r="AW208" s="10"/>
      <x:c r="AX208" s="9">
        <x:f t="shared" si="34"/>
        <x:v>0.71699999999999997</x:v>
      </x:c>
      <x:c r="AY208" s="9" t="n">
        <x:f>0</x:f>
        <x:v>0</x:v>
      </x:c>
      <x:c r="AZ208" s="9" t="n">
        <x:f>IF(OR(Inputs!$F$6=TRUE,Inputs!$F$6="TRUE",Inputs!$F$6=1),(Inputs!$H$6+Inputs!$L$6*(((Inputs!$I$6+(((A208)+1)/2)*(Inputs!$J$6-Inputs!$I$6)))/Inputs!$K$6)^2),NA())</x:f>
        <x:v>402.056356</x:v>
      </x:c>
      <x:c r="BA208" s="9" t="n">
        <x:f>IF(OR(Inputs!$F$7=TRUE,Inputs!$F$7="TRUE",Inputs!$F$7=1),(Inputs!$H$7+Inputs!$L$7*(((Inputs!$I$7+(((A208)+1)/2)*(Inputs!$J$7-Inputs!$I$7)))/Inputs!$K$7)^2),NA())</x:f>
        <x:v>222.64248500000008</x:v>
      </x:c>
      <x:c r="BB208" s="9" t="n">
        <x:f>IF(OR(Inputs!$F$8=TRUE,Inputs!$F$8="TRUE",Inputs!$F$8=1),(Inputs!$H$8+Inputs!$L$8*(((Inputs!$I$8+(((A208)+1)/2)*(Inputs!$J$8-Inputs!$I$8)))/Inputs!$K$8)^2),NA())</x:f>
        <x:v>531.0958850000002</x:v>
      </x:c>
      <x:c r="BC208" s="9" t="n">
        <x:f>IF(OR(Inputs!$F$9=TRUE,Inputs!$F$9="TRUE",Inputs!$F$9=1),(Inputs!$H$9+Inputs!$L$9*(((Inputs!$I$9+(((A208)+1)/2)*(Inputs!$J$9-Inputs!$I$9)))/Inputs!$K$9)^2),NA())</x:f>
        <x:v>526.2367750000003</x:v>
      </x:c>
      <x:c r="BD208" s="10"/>
      <x:c r="BE208" s="9">
        <x:f t="shared" si="35"/>
        <x:v>0.71699999999999997</x:v>
      </x:c>
      <x:c r="BF208" s="9" t="n">
        <x:f>0</x:f>
        <x:v>0</x:v>
      </x:c>
      <x:c r="BG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9" t="n">
        <x:f>ROUND(-1+207*2/240,3)</x:f>
        <x:v>0.725</x:v>
      </x:c>
      <x:c r="B209" s="9" t="n">
        <x:f>IF(OR(Inputs!$F$6=TRUE,Inputs!$F$6="TRUE",Inputs!$F$6=1),(Inputs!$H$6+Inputs!$L$6*(((Inputs!$I$6+(((A209)+1)/2)*(Inputs!$J$6-Inputs!$I$6)))/Inputs!$K$6)^2),NA())</x:f>
        <x:v>402.1025</x:v>
      </x:c>
      <x:c r="C209" s="9" t="n">
        <x:f>IF(OR(Inputs!$F$7=TRUE,Inputs!$F$7="TRUE",Inputs!$F$7=1),(Inputs!$H$7+Inputs!$L$7*(((Inputs!$I$7+(((A209)+1)/2)*(Inputs!$J$7-Inputs!$I$7)))/Inputs!$K$7)^2),NA())</x:f>
        <x:v>226.853125</x:v>
      </x:c>
      <x:c r="D209" s="9" t="n">
        <x:f>IF(OR(Inputs!$F$8=TRUE,Inputs!$F$8="TRUE",Inputs!$F$8=1),(Inputs!$H$8+Inputs!$L$8*(((Inputs!$I$8+(((A209)+1)/2)*(Inputs!$J$8-Inputs!$I$8)))/Inputs!$K$8)^2),NA())</x:f>
        <x:v>542.2281250000001</x:v>
      </x:c>
      <x:c r="E209" s="9" t="n">
        <x:f>IF(OR(Inputs!$F$9=TRUE,Inputs!$F$9="TRUE",Inputs!$F$9=1),(Inputs!$H$9+Inputs!$L$9*(((Inputs!$I$9+(((A209)+1)/2)*(Inputs!$J$9-Inputs!$I$9)))/Inputs!$K$9)^2),NA())</x:f>
        <x:v>537.484375</x:v>
      </x:c>
      <x:c r="F209" s="10"/>
      <x:c r="G209" s="9">
        <x:f t="shared" si="27"/>
        <x:v>0.72499999999999998</x:v>
      </x:c>
      <x:c r="H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10"/>
      <x:c r="M209" s="9">
        <x:f t="shared" si="28"/>
        <x:v>0.72499999999999998</x:v>
      </x:c>
      <x:c r="N209" s="9"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9"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9"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9"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10"/>
      <x:c r="S209" s="9">
        <x:f t="shared" si="29"/>
        <x:v>0.72499999999999998</x:v>
      </x:c>
      <x:c r="T209" s="9" t="n">
        <x:f>(Inputs!$I$6+(((A209)+1)/2)*(Inputs!$J$6-Inputs!$I$6))</x:f>
        <x:v>43.5</x:v>
      </x:c>
      <x:c r="U209" s="9" t="n">
        <x:f>(Inputs!$I$7+(((A209)+1)/2)*(Inputs!$J$7-Inputs!$I$7))</x:f>
        <x:v>290</x:v>
      </x:c>
      <x:c r="V209" s="9" t="n">
        <x:f>(Inputs!$I$8+(((A209)+1)/2)*(Inputs!$J$8-Inputs!$I$8))</x:f>
        <x:v>580</x:v>
      </x:c>
      <x:c r="W209" s="9" t="n">
        <x:f>(Inputs!$I$9+(((A209)+1)/2)*(Inputs!$J$9-Inputs!$I$9))</x:f>
        <x:v>580</x:v>
      </x:c>
      <x:c r="X209" s="10"/>
      <x:c r="Y209" s="9">
        <x:f t="shared" si="30"/>
        <x:v>0.72499999999999998</x:v>
      </x:c>
      <x:c r="Z209" s="9" t="n">
        <x:f>(Inputs!$H$6+Inputs!$L$6*(((Inputs!$I$6+(((A209)+1)/2)*(Inputs!$J$6-Inputs!$I$6)))/Inputs!$K$6)^2)</x:f>
        <x:v>402.1025</x:v>
      </x:c>
      <x:c r="AA209" s="9" t="n">
        <x:f>(Inputs!$H$7+Inputs!$L$7*(((Inputs!$I$7+(((A209)+1)/2)*(Inputs!$J$7-Inputs!$I$7)))/Inputs!$K$7)^2)</x:f>
        <x:v>226.853125</x:v>
      </x:c>
      <x:c r="AB209" s="9" t="n">
        <x:f>(Inputs!$H$8+Inputs!$L$8*(((Inputs!$I$8+(((A209)+1)/2)*(Inputs!$J$8-Inputs!$I$8)))/Inputs!$K$8)^2)</x:f>
        <x:v>542.2281250000001</x:v>
      </x:c>
      <x:c r="AC209" s="9" t="n">
        <x:f>(Inputs!$H$9+Inputs!$L$9*(((Inputs!$I$9+(((A209)+1)/2)*(Inputs!$J$9-Inputs!$I$9)))/Inputs!$K$9)^2)</x:f>
        <x:v>537.484375</x:v>
      </x:c>
      <x:c r="AD209" s="10"/>
      <x:c r="AE209" s="9">
        <x:f t="shared" si="31"/>
        <x:v>0.72499999999999998</x:v>
      </x:c>
      <x:c r="AF209" s="9"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9"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9"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9"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10"/>
      <x:c r="AK209" s="9">
        <x:f t="shared" si="32"/>
        <x:v>0.72499999999999998</x:v>
      </x:c>
      <x:c r="AL209" s="9"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9"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9"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9"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10"/>
      <x:c r="AQ209" s="9">
        <x:f t="shared" si="33"/>
        <x:v>0.72499999999999998</x:v>
      </x:c>
      <x:c r="AR209" s="9" t="n">
        <x:f>0</x:f>
        <x:v>0</x:v>
      </x:c>
      <x:c r="AS209" s="9"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x:f>
        <x:v>225.35528260314678</x:v>
      </x:c>
      <x:c r="AT209" s="9"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x:f>
        <x:v>196.05503611504167</x:v>
      </x:c>
      <x:c r="AU209" s="9"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x:f>
        <x:v>248.04878603012355</x:v>
      </x:c>
      <x:c r="AV209" s="9"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x:f>
        <x:v>248.04878603012355</x:v>
      </x:c>
      <x:c r="AW209" s="10"/>
      <x:c r="AX209" s="9">
        <x:f t="shared" si="34"/>
        <x:v>0.72499999999999998</x:v>
      </x:c>
      <x:c r="AY209" s="9" t="n">
        <x:f>0</x:f>
        <x:v>0</x:v>
      </x:c>
      <x:c r="AZ209" s="9" t="n">
        <x:f>IF(OR(Inputs!$F$6=TRUE,Inputs!$F$6="TRUE",Inputs!$F$6=1),(Inputs!$H$6+Inputs!$L$6*(((Inputs!$I$6+(((A209)+1)/2)*(Inputs!$J$6-Inputs!$I$6)))/Inputs!$K$6)^2),NA())</x:f>
        <x:v>402.1025</x:v>
      </x:c>
      <x:c r="BA209" s="9" t="n">
        <x:f>IF(OR(Inputs!$F$7=TRUE,Inputs!$F$7="TRUE",Inputs!$F$7=1),(Inputs!$H$7+Inputs!$L$7*(((Inputs!$I$7+(((A209)+1)/2)*(Inputs!$J$7-Inputs!$I$7)))/Inputs!$K$7)^2),NA())</x:f>
        <x:v>226.853125</x:v>
      </x:c>
      <x:c r="BB209" s="9" t="n">
        <x:f>IF(OR(Inputs!$F$8=TRUE,Inputs!$F$8="TRUE",Inputs!$F$8=1),(Inputs!$H$8+Inputs!$L$8*(((Inputs!$I$8+(((A209)+1)/2)*(Inputs!$J$8-Inputs!$I$8)))/Inputs!$K$8)^2),NA())</x:f>
        <x:v>542.2281250000001</x:v>
      </x:c>
      <x:c r="BC209" s="9" t="n">
        <x:f>IF(OR(Inputs!$F$9=TRUE,Inputs!$F$9="TRUE",Inputs!$F$9=1),(Inputs!$H$9+Inputs!$L$9*(((Inputs!$I$9+(((A209)+1)/2)*(Inputs!$J$9-Inputs!$I$9)))/Inputs!$K$9)^2),NA())</x:f>
        <x:v>537.484375</x:v>
      </x:c>
      <x:c r="BD209" s="10"/>
      <x:c r="BE209" s="9">
        <x:f t="shared" si="35"/>
        <x:v>0.72499999999999998</x:v>
      </x:c>
      <x:c r="BF209" s="9" t="n">
        <x:f>0</x:f>
        <x:v>0</x:v>
      </x:c>
      <x:c r="BG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9" t="n">
        <x:f>ROUND(-1+208*2/240,3)</x:f>
        <x:v>0.733</x:v>
      </x:c>
      <x:c r="B210" s="9" t="n">
        <x:f>IF(OR(Inputs!$F$6=TRUE,Inputs!$F$6="TRUE",Inputs!$F$6=1),(Inputs!$H$6+Inputs!$L$6*(((Inputs!$I$6+(((A210)+1)/2)*(Inputs!$J$6-Inputs!$I$6)))/Inputs!$K$6)^2),NA())</x:f>
        <x:v>402.149156</x:v>
      </x:c>
      <x:c r="C210" s="9" t="n">
        <x:f>IF(OR(Inputs!$F$7=TRUE,Inputs!$F$7="TRUE",Inputs!$F$7=1),(Inputs!$H$7+Inputs!$L$7*(((Inputs!$I$7+(((A210)+1)/2)*(Inputs!$J$7-Inputs!$I$7)))/Inputs!$K$7)^2),NA())</x:f>
        <x:v>231.11048500000004</x:v>
      </x:c>
      <x:c r="D210" s="9" t="n">
        <x:f>IF(OR(Inputs!$F$8=TRUE,Inputs!$F$8="TRUE",Inputs!$F$8=1),(Inputs!$H$8+Inputs!$L$8*(((Inputs!$I$8+(((A210)+1)/2)*(Inputs!$J$8-Inputs!$I$8)))/Inputs!$K$8)^2),NA())</x:f>
        <x:v>553.4838850000001</x:v>
      </x:c>
      <x:c r="E210" s="9" t="n">
        <x:f>IF(OR(Inputs!$F$9=TRUE,Inputs!$F$9="TRUE",Inputs!$F$9=1),(Inputs!$H$9+Inputs!$L$9*(((Inputs!$I$9+(((A210)+1)/2)*(Inputs!$J$9-Inputs!$I$9)))/Inputs!$K$9)^2),NA())</x:f>
        <x:v>548.8567750000001</x:v>
      </x:c>
      <x:c r="F210" s="10"/>
      <x:c r="G210" s="9">
        <x:f t="shared" si="27"/>
        <x:v>0.73299999999999998</x:v>
      </x:c>
      <x:c r="H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10"/>
      <x:c r="M210" s="9">
        <x:f t="shared" si="28"/>
        <x:v>0.73299999999999998</x:v>
      </x:c>
      <x:c r="N210" s="9"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9"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9"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9"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10"/>
      <x:c r="S210" s="9">
        <x:f t="shared" si="29"/>
        <x:v>0.73299999999999998</x:v>
      </x:c>
      <x:c r="T210" s="9" t="n">
        <x:f>(Inputs!$I$6+(((A210)+1)/2)*(Inputs!$J$6-Inputs!$I$6))</x:f>
        <x:v>43.980000000000004</x:v>
      </x:c>
      <x:c r="U210" s="9" t="n">
        <x:f>(Inputs!$I$7+(((A210)+1)/2)*(Inputs!$J$7-Inputs!$I$7))</x:f>
        <x:v>293.20000000000005</x:v>
      </x:c>
      <x:c r="V210" s="9" t="n">
        <x:f>(Inputs!$I$8+(((A210)+1)/2)*(Inputs!$J$8-Inputs!$I$8))</x:f>
        <x:v>586.4000000000001</x:v>
      </x:c>
      <x:c r="W210" s="9" t="n">
        <x:f>(Inputs!$I$9+(((A210)+1)/2)*(Inputs!$J$9-Inputs!$I$9))</x:f>
        <x:v>586.4000000000001</x:v>
      </x:c>
      <x:c r="X210" s="10"/>
      <x:c r="Y210" s="9">
        <x:f t="shared" si="30"/>
        <x:v>0.73299999999999998</x:v>
      </x:c>
      <x:c r="Z210" s="9" t="n">
        <x:f>(Inputs!$H$6+Inputs!$L$6*(((Inputs!$I$6+(((A210)+1)/2)*(Inputs!$J$6-Inputs!$I$6)))/Inputs!$K$6)^2)</x:f>
        <x:v>402.149156</x:v>
      </x:c>
      <x:c r="AA210" s="9" t="n">
        <x:f>(Inputs!$H$7+Inputs!$L$7*(((Inputs!$I$7+(((A210)+1)/2)*(Inputs!$J$7-Inputs!$I$7)))/Inputs!$K$7)^2)</x:f>
        <x:v>231.11048500000004</x:v>
      </x:c>
      <x:c r="AB210" s="9" t="n">
        <x:f>(Inputs!$H$8+Inputs!$L$8*(((Inputs!$I$8+(((A210)+1)/2)*(Inputs!$J$8-Inputs!$I$8)))/Inputs!$K$8)^2)</x:f>
        <x:v>553.4838850000001</x:v>
      </x:c>
      <x:c r="AC210" s="9" t="n">
        <x:f>(Inputs!$H$9+Inputs!$L$9*(((Inputs!$I$9+(((A210)+1)/2)*(Inputs!$J$9-Inputs!$I$9)))/Inputs!$K$9)^2)</x:f>
        <x:v>548.8567750000001</x:v>
      </x:c>
      <x:c r="AD210" s="10"/>
      <x:c r="AE210" s="9">
        <x:f t="shared" si="31"/>
        <x:v>0.73299999999999998</x:v>
      </x:c>
      <x:c r="AF210" s="9"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9"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9"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9"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10"/>
      <x:c r="AK210" s="9">
        <x:f t="shared" si="32"/>
        <x:v>0.73299999999999998</x:v>
      </x:c>
      <x:c r="AL210" s="9"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9"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9"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9"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10"/>
      <x:c r="AQ210" s="9">
        <x:f t="shared" si="33"/>
        <x:v>0.73299999999999998</x:v>
      </x:c>
      <x:c r="AR210" s="9" t="n">
        <x:f>0</x:f>
        <x:v>0</x:v>
      </x:c>
      <x:c r="AS210" s="9"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x:f>
        <x:v>206.43652162937582</x:v>
      </x:c>
      <x:c r="AT210" s="9"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x:f>
        <x:v>229.12595612803543</x:v>
      </x:c>
      <x:c r="AU210" s="9"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x:f>
        <x:v>105.6753173931249</x:v>
      </x:c>
      <x:c r="AV210" s="9"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x:f>
        <x:v>105.6753173931249</x:v>
      </x:c>
      <x:c r="AW210" s="10"/>
      <x:c r="AX210" s="9">
        <x:f t="shared" si="34"/>
        <x:v>0.73299999999999998</x:v>
      </x:c>
      <x:c r="AY210" s="9" t="n">
        <x:f>0</x:f>
        <x:v>0</x:v>
      </x:c>
      <x:c r="AZ210" s="9" t="n">
        <x:f>IF(OR(Inputs!$F$6=TRUE,Inputs!$F$6="TRUE",Inputs!$F$6=1),(Inputs!$H$6+Inputs!$L$6*(((Inputs!$I$6+(((A210)+1)/2)*(Inputs!$J$6-Inputs!$I$6)))/Inputs!$K$6)^2),NA())</x:f>
        <x:v>402.149156</x:v>
      </x:c>
      <x:c r="BA210" s="9" t="n">
        <x:f>IF(OR(Inputs!$F$7=TRUE,Inputs!$F$7="TRUE",Inputs!$F$7=1),(Inputs!$H$7+Inputs!$L$7*(((Inputs!$I$7+(((A210)+1)/2)*(Inputs!$J$7-Inputs!$I$7)))/Inputs!$K$7)^2),NA())</x:f>
        <x:v>231.11048500000004</x:v>
      </x:c>
      <x:c r="BB210" s="9" t="n">
        <x:f>IF(OR(Inputs!$F$8=TRUE,Inputs!$F$8="TRUE",Inputs!$F$8=1),(Inputs!$H$8+Inputs!$L$8*(((Inputs!$I$8+(((A210)+1)/2)*(Inputs!$J$8-Inputs!$I$8)))/Inputs!$K$8)^2),NA())</x:f>
        <x:v>553.4838850000001</x:v>
      </x:c>
      <x:c r="BC210" s="9" t="n">
        <x:f>IF(OR(Inputs!$F$9=TRUE,Inputs!$F$9="TRUE",Inputs!$F$9=1),(Inputs!$H$9+Inputs!$L$9*(((Inputs!$I$9+(((A210)+1)/2)*(Inputs!$J$9-Inputs!$I$9)))/Inputs!$K$9)^2),NA())</x:f>
        <x:v>548.8567750000001</x:v>
      </x:c>
      <x:c r="BD210" s="10"/>
      <x:c r="BE210" s="9">
        <x:f t="shared" si="35"/>
        <x:v>0.73299999999999998</x:v>
      </x:c>
      <x:c r="BF210" s="9" t="n">
        <x:f>0</x:f>
        <x:v>0</x:v>
      </x:c>
      <x:c r="BG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9" t="n">
        <x:f>ROUND(-1+209*2/240,3)</x:f>
        <x:v>0.742</x:v>
      </x:c>
      <x:c r="B211" s="9" t="n">
        <x:f>IF(OR(Inputs!$F$6=TRUE,Inputs!$F$6="TRUE",Inputs!$F$6=1),(Inputs!$H$6+Inputs!$L$6*(((Inputs!$I$6+(((A211)+1)/2)*(Inputs!$J$6-Inputs!$I$6)))/Inputs!$K$6)^2),NA())</x:f>
        <x:v>402.202256</x:v>
      </x:c>
      <x:c r="C211" s="9" t="n">
        <x:f>IF(OR(Inputs!$F$7=TRUE,Inputs!$F$7="TRUE",Inputs!$F$7=1),(Inputs!$H$7+Inputs!$L$7*(((Inputs!$I$7+(((A211)+1)/2)*(Inputs!$J$7-Inputs!$I$7)))/Inputs!$K$7)^2),NA())</x:f>
        <x:v>235.95585999999994</x:v>
      </x:c>
      <x:c r="D211" s="9" t="n">
        <x:f>IF(OR(Inputs!$F$8=TRUE,Inputs!$F$8="TRUE",Inputs!$F$8=1),(Inputs!$H$8+Inputs!$L$8*(((Inputs!$I$8+(((A211)+1)/2)*(Inputs!$J$8-Inputs!$I$8)))/Inputs!$K$8)^2),NA())</x:f>
        <x:v>566.2942599999998</x:v>
      </x:c>
      <x:c r="E211" s="9" t="n">
        <x:f>IF(OR(Inputs!$F$9=TRUE,Inputs!$F$9="TRUE",Inputs!$F$9=1),(Inputs!$H$9+Inputs!$L$9*(((Inputs!$I$9+(((A211)+1)/2)*(Inputs!$J$9-Inputs!$I$9)))/Inputs!$K$9)^2),NA())</x:f>
        <x:v>561.7998999999999</x:v>
      </x:c>
      <x:c r="F211" s="10"/>
      <x:c r="G211" s="9">
        <x:f t="shared" si="27"/>
        <x:v>0.74199999999999999</x:v>
      </x:c>
      <x:c r="H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10"/>
      <x:c r="M211" s="9">
        <x:f t="shared" si="28"/>
        <x:v>0.74199999999999999</x:v>
      </x:c>
      <x:c r="N211" s="9"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9"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9"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9"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10"/>
      <x:c r="S211" s="9">
        <x:f t="shared" si="29"/>
        <x:v>0.74199999999999999</x:v>
      </x:c>
      <x:c r="T211" s="9" t="n">
        <x:f>(Inputs!$I$6+(((A211)+1)/2)*(Inputs!$J$6-Inputs!$I$6))</x:f>
        <x:v>44.519999999999996</x:v>
      </x:c>
      <x:c r="U211" s="9" t="n">
        <x:f>(Inputs!$I$7+(((A211)+1)/2)*(Inputs!$J$7-Inputs!$I$7))</x:f>
        <x:v>296.79999999999995</x:v>
      </x:c>
      <x:c r="V211" s="9" t="n">
        <x:f>(Inputs!$I$8+(((A211)+1)/2)*(Inputs!$J$8-Inputs!$I$8))</x:f>
        <x:v>593.5999999999999</x:v>
      </x:c>
      <x:c r="W211" s="9" t="n">
        <x:f>(Inputs!$I$9+(((A211)+1)/2)*(Inputs!$J$9-Inputs!$I$9))</x:f>
        <x:v>593.5999999999999</x:v>
      </x:c>
      <x:c r="X211" s="10"/>
      <x:c r="Y211" s="9">
        <x:f t="shared" si="30"/>
        <x:v>0.74199999999999999</x:v>
      </x:c>
      <x:c r="Z211" s="9" t="n">
        <x:f>(Inputs!$H$6+Inputs!$L$6*(((Inputs!$I$6+(((A211)+1)/2)*(Inputs!$J$6-Inputs!$I$6)))/Inputs!$K$6)^2)</x:f>
        <x:v>402.202256</x:v>
      </x:c>
      <x:c r="AA211" s="9" t="n">
        <x:f>(Inputs!$H$7+Inputs!$L$7*(((Inputs!$I$7+(((A211)+1)/2)*(Inputs!$J$7-Inputs!$I$7)))/Inputs!$K$7)^2)</x:f>
        <x:v>235.95585999999994</x:v>
      </x:c>
      <x:c r="AB211" s="9" t="n">
        <x:f>(Inputs!$H$8+Inputs!$L$8*(((Inputs!$I$8+(((A211)+1)/2)*(Inputs!$J$8-Inputs!$I$8)))/Inputs!$K$8)^2)</x:f>
        <x:v>566.2942599999998</x:v>
      </x:c>
      <x:c r="AC211" s="9" t="n">
        <x:f>(Inputs!$H$9+Inputs!$L$9*(((Inputs!$I$9+(((A211)+1)/2)*(Inputs!$J$9-Inputs!$I$9)))/Inputs!$K$9)^2)</x:f>
        <x:v>561.7998999999999</x:v>
      </x:c>
      <x:c r="AD211" s="10"/>
      <x:c r="AE211" s="9">
        <x:f t="shared" si="31"/>
        <x:v>0.74199999999999999</x:v>
      </x:c>
      <x:c r="AF211" s="9"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9"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9"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9"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10"/>
      <x:c r="AK211" s="9">
        <x:f t="shared" si="32"/>
        <x:v>0.74199999999999999</x:v>
      </x:c>
      <x:c r="AL211" s="9"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9"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9"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9"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10"/>
      <x:c r="AQ211" s="9">
        <x:f t="shared" si="33"/>
        <x:v>0.74199999999999999</x:v>
      </x:c>
      <x:c r="AR211" s="9" t="n">
        <x:f>0</x:f>
        <x:v>0</x:v>
      </x:c>
      <x:c r="AS211" s="9"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x:f>
        <x:v>194.72267766340866</x:v>
      </x:c>
      <x:c r="AT211" s="9"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x:f>
        <x:v>158.13113423490745</x:v>
      </x:c>
      <x:c r="AU211" s="9"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x:f>
        <x:v>156.12755644447125</x:v>
      </x:c>
      <x:c r="AV211" s="9"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x:f>
        <x:v>156.12755644447125</x:v>
      </x:c>
      <x:c r="AW211" s="10"/>
      <x:c r="AX211" s="9">
        <x:f t="shared" si="34"/>
        <x:v>0.74199999999999999</x:v>
      </x:c>
      <x:c r="AY211" s="9" t="n">
        <x:f>0</x:f>
        <x:v>0</x:v>
      </x:c>
      <x:c r="AZ211" s="9" t="n">
        <x:f>IF(OR(Inputs!$F$6=TRUE,Inputs!$F$6="TRUE",Inputs!$F$6=1),(Inputs!$H$6+Inputs!$L$6*(((Inputs!$I$6+(((A211)+1)/2)*(Inputs!$J$6-Inputs!$I$6)))/Inputs!$K$6)^2),NA())</x:f>
        <x:v>402.202256</x:v>
      </x:c>
      <x:c r="BA211" s="9" t="n">
        <x:f>IF(OR(Inputs!$F$7=TRUE,Inputs!$F$7="TRUE",Inputs!$F$7=1),(Inputs!$H$7+Inputs!$L$7*(((Inputs!$I$7+(((A211)+1)/2)*(Inputs!$J$7-Inputs!$I$7)))/Inputs!$K$7)^2),NA())</x:f>
        <x:v>235.95585999999994</x:v>
      </x:c>
      <x:c r="BB211" s="9" t="n">
        <x:f>IF(OR(Inputs!$F$8=TRUE,Inputs!$F$8="TRUE",Inputs!$F$8=1),(Inputs!$H$8+Inputs!$L$8*(((Inputs!$I$8+(((A211)+1)/2)*(Inputs!$J$8-Inputs!$I$8)))/Inputs!$K$8)^2),NA())</x:f>
        <x:v>566.2942599999998</x:v>
      </x:c>
      <x:c r="BC211" s="9" t="n">
        <x:f>IF(OR(Inputs!$F$9=TRUE,Inputs!$F$9="TRUE",Inputs!$F$9=1),(Inputs!$H$9+Inputs!$L$9*(((Inputs!$I$9+(((A211)+1)/2)*(Inputs!$J$9-Inputs!$I$9)))/Inputs!$K$9)^2),NA())</x:f>
        <x:v>561.7998999999999</x:v>
      </x:c>
      <x:c r="BD211" s="10"/>
      <x:c r="BE211" s="9">
        <x:f t="shared" si="35"/>
        <x:v>0.74199999999999999</x:v>
      </x:c>
      <x:c r="BF211" s="9" t="n">
        <x:f>0</x:f>
        <x:v>0</x:v>
      </x:c>
      <x:c r="BG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9" t="n">
        <x:f>ROUND(-1+210*2/240,3)</x:f>
        <x:v>0.75</x:v>
      </x:c>
      <x:c r="B212" s="9" t="n">
        <x:f>IF(OR(Inputs!$F$6=TRUE,Inputs!$F$6="TRUE",Inputs!$F$6=1),(Inputs!$H$6+Inputs!$L$6*(((Inputs!$I$6+(((A212)+1)/2)*(Inputs!$J$6-Inputs!$I$6)))/Inputs!$K$6)^2),NA())</x:f>
        <x:v>402.25</x:v>
      </x:c>
      <x:c r="C212" s="9" t="n">
        <x:f>IF(OR(Inputs!$F$7=TRUE,Inputs!$F$7="TRUE",Inputs!$F$7=1),(Inputs!$H$7+Inputs!$L$7*(((Inputs!$I$7+(((A212)+1)/2)*(Inputs!$J$7-Inputs!$I$7)))/Inputs!$K$7)^2),NA())</x:f>
        <x:v>240.3125</x:v>
      </x:c>
      <x:c r="D212" s="9" t="n">
        <x:f>IF(OR(Inputs!$F$8=TRUE,Inputs!$F$8="TRUE",Inputs!$F$8=1),(Inputs!$H$8+Inputs!$L$8*(((Inputs!$I$8+(((A212)+1)/2)*(Inputs!$J$8-Inputs!$I$8)))/Inputs!$K$8)^2),NA())</x:f>
        <x:v>577.8125</x:v>
      </x:c>
      <x:c r="E212" s="9" t="n">
        <x:f>IF(OR(Inputs!$F$9=TRUE,Inputs!$F$9="TRUE",Inputs!$F$9=1),(Inputs!$H$9+Inputs!$L$9*(((Inputs!$I$9+(((A212)+1)/2)*(Inputs!$J$9-Inputs!$I$9)))/Inputs!$K$9)^2),NA())</x:f>
        <x:v>573.4375</x:v>
      </x:c>
      <x:c r="F212" s="10"/>
      <x:c r="G212" s="9">
        <x:f t="shared" si="27"/>
        <x:v>0.75</x:v>
      </x:c>
      <x:c r="H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10"/>
      <x:c r="M212" s="9">
        <x:f t="shared" si="28"/>
        <x:v>0.75</x:v>
      </x:c>
      <x:c r="N212" s="9"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9"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9"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9"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10"/>
      <x:c r="S212" s="9">
        <x:f t="shared" si="29"/>
        <x:v>0.75</x:v>
      </x:c>
      <x:c r="T212" s="9" t="n">
        <x:f>(Inputs!$I$6+(((A212)+1)/2)*(Inputs!$J$6-Inputs!$I$6))</x:f>
        <x:v>45</x:v>
      </x:c>
      <x:c r="U212" s="9" t="n">
        <x:f>(Inputs!$I$7+(((A212)+1)/2)*(Inputs!$J$7-Inputs!$I$7))</x:f>
        <x:v>300</x:v>
      </x:c>
      <x:c r="V212" s="9" t="n">
        <x:f>(Inputs!$I$8+(((A212)+1)/2)*(Inputs!$J$8-Inputs!$I$8))</x:f>
        <x:v>600</x:v>
      </x:c>
      <x:c r="W212" s="9" t="n">
        <x:f>(Inputs!$I$9+(((A212)+1)/2)*(Inputs!$J$9-Inputs!$I$9))</x:f>
        <x:v>600</x:v>
      </x:c>
      <x:c r="X212" s="10"/>
      <x:c r="Y212" s="9">
        <x:f t="shared" si="30"/>
        <x:v>0.75</x:v>
      </x:c>
      <x:c r="Z212" s="9" t="n">
        <x:f>(Inputs!$H$6+Inputs!$L$6*(((Inputs!$I$6+(((A212)+1)/2)*(Inputs!$J$6-Inputs!$I$6)))/Inputs!$K$6)^2)</x:f>
        <x:v>402.25</x:v>
      </x:c>
      <x:c r="AA212" s="9" t="n">
        <x:f>(Inputs!$H$7+Inputs!$L$7*(((Inputs!$I$7+(((A212)+1)/2)*(Inputs!$J$7-Inputs!$I$7)))/Inputs!$K$7)^2)</x:f>
        <x:v>240.3125</x:v>
      </x:c>
      <x:c r="AB212" s="9" t="n">
        <x:f>(Inputs!$H$8+Inputs!$L$8*(((Inputs!$I$8+(((A212)+1)/2)*(Inputs!$J$8-Inputs!$I$8)))/Inputs!$K$8)^2)</x:f>
        <x:v>577.8125</x:v>
      </x:c>
      <x:c r="AC212" s="9" t="n">
        <x:f>(Inputs!$H$9+Inputs!$L$9*(((Inputs!$I$9+(((A212)+1)/2)*(Inputs!$J$9-Inputs!$I$9)))/Inputs!$K$9)^2)</x:f>
        <x:v>573.4375</x:v>
      </x:c>
      <x:c r="AD212" s="10"/>
      <x:c r="AE212" s="9">
        <x:f t="shared" si="31"/>
        <x:v>0.75</x:v>
      </x:c>
      <x:c r="AF212" s="9"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9"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9"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9"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10"/>
      <x:c r="AK212" s="9">
        <x:f t="shared" si="32"/>
        <x:v>0.75</x:v>
      </x:c>
      <x:c r="AL212" s="9"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9"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9"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9"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10"/>
      <x:c r="AQ212" s="9">
        <x:f t="shared" si="33"/>
        <x:v>0.75</x:v>
      </x:c>
      <x:c r="AR212" s="9" t="n">
        <x:f>0</x:f>
        <x:v>0</x:v>
      </x:c>
      <x:c r="AS212" s="9"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x:f>
        <x:v>165.26573251393552</x:v>
      </x:c>
      <x:c r="AT212" s="9"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x:f>
        <x:v>97.23537790937075</x:v>
      </x:c>
      <x:c r="AU212" s="9"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x:f>
        <x:v>164.31054513810437</x:v>
      </x:c>
      <x:c r="AV212" s="9"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x:f>
        <x:v>164.31054513810437</x:v>
      </x:c>
      <x:c r="AW212" s="10"/>
      <x:c r="AX212" s="9">
        <x:f t="shared" si="34"/>
        <x:v>0.75</x:v>
      </x:c>
      <x:c r="AY212" s="9" t="n">
        <x:f>0</x:f>
        <x:v>0</x:v>
      </x:c>
      <x:c r="AZ212" s="9" t="n">
        <x:f>IF(OR(Inputs!$F$6=TRUE,Inputs!$F$6="TRUE",Inputs!$F$6=1),(Inputs!$H$6+Inputs!$L$6*(((Inputs!$I$6+(((A212)+1)/2)*(Inputs!$J$6-Inputs!$I$6)))/Inputs!$K$6)^2),NA())</x:f>
        <x:v>402.25</x:v>
      </x:c>
      <x:c r="BA212" s="9" t="n">
        <x:f>IF(OR(Inputs!$F$7=TRUE,Inputs!$F$7="TRUE",Inputs!$F$7=1),(Inputs!$H$7+Inputs!$L$7*(((Inputs!$I$7+(((A212)+1)/2)*(Inputs!$J$7-Inputs!$I$7)))/Inputs!$K$7)^2),NA())</x:f>
        <x:v>240.3125</x:v>
      </x:c>
      <x:c r="BB212" s="9" t="n">
        <x:f>IF(OR(Inputs!$F$8=TRUE,Inputs!$F$8="TRUE",Inputs!$F$8=1),(Inputs!$H$8+Inputs!$L$8*(((Inputs!$I$8+(((A212)+1)/2)*(Inputs!$J$8-Inputs!$I$8)))/Inputs!$K$8)^2),NA())</x:f>
        <x:v>577.8125</x:v>
      </x:c>
      <x:c r="BC212" s="9" t="n">
        <x:f>IF(OR(Inputs!$F$9=TRUE,Inputs!$F$9="TRUE",Inputs!$F$9=1),(Inputs!$H$9+Inputs!$L$9*(((Inputs!$I$9+(((A212)+1)/2)*(Inputs!$J$9-Inputs!$I$9)))/Inputs!$K$9)^2),NA())</x:f>
        <x:v>573.4375</x:v>
      </x:c>
      <x:c r="BD212" s="10"/>
      <x:c r="BE212" s="9">
        <x:f t="shared" si="35"/>
        <x:v>0.75</x:v>
      </x:c>
      <x:c r="BF212" s="9" t="n">
        <x:f>0</x:f>
        <x:v>0</x:v>
      </x:c>
      <x:c r="BG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9" t="n">
        <x:f>ROUND(-1+211*2/240,3)</x:f>
        <x:v>0.758</x:v>
      </x:c>
      <x:c r="B213" s="9" t="n">
        <x:f>IF(OR(Inputs!$F$6=TRUE,Inputs!$F$6="TRUE",Inputs!$F$6=1),(Inputs!$H$6+Inputs!$L$6*(((Inputs!$I$6+(((A213)+1)/2)*(Inputs!$J$6-Inputs!$I$6)))/Inputs!$K$6)^2),NA())</x:f>
        <x:v>402.298256</x:v>
      </x:c>
      <x:c r="C213" s="9" t="n">
        <x:f>IF(OR(Inputs!$F$7=TRUE,Inputs!$F$7="TRUE",Inputs!$F$7=1),(Inputs!$H$7+Inputs!$L$7*(((Inputs!$I$7+(((A213)+1)/2)*(Inputs!$J$7-Inputs!$I$7)))/Inputs!$K$7)^2),NA())</x:f>
        <x:v>244.71586000000008</x:v>
      </x:c>
      <x:c r="D213" s="9" t="n">
        <x:f>IF(OR(Inputs!$F$8=TRUE,Inputs!$F$8="TRUE",Inputs!$F$8=1),(Inputs!$H$8+Inputs!$L$8*(((Inputs!$I$8+(((A213)+1)/2)*(Inputs!$J$8-Inputs!$I$8)))/Inputs!$K$8)^2),NA())</x:f>
        <x:v>589.4542600000002</x:v>
      </x:c>
      <x:c r="E213" s="9" t="n">
        <x:f>IF(OR(Inputs!$F$9=TRUE,Inputs!$F$9="TRUE",Inputs!$F$9=1),(Inputs!$H$9+Inputs!$L$9*(((Inputs!$I$9+(((A213)+1)/2)*(Inputs!$J$9-Inputs!$I$9)))/Inputs!$K$9)^2),NA())</x:f>
        <x:v>585.1999000000002</x:v>
      </x:c>
      <x:c r="F213" s="10"/>
      <x:c r="G213" s="9">
        <x:f t="shared" si="27"/>
        <x:v>0.75800000000000001</x:v>
      </x:c>
      <x:c r="H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10"/>
      <x:c r="M213" s="9">
        <x:f t="shared" si="28"/>
        <x:v>0.75800000000000001</x:v>
      </x:c>
      <x:c r="N213" s="9"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9"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9"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9"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10"/>
      <x:c r="S213" s="9">
        <x:f t="shared" si="29"/>
        <x:v>0.75800000000000001</x:v>
      </x:c>
      <x:c r="T213" s="9" t="n">
        <x:f>(Inputs!$I$6+(((A213)+1)/2)*(Inputs!$J$6-Inputs!$I$6))</x:f>
        <x:v>45.480000000000004</x:v>
      </x:c>
      <x:c r="U213" s="9" t="n">
        <x:f>(Inputs!$I$7+(((A213)+1)/2)*(Inputs!$J$7-Inputs!$I$7))</x:f>
        <x:v>303.20000000000005</x:v>
      </x:c>
      <x:c r="V213" s="9" t="n">
        <x:f>(Inputs!$I$8+(((A213)+1)/2)*(Inputs!$J$8-Inputs!$I$8))</x:f>
        <x:v>606.4000000000001</x:v>
      </x:c>
      <x:c r="W213" s="9" t="n">
        <x:f>(Inputs!$I$9+(((A213)+1)/2)*(Inputs!$J$9-Inputs!$I$9))</x:f>
        <x:v>606.4000000000001</x:v>
      </x:c>
      <x:c r="X213" s="10"/>
      <x:c r="Y213" s="9">
        <x:f t="shared" si="30"/>
        <x:v>0.75800000000000001</x:v>
      </x:c>
      <x:c r="Z213" s="9" t="n">
        <x:f>(Inputs!$H$6+Inputs!$L$6*(((Inputs!$I$6+(((A213)+1)/2)*(Inputs!$J$6-Inputs!$I$6)))/Inputs!$K$6)^2)</x:f>
        <x:v>402.298256</x:v>
      </x:c>
      <x:c r="AA213" s="9" t="n">
        <x:f>(Inputs!$H$7+Inputs!$L$7*(((Inputs!$I$7+(((A213)+1)/2)*(Inputs!$J$7-Inputs!$I$7)))/Inputs!$K$7)^2)</x:f>
        <x:v>244.71586000000008</x:v>
      </x:c>
      <x:c r="AB213" s="9" t="n">
        <x:f>(Inputs!$H$8+Inputs!$L$8*(((Inputs!$I$8+(((A213)+1)/2)*(Inputs!$J$8-Inputs!$I$8)))/Inputs!$K$8)^2)</x:f>
        <x:v>589.4542600000002</x:v>
      </x:c>
      <x:c r="AC213" s="9" t="n">
        <x:f>(Inputs!$H$9+Inputs!$L$9*(((Inputs!$I$9+(((A213)+1)/2)*(Inputs!$J$9-Inputs!$I$9)))/Inputs!$K$9)^2)</x:f>
        <x:v>585.1999000000002</x:v>
      </x:c>
      <x:c r="AD213" s="10"/>
      <x:c r="AE213" s="9">
        <x:f t="shared" si="31"/>
        <x:v>0.75800000000000001</x:v>
      </x:c>
      <x:c r="AF213" s="9"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9"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9"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9"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10"/>
      <x:c r="AK213" s="9">
        <x:f t="shared" si="32"/>
        <x:v>0.75800000000000001</x:v>
      </x:c>
      <x:c r="AL213" s="9"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9"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9"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9"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10"/>
      <x:c r="AQ213" s="9">
        <x:f t="shared" si="33"/>
        <x:v>0.75800000000000001</x:v>
      </x:c>
      <x:c r="AR213" s="9" t="n">
        <x:f>0</x:f>
        <x:v>0</x:v>
      </x:c>
      <x:c r="AS213" s="9"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x:f>
        <x:v>153.2323789253225</x:v>
      </x:c>
      <x:c r="AT213" s="9"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x:f>
        <x:v>108.92623427961139</x:v>
      </x:c>
      <x:c r="AU213" s="9"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x:f>
        <x:v>83.71001822374583</x:v>
      </x:c>
      <x:c r="AV213" s="9"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x:f>
        <x:v>83.71001822374583</x:v>
      </x:c>
      <x:c r="AW213" s="10"/>
      <x:c r="AX213" s="9">
        <x:f t="shared" si="34"/>
        <x:v>0.75800000000000001</x:v>
      </x:c>
      <x:c r="AY213" s="9" t="n">
        <x:f>0</x:f>
        <x:v>0</x:v>
      </x:c>
      <x:c r="AZ213" s="9" t="n">
        <x:f>IF(OR(Inputs!$F$6=TRUE,Inputs!$F$6="TRUE",Inputs!$F$6=1),(Inputs!$H$6+Inputs!$L$6*(((Inputs!$I$6+(((A213)+1)/2)*(Inputs!$J$6-Inputs!$I$6)))/Inputs!$K$6)^2),NA())</x:f>
        <x:v>402.298256</x:v>
      </x:c>
      <x:c r="BA213" s="9" t="n">
        <x:f>IF(OR(Inputs!$F$7=TRUE,Inputs!$F$7="TRUE",Inputs!$F$7=1),(Inputs!$H$7+Inputs!$L$7*(((Inputs!$I$7+(((A213)+1)/2)*(Inputs!$J$7-Inputs!$I$7)))/Inputs!$K$7)^2),NA())</x:f>
        <x:v>244.71586000000008</x:v>
      </x:c>
      <x:c r="BB213" s="9" t="n">
        <x:f>IF(OR(Inputs!$F$8=TRUE,Inputs!$F$8="TRUE",Inputs!$F$8=1),(Inputs!$H$8+Inputs!$L$8*(((Inputs!$I$8+(((A213)+1)/2)*(Inputs!$J$8-Inputs!$I$8)))/Inputs!$K$8)^2),NA())</x:f>
        <x:v>589.4542600000002</x:v>
      </x:c>
      <x:c r="BC213" s="9" t="n">
        <x:f>IF(OR(Inputs!$F$9=TRUE,Inputs!$F$9="TRUE",Inputs!$F$9=1),(Inputs!$H$9+Inputs!$L$9*(((Inputs!$I$9+(((A213)+1)/2)*(Inputs!$J$9-Inputs!$I$9)))/Inputs!$K$9)^2),NA())</x:f>
        <x:v>585.1999000000002</x:v>
      </x:c>
      <x:c r="BD213" s="10"/>
      <x:c r="BE213" s="9">
        <x:f t="shared" si="35"/>
        <x:v>0.75800000000000001</x:v>
      </x:c>
      <x:c r="BF213" s="9" t="n">
        <x:f>0</x:f>
        <x:v>0</x:v>
      </x:c>
      <x:c r="BG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9" t="n">
        <x:f>ROUND(-1+212*2/240,3)</x:f>
        <x:v>0.767</x:v>
      </x:c>
      <x:c r="B214" s="9" t="n">
        <x:f>IF(OR(Inputs!$F$6=TRUE,Inputs!$F$6="TRUE",Inputs!$F$6=1),(Inputs!$H$6+Inputs!$L$6*(((Inputs!$I$6+(((A214)+1)/2)*(Inputs!$J$6-Inputs!$I$6)))/Inputs!$K$6)^2),NA())</x:f>
        <x:v>402.353156</x:v>
      </x:c>
      <x:c r="C214" s="9" t="n">
        <x:f>IF(OR(Inputs!$F$7=TRUE,Inputs!$F$7="TRUE",Inputs!$F$7=1),(Inputs!$H$7+Inputs!$L$7*(((Inputs!$I$7+(((A214)+1)/2)*(Inputs!$J$7-Inputs!$I$7)))/Inputs!$K$7)^2),NA())</x:f>
        <x:v>249.72548499999994</x:v>
      </x:c>
      <x:c r="D214" s="9" t="n">
        <x:f>IF(OR(Inputs!$F$8=TRUE,Inputs!$F$8="TRUE",Inputs!$F$8=1),(Inputs!$H$8+Inputs!$L$8*(((Inputs!$I$8+(((A214)+1)/2)*(Inputs!$J$8-Inputs!$I$8)))/Inputs!$K$8)^2),NA())</x:f>
        <x:v>602.6988849999998</x:v>
      </x:c>
      <x:c r="E214" s="9" t="n">
        <x:f>IF(OR(Inputs!$F$9=TRUE,Inputs!$F$9="TRUE",Inputs!$F$9=1),(Inputs!$H$9+Inputs!$L$9*(((Inputs!$I$9+(((A214)+1)/2)*(Inputs!$J$9-Inputs!$I$9)))/Inputs!$K$9)^2),NA())</x:f>
        <x:v>598.5817749999999</x:v>
      </x:c>
      <x:c r="F214" s="10"/>
      <x:c r="G214" s="9">
        <x:f t="shared" si="27"/>
        <x:v>0.76700000000000002</x:v>
      </x:c>
      <x:c r="H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10"/>
      <x:c r="M214" s="9">
        <x:f t="shared" si="28"/>
        <x:v>0.76700000000000002</x:v>
      </x:c>
      <x:c r="N214" s="9"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9"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9"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9"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10"/>
      <x:c r="S214" s="9">
        <x:f t="shared" si="29"/>
        <x:v>0.76700000000000002</x:v>
      </x:c>
      <x:c r="T214" s="9" t="n">
        <x:f>(Inputs!$I$6+(((A214)+1)/2)*(Inputs!$J$6-Inputs!$I$6))</x:f>
        <x:v>46.019999999999996</x:v>
      </x:c>
      <x:c r="U214" s="9" t="n">
        <x:f>(Inputs!$I$7+(((A214)+1)/2)*(Inputs!$J$7-Inputs!$I$7))</x:f>
        <x:v>306.79999999999995</x:v>
      </x:c>
      <x:c r="V214" s="9" t="n">
        <x:f>(Inputs!$I$8+(((A214)+1)/2)*(Inputs!$J$8-Inputs!$I$8))</x:f>
        <x:v>613.5999999999999</x:v>
      </x:c>
      <x:c r="W214" s="9" t="n">
        <x:f>(Inputs!$I$9+(((A214)+1)/2)*(Inputs!$J$9-Inputs!$I$9))</x:f>
        <x:v>613.5999999999999</x:v>
      </x:c>
      <x:c r="X214" s="10"/>
      <x:c r="Y214" s="9">
        <x:f t="shared" si="30"/>
        <x:v>0.76700000000000002</x:v>
      </x:c>
      <x:c r="Z214" s="9" t="n">
        <x:f>(Inputs!$H$6+Inputs!$L$6*(((Inputs!$I$6+(((A214)+1)/2)*(Inputs!$J$6-Inputs!$I$6)))/Inputs!$K$6)^2)</x:f>
        <x:v>402.353156</x:v>
      </x:c>
      <x:c r="AA214" s="9" t="n">
        <x:f>(Inputs!$H$7+Inputs!$L$7*(((Inputs!$I$7+(((A214)+1)/2)*(Inputs!$J$7-Inputs!$I$7)))/Inputs!$K$7)^2)</x:f>
        <x:v>249.72548499999994</x:v>
      </x:c>
      <x:c r="AB214" s="9" t="n">
        <x:f>(Inputs!$H$8+Inputs!$L$8*(((Inputs!$I$8+(((A214)+1)/2)*(Inputs!$J$8-Inputs!$I$8)))/Inputs!$K$8)^2)</x:f>
        <x:v>602.6988849999998</x:v>
      </x:c>
      <x:c r="AC214" s="9" t="n">
        <x:f>(Inputs!$H$9+Inputs!$L$9*(((Inputs!$I$9+(((A214)+1)/2)*(Inputs!$J$9-Inputs!$I$9)))/Inputs!$K$9)^2)</x:f>
        <x:v>598.5817749999999</x:v>
      </x:c>
      <x:c r="AD214" s="10"/>
      <x:c r="AE214" s="9">
        <x:f t="shared" si="31"/>
        <x:v>0.76700000000000002</x:v>
      </x:c>
      <x:c r="AF214" s="9"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9"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9"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9"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10"/>
      <x:c r="AK214" s="9">
        <x:f t="shared" si="32"/>
        <x:v>0.76700000000000002</x:v>
      </x:c>
      <x:c r="AL214" s="9"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9"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9"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9"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10"/>
      <x:c r="AQ214" s="9">
        <x:f t="shared" si="33"/>
        <x:v>0.76700000000000002</x:v>
      </x:c>
      <x:c r="AR214" s="9" t="n">
        <x:f>0</x:f>
        <x:v>0</x:v>
      </x:c>
      <x:c r="AS214" s="9"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x:f>
        <x:v>149.33446990283903</x:v>
      </x:c>
      <x:c r="AT214" s="9"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x:f>
        <x:v>174.30311756129439</x:v>
      </x:c>
      <x:c r="AU214" s="9"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x:f>
        <x:v>157.51448182830308</x:v>
      </x:c>
      <x:c r="AV214" s="9"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x:f>
        <x:v>157.51448182830308</x:v>
      </x:c>
      <x:c r="AW214" s="10"/>
      <x:c r="AX214" s="9">
        <x:f t="shared" si="34"/>
        <x:v>0.76700000000000002</x:v>
      </x:c>
      <x:c r="AY214" s="9" t="n">
        <x:f>0</x:f>
        <x:v>0</x:v>
      </x:c>
      <x:c r="AZ214" s="9" t="n">
        <x:f>IF(OR(Inputs!$F$6=TRUE,Inputs!$F$6="TRUE",Inputs!$F$6=1),(Inputs!$H$6+Inputs!$L$6*(((Inputs!$I$6+(((A214)+1)/2)*(Inputs!$J$6-Inputs!$I$6)))/Inputs!$K$6)^2),NA())</x:f>
        <x:v>402.353156</x:v>
      </x:c>
      <x:c r="BA214" s="9" t="n">
        <x:f>IF(OR(Inputs!$F$7=TRUE,Inputs!$F$7="TRUE",Inputs!$F$7=1),(Inputs!$H$7+Inputs!$L$7*(((Inputs!$I$7+(((A214)+1)/2)*(Inputs!$J$7-Inputs!$I$7)))/Inputs!$K$7)^2),NA())</x:f>
        <x:v>249.72548499999994</x:v>
      </x:c>
      <x:c r="BB214" s="9" t="n">
        <x:f>IF(OR(Inputs!$F$8=TRUE,Inputs!$F$8="TRUE",Inputs!$F$8=1),(Inputs!$H$8+Inputs!$L$8*(((Inputs!$I$8+(((A214)+1)/2)*(Inputs!$J$8-Inputs!$I$8)))/Inputs!$K$8)^2),NA())</x:f>
        <x:v>602.6988849999998</x:v>
      </x:c>
      <x:c r="BC214" s="9" t="n">
        <x:f>IF(OR(Inputs!$F$9=TRUE,Inputs!$F$9="TRUE",Inputs!$F$9=1),(Inputs!$H$9+Inputs!$L$9*(((Inputs!$I$9+(((A214)+1)/2)*(Inputs!$J$9-Inputs!$I$9)))/Inputs!$K$9)^2),NA())</x:f>
        <x:v>598.5817749999999</x:v>
      </x:c>
      <x:c r="BD214" s="10"/>
      <x:c r="BE214" s="9">
        <x:f t="shared" si="35"/>
        <x:v>0.76700000000000002</x:v>
      </x:c>
      <x:c r="BF214" s="9" t="n">
        <x:f>0</x:f>
        <x:v>0</x:v>
      </x:c>
      <x:c r="BG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9" t="n">
        <x:f>ROUND(-1+213*2/240,3)</x:f>
        <x:v>0.775</x:v>
      </x:c>
      <x:c r="B215" s="9" t="n">
        <x:f>IF(OR(Inputs!$F$6=TRUE,Inputs!$F$6="TRUE",Inputs!$F$6=1),(Inputs!$H$6+Inputs!$L$6*(((Inputs!$I$6+(((A215)+1)/2)*(Inputs!$J$6-Inputs!$I$6)))/Inputs!$K$6)^2),NA())</x:f>
        <x:v>402.4025</x:v>
      </x:c>
      <x:c r="C215" s="9" t="n">
        <x:f>IF(OR(Inputs!$F$7=TRUE,Inputs!$F$7="TRUE",Inputs!$F$7=1),(Inputs!$H$7+Inputs!$L$7*(((Inputs!$I$7+(((A215)+1)/2)*(Inputs!$J$7-Inputs!$I$7)))/Inputs!$K$7)^2),NA())</x:f>
        <x:v>254.22812500000003</x:v>
      </x:c>
      <x:c r="D215" s="9" t="n">
        <x:f>IF(OR(Inputs!$F$8=TRUE,Inputs!$F$8="TRUE",Inputs!$F$8=1),(Inputs!$H$8+Inputs!$L$8*(((Inputs!$I$8+(((A215)+1)/2)*(Inputs!$J$8-Inputs!$I$8)))/Inputs!$K$8)^2),NA())</x:f>
        <x:v>614.6031250000001</x:v>
      </x:c>
      <x:c r="E215" s="9" t="n">
        <x:f>IF(OR(Inputs!$F$9=TRUE,Inputs!$F$9="TRUE",Inputs!$F$9=1),(Inputs!$H$9+Inputs!$L$9*(((Inputs!$I$9+(((A215)+1)/2)*(Inputs!$J$9-Inputs!$I$9)))/Inputs!$K$9)^2),NA())</x:f>
        <x:v>610.6093750000001</x:v>
      </x:c>
      <x:c r="F215" s="10"/>
      <x:c r="G215" s="9">
        <x:f t="shared" si="27"/>
        <x:v>0.77500000000000002</x:v>
      </x:c>
      <x:c r="H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10"/>
      <x:c r="M215" s="9">
        <x:f t="shared" si="28"/>
        <x:v>0.77500000000000002</x:v>
      </x:c>
      <x:c r="N215" s="9"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9"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9"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9"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10"/>
      <x:c r="S215" s="9">
        <x:f t="shared" si="29"/>
        <x:v>0.77500000000000002</x:v>
      </x:c>
      <x:c r="T215" s="9" t="n">
        <x:f>(Inputs!$I$6+(((A215)+1)/2)*(Inputs!$J$6-Inputs!$I$6))</x:f>
        <x:v>46.5</x:v>
      </x:c>
      <x:c r="U215" s="9" t="n">
        <x:f>(Inputs!$I$7+(((A215)+1)/2)*(Inputs!$J$7-Inputs!$I$7))</x:f>
        <x:v>310</x:v>
      </x:c>
      <x:c r="V215" s="9" t="n">
        <x:f>(Inputs!$I$8+(((A215)+1)/2)*(Inputs!$J$8-Inputs!$I$8))</x:f>
        <x:v>620</x:v>
      </x:c>
      <x:c r="W215" s="9" t="n">
        <x:f>(Inputs!$I$9+(((A215)+1)/2)*(Inputs!$J$9-Inputs!$I$9))</x:f>
        <x:v>620</x:v>
      </x:c>
      <x:c r="X215" s="10"/>
      <x:c r="Y215" s="9">
        <x:f t="shared" si="30"/>
        <x:v>0.77500000000000002</x:v>
      </x:c>
      <x:c r="Z215" s="9" t="n">
        <x:f>(Inputs!$H$6+Inputs!$L$6*(((Inputs!$I$6+(((A215)+1)/2)*(Inputs!$J$6-Inputs!$I$6)))/Inputs!$K$6)^2)</x:f>
        <x:v>402.4025</x:v>
      </x:c>
      <x:c r="AA215" s="9" t="n">
        <x:f>(Inputs!$H$7+Inputs!$L$7*(((Inputs!$I$7+(((A215)+1)/2)*(Inputs!$J$7-Inputs!$I$7)))/Inputs!$K$7)^2)</x:f>
        <x:v>254.22812500000003</x:v>
      </x:c>
      <x:c r="AB215" s="9" t="n">
        <x:f>(Inputs!$H$8+Inputs!$L$8*(((Inputs!$I$8+(((A215)+1)/2)*(Inputs!$J$8-Inputs!$I$8)))/Inputs!$K$8)^2)</x:f>
        <x:v>614.6031250000001</x:v>
      </x:c>
      <x:c r="AC215" s="9" t="n">
        <x:f>(Inputs!$H$9+Inputs!$L$9*(((Inputs!$I$9+(((A215)+1)/2)*(Inputs!$J$9-Inputs!$I$9)))/Inputs!$K$9)^2)</x:f>
        <x:v>610.6093750000001</x:v>
      </x:c>
      <x:c r="AD215" s="10"/>
      <x:c r="AE215" s="9">
        <x:f t="shared" si="31"/>
        <x:v>0.77500000000000002</x:v>
      </x:c>
      <x:c r="AF215" s="9"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9"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9"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9"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10"/>
      <x:c r="AK215" s="9">
        <x:f t="shared" si="32"/>
        <x:v>0.77500000000000002</x:v>
      </x:c>
      <x:c r="AL215" s="9"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9"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9"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9"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10"/>
      <x:c r="AQ215" s="9">
        <x:f t="shared" si="33"/>
        <x:v>0.77500000000000002</x:v>
      </x:c>
      <x:c r="AR215" s="9" t="n">
        <x:f>0</x:f>
        <x:v>0</x:v>
      </x:c>
      <x:c r="AS215" s="9"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x:f>
        <x:v>125.26409736726505</x:v>
      </x:c>
      <x:c r="AT215" s="9"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x:f>
        <x:v>191.2046194615613</x:v>
      </x:c>
      <x:c r="AU215" s="9"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x:f>
        <x:v>135.77357148109508</x:v>
      </x:c>
      <x:c r="AV215" s="9"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x:f>
        <x:v>135.77357148109508</x:v>
      </x:c>
      <x:c r="AW215" s="10"/>
      <x:c r="AX215" s="9">
        <x:f t="shared" si="34"/>
        <x:v>0.77500000000000002</x:v>
      </x:c>
      <x:c r="AY215" s="9" t="n">
        <x:f>0</x:f>
        <x:v>0</x:v>
      </x:c>
      <x:c r="AZ215" s="9" t="n">
        <x:f>IF(OR(Inputs!$F$6=TRUE,Inputs!$F$6="TRUE",Inputs!$F$6=1),(Inputs!$H$6+Inputs!$L$6*(((Inputs!$I$6+(((A215)+1)/2)*(Inputs!$J$6-Inputs!$I$6)))/Inputs!$K$6)^2),NA())</x:f>
        <x:v>402.4025</x:v>
      </x:c>
      <x:c r="BA215" s="9" t="n">
        <x:f>IF(OR(Inputs!$F$7=TRUE,Inputs!$F$7="TRUE",Inputs!$F$7=1),(Inputs!$H$7+Inputs!$L$7*(((Inputs!$I$7+(((A215)+1)/2)*(Inputs!$J$7-Inputs!$I$7)))/Inputs!$K$7)^2),NA())</x:f>
        <x:v>254.22812500000003</x:v>
      </x:c>
      <x:c r="BB215" s="9" t="n">
        <x:f>IF(OR(Inputs!$F$8=TRUE,Inputs!$F$8="TRUE",Inputs!$F$8=1),(Inputs!$H$8+Inputs!$L$8*(((Inputs!$I$8+(((A215)+1)/2)*(Inputs!$J$8-Inputs!$I$8)))/Inputs!$K$8)^2),NA())</x:f>
        <x:v>614.6031250000001</x:v>
      </x:c>
      <x:c r="BC215" s="9" t="n">
        <x:f>IF(OR(Inputs!$F$9=TRUE,Inputs!$F$9="TRUE",Inputs!$F$9=1),(Inputs!$H$9+Inputs!$L$9*(((Inputs!$I$9+(((A215)+1)/2)*(Inputs!$J$9-Inputs!$I$9)))/Inputs!$K$9)^2),NA())</x:f>
        <x:v>610.6093750000001</x:v>
      </x:c>
      <x:c r="BD215" s="10"/>
      <x:c r="BE215" s="9">
        <x:f t="shared" si="35"/>
        <x:v>0.77500000000000002</x:v>
      </x:c>
      <x:c r="BF215" s="9" t="n">
        <x:f>0</x:f>
        <x:v>0</x:v>
      </x:c>
      <x:c r="BG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9" t="n">
        <x:f>ROUND(-1+214*2/240,3)</x:f>
        <x:v>0.783</x:v>
      </x:c>
      <x:c r="B216" s="9" t="n">
        <x:f>IF(OR(Inputs!$F$6=TRUE,Inputs!$F$6="TRUE",Inputs!$F$6=1),(Inputs!$H$6+Inputs!$L$6*(((Inputs!$I$6+(((A216)+1)/2)*(Inputs!$J$6-Inputs!$I$6)))/Inputs!$K$6)^2),NA())</x:f>
        <x:v>402.452356</x:v>
      </x:c>
      <x:c r="C216" s="9" t="n">
        <x:f>IF(OR(Inputs!$F$7=TRUE,Inputs!$F$7="TRUE",Inputs!$F$7=1),(Inputs!$H$7+Inputs!$L$7*(((Inputs!$I$7+(((A216)+1)/2)*(Inputs!$J$7-Inputs!$I$7)))/Inputs!$K$7)^2),NA())</x:f>
        <x:v>258.77748499999984</x:v>
      </x:c>
      <x:c r="D216" s="9" t="n">
        <x:f>IF(OR(Inputs!$F$8=TRUE,Inputs!$F$8="TRUE",Inputs!$F$8=1),(Inputs!$H$8+Inputs!$L$8*(((Inputs!$I$8+(((A216)+1)/2)*(Inputs!$J$8-Inputs!$I$8)))/Inputs!$K$8)^2),NA())</x:f>
        <x:v>626.6308849999997</x:v>
      </x:c>
      <x:c r="E216" s="9" t="n">
        <x:f>IF(OR(Inputs!$F$9=TRUE,Inputs!$F$9="TRUE",Inputs!$F$9=1),(Inputs!$H$9+Inputs!$L$9*(((Inputs!$I$9+(((A216)+1)/2)*(Inputs!$J$9-Inputs!$I$9)))/Inputs!$K$9)^2),NA())</x:f>
        <x:v>622.7617749999997</x:v>
      </x:c>
      <x:c r="F216" s="10"/>
      <x:c r="G216" s="9">
        <x:f t="shared" si="27"/>
        <x:v>0.78300000000000003</x:v>
      </x:c>
      <x:c r="H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10"/>
      <x:c r="M216" s="9">
        <x:f t="shared" si="28"/>
        <x:v>0.78300000000000003</x:v>
      </x:c>
      <x:c r="N216" s="9"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9"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9"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9"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10"/>
      <x:c r="S216" s="9">
        <x:f t="shared" si="29"/>
        <x:v>0.78300000000000003</x:v>
      </x:c>
      <x:c r="T216" s="9" t="n">
        <x:f>(Inputs!$I$6+(((A216)+1)/2)*(Inputs!$J$6-Inputs!$I$6))</x:f>
        <x:v>46.97999999999999</x:v>
      </x:c>
      <x:c r="U216" s="9" t="n">
        <x:f>(Inputs!$I$7+(((A216)+1)/2)*(Inputs!$J$7-Inputs!$I$7))</x:f>
        <x:v>313.19999999999993</x:v>
      </x:c>
      <x:c r="V216" s="9" t="n">
        <x:f>(Inputs!$I$8+(((A216)+1)/2)*(Inputs!$J$8-Inputs!$I$8))</x:f>
        <x:v>626.3999999999999</x:v>
      </x:c>
      <x:c r="W216" s="9" t="n">
        <x:f>(Inputs!$I$9+(((A216)+1)/2)*(Inputs!$J$9-Inputs!$I$9))</x:f>
        <x:v>626.3999999999999</x:v>
      </x:c>
      <x:c r="X216" s="10"/>
      <x:c r="Y216" s="9">
        <x:f t="shared" si="30"/>
        <x:v>0.78300000000000003</x:v>
      </x:c>
      <x:c r="Z216" s="9" t="n">
        <x:f>(Inputs!$H$6+Inputs!$L$6*(((Inputs!$I$6+(((A216)+1)/2)*(Inputs!$J$6-Inputs!$I$6)))/Inputs!$K$6)^2)</x:f>
        <x:v>402.452356</x:v>
      </x:c>
      <x:c r="AA216" s="9" t="n">
        <x:f>(Inputs!$H$7+Inputs!$L$7*(((Inputs!$I$7+(((A216)+1)/2)*(Inputs!$J$7-Inputs!$I$7)))/Inputs!$K$7)^2)</x:f>
        <x:v>258.77748499999984</x:v>
      </x:c>
      <x:c r="AB216" s="9" t="n">
        <x:f>(Inputs!$H$8+Inputs!$L$8*(((Inputs!$I$8+(((A216)+1)/2)*(Inputs!$J$8-Inputs!$I$8)))/Inputs!$K$8)^2)</x:f>
        <x:v>626.6308849999997</x:v>
      </x:c>
      <x:c r="AC216" s="9" t="n">
        <x:f>(Inputs!$H$9+Inputs!$L$9*(((Inputs!$I$9+(((A216)+1)/2)*(Inputs!$J$9-Inputs!$I$9)))/Inputs!$K$9)^2)</x:f>
        <x:v>622.7617749999997</x:v>
      </x:c>
      <x:c r="AD216" s="10"/>
      <x:c r="AE216" s="9">
        <x:f t="shared" si="31"/>
        <x:v>0.78300000000000003</x:v>
      </x:c>
      <x:c r="AF216" s="9"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9"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9"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9"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10"/>
      <x:c r="AK216" s="9">
        <x:f t="shared" si="32"/>
        <x:v>0.78300000000000003</x:v>
      </x:c>
      <x:c r="AL216" s="9"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9"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9"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9"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10"/>
      <x:c r="AQ216" s="9">
        <x:f t="shared" si="33"/>
        <x:v>0.78300000000000003</x:v>
      </x:c>
      <x:c r="AR216" s="9" t="n">
        <x:f>0</x:f>
        <x:v>0</x:v>
      </x:c>
      <x:c r="AS216" s="9"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x:f>
        <x:v>126.51303136824754</x:v>
      </x:c>
      <x:c r="AT216" s="9"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x:f>
        <x:v>175.60924909846997</x:v>
      </x:c>
      <x:c r="AU216" s="9"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x:f>
        <x:v>99.99734018876349</x:v>
      </x:c>
      <x:c r="AV216" s="9"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x:f>
        <x:v>99.99734018876349</x:v>
      </x:c>
      <x:c r="AW216" s="10"/>
      <x:c r="AX216" s="9">
        <x:f t="shared" si="34"/>
        <x:v>0.78300000000000003</x:v>
      </x:c>
      <x:c r="AY216" s="9" t="n">
        <x:f>0</x:f>
        <x:v>0</x:v>
      </x:c>
      <x:c r="AZ216" s="9" t="n">
        <x:f>IF(OR(Inputs!$F$6=TRUE,Inputs!$F$6="TRUE",Inputs!$F$6=1),(Inputs!$H$6+Inputs!$L$6*(((Inputs!$I$6+(((A216)+1)/2)*(Inputs!$J$6-Inputs!$I$6)))/Inputs!$K$6)^2),NA())</x:f>
        <x:v>402.452356</x:v>
      </x:c>
      <x:c r="BA216" s="9" t="n">
        <x:f>IF(OR(Inputs!$F$7=TRUE,Inputs!$F$7="TRUE",Inputs!$F$7=1),(Inputs!$H$7+Inputs!$L$7*(((Inputs!$I$7+(((A216)+1)/2)*(Inputs!$J$7-Inputs!$I$7)))/Inputs!$K$7)^2),NA())</x:f>
        <x:v>258.77748499999984</x:v>
      </x:c>
      <x:c r="BB216" s="9" t="n">
        <x:f>IF(OR(Inputs!$F$8=TRUE,Inputs!$F$8="TRUE",Inputs!$F$8=1),(Inputs!$H$8+Inputs!$L$8*(((Inputs!$I$8+(((A216)+1)/2)*(Inputs!$J$8-Inputs!$I$8)))/Inputs!$K$8)^2),NA())</x:f>
        <x:v>626.6308849999997</x:v>
      </x:c>
      <x:c r="BC216" s="9" t="n">
        <x:f>IF(OR(Inputs!$F$9=TRUE,Inputs!$F$9="TRUE",Inputs!$F$9=1),(Inputs!$H$9+Inputs!$L$9*(((Inputs!$I$9+(((A216)+1)/2)*(Inputs!$J$9-Inputs!$I$9)))/Inputs!$K$9)^2),NA())</x:f>
        <x:v>622.7617749999997</x:v>
      </x:c>
      <x:c r="BD216" s="10"/>
      <x:c r="BE216" s="9">
        <x:f t="shared" si="35"/>
        <x:v>0.78300000000000003</x:v>
      </x:c>
      <x:c r="BF216" s="9" t="n">
        <x:f>0</x:f>
        <x:v>0</x:v>
      </x:c>
      <x:c r="BG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9" t="n">
        <x:f>ROUND(-1+215*2/240,3)</x:f>
        <x:v>0.792</x:v>
      </x:c>
      <x:c r="B217" s="9" t="n">
        <x:f>IF(OR(Inputs!$F$6=TRUE,Inputs!$F$6="TRUE",Inputs!$F$6=1),(Inputs!$H$6+Inputs!$L$6*(((Inputs!$I$6+(((A217)+1)/2)*(Inputs!$J$6-Inputs!$I$6)))/Inputs!$K$6)^2),NA())</x:f>
        <x:v>402.509056</x:v>
      </x:c>
      <x:c r="C217" s="9" t="n">
        <x:f>IF(OR(Inputs!$F$7=TRUE,Inputs!$F$7="TRUE",Inputs!$F$7=1),(Inputs!$H$7+Inputs!$L$7*(((Inputs!$I$7+(((A217)+1)/2)*(Inputs!$J$7-Inputs!$I$7)))/Inputs!$K$7)^2),NA())</x:f>
        <x:v>263.95136000000014</x:v>
      </x:c>
      <x:c r="D217" s="9" t="n">
        <x:f>IF(OR(Inputs!$F$8=TRUE,Inputs!$F$8="TRUE",Inputs!$F$8=1),(Inputs!$H$8+Inputs!$L$8*(((Inputs!$I$8+(((A217)+1)/2)*(Inputs!$J$8-Inputs!$I$8)))/Inputs!$K$8)^2),NA())</x:f>
        <x:v>640.3097600000002</x:v>
      </x:c>
      <x:c r="E217" s="9" t="n">
        <x:f>IF(OR(Inputs!$F$9=TRUE,Inputs!$F$9="TRUE",Inputs!$F$9=1),(Inputs!$H$9+Inputs!$L$9*(((Inputs!$I$9+(((A217)+1)/2)*(Inputs!$J$9-Inputs!$I$9)))/Inputs!$K$9)^2),NA())</x:f>
        <x:v>636.5824000000002</x:v>
      </x:c>
      <x:c r="F217" s="10"/>
      <x:c r="G217" s="9">
        <x:f t="shared" si="27"/>
        <x:v>0.79200000000000004</x:v>
      </x:c>
      <x:c r="H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10"/>
      <x:c r="M217" s="9">
        <x:f t="shared" si="28"/>
        <x:v>0.79200000000000004</x:v>
      </x:c>
      <x:c r="N217" s="9"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9"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9"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9"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10"/>
      <x:c r="S217" s="9">
        <x:f t="shared" si="29"/>
        <x:v>0.79200000000000004</x:v>
      </x:c>
      <x:c r="T217" s="9" t="n">
        <x:f>(Inputs!$I$6+(((A217)+1)/2)*(Inputs!$J$6-Inputs!$I$6))</x:f>
        <x:v>47.519999999999996</x:v>
      </x:c>
      <x:c r="U217" s="9" t="n">
        <x:f>(Inputs!$I$7+(((A217)+1)/2)*(Inputs!$J$7-Inputs!$I$7))</x:f>
        <x:v>316.80000000000007</x:v>
      </x:c>
      <x:c r="V217" s="9" t="n">
        <x:f>(Inputs!$I$8+(((A217)+1)/2)*(Inputs!$J$8-Inputs!$I$8))</x:f>
        <x:v>633.6000000000001</x:v>
      </x:c>
      <x:c r="W217" s="9" t="n">
        <x:f>(Inputs!$I$9+(((A217)+1)/2)*(Inputs!$J$9-Inputs!$I$9))</x:f>
        <x:v>633.6000000000001</x:v>
      </x:c>
      <x:c r="X217" s="10"/>
      <x:c r="Y217" s="9">
        <x:f t="shared" si="30"/>
        <x:v>0.79200000000000004</x:v>
      </x:c>
      <x:c r="Z217" s="9" t="n">
        <x:f>(Inputs!$H$6+Inputs!$L$6*(((Inputs!$I$6+(((A217)+1)/2)*(Inputs!$J$6-Inputs!$I$6)))/Inputs!$K$6)^2)</x:f>
        <x:v>402.509056</x:v>
      </x:c>
      <x:c r="AA217" s="9" t="n">
        <x:f>(Inputs!$H$7+Inputs!$L$7*(((Inputs!$I$7+(((A217)+1)/2)*(Inputs!$J$7-Inputs!$I$7)))/Inputs!$K$7)^2)</x:f>
        <x:v>263.95136000000014</x:v>
      </x:c>
      <x:c r="AB217" s="9" t="n">
        <x:f>(Inputs!$H$8+Inputs!$L$8*(((Inputs!$I$8+(((A217)+1)/2)*(Inputs!$J$8-Inputs!$I$8)))/Inputs!$K$8)^2)</x:f>
        <x:v>640.3097600000002</x:v>
      </x:c>
      <x:c r="AC217" s="9" t="n">
        <x:f>(Inputs!$H$9+Inputs!$L$9*(((Inputs!$I$9+(((A217)+1)/2)*(Inputs!$J$9-Inputs!$I$9)))/Inputs!$K$9)^2)</x:f>
        <x:v>636.5824000000002</x:v>
      </x:c>
      <x:c r="AD217" s="10"/>
      <x:c r="AE217" s="9">
        <x:f t="shared" si="31"/>
        <x:v>0.79200000000000004</x:v>
      </x:c>
      <x:c r="AF217" s="9"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9"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9"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9"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10"/>
      <x:c r="AK217" s="9">
        <x:f t="shared" si="32"/>
        <x:v>0.79200000000000004</x:v>
      </x:c>
      <x:c r="AL217" s="9"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9"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9"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9"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10"/>
      <x:c r="AQ217" s="9">
        <x:f t="shared" si="33"/>
        <x:v>0.79200000000000004</x:v>
      </x:c>
      <x:c r="AR217" s="9" t="n">
        <x:f>0</x:f>
        <x:v>0</x:v>
      </x:c>
      <x:c r="AS217" s="9"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x:f>
        <x:v>107.35678928998254</x:v>
      </x:c>
      <x:c r="AT217" s="9"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x:f>
        <x:v>127.43900482892427</x:v>
      </x:c>
      <x:c r="AU217" s="9"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x:f>
        <x:v>194.3834207426251</x:v>
      </x:c>
      <x:c r="AV217" s="9"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x:f>
        <x:v>194.3834207426251</x:v>
      </x:c>
      <x:c r="AW217" s="10"/>
      <x:c r="AX217" s="9">
        <x:f t="shared" si="34"/>
        <x:v>0.79200000000000004</x:v>
      </x:c>
      <x:c r="AY217" s="9" t="n">
        <x:f>0</x:f>
        <x:v>0</x:v>
      </x:c>
      <x:c r="AZ217" s="9" t="n">
        <x:f>IF(OR(Inputs!$F$6=TRUE,Inputs!$F$6="TRUE",Inputs!$F$6=1),(Inputs!$H$6+Inputs!$L$6*(((Inputs!$I$6+(((A217)+1)/2)*(Inputs!$J$6-Inputs!$I$6)))/Inputs!$K$6)^2),NA())</x:f>
        <x:v>402.509056</x:v>
      </x:c>
      <x:c r="BA217" s="9" t="n">
        <x:f>IF(OR(Inputs!$F$7=TRUE,Inputs!$F$7="TRUE",Inputs!$F$7=1),(Inputs!$H$7+Inputs!$L$7*(((Inputs!$I$7+(((A217)+1)/2)*(Inputs!$J$7-Inputs!$I$7)))/Inputs!$K$7)^2),NA())</x:f>
        <x:v>263.95136000000014</x:v>
      </x:c>
      <x:c r="BB217" s="9" t="n">
        <x:f>IF(OR(Inputs!$F$8=TRUE,Inputs!$F$8="TRUE",Inputs!$F$8=1),(Inputs!$H$8+Inputs!$L$8*(((Inputs!$I$8+(((A217)+1)/2)*(Inputs!$J$8-Inputs!$I$8)))/Inputs!$K$8)^2),NA())</x:f>
        <x:v>640.3097600000002</x:v>
      </x:c>
      <x:c r="BC217" s="9" t="n">
        <x:f>IF(OR(Inputs!$F$9=TRUE,Inputs!$F$9="TRUE",Inputs!$F$9=1),(Inputs!$H$9+Inputs!$L$9*(((Inputs!$I$9+(((A217)+1)/2)*(Inputs!$J$9-Inputs!$I$9)))/Inputs!$K$9)^2),NA())</x:f>
        <x:v>636.5824000000002</x:v>
      </x:c>
      <x:c r="BD217" s="10"/>
      <x:c r="BE217" s="9">
        <x:f t="shared" si="35"/>
        <x:v>0.79200000000000004</x:v>
      </x:c>
      <x:c r="BF217" s="9" t="n">
        <x:f>0</x:f>
        <x:v>0</x:v>
      </x:c>
      <x:c r="BG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9" t="n">
        <x:f>ROUND(-1+216*2/240,3)</x:f>
        <x:v>0.8</x:v>
      </x:c>
      <x:c r="B218" s="9" t="n">
        <x:f>IF(OR(Inputs!$F$6=TRUE,Inputs!$F$6="TRUE",Inputs!$F$6=1),(Inputs!$H$6+Inputs!$L$6*(((Inputs!$I$6+(((A218)+1)/2)*(Inputs!$J$6-Inputs!$I$6)))/Inputs!$K$6)^2),NA())</x:f>
        <x:v>402.56</x:v>
      </x:c>
      <x:c r="C218" s="9" t="n">
        <x:f>IF(OR(Inputs!$F$7=TRUE,Inputs!$F$7="TRUE",Inputs!$F$7=1),(Inputs!$H$7+Inputs!$L$7*(((Inputs!$I$7+(((A218)+1)/2)*(Inputs!$J$7-Inputs!$I$7)))/Inputs!$K$7)^2),NA())</x:f>
        <x:v>268.6</x:v>
      </x:c>
      <x:c r="D218" s="9" t="n">
        <x:f>IF(OR(Inputs!$F$8=TRUE,Inputs!$F$8="TRUE",Inputs!$F$8=1),(Inputs!$H$8+Inputs!$L$8*(((Inputs!$I$8+(((A218)+1)/2)*(Inputs!$J$8-Inputs!$I$8)))/Inputs!$K$8)^2),NA())</x:f>
        <x:v>652.6000000000001</x:v>
      </x:c>
      <x:c r="E218" s="9" t="n">
        <x:f>IF(OR(Inputs!$F$9=TRUE,Inputs!$F$9="TRUE",Inputs!$F$9=1),(Inputs!$H$9+Inputs!$L$9*(((Inputs!$I$9+(((A218)+1)/2)*(Inputs!$J$9-Inputs!$I$9)))/Inputs!$K$9)^2),NA())</x:f>
        <x:v>649.0000000000001</x:v>
      </x:c>
      <x:c r="F218" s="10"/>
      <x:c r="G218" s="9">
        <x:f t="shared" si="27"/>
        <x:v>0.8</x:v>
      </x:c>
      <x:c r="H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10"/>
      <x:c r="M218" s="9">
        <x:f t="shared" si="28"/>
        <x:v>0.8</x:v>
      </x:c>
      <x:c r="N218" s="9"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9"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9"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9"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10"/>
      <x:c r="S218" s="9">
        <x:f t="shared" si="29"/>
        <x:v>0.8</x:v>
      </x:c>
      <x:c r="T218" s="9" t="n">
        <x:f>(Inputs!$I$6+(((A218)+1)/2)*(Inputs!$J$6-Inputs!$I$6))</x:f>
        <x:v>48</x:v>
      </x:c>
      <x:c r="U218" s="9" t="n">
        <x:f>(Inputs!$I$7+(((A218)+1)/2)*(Inputs!$J$7-Inputs!$I$7))</x:f>
        <x:v>320</x:v>
      </x:c>
      <x:c r="V218" s="9" t="n">
        <x:f>(Inputs!$I$8+(((A218)+1)/2)*(Inputs!$J$8-Inputs!$I$8))</x:f>
        <x:v>640</x:v>
      </x:c>
      <x:c r="W218" s="9" t="n">
        <x:f>(Inputs!$I$9+(((A218)+1)/2)*(Inputs!$J$9-Inputs!$I$9))</x:f>
        <x:v>640</x:v>
      </x:c>
      <x:c r="X218" s="10"/>
      <x:c r="Y218" s="9">
        <x:f t="shared" si="30"/>
        <x:v>0.8</x:v>
      </x:c>
      <x:c r="Z218" s="9" t="n">
        <x:f>(Inputs!$H$6+Inputs!$L$6*(((Inputs!$I$6+(((A218)+1)/2)*(Inputs!$J$6-Inputs!$I$6)))/Inputs!$K$6)^2)</x:f>
        <x:v>402.56</x:v>
      </x:c>
      <x:c r="AA218" s="9" t="n">
        <x:f>(Inputs!$H$7+Inputs!$L$7*(((Inputs!$I$7+(((A218)+1)/2)*(Inputs!$J$7-Inputs!$I$7)))/Inputs!$K$7)^2)</x:f>
        <x:v>268.6</x:v>
      </x:c>
      <x:c r="AB218" s="9" t="n">
        <x:f>(Inputs!$H$8+Inputs!$L$8*(((Inputs!$I$8+(((A218)+1)/2)*(Inputs!$J$8-Inputs!$I$8)))/Inputs!$K$8)^2)</x:f>
        <x:v>652.6000000000001</x:v>
      </x:c>
      <x:c r="AC218" s="9" t="n">
        <x:f>(Inputs!$H$9+Inputs!$L$9*(((Inputs!$I$9+(((A218)+1)/2)*(Inputs!$J$9-Inputs!$I$9)))/Inputs!$K$9)^2)</x:f>
        <x:v>649.0000000000001</x:v>
      </x:c>
      <x:c r="AD218" s="10"/>
      <x:c r="AE218" s="9">
        <x:f t="shared" si="31"/>
        <x:v>0.8</x:v>
      </x:c>
      <x:c r="AF218" s="9"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9"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9"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9"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10"/>
      <x:c r="AK218" s="9">
        <x:f t="shared" si="32"/>
        <x:v>0.8</x:v>
      </x:c>
      <x:c r="AL218" s="9"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9"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9"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9"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10"/>
      <x:c r="AQ218" s="9">
        <x:f t="shared" si="33"/>
        <x:v>0.8</x:v>
      </x:c>
      <x:c r="AR218" s="9" t="n">
        <x:f>0</x:f>
        <x:v>0</x:v>
      </x:c>
      <x:c r="AS218" s="9"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x:f>
        <x:v>124.99715373468393</x:v>
      </x:c>
      <x:c r="AT218" s="9"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x:f>
        <x:v>63.16298590057942</x:v>
      </x:c>
      <x:c r="AU218" s="9"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x:f>
        <x:v>163.61046202250503</x:v>
      </x:c>
      <x:c r="AV218" s="9"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x:f>
        <x:v>163.61046202250503</x:v>
      </x:c>
      <x:c r="AW218" s="10"/>
      <x:c r="AX218" s="9">
        <x:f t="shared" si="34"/>
        <x:v>0.8</x:v>
      </x:c>
      <x:c r="AY218" s="9" t="n">
        <x:f>0</x:f>
        <x:v>0</x:v>
      </x:c>
      <x:c r="AZ218" s="9" t="n">
        <x:f>IF(OR(Inputs!$F$6=TRUE,Inputs!$F$6="TRUE",Inputs!$F$6=1),(Inputs!$H$6+Inputs!$L$6*(((Inputs!$I$6+(((A218)+1)/2)*(Inputs!$J$6-Inputs!$I$6)))/Inputs!$K$6)^2),NA())</x:f>
        <x:v>402.56</x:v>
      </x:c>
      <x:c r="BA218" s="9" t="n">
        <x:f>IF(OR(Inputs!$F$7=TRUE,Inputs!$F$7="TRUE",Inputs!$F$7=1),(Inputs!$H$7+Inputs!$L$7*(((Inputs!$I$7+(((A218)+1)/2)*(Inputs!$J$7-Inputs!$I$7)))/Inputs!$K$7)^2),NA())</x:f>
        <x:v>268.6</x:v>
      </x:c>
      <x:c r="BB218" s="9" t="n">
        <x:f>IF(OR(Inputs!$F$8=TRUE,Inputs!$F$8="TRUE",Inputs!$F$8=1),(Inputs!$H$8+Inputs!$L$8*(((Inputs!$I$8+(((A218)+1)/2)*(Inputs!$J$8-Inputs!$I$8)))/Inputs!$K$8)^2),NA())</x:f>
        <x:v>652.6000000000001</x:v>
      </x:c>
      <x:c r="BC218" s="9" t="n">
        <x:f>IF(OR(Inputs!$F$9=TRUE,Inputs!$F$9="TRUE",Inputs!$F$9=1),(Inputs!$H$9+Inputs!$L$9*(((Inputs!$I$9+(((A218)+1)/2)*(Inputs!$J$9-Inputs!$I$9)))/Inputs!$K$9)^2),NA())</x:f>
        <x:v>649.0000000000001</x:v>
      </x:c>
      <x:c r="BD218" s="10"/>
      <x:c r="BE218" s="9">
        <x:f t="shared" si="35"/>
        <x:v>0.8</x:v>
      </x:c>
      <x:c r="BF218" s="9" t="n">
        <x:f>0</x:f>
        <x:v>0</x:v>
      </x:c>
      <x:c r="BG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9" t="n">
        <x:f>ROUND(-1+217*2/240,3)</x:f>
        <x:v>0.808</x:v>
      </x:c>
      <x:c r="B219" s="9" t="n">
        <x:f>IF(OR(Inputs!$F$6=TRUE,Inputs!$F$6="TRUE",Inputs!$F$6=1),(Inputs!$H$6+Inputs!$L$6*(((Inputs!$I$6+(((A219)+1)/2)*(Inputs!$J$6-Inputs!$I$6)))/Inputs!$K$6)^2),NA())</x:f>
        <x:v>402.611456</x:v>
      </x:c>
      <x:c r="C219" s="9" t="n">
        <x:f>IF(OR(Inputs!$F$7=TRUE,Inputs!$F$7="TRUE",Inputs!$F$7=1),(Inputs!$H$7+Inputs!$L$7*(((Inputs!$I$7+(((A219)+1)/2)*(Inputs!$J$7-Inputs!$I$7)))/Inputs!$K$7)^2),NA())</x:f>
        <x:v>273.2953600000001</x:v>
      </x:c>
      <x:c r="D219" s="9" t="n">
        <x:f>IF(OR(Inputs!$F$8=TRUE,Inputs!$F$8="TRUE",Inputs!$F$8=1),(Inputs!$H$8+Inputs!$L$8*(((Inputs!$I$8+(((A219)+1)/2)*(Inputs!$J$8-Inputs!$I$8)))/Inputs!$K$8)^2),NA())</x:f>
        <x:v>665.0137600000002</x:v>
      </x:c>
      <x:c r="E219" s="9" t="n">
        <x:f>IF(OR(Inputs!$F$9=TRUE,Inputs!$F$9="TRUE",Inputs!$F$9=1),(Inputs!$H$9+Inputs!$L$9*(((Inputs!$I$9+(((A219)+1)/2)*(Inputs!$J$9-Inputs!$I$9)))/Inputs!$K$9)^2),NA())</x:f>
        <x:v>661.5424000000003</x:v>
      </x:c>
      <x:c r="F219" s="10"/>
      <x:c r="G219" s="9">
        <x:f t="shared" si="27"/>
        <x:v>0.80800000000000005</x:v>
      </x:c>
      <x:c r="H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10"/>
      <x:c r="M219" s="9">
        <x:f t="shared" si="28"/>
        <x:v>0.80800000000000005</x:v>
      </x:c>
      <x:c r="N219" s="9"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9"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9"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9"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10"/>
      <x:c r="S219" s="9">
        <x:f t="shared" si="29"/>
        <x:v>0.80800000000000005</x:v>
      </x:c>
      <x:c r="T219" s="9" t="n">
        <x:f>(Inputs!$I$6+(((A219)+1)/2)*(Inputs!$J$6-Inputs!$I$6))</x:f>
        <x:v>48.480000000000004</x:v>
      </x:c>
      <x:c r="U219" s="9" t="n">
        <x:f>(Inputs!$I$7+(((A219)+1)/2)*(Inputs!$J$7-Inputs!$I$7))</x:f>
        <x:v>323.20000000000005</x:v>
      </x:c>
      <x:c r="V219" s="9" t="n">
        <x:f>(Inputs!$I$8+(((A219)+1)/2)*(Inputs!$J$8-Inputs!$I$8))</x:f>
        <x:v>646.4000000000001</x:v>
      </x:c>
      <x:c r="W219" s="9" t="n">
        <x:f>(Inputs!$I$9+(((A219)+1)/2)*(Inputs!$J$9-Inputs!$I$9))</x:f>
        <x:v>646.4000000000001</x:v>
      </x:c>
      <x:c r="X219" s="10"/>
      <x:c r="Y219" s="9">
        <x:f t="shared" si="30"/>
        <x:v>0.80800000000000005</x:v>
      </x:c>
      <x:c r="Z219" s="9" t="n">
        <x:f>(Inputs!$H$6+Inputs!$L$6*(((Inputs!$I$6+(((A219)+1)/2)*(Inputs!$J$6-Inputs!$I$6)))/Inputs!$K$6)^2)</x:f>
        <x:v>402.611456</x:v>
      </x:c>
      <x:c r="AA219" s="9" t="n">
        <x:f>(Inputs!$H$7+Inputs!$L$7*(((Inputs!$I$7+(((A219)+1)/2)*(Inputs!$J$7-Inputs!$I$7)))/Inputs!$K$7)^2)</x:f>
        <x:v>273.2953600000001</x:v>
      </x:c>
      <x:c r="AB219" s="9" t="n">
        <x:f>(Inputs!$H$8+Inputs!$L$8*(((Inputs!$I$8+(((A219)+1)/2)*(Inputs!$J$8-Inputs!$I$8)))/Inputs!$K$8)^2)</x:f>
        <x:v>665.0137600000002</x:v>
      </x:c>
      <x:c r="AC219" s="9" t="n">
        <x:f>(Inputs!$H$9+Inputs!$L$9*(((Inputs!$I$9+(((A219)+1)/2)*(Inputs!$J$9-Inputs!$I$9)))/Inputs!$K$9)^2)</x:f>
        <x:v>661.5424000000003</x:v>
      </x:c>
      <x:c r="AD219" s="10"/>
      <x:c r="AE219" s="9">
        <x:f t="shared" si="31"/>
        <x:v>0.80800000000000005</x:v>
      </x:c>
      <x:c r="AF219" s="9"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9"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9"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9"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10"/>
      <x:c r="AK219" s="9">
        <x:f t="shared" si="32"/>
        <x:v>0.80800000000000005</x:v>
      </x:c>
      <x:c r="AL219" s="9"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9"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9"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9"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10"/>
      <x:c r="AQ219" s="9">
        <x:f t="shared" si="33"/>
        <x:v>0.80800000000000005</x:v>
      </x:c>
      <x:c r="AR219" s="9" t="n">
        <x:f>0</x:f>
        <x:v>0</x:v>
      </x:c>
      <x:c r="AS219" s="9"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x:f>
        <x:v>111.72819704354994</x:v>
      </x:c>
      <x:c r="AT219" s="9"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x:f>
        <x:v>113.82227136751132</x:v>
      </x:c>
      <x:c r="AU219" s="9"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x:f>
        <x:v>97.09996983443892</x:v>
      </x:c>
      <x:c r="AV219" s="9"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x:f>
        <x:v>97.09996983443892</x:v>
      </x:c>
      <x:c r="AW219" s="10"/>
      <x:c r="AX219" s="9">
        <x:f t="shared" si="34"/>
        <x:v>0.80800000000000005</x:v>
      </x:c>
      <x:c r="AY219" s="9" t="n">
        <x:f>0</x:f>
        <x:v>0</x:v>
      </x:c>
      <x:c r="AZ219" s="9" t="n">
        <x:f>IF(OR(Inputs!$F$6=TRUE,Inputs!$F$6="TRUE",Inputs!$F$6=1),(Inputs!$H$6+Inputs!$L$6*(((Inputs!$I$6+(((A219)+1)/2)*(Inputs!$J$6-Inputs!$I$6)))/Inputs!$K$6)^2),NA())</x:f>
        <x:v>402.611456</x:v>
      </x:c>
      <x:c r="BA219" s="9" t="n">
        <x:f>IF(OR(Inputs!$F$7=TRUE,Inputs!$F$7="TRUE",Inputs!$F$7=1),(Inputs!$H$7+Inputs!$L$7*(((Inputs!$I$7+(((A219)+1)/2)*(Inputs!$J$7-Inputs!$I$7)))/Inputs!$K$7)^2),NA())</x:f>
        <x:v>273.2953600000001</x:v>
      </x:c>
      <x:c r="BB219" s="9" t="n">
        <x:f>IF(OR(Inputs!$F$8=TRUE,Inputs!$F$8="TRUE",Inputs!$F$8=1),(Inputs!$H$8+Inputs!$L$8*(((Inputs!$I$8+(((A219)+1)/2)*(Inputs!$J$8-Inputs!$I$8)))/Inputs!$K$8)^2),NA())</x:f>
        <x:v>665.0137600000002</x:v>
      </x:c>
      <x:c r="BC219" s="9" t="n">
        <x:f>IF(OR(Inputs!$F$9=TRUE,Inputs!$F$9="TRUE",Inputs!$F$9=1),(Inputs!$H$9+Inputs!$L$9*(((Inputs!$I$9+(((A219)+1)/2)*(Inputs!$J$9-Inputs!$I$9)))/Inputs!$K$9)^2),NA())</x:f>
        <x:v>661.5424000000003</x:v>
      </x:c>
      <x:c r="BD219" s="10"/>
      <x:c r="BE219" s="9">
        <x:f t="shared" si="35"/>
        <x:v>0.80800000000000005</x:v>
      </x:c>
      <x:c r="BF219" s="9" t="n">
        <x:f>0</x:f>
        <x:v>0</x:v>
      </x:c>
      <x:c r="BG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9" t="n">
        <x:f>ROUND(-1+218*2/240,3)</x:f>
        <x:v>0.817</x:v>
      </x:c>
      <x:c r="B220" s="9" t="n">
        <x:f>IF(OR(Inputs!$F$6=TRUE,Inputs!$F$6="TRUE",Inputs!$F$6=1),(Inputs!$H$6+Inputs!$L$6*(((Inputs!$I$6+(((A220)+1)/2)*(Inputs!$J$6-Inputs!$I$6)))/Inputs!$K$6)^2),NA())</x:f>
        <x:v>402.669956</x:v>
      </x:c>
      <x:c r="C220" s="9" t="n">
        <x:f>IF(OR(Inputs!$F$7=TRUE,Inputs!$F$7="TRUE",Inputs!$F$7=1),(Inputs!$H$7+Inputs!$L$7*(((Inputs!$I$7+(((A220)+1)/2)*(Inputs!$J$7-Inputs!$I$7)))/Inputs!$K$7)^2),NA())</x:f>
        <x:v>278.63348499999995</x:v>
      </x:c>
      <x:c r="D220" s="9" t="n">
        <x:f>IF(OR(Inputs!$F$8=TRUE,Inputs!$F$8="TRUE",Inputs!$F$8=1),(Inputs!$H$8+Inputs!$L$8*(((Inputs!$I$8+(((A220)+1)/2)*(Inputs!$J$8-Inputs!$I$8)))/Inputs!$K$8)^2),NA())</x:f>
        <x:v>679.1268849999998</x:v>
      </x:c>
      <x:c r="E220" s="9" t="n">
        <x:f>IF(OR(Inputs!$F$9=TRUE,Inputs!$F$9="TRUE",Inputs!$F$9=1),(Inputs!$H$9+Inputs!$L$9*(((Inputs!$I$9+(((A220)+1)/2)*(Inputs!$J$9-Inputs!$I$9)))/Inputs!$K$9)^2),NA())</x:f>
        <x:v>675.8017749999998</x:v>
      </x:c>
      <x:c r="F220" s="10"/>
      <x:c r="G220" s="9">
        <x:f t="shared" si="27"/>
        <x:v>0.81699999999999995</x:v>
      </x:c>
      <x:c r="H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10"/>
      <x:c r="M220" s="9">
        <x:f t="shared" si="28"/>
        <x:v>0.81699999999999995</x:v>
      </x:c>
      <x:c r="N220" s="9"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9"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9"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9"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10"/>
      <x:c r="S220" s="9">
        <x:f t="shared" si="29"/>
        <x:v>0.81699999999999995</x:v>
      </x:c>
      <x:c r="T220" s="9" t="n">
        <x:f>(Inputs!$I$6+(((A220)+1)/2)*(Inputs!$J$6-Inputs!$I$6))</x:f>
        <x:v>49.019999999999996</x:v>
      </x:c>
      <x:c r="U220" s="9" t="n">
        <x:f>(Inputs!$I$7+(((A220)+1)/2)*(Inputs!$J$7-Inputs!$I$7))</x:f>
        <x:v>326.79999999999995</x:v>
      </x:c>
      <x:c r="V220" s="9" t="n">
        <x:f>(Inputs!$I$8+(((A220)+1)/2)*(Inputs!$J$8-Inputs!$I$8))</x:f>
        <x:v>653.5999999999999</x:v>
      </x:c>
      <x:c r="W220" s="9" t="n">
        <x:f>(Inputs!$I$9+(((A220)+1)/2)*(Inputs!$J$9-Inputs!$I$9))</x:f>
        <x:v>653.5999999999999</x:v>
      </x:c>
      <x:c r="X220" s="10"/>
      <x:c r="Y220" s="9">
        <x:f t="shared" si="30"/>
        <x:v>0.81699999999999995</x:v>
      </x:c>
      <x:c r="Z220" s="9" t="n">
        <x:f>(Inputs!$H$6+Inputs!$L$6*(((Inputs!$I$6+(((A220)+1)/2)*(Inputs!$J$6-Inputs!$I$6)))/Inputs!$K$6)^2)</x:f>
        <x:v>402.669956</x:v>
      </x:c>
      <x:c r="AA220" s="9" t="n">
        <x:f>(Inputs!$H$7+Inputs!$L$7*(((Inputs!$I$7+(((A220)+1)/2)*(Inputs!$J$7-Inputs!$I$7)))/Inputs!$K$7)^2)</x:f>
        <x:v>278.63348499999995</x:v>
      </x:c>
      <x:c r="AB220" s="9" t="n">
        <x:f>(Inputs!$H$8+Inputs!$L$8*(((Inputs!$I$8+(((A220)+1)/2)*(Inputs!$J$8-Inputs!$I$8)))/Inputs!$K$8)^2)</x:f>
        <x:v>679.1268849999998</x:v>
      </x:c>
      <x:c r="AC220" s="9" t="n">
        <x:f>(Inputs!$H$9+Inputs!$L$9*(((Inputs!$I$9+(((A220)+1)/2)*(Inputs!$J$9-Inputs!$I$9)))/Inputs!$K$9)^2)</x:f>
        <x:v>675.8017749999998</x:v>
      </x:c>
      <x:c r="AD220" s="10"/>
      <x:c r="AE220" s="9">
        <x:f t="shared" si="31"/>
        <x:v>0.81699999999999995</x:v>
      </x:c>
      <x:c r="AF220" s="9"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9"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9"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9"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10"/>
      <x:c r="AK220" s="9">
        <x:f t="shared" si="32"/>
        <x:v>0.81699999999999995</x:v>
      </x:c>
      <x:c r="AL220" s="9"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9"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9"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9"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10"/>
      <x:c r="AQ220" s="9">
        <x:f t="shared" si="33"/>
        <x:v>0.81699999999999995</x:v>
      </x:c>
      <x:c r="AR220" s="9" t="n">
        <x:f>0</x:f>
        <x:v>0</x:v>
      </x:c>
      <x:c r="AS220" s="9"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x:f>
        <x:v>105.08309482637527</x:v>
      </x:c>
      <x:c r="AT220" s="9"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x:f>
        <x:v>201.85061985078673</x:v>
      </x:c>
      <x:c r="AU220" s="9"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x:f>
        <x:v>222.5600991943694</x:v>
      </x:c>
      <x:c r="AV220" s="9"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x:f>
        <x:v>222.5600991943694</x:v>
      </x:c>
      <x:c r="AW220" s="10"/>
      <x:c r="AX220" s="9">
        <x:f t="shared" si="34"/>
        <x:v>0.81699999999999995</x:v>
      </x:c>
      <x:c r="AY220" s="9" t="n">
        <x:f>0</x:f>
        <x:v>0</x:v>
      </x:c>
      <x:c r="AZ220" s="9" t="n">
        <x:f>IF(OR(Inputs!$F$6=TRUE,Inputs!$F$6="TRUE",Inputs!$F$6=1),(Inputs!$H$6+Inputs!$L$6*(((Inputs!$I$6+(((A220)+1)/2)*(Inputs!$J$6-Inputs!$I$6)))/Inputs!$K$6)^2),NA())</x:f>
        <x:v>402.669956</x:v>
      </x:c>
      <x:c r="BA220" s="9" t="n">
        <x:f>IF(OR(Inputs!$F$7=TRUE,Inputs!$F$7="TRUE",Inputs!$F$7=1),(Inputs!$H$7+Inputs!$L$7*(((Inputs!$I$7+(((A220)+1)/2)*(Inputs!$J$7-Inputs!$I$7)))/Inputs!$K$7)^2),NA())</x:f>
        <x:v>278.63348499999995</x:v>
      </x:c>
      <x:c r="BB220" s="9" t="n">
        <x:f>IF(OR(Inputs!$F$8=TRUE,Inputs!$F$8="TRUE",Inputs!$F$8=1),(Inputs!$H$8+Inputs!$L$8*(((Inputs!$I$8+(((A220)+1)/2)*(Inputs!$J$8-Inputs!$I$8)))/Inputs!$K$8)^2),NA())</x:f>
        <x:v>679.1268849999998</x:v>
      </x:c>
      <x:c r="BC220" s="9" t="n">
        <x:f>IF(OR(Inputs!$F$9=TRUE,Inputs!$F$9="TRUE",Inputs!$F$9=1),(Inputs!$H$9+Inputs!$L$9*(((Inputs!$I$9+(((A220)+1)/2)*(Inputs!$J$9-Inputs!$I$9)))/Inputs!$K$9)^2),NA())</x:f>
        <x:v>675.8017749999998</x:v>
      </x:c>
      <x:c r="BD220" s="10"/>
      <x:c r="BE220" s="9">
        <x:f t="shared" si="35"/>
        <x:v>0.81699999999999995</x:v>
      </x:c>
      <x:c r="BF220" s="9" t="n">
        <x:f>0</x:f>
        <x:v>0</x:v>
      </x:c>
      <x:c r="BG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9" t="n">
        <x:f>ROUND(-1+219*2/240,3)</x:f>
        <x:v>0.825</x:v>
      </x:c>
      <x:c r="B221" s="9" t="n">
        <x:f>IF(OR(Inputs!$F$6=TRUE,Inputs!$F$6="TRUE",Inputs!$F$6=1),(Inputs!$H$6+Inputs!$L$6*(((Inputs!$I$6+(((A221)+1)/2)*(Inputs!$J$6-Inputs!$I$6)))/Inputs!$K$6)^2),NA())</x:f>
        <x:v>402.7225</x:v>
      </x:c>
      <x:c r="C221" s="9" t="n">
        <x:f>IF(OR(Inputs!$F$7=TRUE,Inputs!$F$7="TRUE",Inputs!$F$7=1),(Inputs!$H$7+Inputs!$L$7*(((Inputs!$I$7+(((A221)+1)/2)*(Inputs!$J$7-Inputs!$I$7)))/Inputs!$K$7)^2),NA())</x:f>
        <x:v>283.42812499999997</x:v>
      </x:c>
      <x:c r="D221" s="9" t="n">
        <x:f>IF(OR(Inputs!$F$8=TRUE,Inputs!$F$8="TRUE",Inputs!$F$8=1),(Inputs!$H$8+Inputs!$L$8*(((Inputs!$I$8+(((A221)+1)/2)*(Inputs!$J$8-Inputs!$I$8)))/Inputs!$K$8)^2),NA())</x:f>
        <x:v>691.8031249999999</x:v>
      </x:c>
      <x:c r="E221" s="9" t="n">
        <x:f>IF(OR(Inputs!$F$9=TRUE,Inputs!$F$9="TRUE",Inputs!$F$9=1),(Inputs!$H$9+Inputs!$L$9*(((Inputs!$I$9+(((A221)+1)/2)*(Inputs!$J$9-Inputs!$I$9)))/Inputs!$K$9)^2),NA())</x:f>
        <x:v>688.6093749999999</x:v>
      </x:c>
      <x:c r="F221" s="10"/>
      <x:c r="G221" s="9">
        <x:f t="shared" si="27"/>
        <x:v>0.82499999999999996</x:v>
      </x:c>
      <x:c r="H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10"/>
      <x:c r="M221" s="9">
        <x:f t="shared" si="28"/>
        <x:v>0.82499999999999996</x:v>
      </x:c>
      <x:c r="N221" s="9"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9"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9"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9"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10"/>
      <x:c r="S221" s="9">
        <x:f t="shared" si="29"/>
        <x:v>0.82499999999999996</x:v>
      </x:c>
      <x:c r="T221" s="9" t="n">
        <x:f>(Inputs!$I$6+(((A221)+1)/2)*(Inputs!$J$6-Inputs!$I$6))</x:f>
        <x:v>49.5</x:v>
      </x:c>
      <x:c r="U221" s="9" t="n">
        <x:f>(Inputs!$I$7+(((A221)+1)/2)*(Inputs!$J$7-Inputs!$I$7))</x:f>
        <x:v>330</x:v>
      </x:c>
      <x:c r="V221" s="9" t="n">
        <x:f>(Inputs!$I$8+(((A221)+1)/2)*(Inputs!$J$8-Inputs!$I$8))</x:f>
        <x:v>660</x:v>
      </x:c>
      <x:c r="W221" s="9" t="n">
        <x:f>(Inputs!$I$9+(((A221)+1)/2)*(Inputs!$J$9-Inputs!$I$9))</x:f>
        <x:v>660</x:v>
      </x:c>
      <x:c r="X221" s="10"/>
      <x:c r="Y221" s="9">
        <x:f t="shared" si="30"/>
        <x:v>0.82499999999999996</x:v>
      </x:c>
      <x:c r="Z221" s="9" t="n">
        <x:f>(Inputs!$H$6+Inputs!$L$6*(((Inputs!$I$6+(((A221)+1)/2)*(Inputs!$J$6-Inputs!$I$6)))/Inputs!$K$6)^2)</x:f>
        <x:v>402.7225</x:v>
      </x:c>
      <x:c r="AA221" s="9" t="n">
        <x:f>(Inputs!$H$7+Inputs!$L$7*(((Inputs!$I$7+(((A221)+1)/2)*(Inputs!$J$7-Inputs!$I$7)))/Inputs!$K$7)^2)</x:f>
        <x:v>283.42812499999997</x:v>
      </x:c>
      <x:c r="AB221" s="9" t="n">
        <x:f>(Inputs!$H$8+Inputs!$L$8*(((Inputs!$I$8+(((A221)+1)/2)*(Inputs!$J$8-Inputs!$I$8)))/Inputs!$K$8)^2)</x:f>
        <x:v>691.8031249999999</x:v>
      </x:c>
      <x:c r="AC221" s="9" t="n">
        <x:f>(Inputs!$H$9+Inputs!$L$9*(((Inputs!$I$9+(((A221)+1)/2)*(Inputs!$J$9-Inputs!$I$9)))/Inputs!$K$9)^2)</x:f>
        <x:v>688.6093749999999</x:v>
      </x:c>
      <x:c r="AD221" s="10"/>
      <x:c r="AE221" s="9">
        <x:f t="shared" si="31"/>
        <x:v>0.82499999999999996</x:v>
      </x:c>
      <x:c r="AF221" s="9"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9"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9"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9"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10"/>
      <x:c r="AK221" s="9">
        <x:f t="shared" si="32"/>
        <x:v>0.82499999999999996</x:v>
      </x:c>
      <x:c r="AL221" s="9"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9"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9"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9"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10"/>
      <x:c r="AQ221" s="9">
        <x:f t="shared" si="33"/>
        <x:v>0.82499999999999996</x:v>
      </x:c>
      <x:c r="AR221" s="9" t="n">
        <x:f>0</x:f>
        <x:v>0</x:v>
      </x:c>
      <x:c r="AS221" s="9"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x:f>
        <x:v>115.81874031490976</x:v>
      </x:c>
      <x:c r="AT221" s="9"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x:f>
        <x:v>171.3544459769522</x:v>
      </x:c>
      <x:c r="AU221" s="9"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x:f>
        <x:v>90.3845383854487</x:v>
      </x:c>
      <x:c r="AV221" s="9"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x:f>
        <x:v>90.3845383854487</x:v>
      </x:c>
      <x:c r="AW221" s="10"/>
      <x:c r="AX221" s="9">
        <x:f t="shared" si="34"/>
        <x:v>0.82499999999999996</x:v>
      </x:c>
      <x:c r="AY221" s="9" t="n">
        <x:f>0</x:f>
        <x:v>0</x:v>
      </x:c>
      <x:c r="AZ221" s="9" t="n">
        <x:f>IF(OR(Inputs!$F$6=TRUE,Inputs!$F$6="TRUE",Inputs!$F$6=1),(Inputs!$H$6+Inputs!$L$6*(((Inputs!$I$6+(((A221)+1)/2)*(Inputs!$J$6-Inputs!$I$6)))/Inputs!$K$6)^2),NA())</x:f>
        <x:v>402.7225</x:v>
      </x:c>
      <x:c r="BA221" s="9" t="n">
        <x:f>IF(OR(Inputs!$F$7=TRUE,Inputs!$F$7="TRUE",Inputs!$F$7=1),(Inputs!$H$7+Inputs!$L$7*(((Inputs!$I$7+(((A221)+1)/2)*(Inputs!$J$7-Inputs!$I$7)))/Inputs!$K$7)^2),NA())</x:f>
        <x:v>283.42812499999997</x:v>
      </x:c>
      <x:c r="BB221" s="9" t="n">
        <x:f>IF(OR(Inputs!$F$8=TRUE,Inputs!$F$8="TRUE",Inputs!$F$8=1),(Inputs!$H$8+Inputs!$L$8*(((Inputs!$I$8+(((A221)+1)/2)*(Inputs!$J$8-Inputs!$I$8)))/Inputs!$K$8)^2),NA())</x:f>
        <x:v>691.8031249999999</x:v>
      </x:c>
      <x:c r="BC221" s="9" t="n">
        <x:f>IF(OR(Inputs!$F$9=TRUE,Inputs!$F$9="TRUE",Inputs!$F$9=1),(Inputs!$H$9+Inputs!$L$9*(((Inputs!$I$9+(((A221)+1)/2)*(Inputs!$J$9-Inputs!$I$9)))/Inputs!$K$9)^2),NA())</x:f>
        <x:v>688.6093749999999</x:v>
      </x:c>
      <x:c r="BD221" s="10"/>
      <x:c r="BE221" s="9">
        <x:f t="shared" si="35"/>
        <x:v>0.82499999999999996</x:v>
      </x:c>
      <x:c r="BF221" s="9" t="n">
        <x:f>0</x:f>
        <x:v>0</x:v>
      </x:c>
      <x:c r="BG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9" t="n">
        <x:f>ROUND(-1+220*2/240,3)</x:f>
        <x:v>0.833</x:v>
      </x:c>
      <x:c r="B222" s="9" t="n">
        <x:f>IF(OR(Inputs!$F$6=TRUE,Inputs!$F$6="TRUE",Inputs!$F$6=1),(Inputs!$H$6+Inputs!$L$6*(((Inputs!$I$6+(((A222)+1)/2)*(Inputs!$J$6-Inputs!$I$6)))/Inputs!$K$6)^2),NA())</x:f>
        <x:v>402.775556</x:v>
      </x:c>
      <x:c r="C222" s="9" t="n">
        <x:f>IF(OR(Inputs!$F$7=TRUE,Inputs!$F$7="TRUE",Inputs!$F$7=1),(Inputs!$H$7+Inputs!$L$7*(((Inputs!$I$7+(((A222)+1)/2)*(Inputs!$J$7-Inputs!$I$7)))/Inputs!$K$7)^2),NA())</x:f>
        <x:v>288.2694849999999</x:v>
      </x:c>
      <x:c r="D222" s="9" t="n">
        <x:f>IF(OR(Inputs!$F$8=TRUE,Inputs!$F$8="TRUE",Inputs!$F$8=1),(Inputs!$H$8+Inputs!$L$8*(((Inputs!$I$8+(((A222)+1)/2)*(Inputs!$J$8-Inputs!$I$8)))/Inputs!$K$8)^2),NA())</x:f>
        <x:v>704.6028849999998</x:v>
      </x:c>
      <x:c r="E222" s="9" t="n">
        <x:f>IF(OR(Inputs!$F$9=TRUE,Inputs!$F$9="TRUE",Inputs!$F$9=1),(Inputs!$H$9+Inputs!$L$9*(((Inputs!$I$9+(((A222)+1)/2)*(Inputs!$J$9-Inputs!$I$9)))/Inputs!$K$9)^2),NA())</x:f>
        <x:v>701.5417749999998</x:v>
      </x:c>
      <x:c r="F222" s="10"/>
      <x:c r="G222" s="9">
        <x:f t="shared" si="27"/>
        <x:v>0.83299999999999996</x:v>
      </x:c>
      <x:c r="H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10"/>
      <x:c r="M222" s="9">
        <x:f t="shared" si="28"/>
        <x:v>0.83299999999999996</x:v>
      </x:c>
      <x:c r="N222" s="9"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9"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9"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9"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10"/>
      <x:c r="S222" s="9">
        <x:f t="shared" si="29"/>
        <x:v>0.83299999999999996</x:v>
      </x:c>
      <x:c r="T222" s="9" t="n">
        <x:f>(Inputs!$I$6+(((A222)+1)/2)*(Inputs!$J$6-Inputs!$I$6))</x:f>
        <x:v>49.980000000000004</x:v>
      </x:c>
      <x:c r="U222" s="9" t="n">
        <x:f>(Inputs!$I$7+(((A222)+1)/2)*(Inputs!$J$7-Inputs!$I$7))</x:f>
        <x:v>333.19999999999993</x:v>
      </x:c>
      <x:c r="V222" s="9" t="n">
        <x:f>(Inputs!$I$8+(((A222)+1)/2)*(Inputs!$J$8-Inputs!$I$8))</x:f>
        <x:v>666.3999999999999</x:v>
      </x:c>
      <x:c r="W222" s="9" t="n">
        <x:f>(Inputs!$I$9+(((A222)+1)/2)*(Inputs!$J$9-Inputs!$I$9))</x:f>
        <x:v>666.3999999999999</x:v>
      </x:c>
      <x:c r="X222" s="10"/>
      <x:c r="Y222" s="9">
        <x:f t="shared" si="30"/>
        <x:v>0.83299999999999996</x:v>
      </x:c>
      <x:c r="Z222" s="9" t="n">
        <x:f>(Inputs!$H$6+Inputs!$L$6*(((Inputs!$I$6+(((A222)+1)/2)*(Inputs!$J$6-Inputs!$I$6)))/Inputs!$K$6)^2)</x:f>
        <x:v>402.775556</x:v>
      </x:c>
      <x:c r="AA222" s="9" t="n">
        <x:f>(Inputs!$H$7+Inputs!$L$7*(((Inputs!$I$7+(((A222)+1)/2)*(Inputs!$J$7-Inputs!$I$7)))/Inputs!$K$7)^2)</x:f>
        <x:v>288.2694849999999</x:v>
      </x:c>
      <x:c r="AB222" s="9" t="n">
        <x:f>(Inputs!$H$8+Inputs!$L$8*(((Inputs!$I$8+(((A222)+1)/2)*(Inputs!$J$8-Inputs!$I$8)))/Inputs!$K$8)^2)</x:f>
        <x:v>704.6028849999998</x:v>
      </x:c>
      <x:c r="AC222" s="9" t="n">
        <x:f>(Inputs!$H$9+Inputs!$L$9*(((Inputs!$I$9+(((A222)+1)/2)*(Inputs!$J$9-Inputs!$I$9)))/Inputs!$K$9)^2)</x:f>
        <x:v>701.5417749999998</x:v>
      </x:c>
      <x:c r="AD222" s="10"/>
      <x:c r="AE222" s="9">
        <x:f t="shared" si="31"/>
        <x:v>0.83299999999999996</x:v>
      </x:c>
      <x:c r="AF222" s="9"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9"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9"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9"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10"/>
      <x:c r="AK222" s="9">
        <x:f t="shared" si="32"/>
        <x:v>0.83299999999999996</x:v>
      </x:c>
      <x:c r="AL222" s="9"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9"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9"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9"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10"/>
      <x:c r="AQ222" s="9">
        <x:f t="shared" si="33"/>
        <x:v>0.83299999999999996</x:v>
      </x:c>
      <x:c r="AR222" s="9" t="n">
        <x:f>0</x:f>
        <x:v>0</x:v>
      </x:c>
      <x:c r="AS222" s="9"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x:f>
        <x:v>122.74501683382235</x:v>
      </x:c>
      <x:c r="AT222" s="9"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x:f>
        <x:v>103.09034505364662</x:v>
      </x:c>
      <x:c r="AU222" s="9"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x:f>
        <x:v>156.81951761950825</x:v>
      </x:c>
      <x:c r="AV222" s="9"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x:f>
        <x:v>156.81951761950825</x:v>
      </x:c>
      <x:c r="AW222" s="10"/>
      <x:c r="AX222" s="9">
        <x:f t="shared" si="34"/>
        <x:v>0.83299999999999996</x:v>
      </x:c>
      <x:c r="AY222" s="9" t="n">
        <x:f>0</x:f>
        <x:v>0</x:v>
      </x:c>
      <x:c r="AZ222" s="9" t="n">
        <x:f>IF(OR(Inputs!$F$6=TRUE,Inputs!$F$6="TRUE",Inputs!$F$6=1),(Inputs!$H$6+Inputs!$L$6*(((Inputs!$I$6+(((A222)+1)/2)*(Inputs!$J$6-Inputs!$I$6)))/Inputs!$K$6)^2),NA())</x:f>
        <x:v>402.775556</x:v>
      </x:c>
      <x:c r="BA222" s="9" t="n">
        <x:f>IF(OR(Inputs!$F$7=TRUE,Inputs!$F$7="TRUE",Inputs!$F$7=1),(Inputs!$H$7+Inputs!$L$7*(((Inputs!$I$7+(((A222)+1)/2)*(Inputs!$J$7-Inputs!$I$7)))/Inputs!$K$7)^2),NA())</x:f>
        <x:v>288.2694849999999</x:v>
      </x:c>
      <x:c r="BB222" s="9" t="n">
        <x:f>IF(OR(Inputs!$F$8=TRUE,Inputs!$F$8="TRUE",Inputs!$F$8=1),(Inputs!$H$8+Inputs!$L$8*(((Inputs!$I$8+(((A222)+1)/2)*(Inputs!$J$8-Inputs!$I$8)))/Inputs!$K$8)^2),NA())</x:f>
        <x:v>704.6028849999998</x:v>
      </x:c>
      <x:c r="BC222" s="9" t="n">
        <x:f>IF(OR(Inputs!$F$9=TRUE,Inputs!$F$9="TRUE",Inputs!$F$9=1),(Inputs!$H$9+Inputs!$L$9*(((Inputs!$I$9+(((A222)+1)/2)*(Inputs!$J$9-Inputs!$I$9)))/Inputs!$K$9)^2),NA())</x:f>
        <x:v>701.5417749999998</x:v>
      </x:c>
      <x:c r="BD222" s="10"/>
      <x:c r="BE222" s="9">
        <x:f t="shared" si="35"/>
        <x:v>0.83299999999999996</x:v>
      </x:c>
      <x:c r="BF222" s="9" t="n">
        <x:f>0</x:f>
        <x:v>0</x:v>
      </x:c>
      <x:c r="BG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9" t="n">
        <x:f>ROUND(-1+221*2/240,3)</x:f>
        <x:v>0.842</x:v>
      </x:c>
      <x:c r="B223" s="9" t="n">
        <x:f>IF(OR(Inputs!$F$6=TRUE,Inputs!$F$6="TRUE",Inputs!$F$6=1),(Inputs!$H$6+Inputs!$L$6*(((Inputs!$I$6+(((A223)+1)/2)*(Inputs!$J$6-Inputs!$I$6)))/Inputs!$K$6)^2),NA())</x:f>
        <x:v>402.835856</x:v>
      </x:c>
      <x:c r="C223" s="9" t="n">
        <x:f>IF(OR(Inputs!$F$7=TRUE,Inputs!$F$7="TRUE",Inputs!$F$7=1),(Inputs!$H$7+Inputs!$L$7*(((Inputs!$I$7+(((A223)+1)/2)*(Inputs!$J$7-Inputs!$I$7)))/Inputs!$K$7)^2),NA())</x:f>
        <x:v>293.7718600000001</x:v>
      </x:c>
      <x:c r="D223" s="9" t="n">
        <x:f>IF(OR(Inputs!$F$8=TRUE,Inputs!$F$8="TRUE",Inputs!$F$8=1),(Inputs!$H$8+Inputs!$L$8*(((Inputs!$I$8+(((A223)+1)/2)*(Inputs!$J$8-Inputs!$I$8)))/Inputs!$K$8)^2),NA())</x:f>
        <x:v>719.1502600000003</x:v>
      </x:c>
      <x:c r="E223" s="9" t="n">
        <x:f>IF(OR(Inputs!$F$9=TRUE,Inputs!$F$9="TRUE",Inputs!$F$9=1),(Inputs!$H$9+Inputs!$L$9*(((Inputs!$I$9+(((A223)+1)/2)*(Inputs!$J$9-Inputs!$I$9)))/Inputs!$K$9)^2),NA())</x:f>
        <x:v>716.2399000000004</x:v>
      </x:c>
      <x:c r="F223" s="10"/>
      <x:c r="G223" s="9">
        <x:f t="shared" si="27"/>
        <x:v>0.84199999999999997</x:v>
      </x:c>
      <x:c r="H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10"/>
      <x:c r="M223" s="9">
        <x:f t="shared" si="28"/>
        <x:v>0.84199999999999997</x:v>
      </x:c>
      <x:c r="N223" s="9"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9"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9"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9"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10"/>
      <x:c r="S223" s="9">
        <x:f t="shared" si="29"/>
        <x:v>0.84199999999999997</x:v>
      </x:c>
      <x:c r="T223" s="9" t="n">
        <x:f>(Inputs!$I$6+(((A223)+1)/2)*(Inputs!$J$6-Inputs!$I$6))</x:f>
        <x:v>50.52000000000001</x:v>
      </x:c>
      <x:c r="U223" s="9" t="n">
        <x:f>(Inputs!$I$7+(((A223)+1)/2)*(Inputs!$J$7-Inputs!$I$7))</x:f>
        <x:v>336.80000000000007</x:v>
      </x:c>
      <x:c r="V223" s="9" t="n">
        <x:f>(Inputs!$I$8+(((A223)+1)/2)*(Inputs!$J$8-Inputs!$I$8))</x:f>
        <x:v>673.6000000000001</x:v>
      </x:c>
      <x:c r="W223" s="9" t="n">
        <x:f>(Inputs!$I$9+(((A223)+1)/2)*(Inputs!$J$9-Inputs!$I$9))</x:f>
        <x:v>673.6000000000001</x:v>
      </x:c>
      <x:c r="X223" s="10"/>
      <x:c r="Y223" s="9">
        <x:f t="shared" si="30"/>
        <x:v>0.84199999999999997</x:v>
      </x:c>
      <x:c r="Z223" s="9" t="n">
        <x:f>(Inputs!$H$6+Inputs!$L$6*(((Inputs!$I$6+(((A223)+1)/2)*(Inputs!$J$6-Inputs!$I$6)))/Inputs!$K$6)^2)</x:f>
        <x:v>402.835856</x:v>
      </x:c>
      <x:c r="AA223" s="9" t="n">
        <x:f>(Inputs!$H$7+Inputs!$L$7*(((Inputs!$I$7+(((A223)+1)/2)*(Inputs!$J$7-Inputs!$I$7)))/Inputs!$K$7)^2)</x:f>
        <x:v>293.7718600000001</x:v>
      </x:c>
      <x:c r="AB223" s="9" t="n">
        <x:f>(Inputs!$H$8+Inputs!$L$8*(((Inputs!$I$8+(((A223)+1)/2)*(Inputs!$J$8-Inputs!$I$8)))/Inputs!$K$8)^2)</x:f>
        <x:v>719.1502600000003</x:v>
      </x:c>
      <x:c r="AC223" s="9" t="n">
        <x:f>(Inputs!$H$9+Inputs!$L$9*(((Inputs!$I$9+(((A223)+1)/2)*(Inputs!$J$9-Inputs!$I$9)))/Inputs!$K$9)^2)</x:f>
        <x:v>716.2399000000004</x:v>
      </x:c>
      <x:c r="AD223" s="10"/>
      <x:c r="AE223" s="9">
        <x:f t="shared" si="31"/>
        <x:v>0.84199999999999997</x:v>
      </x:c>
      <x:c r="AF223" s="9"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9"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9"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9"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10"/>
      <x:c r="AK223" s="9">
        <x:f t="shared" si="32"/>
        <x:v>0.84199999999999997</x:v>
      </x:c>
      <x:c r="AL223" s="9"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9"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9"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9"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10"/>
      <x:c r="AQ223" s="9">
        <x:f t="shared" si="33"/>
        <x:v>0.84199999999999997</x:v>
      </x:c>
      <x:c r="AR223" s="9" t="n">
        <x:f>0</x:f>
        <x:v>0</x:v>
      </x:c>
      <x:c r="AS223" s="9"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x:f>
        <x:v>131.80942878641432</x:v>
      </x:c>
      <x:c r="AT223" s="9"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x:f>
        <x:v>99.07593867763723</x:v>
      </x:c>
      <x:c r="AU223" s="9"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x:f>
        <x:v>163.751856106696</x:v>
      </x:c>
      <x:c r="AV223" s="9"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x:f>
        <x:v>163.751856106696</x:v>
      </x:c>
      <x:c r="AW223" s="10"/>
      <x:c r="AX223" s="9">
        <x:f t="shared" si="34"/>
        <x:v>0.84199999999999997</x:v>
      </x:c>
      <x:c r="AY223" s="9" t="n">
        <x:f>0</x:f>
        <x:v>0</x:v>
      </x:c>
      <x:c r="AZ223" s="9" t="n">
        <x:f>IF(OR(Inputs!$F$6=TRUE,Inputs!$F$6="TRUE",Inputs!$F$6=1),(Inputs!$H$6+Inputs!$L$6*(((Inputs!$I$6+(((A223)+1)/2)*(Inputs!$J$6-Inputs!$I$6)))/Inputs!$K$6)^2),NA())</x:f>
        <x:v>402.835856</x:v>
      </x:c>
      <x:c r="BA223" s="9" t="n">
        <x:f>IF(OR(Inputs!$F$7=TRUE,Inputs!$F$7="TRUE",Inputs!$F$7=1),(Inputs!$H$7+Inputs!$L$7*(((Inputs!$I$7+(((A223)+1)/2)*(Inputs!$J$7-Inputs!$I$7)))/Inputs!$K$7)^2),NA())</x:f>
        <x:v>293.7718600000001</x:v>
      </x:c>
      <x:c r="BB223" s="9" t="n">
        <x:f>IF(OR(Inputs!$F$8=TRUE,Inputs!$F$8="TRUE",Inputs!$F$8=1),(Inputs!$H$8+Inputs!$L$8*(((Inputs!$I$8+(((A223)+1)/2)*(Inputs!$J$8-Inputs!$I$8)))/Inputs!$K$8)^2),NA())</x:f>
        <x:v>719.1502600000003</x:v>
      </x:c>
      <x:c r="BC223" s="9" t="n">
        <x:f>IF(OR(Inputs!$F$9=TRUE,Inputs!$F$9="TRUE",Inputs!$F$9=1),(Inputs!$H$9+Inputs!$L$9*(((Inputs!$I$9+(((A223)+1)/2)*(Inputs!$J$9-Inputs!$I$9)))/Inputs!$K$9)^2),NA())</x:f>
        <x:v>716.2399000000004</x:v>
      </x:c>
      <x:c r="BD223" s="10"/>
      <x:c r="BE223" s="9">
        <x:f t="shared" si="35"/>
        <x:v>0.84199999999999997</x:v>
      </x:c>
      <x:c r="BF223" s="9" t="n">
        <x:f>0</x:f>
        <x:v>0</x:v>
      </x:c>
      <x:c r="BG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9" t="n">
        <x:f>ROUND(-1+222*2/240,3)</x:f>
        <x:v>0.85</x:v>
      </x:c>
      <x:c r="B224" s="9" t="n">
        <x:f>IF(OR(Inputs!$F$6=TRUE,Inputs!$F$6="TRUE",Inputs!$F$6=1),(Inputs!$H$6+Inputs!$L$6*(((Inputs!$I$6+(((A224)+1)/2)*(Inputs!$J$6-Inputs!$I$6)))/Inputs!$K$6)^2),NA())</x:f>
        <x:v>402.89</x:v>
      </x:c>
      <x:c r="C224" s="9" t="n">
        <x:f>IF(OR(Inputs!$F$7=TRUE,Inputs!$F$7="TRUE",Inputs!$F$7=1),(Inputs!$H$7+Inputs!$L$7*(((Inputs!$I$7+(((A224)+1)/2)*(Inputs!$J$7-Inputs!$I$7)))/Inputs!$K$7)^2),NA())</x:f>
        <x:v>298.7125</x:v>
      </x:c>
      <x:c r="D224" s="9" t="n">
        <x:f>IF(OR(Inputs!$F$8=TRUE,Inputs!$F$8="TRUE",Inputs!$F$8=1),(Inputs!$H$8+Inputs!$L$8*(((Inputs!$I$8+(((A224)+1)/2)*(Inputs!$J$8-Inputs!$I$8)))/Inputs!$K$8)^2),NA())</x:f>
        <x:v>732.2125</x:v>
      </x:c>
      <x:c r="E224" s="9" t="n">
        <x:f>IF(OR(Inputs!$F$9=TRUE,Inputs!$F$9="TRUE",Inputs!$F$9=1),(Inputs!$H$9+Inputs!$L$9*(((Inputs!$I$9+(((A224)+1)/2)*(Inputs!$J$9-Inputs!$I$9)))/Inputs!$K$9)^2),NA())</x:f>
        <x:v>729.4374999999999</x:v>
      </x:c>
      <x:c r="F224" s="10"/>
      <x:c r="G224" s="9">
        <x:f t="shared" si="27"/>
        <x:v>0.85</x:v>
      </x:c>
      <x:c r="H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10"/>
      <x:c r="M224" s="9">
        <x:f t="shared" si="28"/>
        <x:v>0.85</x:v>
      </x:c>
      <x:c r="N224" s="9"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9"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9"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9"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10"/>
      <x:c r="S224" s="9">
        <x:f t="shared" si="29"/>
        <x:v>0.85</x:v>
      </x:c>
      <x:c r="T224" s="9" t="n">
        <x:f>(Inputs!$I$6+(((A224)+1)/2)*(Inputs!$J$6-Inputs!$I$6))</x:f>
        <x:v>51</x:v>
      </x:c>
      <x:c r="U224" s="9" t="n">
        <x:f>(Inputs!$I$7+(((A224)+1)/2)*(Inputs!$J$7-Inputs!$I$7))</x:f>
        <x:v>340</x:v>
      </x:c>
      <x:c r="V224" s="9" t="n">
        <x:f>(Inputs!$I$8+(((A224)+1)/2)*(Inputs!$J$8-Inputs!$I$8))</x:f>
        <x:v>680</x:v>
      </x:c>
      <x:c r="W224" s="9" t="n">
        <x:f>(Inputs!$I$9+(((A224)+1)/2)*(Inputs!$J$9-Inputs!$I$9))</x:f>
        <x:v>680</x:v>
      </x:c>
      <x:c r="X224" s="10"/>
      <x:c r="Y224" s="9">
        <x:f t="shared" si="30"/>
        <x:v>0.85</x:v>
      </x:c>
      <x:c r="Z224" s="9" t="n">
        <x:f>(Inputs!$H$6+Inputs!$L$6*(((Inputs!$I$6+(((A224)+1)/2)*(Inputs!$J$6-Inputs!$I$6)))/Inputs!$K$6)^2)</x:f>
        <x:v>402.89</x:v>
      </x:c>
      <x:c r="AA224" s="9" t="n">
        <x:f>(Inputs!$H$7+Inputs!$L$7*(((Inputs!$I$7+(((A224)+1)/2)*(Inputs!$J$7-Inputs!$I$7)))/Inputs!$K$7)^2)</x:f>
        <x:v>298.7125</x:v>
      </x:c>
      <x:c r="AB224" s="9" t="n">
        <x:f>(Inputs!$H$8+Inputs!$L$8*(((Inputs!$I$8+(((A224)+1)/2)*(Inputs!$J$8-Inputs!$I$8)))/Inputs!$K$8)^2)</x:f>
        <x:v>732.2125</x:v>
      </x:c>
      <x:c r="AC224" s="9" t="n">
        <x:f>(Inputs!$H$9+Inputs!$L$9*(((Inputs!$I$9+(((A224)+1)/2)*(Inputs!$J$9-Inputs!$I$9)))/Inputs!$K$9)^2)</x:f>
        <x:v>729.4374999999999</x:v>
      </x:c>
      <x:c r="AD224" s="10"/>
      <x:c r="AE224" s="9">
        <x:f t="shared" si="31"/>
        <x:v>0.85</x:v>
      </x:c>
      <x:c r="AF224" s="9"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9"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9"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9"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10"/>
      <x:c r="AK224" s="9">
        <x:f t="shared" si="32"/>
        <x:v>0.85</x:v>
      </x:c>
      <x:c r="AL224" s="9"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9"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9"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9"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10"/>
      <x:c r="AQ224" s="9">
        <x:f t="shared" si="33"/>
        <x:v>0.85</x:v>
      </x:c>
      <x:c r="AR224" s="9" t="n">
        <x:f>0</x:f>
        <x:v>0</x:v>
      </x:c>
      <x:c r="AS224" s="9"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x:f>
        <x:v>137.08289632779307</x:v>
      </x:c>
      <x:c r="AT224" s="9"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x:f>
        <x:v>124.64043868220405</x:v>
      </x:c>
      <x:c r="AU224" s="9"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x:f>
        <x:v>51.488930519125816</x:v>
      </x:c>
      <x:c r="AV224" s="9"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x:f>
        <x:v>51.488930519125816</x:v>
      </x:c>
      <x:c r="AW224" s="10"/>
      <x:c r="AX224" s="9">
        <x:f t="shared" si="34"/>
        <x:v>0.85</x:v>
      </x:c>
      <x:c r="AY224" s="9" t="n">
        <x:f>0</x:f>
        <x:v>0</x:v>
      </x:c>
      <x:c r="AZ224" s="9" t="n">
        <x:f>IF(OR(Inputs!$F$6=TRUE,Inputs!$F$6="TRUE",Inputs!$F$6=1),(Inputs!$H$6+Inputs!$L$6*(((Inputs!$I$6+(((A224)+1)/2)*(Inputs!$J$6-Inputs!$I$6)))/Inputs!$K$6)^2),NA())</x:f>
        <x:v>402.89</x:v>
      </x:c>
      <x:c r="BA224" s="9" t="n">
        <x:f>IF(OR(Inputs!$F$7=TRUE,Inputs!$F$7="TRUE",Inputs!$F$7=1),(Inputs!$H$7+Inputs!$L$7*(((Inputs!$I$7+(((A224)+1)/2)*(Inputs!$J$7-Inputs!$I$7)))/Inputs!$K$7)^2),NA())</x:f>
        <x:v>298.7125</x:v>
      </x:c>
      <x:c r="BB224" s="9" t="n">
        <x:f>IF(OR(Inputs!$F$8=TRUE,Inputs!$F$8="TRUE",Inputs!$F$8=1),(Inputs!$H$8+Inputs!$L$8*(((Inputs!$I$8+(((A224)+1)/2)*(Inputs!$J$8-Inputs!$I$8)))/Inputs!$K$8)^2),NA())</x:f>
        <x:v>732.2125</x:v>
      </x:c>
      <x:c r="BC224" s="9" t="n">
        <x:f>IF(OR(Inputs!$F$9=TRUE,Inputs!$F$9="TRUE",Inputs!$F$9=1),(Inputs!$H$9+Inputs!$L$9*(((Inputs!$I$9+(((A224)+1)/2)*(Inputs!$J$9-Inputs!$I$9)))/Inputs!$K$9)^2),NA())</x:f>
        <x:v>729.4374999999999</x:v>
      </x:c>
      <x:c r="BD224" s="10"/>
      <x:c r="BE224" s="9">
        <x:f t="shared" si="35"/>
        <x:v>0.85</x:v>
      </x:c>
      <x:c r="BF224" s="9" t="n">
        <x:f>0</x:f>
        <x:v>0</x:v>
      </x:c>
      <x:c r="BG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9" t="n">
        <x:f>ROUND(-1+223*2/240,3)</x:f>
        <x:v>0.858</x:v>
      </x:c>
      <x:c r="B225" s="9" t="n">
        <x:f>IF(OR(Inputs!$F$6=TRUE,Inputs!$F$6="TRUE",Inputs!$F$6=1),(Inputs!$H$6+Inputs!$L$6*(((Inputs!$I$6+(((A225)+1)/2)*(Inputs!$J$6-Inputs!$I$6)))/Inputs!$K$6)^2),NA())</x:f>
        <x:v>402.944656</x:v>
      </x:c>
      <x:c r="C225" s="9" t="n">
        <x:f>IF(OR(Inputs!$F$7=TRUE,Inputs!$F$7="TRUE",Inputs!$F$7=1),(Inputs!$H$7+Inputs!$L$7*(((Inputs!$I$7+(((A225)+1)/2)*(Inputs!$J$7-Inputs!$I$7)))/Inputs!$K$7)^2),NA())</x:f>
        <x:v>303.69986000000006</x:v>
      </x:c>
      <x:c r="D225" s="9" t="n">
        <x:f>IF(OR(Inputs!$F$8=TRUE,Inputs!$F$8="TRUE",Inputs!$F$8=1),(Inputs!$H$8+Inputs!$L$8*(((Inputs!$I$8+(((A225)+1)/2)*(Inputs!$J$8-Inputs!$I$8)))/Inputs!$K$8)^2),NA())</x:f>
        <x:v>745.3982600000002</x:v>
      </x:c>
      <x:c r="E225" s="9" t="n">
        <x:f>IF(OR(Inputs!$F$9=TRUE,Inputs!$F$9="TRUE",Inputs!$F$9=1),(Inputs!$H$9+Inputs!$L$9*(((Inputs!$I$9+(((A225)+1)/2)*(Inputs!$J$9-Inputs!$I$9)))/Inputs!$K$9)^2),NA())</x:f>
        <x:v>742.7599000000001</x:v>
      </x:c>
      <x:c r="F225" s="10"/>
      <x:c r="G225" s="9">
        <x:f t="shared" si="27"/>
        <x:v>0.85799999999999998</x:v>
      </x:c>
      <x:c r="H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10"/>
      <x:c r="M225" s="9">
        <x:f t="shared" si="28"/>
        <x:v>0.85799999999999998</x:v>
      </x:c>
      <x:c r="N225" s="9"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9"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9"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9"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10"/>
      <x:c r="S225" s="9">
        <x:f t="shared" si="29"/>
        <x:v>0.85799999999999998</x:v>
      </x:c>
      <x:c r="T225" s="9" t="n">
        <x:f>(Inputs!$I$6+(((A225)+1)/2)*(Inputs!$J$6-Inputs!$I$6))</x:f>
        <x:v>51.480000000000004</x:v>
      </x:c>
      <x:c r="U225" s="9" t="n">
        <x:f>(Inputs!$I$7+(((A225)+1)/2)*(Inputs!$J$7-Inputs!$I$7))</x:f>
        <x:v>343.20000000000005</x:v>
      </x:c>
      <x:c r="V225" s="9" t="n">
        <x:f>(Inputs!$I$8+(((A225)+1)/2)*(Inputs!$J$8-Inputs!$I$8))</x:f>
        <x:v>686.4000000000001</x:v>
      </x:c>
      <x:c r="W225" s="9" t="n">
        <x:f>(Inputs!$I$9+(((A225)+1)/2)*(Inputs!$J$9-Inputs!$I$9))</x:f>
        <x:v>686.4000000000001</x:v>
      </x:c>
      <x:c r="X225" s="10"/>
      <x:c r="Y225" s="9">
        <x:f t="shared" si="30"/>
        <x:v>0.85799999999999998</x:v>
      </x:c>
      <x:c r="Z225" s="9" t="n">
        <x:f>(Inputs!$H$6+Inputs!$L$6*(((Inputs!$I$6+(((A225)+1)/2)*(Inputs!$J$6-Inputs!$I$6)))/Inputs!$K$6)^2)</x:f>
        <x:v>402.944656</x:v>
      </x:c>
      <x:c r="AA225" s="9" t="n">
        <x:f>(Inputs!$H$7+Inputs!$L$7*(((Inputs!$I$7+(((A225)+1)/2)*(Inputs!$J$7-Inputs!$I$7)))/Inputs!$K$7)^2)</x:f>
        <x:v>303.69986000000006</x:v>
      </x:c>
      <x:c r="AB225" s="9" t="n">
        <x:f>(Inputs!$H$8+Inputs!$L$8*(((Inputs!$I$8+(((A225)+1)/2)*(Inputs!$J$8-Inputs!$I$8)))/Inputs!$K$8)^2)</x:f>
        <x:v>745.3982600000002</x:v>
      </x:c>
      <x:c r="AC225" s="9" t="n">
        <x:f>(Inputs!$H$9+Inputs!$L$9*(((Inputs!$I$9+(((A225)+1)/2)*(Inputs!$J$9-Inputs!$I$9)))/Inputs!$K$9)^2)</x:f>
        <x:v>742.7599000000001</x:v>
      </x:c>
      <x:c r="AD225" s="10"/>
      <x:c r="AE225" s="9">
        <x:f t="shared" si="31"/>
        <x:v>0.85799999999999998</x:v>
      </x:c>
      <x:c r="AF225" s="9"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9"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9"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9"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10"/>
      <x:c r="AK225" s="9">
        <x:f t="shared" si="32"/>
        <x:v>0.85799999999999998</x:v>
      </x:c>
      <x:c r="AL225" s="9"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9"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9"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9"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10"/>
      <x:c r="AQ225" s="9">
        <x:f t="shared" si="33"/>
        <x:v>0.85799999999999998</x:v>
      </x:c>
      <x:c r="AR225" s="9" t="n">
        <x:f>0</x:f>
        <x:v>0</x:v>
      </x:c>
      <x:c r="AS225" s="9"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x:f>
        <x:v>139.38284808697506</x:v>
      </x:c>
      <x:c r="AT225" s="9"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x:f>
        <x:v>151.34081083012887</x:v>
      </x:c>
      <x:c r="AU225" s="9"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x:f>
        <x:v>185.73986359394797</x:v>
      </x:c>
      <x:c r="AV225" s="9"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x:f>
        <x:v>185.73986359394797</x:v>
      </x:c>
      <x:c r="AW225" s="10"/>
      <x:c r="AX225" s="9">
        <x:f t="shared" si="34"/>
        <x:v>0.85799999999999998</x:v>
      </x:c>
      <x:c r="AY225" s="9" t="n">
        <x:f>0</x:f>
        <x:v>0</x:v>
      </x:c>
      <x:c r="AZ225" s="9" t="n">
        <x:f>IF(OR(Inputs!$F$6=TRUE,Inputs!$F$6="TRUE",Inputs!$F$6=1),(Inputs!$H$6+Inputs!$L$6*(((Inputs!$I$6+(((A225)+1)/2)*(Inputs!$J$6-Inputs!$I$6)))/Inputs!$K$6)^2),NA())</x:f>
        <x:v>402.944656</x:v>
      </x:c>
      <x:c r="BA225" s="9" t="n">
        <x:f>IF(OR(Inputs!$F$7=TRUE,Inputs!$F$7="TRUE",Inputs!$F$7=1),(Inputs!$H$7+Inputs!$L$7*(((Inputs!$I$7+(((A225)+1)/2)*(Inputs!$J$7-Inputs!$I$7)))/Inputs!$K$7)^2),NA())</x:f>
        <x:v>303.69986000000006</x:v>
      </x:c>
      <x:c r="BB225" s="9" t="n">
        <x:f>IF(OR(Inputs!$F$8=TRUE,Inputs!$F$8="TRUE",Inputs!$F$8=1),(Inputs!$H$8+Inputs!$L$8*(((Inputs!$I$8+(((A225)+1)/2)*(Inputs!$J$8-Inputs!$I$8)))/Inputs!$K$8)^2),NA())</x:f>
        <x:v>745.3982600000002</x:v>
      </x:c>
      <x:c r="BC225" s="9" t="n">
        <x:f>IF(OR(Inputs!$F$9=TRUE,Inputs!$F$9="TRUE",Inputs!$F$9=1),(Inputs!$H$9+Inputs!$L$9*(((Inputs!$I$9+(((A225)+1)/2)*(Inputs!$J$9-Inputs!$I$9)))/Inputs!$K$9)^2),NA())</x:f>
        <x:v>742.7599000000001</x:v>
      </x:c>
      <x:c r="BD225" s="10"/>
      <x:c r="BE225" s="9">
        <x:f t="shared" si="35"/>
        <x:v>0.85799999999999998</x:v>
      </x:c>
      <x:c r="BF225" s="9" t="n">
        <x:f>0</x:f>
        <x:v>0</x:v>
      </x:c>
      <x:c r="BG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9" t="n">
        <x:f>ROUND(-1+224*2/240,3)</x:f>
        <x:v>0.867</x:v>
      </x:c>
      <x:c r="B226" s="9" t="n">
        <x:f>IF(OR(Inputs!$F$6=TRUE,Inputs!$F$6="TRUE",Inputs!$F$6=1),(Inputs!$H$6+Inputs!$L$6*(((Inputs!$I$6+(((A226)+1)/2)*(Inputs!$J$6-Inputs!$I$6)))/Inputs!$K$6)^2),NA())</x:f>
        <x:v>403.006756</x:v>
      </x:c>
      <x:c r="C226" s="9" t="n">
        <x:f>IF(OR(Inputs!$F$7=TRUE,Inputs!$F$7="TRUE",Inputs!$F$7=1),(Inputs!$H$7+Inputs!$L$7*(((Inputs!$I$7+(((A226)+1)/2)*(Inputs!$J$7-Inputs!$I$7)))/Inputs!$K$7)^2),NA())</x:f>
        <x:v>309.36648499999995</x:v>
      </x:c>
      <x:c r="D226" s="9" t="n">
        <x:f>IF(OR(Inputs!$F$8=TRUE,Inputs!$F$8="TRUE",Inputs!$F$8=1),(Inputs!$H$8+Inputs!$L$8*(((Inputs!$I$8+(((A226)+1)/2)*(Inputs!$J$8-Inputs!$I$8)))/Inputs!$K$8)^2),NA())</x:f>
        <x:v>760.3798849999998</x:v>
      </x:c>
      <x:c r="E226" s="9" t="n">
        <x:f>IF(OR(Inputs!$F$9=TRUE,Inputs!$F$9="TRUE",Inputs!$F$9=1),(Inputs!$H$9+Inputs!$L$9*(((Inputs!$I$9+(((A226)+1)/2)*(Inputs!$J$9-Inputs!$I$9)))/Inputs!$K$9)^2),NA())</x:f>
        <x:v>757.8967749999998</x:v>
      </x:c>
      <x:c r="F226" s="10"/>
      <x:c r="G226" s="9">
        <x:f t="shared" si="27"/>
        <x:v>0.86699999999999999</x:v>
      </x:c>
      <x:c r="H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10"/>
      <x:c r="M226" s="9">
        <x:f t="shared" si="28"/>
        <x:v>0.86699999999999999</x:v>
      </x:c>
      <x:c r="N226" s="9"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9"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9"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9"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10"/>
      <x:c r="S226" s="9">
        <x:f t="shared" si="29"/>
        <x:v>0.86699999999999999</x:v>
      </x:c>
      <x:c r="T226" s="9" t="n">
        <x:f>(Inputs!$I$6+(((A226)+1)/2)*(Inputs!$J$6-Inputs!$I$6))</x:f>
        <x:v>52.019999999999996</x:v>
      </x:c>
      <x:c r="U226" s="9" t="n">
        <x:f>(Inputs!$I$7+(((A226)+1)/2)*(Inputs!$J$7-Inputs!$I$7))</x:f>
        <x:v>346.79999999999995</x:v>
      </x:c>
      <x:c r="V226" s="9" t="n">
        <x:f>(Inputs!$I$8+(((A226)+1)/2)*(Inputs!$J$8-Inputs!$I$8))</x:f>
        <x:v>693.5999999999999</x:v>
      </x:c>
      <x:c r="W226" s="9" t="n">
        <x:f>(Inputs!$I$9+(((A226)+1)/2)*(Inputs!$J$9-Inputs!$I$9))</x:f>
        <x:v>693.5999999999999</x:v>
      </x:c>
      <x:c r="X226" s="10"/>
      <x:c r="Y226" s="9">
        <x:f t="shared" si="30"/>
        <x:v>0.86699999999999999</x:v>
      </x:c>
      <x:c r="Z226" s="9" t="n">
        <x:f>(Inputs!$H$6+Inputs!$L$6*(((Inputs!$I$6+(((A226)+1)/2)*(Inputs!$J$6-Inputs!$I$6)))/Inputs!$K$6)^2)</x:f>
        <x:v>403.006756</x:v>
      </x:c>
      <x:c r="AA226" s="9" t="n">
        <x:f>(Inputs!$H$7+Inputs!$L$7*(((Inputs!$I$7+(((A226)+1)/2)*(Inputs!$J$7-Inputs!$I$7)))/Inputs!$K$7)^2)</x:f>
        <x:v>309.36648499999995</x:v>
      </x:c>
      <x:c r="AB226" s="9" t="n">
        <x:f>(Inputs!$H$8+Inputs!$L$8*(((Inputs!$I$8+(((A226)+1)/2)*(Inputs!$J$8-Inputs!$I$8)))/Inputs!$K$8)^2)</x:f>
        <x:v>760.3798849999998</x:v>
      </x:c>
      <x:c r="AC226" s="9" t="n">
        <x:f>(Inputs!$H$9+Inputs!$L$9*(((Inputs!$I$9+(((A226)+1)/2)*(Inputs!$J$9-Inputs!$I$9)))/Inputs!$K$9)^2)</x:f>
        <x:v>757.8967749999998</x:v>
      </x:c>
      <x:c r="AD226" s="10"/>
      <x:c r="AE226" s="9">
        <x:f t="shared" si="31"/>
        <x:v>0.86699999999999999</x:v>
      </x:c>
      <x:c r="AF226" s="9"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9"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9"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9"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10"/>
      <x:c r="AK226" s="9">
        <x:f t="shared" si="32"/>
        <x:v>0.86699999999999999</x:v>
      </x:c>
      <x:c r="AL226" s="9"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9"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9"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9"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10"/>
      <x:c r="AQ226" s="9">
        <x:f t="shared" si="33"/>
        <x:v>0.86699999999999999</x:v>
      </x:c>
      <x:c r="AR226" s="9" t="n">
        <x:f>0</x:f>
        <x:v>0</x:v>
      </x:c>
      <x:c r="AS226" s="9"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x:f>
        <x:v>155.46870582364224</x:v>
      </x:c>
      <x:c r="AT226" s="9"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x:f>
        <x:v>178.30958863794606</x:v>
      </x:c>
      <x:c r="AU226" s="9"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x:f>
        <x:v>95.88525583354524</x:v>
      </x:c>
      <x:c r="AV226" s="9"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x:f>
        <x:v>95.88525583354524</x:v>
      </x:c>
      <x:c r="AW226" s="10"/>
      <x:c r="AX226" s="9">
        <x:f t="shared" si="34"/>
        <x:v>0.86699999999999999</x:v>
      </x:c>
      <x:c r="AY226" s="9" t="n">
        <x:f>0</x:f>
        <x:v>0</x:v>
      </x:c>
      <x:c r="AZ226" s="9" t="n">
        <x:f>IF(OR(Inputs!$F$6=TRUE,Inputs!$F$6="TRUE",Inputs!$F$6=1),(Inputs!$H$6+Inputs!$L$6*(((Inputs!$I$6+(((A226)+1)/2)*(Inputs!$J$6-Inputs!$I$6)))/Inputs!$K$6)^2),NA())</x:f>
        <x:v>403.006756</x:v>
      </x:c>
      <x:c r="BA226" s="9" t="n">
        <x:f>IF(OR(Inputs!$F$7=TRUE,Inputs!$F$7="TRUE",Inputs!$F$7=1),(Inputs!$H$7+Inputs!$L$7*(((Inputs!$I$7+(((A226)+1)/2)*(Inputs!$J$7-Inputs!$I$7)))/Inputs!$K$7)^2),NA())</x:f>
        <x:v>309.36648499999995</x:v>
      </x:c>
      <x:c r="BB226" s="9" t="n">
        <x:f>IF(OR(Inputs!$F$8=TRUE,Inputs!$F$8="TRUE",Inputs!$F$8=1),(Inputs!$H$8+Inputs!$L$8*(((Inputs!$I$8+(((A226)+1)/2)*(Inputs!$J$8-Inputs!$I$8)))/Inputs!$K$8)^2),NA())</x:f>
        <x:v>760.3798849999998</x:v>
      </x:c>
      <x:c r="BC226" s="9" t="n">
        <x:f>IF(OR(Inputs!$F$9=TRUE,Inputs!$F$9="TRUE",Inputs!$F$9=1),(Inputs!$H$9+Inputs!$L$9*(((Inputs!$I$9+(((A226)+1)/2)*(Inputs!$J$9-Inputs!$I$9)))/Inputs!$K$9)^2),NA())</x:f>
        <x:v>757.8967749999998</x:v>
      </x:c>
      <x:c r="BD226" s="10"/>
      <x:c r="BE226" s="9">
        <x:f t="shared" si="35"/>
        <x:v>0.86699999999999999</x:v>
      </x:c>
      <x:c r="BF226" s="9" t="n">
        <x:f>0</x:f>
        <x:v>0</x:v>
      </x:c>
      <x:c r="BG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9" t="n">
        <x:f>ROUND(-1+225*2/240,3)</x:f>
        <x:v>0.875</x:v>
      </x:c>
      <x:c r="B227" s="9" t="n">
        <x:f>IF(OR(Inputs!$F$6=TRUE,Inputs!$F$6="TRUE",Inputs!$F$6=1),(Inputs!$H$6+Inputs!$L$6*(((Inputs!$I$6+(((A227)+1)/2)*(Inputs!$J$6-Inputs!$I$6)))/Inputs!$K$6)^2),NA())</x:f>
        <x:v>403.0625</x:v>
      </x:c>
      <x:c r="C227" s="9" t="n">
        <x:f>IF(OR(Inputs!$F$7=TRUE,Inputs!$F$7="TRUE",Inputs!$F$7=1),(Inputs!$H$7+Inputs!$L$7*(((Inputs!$I$7+(((A227)+1)/2)*(Inputs!$J$7-Inputs!$I$7)))/Inputs!$K$7)^2),NA())</x:f>
        <x:v>314.453125</x:v>
      </x:c>
      <x:c r="D227" s="9" t="n">
        <x:f>IF(OR(Inputs!$F$8=TRUE,Inputs!$F$8="TRUE",Inputs!$F$8=1),(Inputs!$H$8+Inputs!$L$8*(((Inputs!$I$8+(((A227)+1)/2)*(Inputs!$J$8-Inputs!$I$8)))/Inputs!$K$8)^2),NA())</x:f>
        <x:v>773.828125</x:v>
      </x:c>
      <x:c r="E227" s="9" t="n">
        <x:f>IF(OR(Inputs!$F$9=TRUE,Inputs!$F$9="TRUE",Inputs!$F$9=1),(Inputs!$H$9+Inputs!$L$9*(((Inputs!$I$9+(((A227)+1)/2)*(Inputs!$J$9-Inputs!$I$9)))/Inputs!$K$9)^2),NA())</x:f>
        <x:v>771.484375</x:v>
      </x:c>
      <x:c r="F227" s="10"/>
      <x:c r="G227" s="9">
        <x:f t="shared" si="27"/>
        <x:v>0.875</x:v>
      </x:c>
      <x:c r="H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10"/>
      <x:c r="M227" s="9">
        <x:f t="shared" si="28"/>
        <x:v>0.875</x:v>
      </x:c>
      <x:c r="N227" s="9"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9"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9"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9"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10"/>
      <x:c r="S227" s="9">
        <x:f t="shared" si="29"/>
        <x:v>0.875</x:v>
      </x:c>
      <x:c r="T227" s="9" t="n">
        <x:f>(Inputs!$I$6+(((A227)+1)/2)*(Inputs!$J$6-Inputs!$I$6))</x:f>
        <x:v>52.5</x:v>
      </x:c>
      <x:c r="U227" s="9" t="n">
        <x:f>(Inputs!$I$7+(((A227)+1)/2)*(Inputs!$J$7-Inputs!$I$7))</x:f>
        <x:v>350</x:v>
      </x:c>
      <x:c r="V227" s="9" t="n">
        <x:f>(Inputs!$I$8+(((A227)+1)/2)*(Inputs!$J$8-Inputs!$I$8))</x:f>
        <x:v>700</x:v>
      </x:c>
      <x:c r="W227" s="9" t="n">
        <x:f>(Inputs!$I$9+(((A227)+1)/2)*(Inputs!$J$9-Inputs!$I$9))</x:f>
        <x:v>700</x:v>
      </x:c>
      <x:c r="X227" s="10"/>
      <x:c r="Y227" s="9">
        <x:f t="shared" si="30"/>
        <x:v>0.875</x:v>
      </x:c>
      <x:c r="Z227" s="9" t="n">
        <x:f>(Inputs!$H$6+Inputs!$L$6*(((Inputs!$I$6+(((A227)+1)/2)*(Inputs!$J$6-Inputs!$I$6)))/Inputs!$K$6)^2)</x:f>
        <x:v>403.0625</x:v>
      </x:c>
      <x:c r="AA227" s="9" t="n">
        <x:f>(Inputs!$H$7+Inputs!$L$7*(((Inputs!$I$7+(((A227)+1)/2)*(Inputs!$J$7-Inputs!$I$7)))/Inputs!$K$7)^2)</x:f>
        <x:v>314.453125</x:v>
      </x:c>
      <x:c r="AB227" s="9" t="n">
        <x:f>(Inputs!$H$8+Inputs!$L$8*(((Inputs!$I$8+(((A227)+1)/2)*(Inputs!$J$8-Inputs!$I$8)))/Inputs!$K$8)^2)</x:f>
        <x:v>773.828125</x:v>
      </x:c>
      <x:c r="AC227" s="9" t="n">
        <x:f>(Inputs!$H$9+Inputs!$L$9*(((Inputs!$I$9+(((A227)+1)/2)*(Inputs!$J$9-Inputs!$I$9)))/Inputs!$K$9)^2)</x:f>
        <x:v>771.484375</x:v>
      </x:c>
      <x:c r="AD227" s="10"/>
      <x:c r="AE227" s="9">
        <x:f t="shared" si="31"/>
        <x:v>0.875</x:v>
      </x:c>
      <x:c r="AF227" s="9"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9"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9"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9"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10"/>
      <x:c r="AK227" s="9">
        <x:f t="shared" si="32"/>
        <x:v>0.875</x:v>
      </x:c>
      <x:c r="AL227" s="9"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9"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9"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9"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10"/>
      <x:c r="AQ227" s="9">
        <x:f t="shared" si="33"/>
        <x:v>0.875</x:v>
      </x:c>
      <x:c r="AR227" s="9" t="n">
        <x:f>0</x:f>
        <x:v>0</x:v>
      </x:c>
      <x:c r="AS227" s="9"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x:f>
        <x:v>164.06842387185546</x:v>
      </x:c>
      <x:c r="AT227" s="9"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x:f>
        <x:v>184.81425362758165</x:v>
      </x:c>
      <x:c r="AU227" s="9"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x:f>
        <x:v>121.16457924581657</x:v>
      </x:c>
      <x:c r="AV227" s="9"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x:f>
        <x:v>121.16457924581657</x:v>
      </x:c>
      <x:c r="AW227" s="10"/>
      <x:c r="AX227" s="9">
        <x:f t="shared" si="34"/>
        <x:v>0.875</x:v>
      </x:c>
      <x:c r="AY227" s="9" t="n">
        <x:f>0</x:f>
        <x:v>0</x:v>
      </x:c>
      <x:c r="AZ227" s="9" t="n">
        <x:f>IF(OR(Inputs!$F$6=TRUE,Inputs!$F$6="TRUE",Inputs!$F$6=1),(Inputs!$H$6+Inputs!$L$6*(((Inputs!$I$6+(((A227)+1)/2)*(Inputs!$J$6-Inputs!$I$6)))/Inputs!$K$6)^2),NA())</x:f>
        <x:v>403.0625</x:v>
      </x:c>
      <x:c r="BA227" s="9" t="n">
        <x:f>IF(OR(Inputs!$F$7=TRUE,Inputs!$F$7="TRUE",Inputs!$F$7=1),(Inputs!$H$7+Inputs!$L$7*(((Inputs!$I$7+(((A227)+1)/2)*(Inputs!$J$7-Inputs!$I$7)))/Inputs!$K$7)^2),NA())</x:f>
        <x:v>314.453125</x:v>
      </x:c>
      <x:c r="BB227" s="9" t="n">
        <x:f>IF(OR(Inputs!$F$8=TRUE,Inputs!$F$8="TRUE",Inputs!$F$8=1),(Inputs!$H$8+Inputs!$L$8*(((Inputs!$I$8+(((A227)+1)/2)*(Inputs!$J$8-Inputs!$I$8)))/Inputs!$K$8)^2),NA())</x:f>
        <x:v>773.828125</x:v>
      </x:c>
      <x:c r="BC227" s="9" t="n">
        <x:f>IF(OR(Inputs!$F$9=TRUE,Inputs!$F$9="TRUE",Inputs!$F$9=1),(Inputs!$H$9+Inputs!$L$9*(((Inputs!$I$9+(((A227)+1)/2)*(Inputs!$J$9-Inputs!$I$9)))/Inputs!$K$9)^2),NA())</x:f>
        <x:v>771.484375</x:v>
      </x:c>
      <x:c r="BD227" s="10"/>
      <x:c r="BE227" s="9">
        <x:f t="shared" si="35"/>
        <x:v>0.875</x:v>
      </x:c>
      <x:c r="BF227" s="9" t="n">
        <x:f>0</x:f>
        <x:v>0</x:v>
      </x:c>
      <x:c r="BG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9" t="n">
        <x:f>ROUND(-1+226*2/240,3)</x:f>
        <x:v>0.883</x:v>
      </x:c>
      <x:c r="B228" s="9" t="n">
        <x:f>IF(OR(Inputs!$F$6=TRUE,Inputs!$F$6="TRUE",Inputs!$F$6=1),(Inputs!$H$6+Inputs!$L$6*(((Inputs!$I$6+(((A228)+1)/2)*(Inputs!$J$6-Inputs!$I$6)))/Inputs!$K$6)^2),NA())</x:f>
        <x:v>403.118756</x:v>
      </x:c>
      <x:c r="C228" s="9" t="n">
        <x:f>IF(OR(Inputs!$F$7=TRUE,Inputs!$F$7="TRUE",Inputs!$F$7=1),(Inputs!$H$7+Inputs!$L$7*(((Inputs!$I$7+(((A228)+1)/2)*(Inputs!$J$7-Inputs!$I$7)))/Inputs!$K$7)^2),NA())</x:f>
        <x:v>319.5864850000001</x:v>
      </x:c>
      <x:c r="D228" s="9" t="n">
        <x:f>IF(OR(Inputs!$F$8=TRUE,Inputs!$F$8="TRUE",Inputs!$F$8=1),(Inputs!$H$8+Inputs!$L$8*(((Inputs!$I$8+(((A228)+1)/2)*(Inputs!$J$8-Inputs!$I$8)))/Inputs!$K$8)^2),NA())</x:f>
        <x:v>787.3998850000002</x:v>
      </x:c>
      <x:c r="E228" s="9" t="n">
        <x:f>IF(OR(Inputs!$F$9=TRUE,Inputs!$F$9="TRUE",Inputs!$F$9=1),(Inputs!$H$9+Inputs!$L$9*(((Inputs!$I$9+(((A228)+1)/2)*(Inputs!$J$9-Inputs!$I$9)))/Inputs!$K$9)^2),NA())</x:f>
        <x:v>785.1967750000002</x:v>
      </x:c>
      <x:c r="F228" s="10"/>
      <x:c r="G228" s="9">
        <x:f t="shared" si="27"/>
        <x:v>0.88300000000000001</x:v>
      </x:c>
      <x:c r="H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10"/>
      <x:c r="M228" s="9">
        <x:f t="shared" si="28"/>
        <x:v>0.88300000000000001</x:v>
      </x:c>
      <x:c r="N228" s="9"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9"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9"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9"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10"/>
      <x:c r="S228" s="9">
        <x:f t="shared" si="29"/>
        <x:v>0.88300000000000001</x:v>
      </x:c>
      <x:c r="T228" s="9" t="n">
        <x:f>(Inputs!$I$6+(((A228)+1)/2)*(Inputs!$J$6-Inputs!$I$6))</x:f>
        <x:v>52.980000000000004</x:v>
      </x:c>
      <x:c r="U228" s="9" t="n">
        <x:f>(Inputs!$I$7+(((A228)+1)/2)*(Inputs!$J$7-Inputs!$I$7))</x:f>
        <x:v>353.20000000000005</x:v>
      </x:c>
      <x:c r="V228" s="9" t="n">
        <x:f>(Inputs!$I$8+(((A228)+1)/2)*(Inputs!$J$8-Inputs!$I$8))</x:f>
        <x:v>706.4000000000001</x:v>
      </x:c>
      <x:c r="W228" s="9" t="n">
        <x:f>(Inputs!$I$9+(((A228)+1)/2)*(Inputs!$J$9-Inputs!$I$9))</x:f>
        <x:v>706.4000000000001</x:v>
      </x:c>
      <x:c r="X228" s="10"/>
      <x:c r="Y228" s="9">
        <x:f t="shared" si="30"/>
        <x:v>0.88300000000000001</x:v>
      </x:c>
      <x:c r="Z228" s="9" t="n">
        <x:f>(Inputs!$H$6+Inputs!$L$6*(((Inputs!$I$6+(((A228)+1)/2)*(Inputs!$J$6-Inputs!$I$6)))/Inputs!$K$6)^2)</x:f>
        <x:v>403.118756</x:v>
      </x:c>
      <x:c r="AA228" s="9" t="n">
        <x:f>(Inputs!$H$7+Inputs!$L$7*(((Inputs!$I$7+(((A228)+1)/2)*(Inputs!$J$7-Inputs!$I$7)))/Inputs!$K$7)^2)</x:f>
        <x:v>319.5864850000001</x:v>
      </x:c>
      <x:c r="AB228" s="9" t="n">
        <x:f>(Inputs!$H$8+Inputs!$L$8*(((Inputs!$I$8+(((A228)+1)/2)*(Inputs!$J$8-Inputs!$I$8)))/Inputs!$K$8)^2)</x:f>
        <x:v>787.3998850000002</x:v>
      </x:c>
      <x:c r="AC228" s="9" t="n">
        <x:f>(Inputs!$H$9+Inputs!$L$9*(((Inputs!$I$9+(((A228)+1)/2)*(Inputs!$J$9-Inputs!$I$9)))/Inputs!$K$9)^2)</x:f>
        <x:v>785.1967750000002</x:v>
      </x:c>
      <x:c r="AD228" s="10"/>
      <x:c r="AE228" s="9">
        <x:f t="shared" si="31"/>
        <x:v>0.88300000000000001</x:v>
      </x:c>
      <x:c r="AF228" s="9"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9"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9"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9"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10"/>
      <x:c r="AK228" s="9">
        <x:f t="shared" si="32"/>
        <x:v>0.88300000000000001</x:v>
      </x:c>
      <x:c r="AL228" s="9"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9"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9"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9"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10"/>
      <x:c r="AQ228" s="9">
        <x:f t="shared" si="33"/>
        <x:v>0.88300000000000001</x:v>
      </x:c>
      <x:c r="AR228" s="9" t="n">
        <x:f>0</x:f>
        <x:v>0</x:v>
      </x:c>
      <x:c r="AS228" s="9"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x:f>
        <x:v>161.34757660211056</x:v>
      </x:c>
      <x:c r="AT228" s="9"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x:f>
        <x:v>124.77149015066324</x:v>
      </x:c>
      <x:c r="AU228" s="9"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x:f>
        <x:v>183.4161636883259</x:v>
      </x:c>
      <x:c r="AV228" s="9"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x:f>
        <x:v>183.4161636883259</x:v>
      </x:c>
      <x:c r="AW228" s="10"/>
      <x:c r="AX228" s="9">
        <x:f t="shared" si="34"/>
        <x:v>0.88300000000000001</x:v>
      </x:c>
      <x:c r="AY228" s="9" t="n">
        <x:f>0</x:f>
        <x:v>0</x:v>
      </x:c>
      <x:c r="AZ228" s="9" t="n">
        <x:f>IF(OR(Inputs!$F$6=TRUE,Inputs!$F$6="TRUE",Inputs!$F$6=1),(Inputs!$H$6+Inputs!$L$6*(((Inputs!$I$6+(((A228)+1)/2)*(Inputs!$J$6-Inputs!$I$6)))/Inputs!$K$6)^2),NA())</x:f>
        <x:v>403.118756</x:v>
      </x:c>
      <x:c r="BA228" s="9" t="n">
        <x:f>IF(OR(Inputs!$F$7=TRUE,Inputs!$F$7="TRUE",Inputs!$F$7=1),(Inputs!$H$7+Inputs!$L$7*(((Inputs!$I$7+(((A228)+1)/2)*(Inputs!$J$7-Inputs!$I$7)))/Inputs!$K$7)^2),NA())</x:f>
        <x:v>319.5864850000001</x:v>
      </x:c>
      <x:c r="BB228" s="9" t="n">
        <x:f>IF(OR(Inputs!$F$8=TRUE,Inputs!$F$8="TRUE",Inputs!$F$8=1),(Inputs!$H$8+Inputs!$L$8*(((Inputs!$I$8+(((A228)+1)/2)*(Inputs!$J$8-Inputs!$I$8)))/Inputs!$K$8)^2),NA())</x:f>
        <x:v>787.3998850000002</x:v>
      </x:c>
      <x:c r="BC228" s="9" t="n">
        <x:f>IF(OR(Inputs!$F$9=TRUE,Inputs!$F$9="TRUE",Inputs!$F$9=1),(Inputs!$H$9+Inputs!$L$9*(((Inputs!$I$9+(((A228)+1)/2)*(Inputs!$J$9-Inputs!$I$9)))/Inputs!$K$9)^2),NA())</x:f>
        <x:v>785.1967750000002</x:v>
      </x:c>
      <x:c r="BD228" s="10"/>
      <x:c r="BE228" s="9">
        <x:f t="shared" si="35"/>
        <x:v>0.88300000000000001</x:v>
      </x:c>
      <x:c r="BF228" s="9" t="n">
        <x:f>0</x:f>
        <x:v>0</x:v>
      </x:c>
      <x:c r="BG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9" t="n">
        <x:f>ROUND(-1+227*2/240,3)</x:f>
        <x:v>0.892</x:v>
      </x:c>
      <x:c r="B229" s="9" t="n">
        <x:f>IF(OR(Inputs!$F$6=TRUE,Inputs!$F$6="TRUE",Inputs!$F$6=1),(Inputs!$H$6+Inputs!$L$6*(((Inputs!$I$6+(((A229)+1)/2)*(Inputs!$J$6-Inputs!$I$6)))/Inputs!$K$6)^2),NA())</x:f>
        <x:v>403.182656</x:v>
      </x:c>
      <x:c r="C229" s="9" t="n">
        <x:f>IF(OR(Inputs!$F$7=TRUE,Inputs!$F$7="TRUE",Inputs!$F$7=1),(Inputs!$H$7+Inputs!$L$7*(((Inputs!$I$7+(((A229)+1)/2)*(Inputs!$J$7-Inputs!$I$7)))/Inputs!$K$7)^2),NA())</x:f>
        <x:v>325.4173599999999</x:v>
      </x:c>
      <x:c r="D229" s="9" t="n">
        <x:f>IF(OR(Inputs!$F$8=TRUE,Inputs!$F$8="TRUE",Inputs!$F$8=1),(Inputs!$H$8+Inputs!$L$8*(((Inputs!$I$8+(((A229)+1)/2)*(Inputs!$J$8-Inputs!$I$8)))/Inputs!$K$8)^2),NA())</x:f>
        <x:v>802.8157599999998</x:v>
      </x:c>
      <x:c r="E229" s="9" t="n">
        <x:f>IF(OR(Inputs!$F$9=TRUE,Inputs!$F$9="TRUE",Inputs!$F$9=1),(Inputs!$H$9+Inputs!$L$9*(((Inputs!$I$9+(((A229)+1)/2)*(Inputs!$J$9-Inputs!$I$9)))/Inputs!$K$9)^2),NA())</x:f>
        <x:v>800.7723999999998</x:v>
      </x:c>
      <x:c r="F229" s="10"/>
      <x:c r="G229" s="9">
        <x:f t="shared" si="27"/>
        <x:v>0.89200000000000002</x:v>
      </x:c>
      <x:c r="H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10"/>
      <x:c r="M229" s="9">
        <x:f t="shared" si="28"/>
        <x:v>0.89200000000000002</x:v>
      </x:c>
      <x:c r="N229" s="9"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9"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9"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9"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10"/>
      <x:c r="S229" s="9">
        <x:f t="shared" si="29"/>
        <x:v>0.89200000000000002</x:v>
      </x:c>
      <x:c r="T229" s="9" t="n">
        <x:f>(Inputs!$I$6+(((A229)+1)/2)*(Inputs!$J$6-Inputs!$I$6))</x:f>
        <x:v>53.519999999999996</x:v>
      </x:c>
      <x:c r="U229" s="9" t="n">
        <x:f>(Inputs!$I$7+(((A229)+1)/2)*(Inputs!$J$7-Inputs!$I$7))</x:f>
        <x:v>356.79999999999995</x:v>
      </x:c>
      <x:c r="V229" s="9" t="n">
        <x:f>(Inputs!$I$8+(((A229)+1)/2)*(Inputs!$J$8-Inputs!$I$8))</x:f>
        <x:v>713.5999999999999</x:v>
      </x:c>
      <x:c r="W229" s="9" t="n">
        <x:f>(Inputs!$I$9+(((A229)+1)/2)*(Inputs!$J$9-Inputs!$I$9))</x:f>
        <x:v>713.5999999999999</x:v>
      </x:c>
      <x:c r="X229" s="10"/>
      <x:c r="Y229" s="9">
        <x:f t="shared" si="30"/>
        <x:v>0.89200000000000002</x:v>
      </x:c>
      <x:c r="Z229" s="9" t="n">
        <x:f>(Inputs!$H$6+Inputs!$L$6*(((Inputs!$I$6+(((A229)+1)/2)*(Inputs!$J$6-Inputs!$I$6)))/Inputs!$K$6)^2)</x:f>
        <x:v>403.182656</x:v>
      </x:c>
      <x:c r="AA229" s="9" t="n">
        <x:f>(Inputs!$H$7+Inputs!$L$7*(((Inputs!$I$7+(((A229)+1)/2)*(Inputs!$J$7-Inputs!$I$7)))/Inputs!$K$7)^2)</x:f>
        <x:v>325.4173599999999</x:v>
      </x:c>
      <x:c r="AB229" s="9" t="n">
        <x:f>(Inputs!$H$8+Inputs!$L$8*(((Inputs!$I$8+(((A229)+1)/2)*(Inputs!$J$8-Inputs!$I$8)))/Inputs!$K$8)^2)</x:f>
        <x:v>802.8157599999998</x:v>
      </x:c>
      <x:c r="AC229" s="9" t="n">
        <x:f>(Inputs!$H$9+Inputs!$L$9*(((Inputs!$I$9+(((A229)+1)/2)*(Inputs!$J$9-Inputs!$I$9)))/Inputs!$K$9)^2)</x:f>
        <x:v>800.7723999999998</x:v>
      </x:c>
      <x:c r="AD229" s="10"/>
      <x:c r="AE229" s="9">
        <x:f t="shared" si="31"/>
        <x:v>0.89200000000000002</x:v>
      </x:c>
      <x:c r="AF229" s="9"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9"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9"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9"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10"/>
      <x:c r="AK229" s="9">
        <x:f t="shared" si="32"/>
        <x:v>0.89200000000000002</x:v>
      </x:c>
      <x:c r="AL229" s="9"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9"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9"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9"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10"/>
      <x:c r="AQ229" s="9">
        <x:f t="shared" si="33"/>
        <x:v>0.89200000000000002</x:v>
      </x:c>
      <x:c r="AR229" s="9" t="n">
        <x:f>0</x:f>
        <x:v>0</x:v>
      </x:c>
      <x:c r="AS229" s="9"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x:f>
        <x:v>183.74266048734717</x:v>
      </x:c>
      <x:c r="AT229" s="9"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x:f>
        <x:v>93.91617404762736</x:v>
      </x:c>
      <x:c r="AU229" s="9"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x:f>
        <x:v>144.71243811681992</x:v>
      </x:c>
      <x:c r="AV229" s="9"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x:f>
        <x:v>144.71243811681992</x:v>
      </x:c>
      <x:c r="AW229" s="10"/>
      <x:c r="AX229" s="9">
        <x:f t="shared" si="34"/>
        <x:v>0.89200000000000002</x:v>
      </x:c>
      <x:c r="AY229" s="9" t="n">
        <x:f>0</x:f>
        <x:v>0</x:v>
      </x:c>
      <x:c r="AZ229" s="9" t="n">
        <x:f>IF(OR(Inputs!$F$6=TRUE,Inputs!$F$6="TRUE",Inputs!$F$6=1),(Inputs!$H$6+Inputs!$L$6*(((Inputs!$I$6+(((A229)+1)/2)*(Inputs!$J$6-Inputs!$I$6)))/Inputs!$K$6)^2),NA())</x:f>
        <x:v>403.182656</x:v>
      </x:c>
      <x:c r="BA229" s="9" t="n">
        <x:f>IF(OR(Inputs!$F$7=TRUE,Inputs!$F$7="TRUE",Inputs!$F$7=1),(Inputs!$H$7+Inputs!$L$7*(((Inputs!$I$7+(((A229)+1)/2)*(Inputs!$J$7-Inputs!$I$7)))/Inputs!$K$7)^2),NA())</x:f>
        <x:v>325.4173599999999</x:v>
      </x:c>
      <x:c r="BB229" s="9" t="n">
        <x:f>IF(OR(Inputs!$F$8=TRUE,Inputs!$F$8="TRUE",Inputs!$F$8=1),(Inputs!$H$8+Inputs!$L$8*(((Inputs!$I$8+(((A229)+1)/2)*(Inputs!$J$8-Inputs!$I$8)))/Inputs!$K$8)^2),NA())</x:f>
        <x:v>802.8157599999998</x:v>
      </x:c>
      <x:c r="BC229" s="9" t="n">
        <x:f>IF(OR(Inputs!$F$9=TRUE,Inputs!$F$9="TRUE",Inputs!$F$9=1),(Inputs!$H$9+Inputs!$L$9*(((Inputs!$I$9+(((A229)+1)/2)*(Inputs!$J$9-Inputs!$I$9)))/Inputs!$K$9)^2),NA())</x:f>
        <x:v>800.7723999999998</x:v>
      </x:c>
      <x:c r="BD229" s="10"/>
      <x:c r="BE229" s="9">
        <x:f t="shared" si="35"/>
        <x:v>0.89200000000000002</x:v>
      </x:c>
      <x:c r="BF229" s="9" t="n">
        <x:f>0</x:f>
        <x:v>0</x:v>
      </x:c>
      <x:c r="BG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9" t="n">
        <x:f>ROUND(-1+228*2/240,3)</x:f>
        <x:v>0.9</x:v>
      </x:c>
      <x:c r="B230" s="9" t="n">
        <x:f>IF(OR(Inputs!$F$6=TRUE,Inputs!$F$6="TRUE",Inputs!$F$6=1),(Inputs!$H$6+Inputs!$L$6*(((Inputs!$I$6+(((A230)+1)/2)*(Inputs!$J$6-Inputs!$I$6)))/Inputs!$K$6)^2),NA())</x:f>
        <x:v>403.24</x:v>
      </x:c>
      <x:c r="C230" s="9" t="n">
        <x:f>IF(OR(Inputs!$F$7=TRUE,Inputs!$F$7="TRUE",Inputs!$F$7=1),(Inputs!$H$7+Inputs!$L$7*(((Inputs!$I$7+(((A230)+1)/2)*(Inputs!$J$7-Inputs!$I$7)))/Inputs!$K$7)^2),NA())</x:f>
        <x:v>330.65000000000003</x:v>
      </x:c>
      <x:c r="D230" s="9" t="n">
        <x:f>IF(OR(Inputs!$F$8=TRUE,Inputs!$F$8="TRUE",Inputs!$F$8=1),(Inputs!$H$8+Inputs!$L$8*(((Inputs!$I$8+(((A230)+1)/2)*(Inputs!$J$8-Inputs!$I$8)))/Inputs!$K$8)^2),NA())</x:f>
        <x:v>816.6500000000001</x:v>
      </x:c>
      <x:c r="E230" s="9" t="n">
        <x:f>IF(OR(Inputs!$F$9=TRUE,Inputs!$F$9="TRUE",Inputs!$F$9=1),(Inputs!$H$9+Inputs!$L$9*(((Inputs!$I$9+(((A230)+1)/2)*(Inputs!$J$9-Inputs!$I$9)))/Inputs!$K$9)^2),NA())</x:f>
        <x:v>814.75</x:v>
      </x:c>
      <x:c r="F230" s="10"/>
      <x:c r="G230" s="9">
        <x:f t="shared" si="27"/>
        <x:v>0.9</x:v>
      </x:c>
      <x:c r="H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10"/>
      <x:c r="M230" s="9">
        <x:f t="shared" si="28"/>
        <x:v>0.9</x:v>
      </x:c>
      <x:c r="N230" s="9"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9"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9"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9"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10"/>
      <x:c r="S230" s="9">
        <x:f t="shared" si="29"/>
        <x:v>0.9</x:v>
      </x:c>
      <x:c r="T230" s="9" t="n">
        <x:f>(Inputs!$I$6+(((A230)+1)/2)*(Inputs!$J$6-Inputs!$I$6))</x:f>
        <x:v>54</x:v>
      </x:c>
      <x:c r="U230" s="9" t="n">
        <x:f>(Inputs!$I$7+(((A230)+1)/2)*(Inputs!$J$7-Inputs!$I$7))</x:f>
        <x:v>360</x:v>
      </x:c>
      <x:c r="V230" s="9" t="n">
        <x:f>(Inputs!$I$8+(((A230)+1)/2)*(Inputs!$J$8-Inputs!$I$8))</x:f>
        <x:v>720</x:v>
      </x:c>
      <x:c r="W230" s="9" t="n">
        <x:f>(Inputs!$I$9+(((A230)+1)/2)*(Inputs!$J$9-Inputs!$I$9))</x:f>
        <x:v>720</x:v>
      </x:c>
      <x:c r="X230" s="10"/>
      <x:c r="Y230" s="9">
        <x:f t="shared" si="30"/>
        <x:v>0.9</x:v>
      </x:c>
      <x:c r="Z230" s="9" t="n">
        <x:f>(Inputs!$H$6+Inputs!$L$6*(((Inputs!$I$6+(((A230)+1)/2)*(Inputs!$J$6-Inputs!$I$6)))/Inputs!$K$6)^2)</x:f>
        <x:v>403.24</x:v>
      </x:c>
      <x:c r="AA230" s="9" t="n">
        <x:f>(Inputs!$H$7+Inputs!$L$7*(((Inputs!$I$7+(((A230)+1)/2)*(Inputs!$J$7-Inputs!$I$7)))/Inputs!$K$7)^2)</x:f>
        <x:v>330.65000000000003</x:v>
      </x:c>
      <x:c r="AB230" s="9" t="n">
        <x:f>(Inputs!$H$8+Inputs!$L$8*(((Inputs!$I$8+(((A230)+1)/2)*(Inputs!$J$8-Inputs!$I$8)))/Inputs!$K$8)^2)</x:f>
        <x:v>816.6500000000001</x:v>
      </x:c>
      <x:c r="AC230" s="9" t="n">
        <x:f>(Inputs!$H$9+Inputs!$L$9*(((Inputs!$I$9+(((A230)+1)/2)*(Inputs!$J$9-Inputs!$I$9)))/Inputs!$K$9)^2)</x:f>
        <x:v>814.75</x:v>
      </x:c>
      <x:c r="AD230" s="10"/>
      <x:c r="AE230" s="9">
        <x:f t="shared" si="31"/>
        <x:v>0.9</x:v>
      </x:c>
      <x:c r="AF230" s="9"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9"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9"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9"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10"/>
      <x:c r="AK230" s="9">
        <x:f t="shared" si="32"/>
        <x:v>0.9</x:v>
      </x:c>
      <x:c r="AL230" s="9"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9"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9"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9"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10"/>
      <x:c r="AQ230" s="9">
        <x:f t="shared" si="33"/>
        <x:v>0.9</x:v>
      </x:c>
      <x:c r="AR230" s="9" t="n">
        <x:f>0</x:f>
        <x:v>0</x:v>
      </x:c>
      <x:c r="AS230" s="9"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x:f>
        <x:v>181.54184215615243</x:v>
      </x:c>
      <x:c r="AT230" s="9"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x:f>
        <x:v>147.40890122893921</x:v>
      </x:c>
      <x:c r="AU230" s="9"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x:f>
        <x:v>155.8424741961593</x:v>
      </x:c>
      <x:c r="AV230" s="9"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x:f>
        <x:v>155.8424741961593</x:v>
      </x:c>
      <x:c r="AW230" s="10"/>
      <x:c r="AX230" s="9">
        <x:f t="shared" si="34"/>
        <x:v>0.9</x:v>
      </x:c>
      <x:c r="AY230" s="9" t="n">
        <x:f>0</x:f>
        <x:v>0</x:v>
      </x:c>
      <x:c r="AZ230" s="9" t="n">
        <x:f>IF(OR(Inputs!$F$6=TRUE,Inputs!$F$6="TRUE",Inputs!$F$6=1),(Inputs!$H$6+Inputs!$L$6*(((Inputs!$I$6+(((A230)+1)/2)*(Inputs!$J$6-Inputs!$I$6)))/Inputs!$K$6)^2),NA())</x:f>
        <x:v>403.24</x:v>
      </x:c>
      <x:c r="BA230" s="9" t="n">
        <x:f>IF(OR(Inputs!$F$7=TRUE,Inputs!$F$7="TRUE",Inputs!$F$7=1),(Inputs!$H$7+Inputs!$L$7*(((Inputs!$I$7+(((A230)+1)/2)*(Inputs!$J$7-Inputs!$I$7)))/Inputs!$K$7)^2),NA())</x:f>
        <x:v>330.65000000000003</x:v>
      </x:c>
      <x:c r="BB230" s="9" t="n">
        <x:f>IF(OR(Inputs!$F$8=TRUE,Inputs!$F$8="TRUE",Inputs!$F$8=1),(Inputs!$H$8+Inputs!$L$8*(((Inputs!$I$8+(((A230)+1)/2)*(Inputs!$J$8-Inputs!$I$8)))/Inputs!$K$8)^2),NA())</x:f>
        <x:v>816.6500000000001</x:v>
      </x:c>
      <x:c r="BC230" s="9" t="n">
        <x:f>IF(OR(Inputs!$F$9=TRUE,Inputs!$F$9="TRUE",Inputs!$F$9=1),(Inputs!$H$9+Inputs!$L$9*(((Inputs!$I$9+(((A230)+1)/2)*(Inputs!$J$9-Inputs!$I$9)))/Inputs!$K$9)^2),NA())</x:f>
        <x:v>814.75</x:v>
      </x:c>
      <x:c r="BD230" s="10"/>
      <x:c r="BE230" s="9">
        <x:f t="shared" si="35"/>
        <x:v>0.9</x:v>
      </x:c>
      <x:c r="BF230" s="9" t="n">
        <x:f>0</x:f>
        <x:v>0</x:v>
      </x:c>
      <x:c r="BG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9" t="n">
        <x:f>ROUND(-1+229*2/240,3)</x:f>
        <x:v>0.908</x:v>
      </x:c>
      <x:c r="B231" s="9" t="n">
        <x:f>IF(OR(Inputs!$F$6=TRUE,Inputs!$F$6="TRUE",Inputs!$F$6=1),(Inputs!$H$6+Inputs!$L$6*(((Inputs!$I$6+(((A231)+1)/2)*(Inputs!$J$6-Inputs!$I$6)))/Inputs!$K$6)^2),NA())</x:f>
        <x:v>403.297856</x:v>
      </x:c>
      <x:c r="C231" s="9" t="n">
        <x:f>IF(OR(Inputs!$F$7=TRUE,Inputs!$F$7="TRUE",Inputs!$F$7=1),(Inputs!$H$7+Inputs!$L$7*(((Inputs!$I$7+(((A231)+1)/2)*(Inputs!$J$7-Inputs!$I$7)))/Inputs!$K$7)^2),NA())</x:f>
        <x:v>335.92935999999986</x:v>
      </x:c>
      <x:c r="D231" s="9" t="n">
        <x:f>IF(OR(Inputs!$F$8=TRUE,Inputs!$F$8="TRUE",Inputs!$F$8=1),(Inputs!$H$8+Inputs!$L$8*(((Inputs!$I$8+(((A231)+1)/2)*(Inputs!$J$8-Inputs!$I$8)))/Inputs!$K$8)^2),NA())</x:f>
        <x:v>830.6077599999996</x:v>
      </x:c>
      <x:c r="E231" s="9" t="n">
        <x:f>IF(OR(Inputs!$F$9=TRUE,Inputs!$F$9="TRUE",Inputs!$F$9=1),(Inputs!$H$9+Inputs!$L$9*(((Inputs!$I$9+(((A231)+1)/2)*(Inputs!$J$9-Inputs!$I$9)))/Inputs!$K$9)^2),NA())</x:f>
        <x:v>828.8523999999996</x:v>
      </x:c>
      <x:c r="F231" s="10"/>
      <x:c r="G231" s="9">
        <x:f t="shared" si="27"/>
        <x:v>0.90800000000000003</x:v>
      </x:c>
      <x:c r="H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10"/>
      <x:c r="M231" s="9">
        <x:f t="shared" si="28"/>
        <x:v>0.90800000000000003</x:v>
      </x:c>
      <x:c r="N231" s="9"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9"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9"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9"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10"/>
      <x:c r="S231" s="9">
        <x:f t="shared" si="29"/>
        <x:v>0.90800000000000003</x:v>
      </x:c>
      <x:c r="T231" s="9" t="n">
        <x:f>(Inputs!$I$6+(((A231)+1)/2)*(Inputs!$J$6-Inputs!$I$6))</x:f>
        <x:v>54.47999999999999</x:v>
      </x:c>
      <x:c r="U231" s="9" t="n">
        <x:f>(Inputs!$I$7+(((A231)+1)/2)*(Inputs!$J$7-Inputs!$I$7))</x:f>
        <x:v>363.19999999999993</x:v>
      </x:c>
      <x:c r="V231" s="9" t="n">
        <x:f>(Inputs!$I$8+(((A231)+1)/2)*(Inputs!$J$8-Inputs!$I$8))</x:f>
        <x:v>726.3999999999999</x:v>
      </x:c>
      <x:c r="W231" s="9" t="n">
        <x:f>(Inputs!$I$9+(((A231)+1)/2)*(Inputs!$J$9-Inputs!$I$9))</x:f>
        <x:v>726.3999999999999</x:v>
      </x:c>
      <x:c r="X231" s="10"/>
      <x:c r="Y231" s="9">
        <x:f t="shared" si="30"/>
        <x:v>0.90800000000000003</x:v>
      </x:c>
      <x:c r="Z231" s="9" t="n">
        <x:f>(Inputs!$H$6+Inputs!$L$6*(((Inputs!$I$6+(((A231)+1)/2)*(Inputs!$J$6-Inputs!$I$6)))/Inputs!$K$6)^2)</x:f>
        <x:v>403.297856</x:v>
      </x:c>
      <x:c r="AA231" s="9" t="n">
        <x:f>(Inputs!$H$7+Inputs!$L$7*(((Inputs!$I$7+(((A231)+1)/2)*(Inputs!$J$7-Inputs!$I$7)))/Inputs!$K$7)^2)</x:f>
        <x:v>335.92935999999986</x:v>
      </x:c>
      <x:c r="AB231" s="9" t="n">
        <x:f>(Inputs!$H$8+Inputs!$L$8*(((Inputs!$I$8+(((A231)+1)/2)*(Inputs!$J$8-Inputs!$I$8)))/Inputs!$K$8)^2)</x:f>
        <x:v>830.6077599999996</x:v>
      </x:c>
      <x:c r="AC231" s="9" t="n">
        <x:f>(Inputs!$H$9+Inputs!$L$9*(((Inputs!$I$9+(((A231)+1)/2)*(Inputs!$J$9-Inputs!$I$9)))/Inputs!$K$9)^2)</x:f>
        <x:v>828.8523999999996</x:v>
      </x:c>
      <x:c r="AD231" s="10"/>
      <x:c r="AE231" s="9">
        <x:f t="shared" si="31"/>
        <x:v>0.90800000000000003</x:v>
      </x:c>
      <x:c r="AF231" s="9"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9"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9"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9"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10"/>
      <x:c r="AK231" s="9">
        <x:f t="shared" si="32"/>
        <x:v>0.90800000000000003</x:v>
      </x:c>
      <x:c r="AL231" s="9"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9"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9"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9"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10"/>
      <x:c r="AQ231" s="9">
        <x:f t="shared" si="33"/>
        <x:v>0.90800000000000003</x:v>
      </x:c>
      <x:c r="AR231" s="9" t="n">
        <x:f>0</x:f>
        <x:v>0</x:v>
      </x:c>
      <x:c r="AS231" s="9"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x:f>
        <x:v>176.7818564465648</x:v>
      </x:c>
      <x:c r="AT231" s="9"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x:f>
        <x:v>210.253353558436</x:v>
      </x:c>
      <x:c r="AU231" s="9"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x:f>
        <x:v>228.36919814449112</x:v>
      </x:c>
      <x:c r="AV231" s="9"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x:f>
        <x:v>228.36919814449112</x:v>
      </x:c>
      <x:c r="AW231" s="10"/>
      <x:c r="AX231" s="9">
        <x:f t="shared" si="34"/>
        <x:v>0.90800000000000003</x:v>
      </x:c>
      <x:c r="AY231" s="9" t="n">
        <x:f>0</x:f>
        <x:v>0</x:v>
      </x:c>
      <x:c r="AZ231" s="9" t="n">
        <x:f>IF(OR(Inputs!$F$6=TRUE,Inputs!$F$6="TRUE",Inputs!$F$6=1),(Inputs!$H$6+Inputs!$L$6*(((Inputs!$I$6+(((A231)+1)/2)*(Inputs!$J$6-Inputs!$I$6)))/Inputs!$K$6)^2),NA())</x:f>
        <x:v>403.297856</x:v>
      </x:c>
      <x:c r="BA231" s="9" t="n">
        <x:f>IF(OR(Inputs!$F$7=TRUE,Inputs!$F$7="TRUE",Inputs!$F$7=1),(Inputs!$H$7+Inputs!$L$7*(((Inputs!$I$7+(((A231)+1)/2)*(Inputs!$J$7-Inputs!$I$7)))/Inputs!$K$7)^2),NA())</x:f>
        <x:v>335.92935999999986</x:v>
      </x:c>
      <x:c r="BB231" s="9" t="n">
        <x:f>IF(OR(Inputs!$F$8=TRUE,Inputs!$F$8="TRUE",Inputs!$F$8=1),(Inputs!$H$8+Inputs!$L$8*(((Inputs!$I$8+(((A231)+1)/2)*(Inputs!$J$8-Inputs!$I$8)))/Inputs!$K$8)^2),NA())</x:f>
        <x:v>830.6077599999996</x:v>
      </x:c>
      <x:c r="BC231" s="9" t="n">
        <x:f>IF(OR(Inputs!$F$9=TRUE,Inputs!$F$9="TRUE",Inputs!$F$9=1),(Inputs!$H$9+Inputs!$L$9*(((Inputs!$I$9+(((A231)+1)/2)*(Inputs!$J$9-Inputs!$I$9)))/Inputs!$K$9)^2),NA())</x:f>
        <x:v>828.8523999999996</x:v>
      </x:c>
      <x:c r="BD231" s="10"/>
      <x:c r="BE231" s="9">
        <x:f t="shared" si="35"/>
        <x:v>0.90800000000000003</x:v>
      </x:c>
      <x:c r="BF231" s="9" t="n">
        <x:f>0</x:f>
        <x:v>0</x:v>
      </x:c>
      <x:c r="BG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9" t="n">
        <x:f>ROUND(-1+230*2/240,3)</x:f>
        <x:v>0.917</x:v>
      </x:c>
      <x:c r="B232" s="9" t="n">
        <x:f>IF(OR(Inputs!$F$6=TRUE,Inputs!$F$6="TRUE",Inputs!$F$6=1),(Inputs!$H$6+Inputs!$L$6*(((Inputs!$I$6+(((A232)+1)/2)*(Inputs!$J$6-Inputs!$I$6)))/Inputs!$K$6)^2),NA())</x:f>
        <x:v>403.363556</x:v>
      </x:c>
      <x:c r="C232" s="9" t="n">
        <x:f>IF(OR(Inputs!$F$7=TRUE,Inputs!$F$7="TRUE",Inputs!$F$7=1),(Inputs!$H$7+Inputs!$L$7*(((Inputs!$I$7+(((A232)+1)/2)*(Inputs!$J$7-Inputs!$I$7)))/Inputs!$K$7)^2),NA())</x:f>
        <x:v>341.92448500000006</x:v>
      </x:c>
      <x:c r="D232" s="9" t="n">
        <x:f>IF(OR(Inputs!$F$8=TRUE,Inputs!$F$8="TRUE",Inputs!$F$8=1),(Inputs!$H$8+Inputs!$L$8*(((Inputs!$I$8+(((A232)+1)/2)*(Inputs!$J$8-Inputs!$I$8)))/Inputs!$K$8)^2),NA())</x:f>
        <x:v>846.4578850000003</x:v>
      </x:c>
      <x:c r="E232" s="9" t="n">
        <x:f>IF(OR(Inputs!$F$9=TRUE,Inputs!$F$9="TRUE",Inputs!$F$9=1),(Inputs!$H$9+Inputs!$L$9*(((Inputs!$I$9+(((A232)+1)/2)*(Inputs!$J$9-Inputs!$I$9)))/Inputs!$K$9)^2),NA())</x:f>
        <x:v>844.8667750000002</x:v>
      </x:c>
      <x:c r="F232" s="10"/>
      <x:c r="G232" s="9">
        <x:f t="shared" si="27"/>
        <x:v>0.91700000000000004</x:v>
      </x:c>
      <x:c r="H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10"/>
      <x:c r="M232" s="9">
        <x:f t="shared" si="28"/>
        <x:v>0.91700000000000004</x:v>
      </x:c>
      <x:c r="N232" s="9"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9"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9"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9"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10"/>
      <x:c r="S232" s="9">
        <x:f t="shared" si="29"/>
        <x:v>0.91700000000000004</x:v>
      </x:c>
      <x:c r="T232" s="9" t="n">
        <x:f>(Inputs!$I$6+(((A232)+1)/2)*(Inputs!$J$6-Inputs!$I$6))</x:f>
        <x:v>55.019999999999996</x:v>
      </x:c>
      <x:c r="U232" s="9" t="n">
        <x:f>(Inputs!$I$7+(((A232)+1)/2)*(Inputs!$J$7-Inputs!$I$7))</x:f>
        <x:v>366.80000000000007</x:v>
      </x:c>
      <x:c r="V232" s="9" t="n">
        <x:f>(Inputs!$I$8+(((A232)+1)/2)*(Inputs!$J$8-Inputs!$I$8))</x:f>
        <x:v>733.6000000000001</x:v>
      </x:c>
      <x:c r="W232" s="9" t="n">
        <x:f>(Inputs!$I$9+(((A232)+1)/2)*(Inputs!$J$9-Inputs!$I$9))</x:f>
        <x:v>733.6000000000001</x:v>
      </x:c>
      <x:c r="X232" s="10"/>
      <x:c r="Y232" s="9">
        <x:f t="shared" si="30"/>
        <x:v>0.91700000000000004</x:v>
      </x:c>
      <x:c r="Z232" s="9" t="n">
        <x:f>(Inputs!$H$6+Inputs!$L$6*(((Inputs!$I$6+(((A232)+1)/2)*(Inputs!$J$6-Inputs!$I$6)))/Inputs!$K$6)^2)</x:f>
        <x:v>403.363556</x:v>
      </x:c>
      <x:c r="AA232" s="9" t="n">
        <x:f>(Inputs!$H$7+Inputs!$L$7*(((Inputs!$I$7+(((A232)+1)/2)*(Inputs!$J$7-Inputs!$I$7)))/Inputs!$K$7)^2)</x:f>
        <x:v>341.92448500000006</x:v>
      </x:c>
      <x:c r="AB232" s="9" t="n">
        <x:f>(Inputs!$H$8+Inputs!$L$8*(((Inputs!$I$8+(((A232)+1)/2)*(Inputs!$J$8-Inputs!$I$8)))/Inputs!$K$8)^2)</x:f>
        <x:v>846.4578850000003</x:v>
      </x:c>
      <x:c r="AC232" s="9" t="n">
        <x:f>(Inputs!$H$9+Inputs!$L$9*(((Inputs!$I$9+(((A232)+1)/2)*(Inputs!$J$9-Inputs!$I$9)))/Inputs!$K$9)^2)</x:f>
        <x:v>844.8667750000002</x:v>
      </x:c>
      <x:c r="AD232" s="10"/>
      <x:c r="AE232" s="9">
        <x:f t="shared" si="31"/>
        <x:v>0.91700000000000004</x:v>
      </x:c>
      <x:c r="AF232" s="9"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9"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9"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9"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10"/>
      <x:c r="AK232" s="9">
        <x:f t="shared" si="32"/>
        <x:v>0.91700000000000004</x:v>
      </x:c>
      <x:c r="AL232" s="9"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9"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9"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9"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10"/>
      <x:c r="AQ232" s="9">
        <x:f t="shared" si="33"/>
        <x:v>0.91700000000000004</x:v>
      </x:c>
      <x:c r="AR232" s="9" t="n">
        <x:f>0</x:f>
        <x:v>0</x:v>
      </x:c>
      <x:c r="AS232" s="9"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x:f>
        <x:v>201.9709173167261</x:v>
      </x:c>
      <x:c r="AT232" s="9"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x:f>
        <x:v>206.57355529666475</x:v>
      </x:c>
      <x:c r="AU232" s="9"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x:f>
        <x:v>97.72007147764131</x:v>
      </x:c>
      <x:c r="AV232" s="9"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x:f>
        <x:v>97.72007147764131</x:v>
      </x:c>
      <x:c r="AW232" s="10"/>
      <x:c r="AX232" s="9">
        <x:f t="shared" si="34"/>
        <x:v>0.91700000000000004</x:v>
      </x:c>
      <x:c r="AY232" s="9" t="n">
        <x:f>0</x:f>
        <x:v>0</x:v>
      </x:c>
      <x:c r="AZ232" s="9" t="n">
        <x:f>IF(OR(Inputs!$F$6=TRUE,Inputs!$F$6="TRUE",Inputs!$F$6=1),(Inputs!$H$6+Inputs!$L$6*(((Inputs!$I$6+(((A232)+1)/2)*(Inputs!$J$6-Inputs!$I$6)))/Inputs!$K$6)^2),NA())</x:f>
        <x:v>403.363556</x:v>
      </x:c>
      <x:c r="BA232" s="9" t="n">
        <x:f>IF(OR(Inputs!$F$7=TRUE,Inputs!$F$7="TRUE",Inputs!$F$7=1),(Inputs!$H$7+Inputs!$L$7*(((Inputs!$I$7+(((A232)+1)/2)*(Inputs!$J$7-Inputs!$I$7)))/Inputs!$K$7)^2),NA())</x:f>
        <x:v>341.92448500000006</x:v>
      </x:c>
      <x:c r="BB232" s="9" t="n">
        <x:f>IF(OR(Inputs!$F$8=TRUE,Inputs!$F$8="TRUE",Inputs!$F$8=1),(Inputs!$H$8+Inputs!$L$8*(((Inputs!$I$8+(((A232)+1)/2)*(Inputs!$J$8-Inputs!$I$8)))/Inputs!$K$8)^2),NA())</x:f>
        <x:v>846.4578850000003</x:v>
      </x:c>
      <x:c r="BC232" s="9" t="n">
        <x:f>IF(OR(Inputs!$F$9=TRUE,Inputs!$F$9="TRUE",Inputs!$F$9=1),(Inputs!$H$9+Inputs!$L$9*(((Inputs!$I$9+(((A232)+1)/2)*(Inputs!$J$9-Inputs!$I$9)))/Inputs!$K$9)^2),NA())</x:f>
        <x:v>844.8667750000002</x:v>
      </x:c>
      <x:c r="BD232" s="10"/>
      <x:c r="BE232" s="9">
        <x:f t="shared" si="35"/>
        <x:v>0.91700000000000004</x:v>
      </x:c>
      <x:c r="BF232" s="9" t="n">
        <x:f>0</x:f>
        <x:v>0</x:v>
      </x:c>
      <x:c r="BG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9" t="n">
        <x:f>ROUND(-1+231*2/240,3)</x:f>
        <x:v>0.925</x:v>
      </x:c>
      <x:c r="B233" s="9" t="n">
        <x:f>IF(OR(Inputs!$F$6=TRUE,Inputs!$F$6="TRUE",Inputs!$F$6=1),(Inputs!$H$6+Inputs!$L$6*(((Inputs!$I$6+(((A233)+1)/2)*(Inputs!$J$6-Inputs!$I$6)))/Inputs!$K$6)^2),NA())</x:f>
        <x:v>403.4225</x:v>
      </x:c>
      <x:c r="C233" s="9" t="n">
        <x:f>IF(OR(Inputs!$F$7=TRUE,Inputs!$F$7="TRUE",Inputs!$F$7=1),(Inputs!$H$7+Inputs!$L$7*(((Inputs!$I$7+(((A233)+1)/2)*(Inputs!$J$7-Inputs!$I$7)))/Inputs!$K$7)^2),NA())</x:f>
        <x:v>347.303125</x:v>
      </x:c>
      <x:c r="D233" s="9" t="n">
        <x:f>IF(OR(Inputs!$F$8=TRUE,Inputs!$F$8="TRUE",Inputs!$F$8=1),(Inputs!$H$8+Inputs!$L$8*(((Inputs!$I$8+(((A233)+1)/2)*(Inputs!$J$8-Inputs!$I$8)))/Inputs!$K$8)^2),NA())</x:f>
        <x:v>860.678125</x:v>
      </x:c>
      <x:c r="E233" s="9" t="n">
        <x:f>IF(OR(Inputs!$F$9=TRUE,Inputs!$F$9="TRUE",Inputs!$F$9=1),(Inputs!$H$9+Inputs!$L$9*(((Inputs!$I$9+(((A233)+1)/2)*(Inputs!$J$9-Inputs!$I$9)))/Inputs!$K$9)^2),NA())</x:f>
        <x:v>859.2343750000001</x:v>
      </x:c>
      <x:c r="F233" s="10"/>
      <x:c r="G233" s="9">
        <x:f t="shared" si="27"/>
        <x:v>0.92500000000000004</x:v>
      </x:c>
      <x:c r="H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10"/>
      <x:c r="M233" s="9">
        <x:f t="shared" si="28"/>
        <x:v>0.92500000000000004</x:v>
      </x:c>
      <x:c r="N233" s="9"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9"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9"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9"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10"/>
      <x:c r="S233" s="9">
        <x:f t="shared" si="29"/>
        <x:v>0.92500000000000004</x:v>
      </x:c>
      <x:c r="T233" s="9" t="n">
        <x:f>(Inputs!$I$6+(((A233)+1)/2)*(Inputs!$J$6-Inputs!$I$6))</x:f>
        <x:v>55.5</x:v>
      </x:c>
      <x:c r="U233" s="9" t="n">
        <x:f>(Inputs!$I$7+(((A233)+1)/2)*(Inputs!$J$7-Inputs!$I$7))</x:f>
        <x:v>370</x:v>
      </x:c>
      <x:c r="V233" s="9" t="n">
        <x:f>(Inputs!$I$8+(((A233)+1)/2)*(Inputs!$J$8-Inputs!$I$8))</x:f>
        <x:v>740</x:v>
      </x:c>
      <x:c r="W233" s="9" t="n">
        <x:f>(Inputs!$I$9+(((A233)+1)/2)*(Inputs!$J$9-Inputs!$I$9))</x:f>
        <x:v>740</x:v>
      </x:c>
      <x:c r="X233" s="10"/>
      <x:c r="Y233" s="9">
        <x:f t="shared" si="30"/>
        <x:v>0.92500000000000004</x:v>
      </x:c>
      <x:c r="Z233" s="9" t="n">
        <x:f>(Inputs!$H$6+Inputs!$L$6*(((Inputs!$I$6+(((A233)+1)/2)*(Inputs!$J$6-Inputs!$I$6)))/Inputs!$K$6)^2)</x:f>
        <x:v>403.4225</x:v>
      </x:c>
      <x:c r="AA233" s="9" t="n">
        <x:f>(Inputs!$H$7+Inputs!$L$7*(((Inputs!$I$7+(((A233)+1)/2)*(Inputs!$J$7-Inputs!$I$7)))/Inputs!$K$7)^2)</x:f>
        <x:v>347.303125</x:v>
      </x:c>
      <x:c r="AB233" s="9" t="n">
        <x:f>(Inputs!$H$8+Inputs!$L$8*(((Inputs!$I$8+(((A233)+1)/2)*(Inputs!$J$8-Inputs!$I$8)))/Inputs!$K$8)^2)</x:f>
        <x:v>860.678125</x:v>
      </x:c>
      <x:c r="AC233" s="9" t="n">
        <x:f>(Inputs!$H$9+Inputs!$L$9*(((Inputs!$I$9+(((A233)+1)/2)*(Inputs!$J$9-Inputs!$I$9)))/Inputs!$K$9)^2)</x:f>
        <x:v>859.2343750000001</x:v>
      </x:c>
      <x:c r="AD233" s="10"/>
      <x:c r="AE233" s="9">
        <x:f t="shared" si="31"/>
        <x:v>0.92500000000000004</x:v>
      </x:c>
      <x:c r="AF233" s="9"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9"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9"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9"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10"/>
      <x:c r="AK233" s="9">
        <x:f t="shared" si="32"/>
        <x:v>0.92500000000000004</x:v>
      </x:c>
      <x:c r="AL233" s="9"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9"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9"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9"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10"/>
      <x:c r="AQ233" s="9">
        <x:f t="shared" si="33"/>
        <x:v>0.92500000000000004</x:v>
      </x:c>
      <x:c r="AR233" s="9" t="n">
        <x:f>0</x:f>
        <x:v>0</x:v>
      </x:c>
      <x:c r="AS233" s="9"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x:f>
        <x:v>182.5522692746181</x:v>
      </x:c>
      <x:c r="AT233" s="9"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x:f>
        <x:v>145.39340173065168</x:v>
      </x:c>
      <x:c r="AU233" s="9"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x:f>
        <x:v>160.0644046117087</x:v>
      </x:c>
      <x:c r="AV233" s="9"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x:f>
        <x:v>160.0644046117087</x:v>
      </x:c>
      <x:c r="AW233" s="10"/>
      <x:c r="AX233" s="9">
        <x:f t="shared" si="34"/>
        <x:v>0.92500000000000004</x:v>
      </x:c>
      <x:c r="AY233" s="9" t="n">
        <x:f>0</x:f>
        <x:v>0</x:v>
      </x:c>
      <x:c r="AZ233" s="9" t="n">
        <x:f>IF(OR(Inputs!$F$6=TRUE,Inputs!$F$6="TRUE",Inputs!$F$6=1),(Inputs!$H$6+Inputs!$L$6*(((Inputs!$I$6+(((A233)+1)/2)*(Inputs!$J$6-Inputs!$I$6)))/Inputs!$K$6)^2),NA())</x:f>
        <x:v>403.4225</x:v>
      </x:c>
      <x:c r="BA233" s="9" t="n">
        <x:f>IF(OR(Inputs!$F$7=TRUE,Inputs!$F$7="TRUE",Inputs!$F$7=1),(Inputs!$H$7+Inputs!$L$7*(((Inputs!$I$7+(((A233)+1)/2)*(Inputs!$J$7-Inputs!$I$7)))/Inputs!$K$7)^2),NA())</x:f>
        <x:v>347.303125</x:v>
      </x:c>
      <x:c r="BB233" s="9" t="n">
        <x:f>IF(OR(Inputs!$F$8=TRUE,Inputs!$F$8="TRUE",Inputs!$F$8=1),(Inputs!$H$8+Inputs!$L$8*(((Inputs!$I$8+(((A233)+1)/2)*(Inputs!$J$8-Inputs!$I$8)))/Inputs!$K$8)^2),NA())</x:f>
        <x:v>860.678125</x:v>
      </x:c>
      <x:c r="BC233" s="9" t="n">
        <x:f>IF(OR(Inputs!$F$9=TRUE,Inputs!$F$9="TRUE",Inputs!$F$9=1),(Inputs!$H$9+Inputs!$L$9*(((Inputs!$I$9+(((A233)+1)/2)*(Inputs!$J$9-Inputs!$I$9)))/Inputs!$K$9)^2),NA())</x:f>
        <x:v>859.2343750000001</x:v>
      </x:c>
      <x:c r="BD233" s="10"/>
      <x:c r="BE233" s="9">
        <x:f t="shared" si="35"/>
        <x:v>0.92500000000000004</x:v>
      </x:c>
      <x:c r="BF233" s="9" t="n">
        <x:f>0</x:f>
        <x:v>0</x:v>
      </x:c>
      <x:c r="BG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9" t="n">
        <x:f>ROUND(-1+232*2/240,3)</x:f>
        <x:v>0.933</x:v>
      </x:c>
      <x:c r="B234" s="9" t="n">
        <x:f>IF(OR(Inputs!$F$6=TRUE,Inputs!$F$6="TRUE",Inputs!$F$6=1),(Inputs!$H$6+Inputs!$L$6*(((Inputs!$I$6+(((A234)+1)/2)*(Inputs!$J$6-Inputs!$I$6)))/Inputs!$K$6)^2),NA())</x:f>
        <x:v>403.481956</x:v>
      </x:c>
      <x:c r="C234" s="9" t="n">
        <x:f>IF(OR(Inputs!$F$7=TRUE,Inputs!$F$7="TRUE",Inputs!$F$7=1),(Inputs!$H$7+Inputs!$L$7*(((Inputs!$I$7+(((A234)+1)/2)*(Inputs!$J$7-Inputs!$I$7)))/Inputs!$K$7)^2),NA())</x:f>
        <x:v>352.7284850000001</x:v>
      </x:c>
      <x:c r="D234" s="9" t="n">
        <x:f>IF(OR(Inputs!$F$8=TRUE,Inputs!$F$8="TRUE",Inputs!$F$8=1),(Inputs!$H$8+Inputs!$L$8*(((Inputs!$I$8+(((A234)+1)/2)*(Inputs!$J$8-Inputs!$I$8)))/Inputs!$K$8)^2),NA())</x:f>
        <x:v>875.0218850000002</x:v>
      </x:c>
      <x:c r="E234" s="9" t="n">
        <x:f>IF(OR(Inputs!$F$9=TRUE,Inputs!$F$9="TRUE",Inputs!$F$9=1),(Inputs!$H$9+Inputs!$L$9*(((Inputs!$I$9+(((A234)+1)/2)*(Inputs!$J$9-Inputs!$I$9)))/Inputs!$K$9)^2),NA())</x:f>
        <x:v>873.7267750000003</x:v>
      </x:c>
      <x:c r="F234" s="10"/>
      <x:c r="G234" s="9">
        <x:f t="shared" si="27"/>
        <x:v>0.93300000000000005</x:v>
      </x:c>
      <x:c r="H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10"/>
      <x:c r="M234" s="9">
        <x:f t="shared" si="28"/>
        <x:v>0.93300000000000005</x:v>
      </x:c>
      <x:c r="N234" s="9"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9"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9"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9"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10"/>
      <x:c r="S234" s="9">
        <x:f t="shared" si="29"/>
        <x:v>0.93300000000000005</x:v>
      </x:c>
      <x:c r="T234" s="9" t="n">
        <x:f>(Inputs!$I$6+(((A234)+1)/2)*(Inputs!$J$6-Inputs!$I$6))</x:f>
        <x:v>55.980000000000004</x:v>
      </x:c>
      <x:c r="U234" s="9" t="n">
        <x:f>(Inputs!$I$7+(((A234)+1)/2)*(Inputs!$J$7-Inputs!$I$7))</x:f>
        <x:v>373.20000000000005</x:v>
      </x:c>
      <x:c r="V234" s="9" t="n">
        <x:f>(Inputs!$I$8+(((A234)+1)/2)*(Inputs!$J$8-Inputs!$I$8))</x:f>
        <x:v>746.4000000000001</x:v>
      </x:c>
      <x:c r="W234" s="9" t="n">
        <x:f>(Inputs!$I$9+(((A234)+1)/2)*(Inputs!$J$9-Inputs!$I$9))</x:f>
        <x:v>746.4000000000001</x:v>
      </x:c>
      <x:c r="X234" s="10"/>
      <x:c r="Y234" s="9">
        <x:f t="shared" si="30"/>
        <x:v>0.93300000000000005</x:v>
      </x:c>
      <x:c r="Z234" s="9" t="n">
        <x:f>(Inputs!$H$6+Inputs!$L$6*(((Inputs!$I$6+(((A234)+1)/2)*(Inputs!$J$6-Inputs!$I$6)))/Inputs!$K$6)^2)</x:f>
        <x:v>403.481956</x:v>
      </x:c>
      <x:c r="AA234" s="9" t="n">
        <x:f>(Inputs!$H$7+Inputs!$L$7*(((Inputs!$I$7+(((A234)+1)/2)*(Inputs!$J$7-Inputs!$I$7)))/Inputs!$K$7)^2)</x:f>
        <x:v>352.7284850000001</x:v>
      </x:c>
      <x:c r="AB234" s="9" t="n">
        <x:f>(Inputs!$H$8+Inputs!$L$8*(((Inputs!$I$8+(((A234)+1)/2)*(Inputs!$J$8-Inputs!$I$8)))/Inputs!$K$8)^2)</x:f>
        <x:v>875.0218850000002</x:v>
      </x:c>
      <x:c r="AC234" s="9" t="n">
        <x:f>(Inputs!$H$9+Inputs!$L$9*(((Inputs!$I$9+(((A234)+1)/2)*(Inputs!$J$9-Inputs!$I$9)))/Inputs!$K$9)^2)</x:f>
        <x:v>873.7267750000003</x:v>
      </x:c>
      <x:c r="AD234" s="10"/>
      <x:c r="AE234" s="9">
        <x:f t="shared" si="31"/>
        <x:v>0.93300000000000005</x:v>
      </x:c>
      <x:c r="AF234" s="9"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9"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9"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9"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10"/>
      <x:c r="AK234" s="9">
        <x:f t="shared" si="32"/>
        <x:v>0.93300000000000005</x:v>
      </x:c>
      <x:c r="AL234" s="9"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9"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9"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9"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10"/>
      <x:c r="AQ234" s="9">
        <x:f t="shared" si="33"/>
        <x:v>0.93300000000000005</x:v>
      </x:c>
      <x:c r="AR234" s="9" t="n">
        <x:f>0</x:f>
        <x:v>0</x:v>
      </x:c>
      <x:c r="AS234" s="9"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x:f>
        <x:v>185.94476125950024</x:v>
      </x:c>
      <x:c r="AT234" s="9"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x:f>
        <x:v>98.11352403233904</x:v>
      </x:c>
      <x:c r="AU234" s="9"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x:f>
        <x:v>160.61002511432216</x:v>
      </x:c>
      <x:c r="AV234" s="9"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x:f>
        <x:v>160.61002511432216</x:v>
      </x:c>
      <x:c r="AW234" s="10"/>
      <x:c r="AX234" s="9">
        <x:f t="shared" si="34"/>
        <x:v>0.93300000000000005</x:v>
      </x:c>
      <x:c r="AY234" s="9" t="n">
        <x:f>0</x:f>
        <x:v>0</x:v>
      </x:c>
      <x:c r="AZ234" s="9" t="n">
        <x:f>IF(OR(Inputs!$F$6=TRUE,Inputs!$F$6="TRUE",Inputs!$F$6=1),(Inputs!$H$6+Inputs!$L$6*(((Inputs!$I$6+(((A234)+1)/2)*(Inputs!$J$6-Inputs!$I$6)))/Inputs!$K$6)^2),NA())</x:f>
        <x:v>403.481956</x:v>
      </x:c>
      <x:c r="BA234" s="9" t="n">
        <x:f>IF(OR(Inputs!$F$7=TRUE,Inputs!$F$7="TRUE",Inputs!$F$7=1),(Inputs!$H$7+Inputs!$L$7*(((Inputs!$I$7+(((A234)+1)/2)*(Inputs!$J$7-Inputs!$I$7)))/Inputs!$K$7)^2),NA())</x:f>
        <x:v>352.7284850000001</x:v>
      </x:c>
      <x:c r="BB234" s="9" t="n">
        <x:f>IF(OR(Inputs!$F$8=TRUE,Inputs!$F$8="TRUE",Inputs!$F$8=1),(Inputs!$H$8+Inputs!$L$8*(((Inputs!$I$8+(((A234)+1)/2)*(Inputs!$J$8-Inputs!$I$8)))/Inputs!$K$8)^2),NA())</x:f>
        <x:v>875.0218850000002</x:v>
      </x:c>
      <x:c r="BC234" s="9" t="n">
        <x:f>IF(OR(Inputs!$F$9=TRUE,Inputs!$F$9="TRUE",Inputs!$F$9=1),(Inputs!$H$9+Inputs!$L$9*(((Inputs!$I$9+(((A234)+1)/2)*(Inputs!$J$9-Inputs!$I$9)))/Inputs!$K$9)^2),NA())</x:f>
        <x:v>873.7267750000003</x:v>
      </x:c>
      <x:c r="BD234" s="10"/>
      <x:c r="BE234" s="9">
        <x:f t="shared" si="35"/>
        <x:v>0.93300000000000005</x:v>
      </x:c>
      <x:c r="BF234" s="9" t="n">
        <x:f>0</x:f>
        <x:v>0</x:v>
      </x:c>
      <x:c r="BG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9" t="n">
        <x:f>ROUND(-1+233*2/240,3)</x:f>
        <x:v>0.942</x:v>
      </x:c>
      <x:c r="B235" s="9" t="n">
        <x:f>IF(OR(Inputs!$F$6=TRUE,Inputs!$F$6="TRUE",Inputs!$F$6=1),(Inputs!$H$6+Inputs!$L$6*(((Inputs!$I$6+(((A235)+1)/2)*(Inputs!$J$6-Inputs!$I$6)))/Inputs!$K$6)^2),NA())</x:f>
        <x:v>403.549456</x:v>
      </x:c>
      <x:c r="C235" s="9" t="n">
        <x:f>IF(OR(Inputs!$F$7=TRUE,Inputs!$F$7="TRUE",Inputs!$F$7=1),(Inputs!$H$7+Inputs!$L$7*(((Inputs!$I$7+(((A235)+1)/2)*(Inputs!$J$7-Inputs!$I$7)))/Inputs!$K$7)^2),NA())</x:f>
        <x:v>358.8878599999999</x:v>
      </x:c>
      <x:c r="D235" s="9" t="n">
        <x:f>IF(OR(Inputs!$F$8=TRUE,Inputs!$F$8="TRUE",Inputs!$F$8=1),(Inputs!$H$8+Inputs!$L$8*(((Inputs!$I$8+(((A235)+1)/2)*(Inputs!$J$8-Inputs!$I$8)))/Inputs!$K$8)^2),NA())</x:f>
        <x:v>891.3062599999997</x:v>
      </x:c>
      <x:c r="E235" s="9" t="n">
        <x:f>IF(OR(Inputs!$F$9=TRUE,Inputs!$F$9="TRUE",Inputs!$F$9=1),(Inputs!$H$9+Inputs!$L$9*(((Inputs!$I$9+(((A235)+1)/2)*(Inputs!$J$9-Inputs!$I$9)))/Inputs!$K$9)^2),NA())</x:f>
        <x:v>890.1798999999997</x:v>
      </x:c>
      <x:c r="F235" s="10"/>
      <x:c r="G235" s="9">
        <x:f t="shared" si="27"/>
        <x:v>0.94199999999999995</x:v>
      </x:c>
      <x:c r="H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10"/>
      <x:c r="M235" s="9">
        <x:f t="shared" si="28"/>
        <x:v>0.94199999999999995</x:v>
      </x:c>
      <x:c r="N235" s="9"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9"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9"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9"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10"/>
      <x:c r="S235" s="9">
        <x:f t="shared" si="29"/>
        <x:v>0.94199999999999995</x:v>
      </x:c>
      <x:c r="T235" s="9" t="n">
        <x:f>(Inputs!$I$6+(((A235)+1)/2)*(Inputs!$J$6-Inputs!$I$6))</x:f>
        <x:v>56.519999999999996</x:v>
      </x:c>
      <x:c r="U235" s="9" t="n">
        <x:f>(Inputs!$I$7+(((A235)+1)/2)*(Inputs!$J$7-Inputs!$I$7))</x:f>
        <x:v>376.79999999999995</x:v>
      </x:c>
      <x:c r="V235" s="9" t="n">
        <x:f>(Inputs!$I$8+(((A235)+1)/2)*(Inputs!$J$8-Inputs!$I$8))</x:f>
        <x:v>753.5999999999999</x:v>
      </x:c>
      <x:c r="W235" s="9" t="n">
        <x:f>(Inputs!$I$9+(((A235)+1)/2)*(Inputs!$J$9-Inputs!$I$9))</x:f>
        <x:v>753.5999999999999</x:v>
      </x:c>
      <x:c r="X235" s="10"/>
      <x:c r="Y235" s="9">
        <x:f t="shared" si="30"/>
        <x:v>0.94199999999999995</x:v>
      </x:c>
      <x:c r="Z235" s="9" t="n">
        <x:f>(Inputs!$H$6+Inputs!$L$6*(((Inputs!$I$6+(((A235)+1)/2)*(Inputs!$J$6-Inputs!$I$6)))/Inputs!$K$6)^2)</x:f>
        <x:v>403.549456</x:v>
      </x:c>
      <x:c r="AA235" s="9" t="n">
        <x:f>(Inputs!$H$7+Inputs!$L$7*(((Inputs!$I$7+(((A235)+1)/2)*(Inputs!$J$7-Inputs!$I$7)))/Inputs!$K$7)^2)</x:f>
        <x:v>358.8878599999999</x:v>
      </x:c>
      <x:c r="AB235" s="9" t="n">
        <x:f>(Inputs!$H$8+Inputs!$L$8*(((Inputs!$I$8+(((A235)+1)/2)*(Inputs!$J$8-Inputs!$I$8)))/Inputs!$K$8)^2)</x:f>
        <x:v>891.3062599999997</x:v>
      </x:c>
      <x:c r="AC235" s="9" t="n">
        <x:f>(Inputs!$H$9+Inputs!$L$9*(((Inputs!$I$9+(((A235)+1)/2)*(Inputs!$J$9-Inputs!$I$9)))/Inputs!$K$9)^2)</x:f>
        <x:v>890.1798999999997</x:v>
      </x:c>
      <x:c r="AD235" s="10"/>
      <x:c r="AE235" s="9">
        <x:f t="shared" si="31"/>
        <x:v>0.94199999999999995</x:v>
      </x:c>
      <x:c r="AF235" s="9"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9"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9"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9"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10"/>
      <x:c r="AK235" s="9">
        <x:f t="shared" si="32"/>
        <x:v>0.94199999999999995</x:v>
      </x:c>
      <x:c r="AL235" s="9"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9"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9"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9"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10"/>
      <x:c r="AQ235" s="9">
        <x:f t="shared" si="33"/>
        <x:v>0.94199999999999995</x:v>
      </x:c>
      <x:c r="AR235" s="9" t="n">
        <x:f>0</x:f>
        <x:v>0</x:v>
      </x:c>
      <x:c r="AS235" s="9"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x:f>
        <x:v>199.19208848085862</x:v>
      </x:c>
      <x:c r="AT235" s="9"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x:f>
        <x:v>136.80312199804771</x:v>
      </x:c>
      <x:c r="AU235" s="9"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x:f>
        <x:v>61.34041701701119</x:v>
      </x:c>
      <x:c r="AV235" s="9"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x:f>
        <x:v>61.34041701701119</x:v>
      </x:c>
      <x:c r="AW235" s="10"/>
      <x:c r="AX235" s="9">
        <x:f t="shared" si="34"/>
        <x:v>0.94199999999999995</x:v>
      </x:c>
      <x:c r="AY235" s="9" t="n">
        <x:f>0</x:f>
        <x:v>0</x:v>
      </x:c>
      <x:c r="AZ235" s="9" t="n">
        <x:f>IF(OR(Inputs!$F$6=TRUE,Inputs!$F$6="TRUE",Inputs!$F$6=1),(Inputs!$H$6+Inputs!$L$6*(((Inputs!$I$6+(((A235)+1)/2)*(Inputs!$J$6-Inputs!$I$6)))/Inputs!$K$6)^2),NA())</x:f>
        <x:v>403.549456</x:v>
      </x:c>
      <x:c r="BA235" s="9" t="n">
        <x:f>IF(OR(Inputs!$F$7=TRUE,Inputs!$F$7="TRUE",Inputs!$F$7=1),(Inputs!$H$7+Inputs!$L$7*(((Inputs!$I$7+(((A235)+1)/2)*(Inputs!$J$7-Inputs!$I$7)))/Inputs!$K$7)^2),NA())</x:f>
        <x:v>358.8878599999999</x:v>
      </x:c>
      <x:c r="BB235" s="9" t="n">
        <x:f>IF(OR(Inputs!$F$8=TRUE,Inputs!$F$8="TRUE",Inputs!$F$8=1),(Inputs!$H$8+Inputs!$L$8*(((Inputs!$I$8+(((A235)+1)/2)*(Inputs!$J$8-Inputs!$I$8)))/Inputs!$K$8)^2),NA())</x:f>
        <x:v>891.3062599999997</x:v>
      </x:c>
      <x:c r="BC235" s="9" t="n">
        <x:f>IF(OR(Inputs!$F$9=TRUE,Inputs!$F$9="TRUE",Inputs!$F$9=1),(Inputs!$H$9+Inputs!$L$9*(((Inputs!$I$9+(((A235)+1)/2)*(Inputs!$J$9-Inputs!$I$9)))/Inputs!$K$9)^2),NA())</x:f>
        <x:v>890.1798999999997</x:v>
      </x:c>
      <x:c r="BD235" s="10"/>
      <x:c r="BE235" s="9">
        <x:f t="shared" si="35"/>
        <x:v>0.94199999999999995</x:v>
      </x:c>
      <x:c r="BF235" s="9" t="n">
        <x:f>0</x:f>
        <x:v>0</x:v>
      </x:c>
      <x:c r="BG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9" t="n">
        <x:f>ROUND(-1+234*2/240,3)</x:f>
        <x:v>0.95</x:v>
      </x:c>
      <x:c r="B236" s="9" t="n">
        <x:f>IF(OR(Inputs!$F$6=TRUE,Inputs!$F$6="TRUE",Inputs!$F$6=1),(Inputs!$H$6+Inputs!$L$6*(((Inputs!$I$6+(((A236)+1)/2)*(Inputs!$J$6-Inputs!$I$6)))/Inputs!$K$6)^2),NA())</x:f>
        <x:v>403.61</x:v>
      </x:c>
      <x:c r="C236" s="9" t="n">
        <x:f>IF(OR(Inputs!$F$7=TRUE,Inputs!$F$7="TRUE",Inputs!$F$7=1),(Inputs!$H$7+Inputs!$L$7*(((Inputs!$I$7+(((A236)+1)/2)*(Inputs!$J$7-Inputs!$I$7)))/Inputs!$K$7)^2),NA())</x:f>
        <x:v>364.41249999999997</x:v>
      </x:c>
      <x:c r="D236" s="9" t="n">
        <x:f>IF(OR(Inputs!$F$8=TRUE,Inputs!$F$8="TRUE",Inputs!$F$8=1),(Inputs!$H$8+Inputs!$L$8*(((Inputs!$I$8+(((A236)+1)/2)*(Inputs!$J$8-Inputs!$I$8)))/Inputs!$K$8)^2),NA())</x:f>
        <x:v>905.9125</x:v>
      </x:c>
      <x:c r="E236" s="9" t="n">
        <x:f>IF(OR(Inputs!$F$9=TRUE,Inputs!$F$9="TRUE",Inputs!$F$9=1),(Inputs!$H$9+Inputs!$L$9*(((Inputs!$I$9+(((A236)+1)/2)*(Inputs!$J$9-Inputs!$I$9)))/Inputs!$K$9)^2),NA())</x:f>
        <x:v>904.9375</x:v>
      </x:c>
      <x:c r="F236" s="10"/>
      <x:c r="G236" s="9">
        <x:f t="shared" si="27"/>
        <x:v>0.95</x:v>
      </x:c>
      <x:c r="H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10"/>
      <x:c r="M236" s="9">
        <x:f t="shared" si="28"/>
        <x:v>0.95</x:v>
      </x:c>
      <x:c r="N236" s="9"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9"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9"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9"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10"/>
      <x:c r="S236" s="9">
        <x:f t="shared" si="29"/>
        <x:v>0.95</x:v>
      </x:c>
      <x:c r="T236" s="9" t="n">
        <x:f>(Inputs!$I$6+(((A236)+1)/2)*(Inputs!$J$6-Inputs!$I$6))</x:f>
        <x:v>57</x:v>
      </x:c>
      <x:c r="U236" s="9" t="n">
        <x:f>(Inputs!$I$7+(((A236)+1)/2)*(Inputs!$J$7-Inputs!$I$7))</x:f>
        <x:v>380</x:v>
      </x:c>
      <x:c r="V236" s="9" t="n">
        <x:f>(Inputs!$I$8+(((A236)+1)/2)*(Inputs!$J$8-Inputs!$I$8))</x:f>
        <x:v>760</x:v>
      </x:c>
      <x:c r="W236" s="9" t="n">
        <x:f>(Inputs!$I$9+(((A236)+1)/2)*(Inputs!$J$9-Inputs!$I$9))</x:f>
        <x:v>760</x:v>
      </x:c>
      <x:c r="X236" s="10"/>
      <x:c r="Y236" s="9">
        <x:f t="shared" si="30"/>
        <x:v>0.95</x:v>
      </x:c>
      <x:c r="Z236" s="9" t="n">
        <x:f>(Inputs!$H$6+Inputs!$L$6*(((Inputs!$I$6+(((A236)+1)/2)*(Inputs!$J$6-Inputs!$I$6)))/Inputs!$K$6)^2)</x:f>
        <x:v>403.61</x:v>
      </x:c>
      <x:c r="AA236" s="9" t="n">
        <x:f>(Inputs!$H$7+Inputs!$L$7*(((Inputs!$I$7+(((A236)+1)/2)*(Inputs!$J$7-Inputs!$I$7)))/Inputs!$K$7)^2)</x:f>
        <x:v>364.41249999999997</x:v>
      </x:c>
      <x:c r="AB236" s="9" t="n">
        <x:f>(Inputs!$H$8+Inputs!$L$8*(((Inputs!$I$8+(((A236)+1)/2)*(Inputs!$J$8-Inputs!$I$8)))/Inputs!$K$8)^2)</x:f>
        <x:v>905.9125</x:v>
      </x:c>
      <x:c r="AC236" s="9" t="n">
        <x:f>(Inputs!$H$9+Inputs!$L$9*(((Inputs!$I$9+(((A236)+1)/2)*(Inputs!$J$9-Inputs!$I$9)))/Inputs!$K$9)^2)</x:f>
        <x:v>904.9375</x:v>
      </x:c>
      <x:c r="AD236" s="10"/>
      <x:c r="AE236" s="9">
        <x:f t="shared" si="31"/>
        <x:v>0.95</x:v>
      </x:c>
      <x:c r="AF236" s="9"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9"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9"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9"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10"/>
      <x:c r="AK236" s="9">
        <x:f t="shared" si="32"/>
        <x:v>0.95</x:v>
      </x:c>
      <x:c r="AL236" s="9"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9"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9"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9"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10"/>
      <x:c r="AQ236" s="9">
        <x:f t="shared" si="33"/>
        <x:v>0.95</x:v>
      </x:c>
      <x:c r="AR236" s="9" t="n">
        <x:f>0</x:f>
        <x:v>0</x:v>
      </x:c>
      <x:c r="AS236" s="9"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x:f>
        <x:v>200.68454527158707</x:v>
      </x:c>
      <x:c r="AT236" s="9"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x:f>
        <x:v>190.6077590066482</x:v>
      </x:c>
      <x:c r="AU236" s="9"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x:f>
        <x:v>218.3637776453862</x:v>
      </x:c>
      <x:c r="AV236" s="9"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x:f>
        <x:v>218.3637776453862</x:v>
      </x:c>
      <x:c r="AW236" s="10"/>
      <x:c r="AX236" s="9">
        <x:f t="shared" si="34"/>
        <x:v>0.95</x:v>
      </x:c>
      <x:c r="AY236" s="9" t="n">
        <x:f>0</x:f>
        <x:v>0</x:v>
      </x:c>
      <x:c r="AZ236" s="9" t="n">
        <x:f>IF(OR(Inputs!$F$6=TRUE,Inputs!$F$6="TRUE",Inputs!$F$6=1),(Inputs!$H$6+Inputs!$L$6*(((Inputs!$I$6+(((A236)+1)/2)*(Inputs!$J$6-Inputs!$I$6)))/Inputs!$K$6)^2),NA())</x:f>
        <x:v>403.61</x:v>
      </x:c>
      <x:c r="BA236" s="9" t="n">
        <x:f>IF(OR(Inputs!$F$7=TRUE,Inputs!$F$7="TRUE",Inputs!$F$7=1),(Inputs!$H$7+Inputs!$L$7*(((Inputs!$I$7+(((A236)+1)/2)*(Inputs!$J$7-Inputs!$I$7)))/Inputs!$K$7)^2),NA())</x:f>
        <x:v>364.41249999999997</x:v>
      </x:c>
      <x:c r="BB236" s="9" t="n">
        <x:f>IF(OR(Inputs!$F$8=TRUE,Inputs!$F$8="TRUE",Inputs!$F$8=1),(Inputs!$H$8+Inputs!$L$8*(((Inputs!$I$8+(((A236)+1)/2)*(Inputs!$J$8-Inputs!$I$8)))/Inputs!$K$8)^2),NA())</x:f>
        <x:v>905.9125</x:v>
      </x:c>
      <x:c r="BC236" s="9" t="n">
        <x:f>IF(OR(Inputs!$F$9=TRUE,Inputs!$F$9="TRUE",Inputs!$F$9=1),(Inputs!$H$9+Inputs!$L$9*(((Inputs!$I$9+(((A236)+1)/2)*(Inputs!$J$9-Inputs!$I$9)))/Inputs!$K$9)^2),NA())</x:f>
        <x:v>904.9375</x:v>
      </x:c>
      <x:c r="BD236" s="10"/>
      <x:c r="BE236" s="9">
        <x:f t="shared" si="35"/>
        <x:v>0.95</x:v>
      </x:c>
      <x:c r="BF236" s="9" t="n">
        <x:f>0</x:f>
        <x:v>0</x:v>
      </x:c>
      <x:c r="BG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9" t="n">
        <x:f>ROUND(-1+235*2/240,3)</x:f>
        <x:v>0.958</x:v>
      </x:c>
      <x:c r="B237" s="9" t="n">
        <x:f>IF(OR(Inputs!$F$6=TRUE,Inputs!$F$6="TRUE",Inputs!$F$6=1),(Inputs!$H$6+Inputs!$L$6*(((Inputs!$I$6+(((A237)+1)/2)*(Inputs!$J$6-Inputs!$I$6)))/Inputs!$K$6)^2),NA())</x:f>
        <x:v>403.671056</x:v>
      </x:c>
      <x:c r="C237" s="9" t="n">
        <x:f>IF(OR(Inputs!$F$7=TRUE,Inputs!$F$7="TRUE",Inputs!$F$7=1),(Inputs!$H$7+Inputs!$L$7*(((Inputs!$I$7+(((A237)+1)/2)*(Inputs!$J$7-Inputs!$I$7)))/Inputs!$K$7)^2),NA())</x:f>
        <x:v>369.9838599999999</x:v>
      </x:c>
      <x:c r="D237" s="9" t="n">
        <x:f>IF(OR(Inputs!$F$8=TRUE,Inputs!$F$8="TRUE",Inputs!$F$8=1),(Inputs!$H$8+Inputs!$L$8*(((Inputs!$I$8+(((A237)+1)/2)*(Inputs!$J$8-Inputs!$I$8)))/Inputs!$K$8)^2),NA())</x:f>
        <x:v>920.6422599999997</x:v>
      </x:c>
      <x:c r="E237" s="9" t="n">
        <x:f>IF(OR(Inputs!$F$9=TRUE,Inputs!$F$9="TRUE",Inputs!$F$9=1),(Inputs!$H$9+Inputs!$L$9*(((Inputs!$I$9+(((A237)+1)/2)*(Inputs!$J$9-Inputs!$I$9)))/Inputs!$K$9)^2),NA())</x:f>
        <x:v>919.8198999999997</x:v>
      </x:c>
      <x:c r="F237" s="10"/>
      <x:c r="G237" s="9">
        <x:f t="shared" si="27"/>
        <x:v>0.95799999999999996</x:v>
      </x:c>
      <x:c r="H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10"/>
      <x:c r="M237" s="9">
        <x:f t="shared" si="28"/>
        <x:v>0.95799999999999996</x:v>
      </x:c>
      <x:c r="N237" s="9"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9"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9"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9"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10"/>
      <x:c r="S237" s="9">
        <x:f t="shared" si="29"/>
        <x:v>0.95799999999999996</x:v>
      </x:c>
      <x:c r="T237" s="9" t="n">
        <x:f>(Inputs!$I$6+(((A237)+1)/2)*(Inputs!$J$6-Inputs!$I$6))</x:f>
        <x:v>57.480000000000004</x:v>
      </x:c>
      <x:c r="U237" s="9" t="n">
        <x:f>(Inputs!$I$7+(((A237)+1)/2)*(Inputs!$J$7-Inputs!$I$7))</x:f>
        <x:v>383.19999999999993</x:v>
      </x:c>
      <x:c r="V237" s="9" t="n">
        <x:f>(Inputs!$I$8+(((A237)+1)/2)*(Inputs!$J$8-Inputs!$I$8))</x:f>
        <x:v>766.3999999999999</x:v>
      </x:c>
      <x:c r="W237" s="9" t="n">
        <x:f>(Inputs!$I$9+(((A237)+1)/2)*(Inputs!$J$9-Inputs!$I$9))</x:f>
        <x:v>766.3999999999999</x:v>
      </x:c>
      <x:c r="X237" s="10"/>
      <x:c r="Y237" s="9">
        <x:f t="shared" si="30"/>
        <x:v>0.95799999999999996</x:v>
      </x:c>
      <x:c r="Z237" s="9" t="n">
        <x:f>(Inputs!$H$6+Inputs!$L$6*(((Inputs!$I$6+(((A237)+1)/2)*(Inputs!$J$6-Inputs!$I$6)))/Inputs!$K$6)^2)</x:f>
        <x:v>403.671056</x:v>
      </x:c>
      <x:c r="AA237" s="9" t="n">
        <x:f>(Inputs!$H$7+Inputs!$L$7*(((Inputs!$I$7+(((A237)+1)/2)*(Inputs!$J$7-Inputs!$I$7)))/Inputs!$K$7)^2)</x:f>
        <x:v>369.9838599999999</x:v>
      </x:c>
      <x:c r="AB237" s="9" t="n">
        <x:f>(Inputs!$H$8+Inputs!$L$8*(((Inputs!$I$8+(((A237)+1)/2)*(Inputs!$J$8-Inputs!$I$8)))/Inputs!$K$8)^2)</x:f>
        <x:v>920.6422599999997</x:v>
      </x:c>
      <x:c r="AC237" s="9" t="n">
        <x:f>(Inputs!$H$9+Inputs!$L$9*(((Inputs!$I$9+(((A237)+1)/2)*(Inputs!$J$9-Inputs!$I$9)))/Inputs!$K$9)^2)</x:f>
        <x:v>919.8198999999997</x:v>
      </x:c>
      <x:c r="AD237" s="10"/>
      <x:c r="AE237" s="9">
        <x:f t="shared" si="31"/>
        <x:v>0.95799999999999996</x:v>
      </x:c>
      <x:c r="AF237" s="9"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9"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9"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9"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10"/>
      <x:c r="AK237" s="9">
        <x:f t="shared" si="32"/>
        <x:v>0.95799999999999996</x:v>
      </x:c>
      <x:c r="AL237" s="9"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9"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9"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9"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10"/>
      <x:c r="AQ237" s="9">
        <x:f t="shared" si="33"/>
        <x:v>0.95799999999999996</x:v>
      </x:c>
      <x:c r="AR237" s="9" t="n">
        <x:f>0</x:f>
        <x:v>0</x:v>
      </x:c>
      <x:c r="AS237" s="9"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x:f>
        <x:v>174.79143562791538</x:v>
      </x:c>
      <x:c r="AT237" s="9"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x:f>
        <x:v>217.3768642222</x:v>
      </x:c>
      <x:c r="AU237" s="9"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x:f>
        <x:v>90.42702263053405</x:v>
      </x:c>
      <x:c r="AV237" s="9"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x:f>
        <x:v>90.42702263053405</x:v>
      </x:c>
      <x:c r="AW237" s="10"/>
      <x:c r="AX237" s="9">
        <x:f t="shared" si="34"/>
        <x:v>0.95799999999999996</x:v>
      </x:c>
      <x:c r="AY237" s="9" t="n">
        <x:f>0</x:f>
        <x:v>0</x:v>
      </x:c>
      <x:c r="AZ237" s="9" t="n">
        <x:f>IF(OR(Inputs!$F$6=TRUE,Inputs!$F$6="TRUE",Inputs!$F$6=1),(Inputs!$H$6+Inputs!$L$6*(((Inputs!$I$6+(((A237)+1)/2)*(Inputs!$J$6-Inputs!$I$6)))/Inputs!$K$6)^2),NA())</x:f>
        <x:v>403.671056</x:v>
      </x:c>
      <x:c r="BA237" s="9" t="n">
        <x:f>IF(OR(Inputs!$F$7=TRUE,Inputs!$F$7="TRUE",Inputs!$F$7=1),(Inputs!$H$7+Inputs!$L$7*(((Inputs!$I$7+(((A237)+1)/2)*(Inputs!$J$7-Inputs!$I$7)))/Inputs!$K$7)^2),NA())</x:f>
        <x:v>369.9838599999999</x:v>
      </x:c>
      <x:c r="BB237" s="9" t="n">
        <x:f>IF(OR(Inputs!$F$8=TRUE,Inputs!$F$8="TRUE",Inputs!$F$8=1),(Inputs!$H$8+Inputs!$L$8*(((Inputs!$I$8+(((A237)+1)/2)*(Inputs!$J$8-Inputs!$I$8)))/Inputs!$K$8)^2),NA())</x:f>
        <x:v>920.6422599999997</x:v>
      </x:c>
      <x:c r="BC237" s="9" t="n">
        <x:f>IF(OR(Inputs!$F$9=TRUE,Inputs!$F$9="TRUE",Inputs!$F$9=1),(Inputs!$H$9+Inputs!$L$9*(((Inputs!$I$9+(((A237)+1)/2)*(Inputs!$J$9-Inputs!$I$9)))/Inputs!$K$9)^2),NA())</x:f>
        <x:v>919.8198999999997</x:v>
      </x:c>
      <x:c r="BD237" s="10"/>
      <x:c r="BE237" s="9">
        <x:f t="shared" si="35"/>
        <x:v>0.95799999999999996</x:v>
      </x:c>
      <x:c r="BF237" s="9" t="n">
        <x:f>0</x:f>
        <x:v>0</x:v>
      </x:c>
      <x:c r="BG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9" t="n">
        <x:f>ROUND(-1+236*2/240,3)</x:f>
        <x:v>0.967</x:v>
      </x:c>
      <x:c r="B238" s="9" t="n">
        <x:f>IF(OR(Inputs!$F$6=TRUE,Inputs!$F$6="TRUE",Inputs!$F$6=1),(Inputs!$H$6+Inputs!$L$6*(((Inputs!$I$6+(((A238)+1)/2)*(Inputs!$J$6-Inputs!$I$6)))/Inputs!$K$6)^2),NA())</x:f>
        <x:v>403.740356</x:v>
      </x:c>
      <x:c r="C238" s="9" t="n">
        <x:f>IF(OR(Inputs!$F$7=TRUE,Inputs!$F$7="TRUE",Inputs!$F$7=1),(Inputs!$H$7+Inputs!$L$7*(((Inputs!$I$7+(((A238)+1)/2)*(Inputs!$J$7-Inputs!$I$7)))/Inputs!$K$7)^2),NA())</x:f>
        <x:v>376.30748500000016</x:v>
      </x:c>
      <x:c r="D238" s="9" t="n">
        <x:f>IF(OR(Inputs!$F$8=TRUE,Inputs!$F$8="TRUE",Inputs!$F$8=1),(Inputs!$H$8+Inputs!$L$8*(((Inputs!$I$8+(((A238)+1)/2)*(Inputs!$J$8-Inputs!$I$8)))/Inputs!$K$8)^2),NA())</x:f>
        <x:v>937.3608850000004</x:v>
      </x:c>
      <x:c r="E238" s="9" t="n">
        <x:f>IF(OR(Inputs!$F$9=TRUE,Inputs!$F$9="TRUE",Inputs!$F$9=1),(Inputs!$H$9+Inputs!$L$9*(((Inputs!$I$9+(((A238)+1)/2)*(Inputs!$J$9-Inputs!$I$9)))/Inputs!$K$9)^2),NA())</x:f>
        <x:v>936.7117750000003</x:v>
      </x:c>
      <x:c r="F238" s="10"/>
      <x:c r="G238" s="9">
        <x:f t="shared" si="27"/>
        <x:v>0.96699999999999997</x:v>
      </x:c>
      <x:c r="H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10"/>
      <x:c r="M238" s="9">
        <x:f t="shared" si="28"/>
        <x:v>0.96699999999999997</x:v>
      </x:c>
      <x:c r="N238" s="9"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9"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9"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9"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10"/>
      <x:c r="S238" s="9">
        <x:f t="shared" si="29"/>
        <x:v>0.96699999999999997</x:v>
      </x:c>
      <x:c r="T238" s="9" t="n">
        <x:f>(Inputs!$I$6+(((A238)+1)/2)*(Inputs!$J$6-Inputs!$I$6))</x:f>
        <x:v>58.02000000000001</x:v>
      </x:c>
      <x:c r="U238" s="9" t="n">
        <x:f>(Inputs!$I$7+(((A238)+1)/2)*(Inputs!$J$7-Inputs!$I$7))</x:f>
        <x:v>386.80000000000007</x:v>
      </x:c>
      <x:c r="V238" s="9" t="n">
        <x:f>(Inputs!$I$8+(((A238)+1)/2)*(Inputs!$J$8-Inputs!$I$8))</x:f>
        <x:v>773.6000000000001</x:v>
      </x:c>
      <x:c r="W238" s="9" t="n">
        <x:f>(Inputs!$I$9+(((A238)+1)/2)*(Inputs!$J$9-Inputs!$I$9))</x:f>
        <x:v>773.6000000000001</x:v>
      </x:c>
      <x:c r="X238" s="10"/>
      <x:c r="Y238" s="9">
        <x:f t="shared" si="30"/>
        <x:v>0.96699999999999997</x:v>
      </x:c>
      <x:c r="Z238" s="9" t="n">
        <x:f>(Inputs!$H$6+Inputs!$L$6*(((Inputs!$I$6+(((A238)+1)/2)*(Inputs!$J$6-Inputs!$I$6)))/Inputs!$K$6)^2)</x:f>
        <x:v>403.740356</x:v>
      </x:c>
      <x:c r="AA238" s="9" t="n">
        <x:f>(Inputs!$H$7+Inputs!$L$7*(((Inputs!$I$7+(((A238)+1)/2)*(Inputs!$J$7-Inputs!$I$7)))/Inputs!$K$7)^2)</x:f>
        <x:v>376.30748500000016</x:v>
      </x:c>
      <x:c r="AB238" s="9" t="n">
        <x:f>(Inputs!$H$8+Inputs!$L$8*(((Inputs!$I$8+(((A238)+1)/2)*(Inputs!$J$8-Inputs!$I$8)))/Inputs!$K$8)^2)</x:f>
        <x:v>937.3608850000004</x:v>
      </x:c>
      <x:c r="AC238" s="9" t="n">
        <x:f>(Inputs!$H$9+Inputs!$L$9*(((Inputs!$I$9+(((A238)+1)/2)*(Inputs!$J$9-Inputs!$I$9)))/Inputs!$K$9)^2)</x:f>
        <x:v>936.7117750000003</x:v>
      </x:c>
      <x:c r="AD238" s="10"/>
      <x:c r="AE238" s="9">
        <x:f t="shared" si="31"/>
        <x:v>0.96699999999999997</x:v>
      </x:c>
      <x:c r="AF238" s="9"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9"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9"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9"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10"/>
      <x:c r="AK238" s="9">
        <x:f t="shared" si="32"/>
        <x:v>0.96699999999999997</x:v>
      </x:c>
      <x:c r="AL238" s="9"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9"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9"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9"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10"/>
      <x:c r="AQ238" s="9">
        <x:f t="shared" si="33"/>
        <x:v>0.96699999999999997</x:v>
      </x:c>
      <x:c r="AR238" s="9" t="n">
        <x:f>0</x:f>
        <x:v>0</x:v>
      </x:c>
      <x:c r="AS238" s="9"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x:f>
        <x:v>195.1462906729702</x:v>
      </x:c>
      <x:c r="AT238" s="9"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x:f>
        <x:v>168.61305675602668</x:v>
      </x:c>
      <x:c r="AU238" s="9"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x:f>
        <x:v>163.25393411258835</x:v>
      </x:c>
      <x:c r="AV238" s="9"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x:f>
        <x:v>163.25393411258835</x:v>
      </x:c>
      <x:c r="AW238" s="10"/>
      <x:c r="AX238" s="9">
        <x:f t="shared" si="34"/>
        <x:v>0.96699999999999997</x:v>
      </x:c>
      <x:c r="AY238" s="9" t="n">
        <x:f>0</x:f>
        <x:v>0</x:v>
      </x:c>
      <x:c r="AZ238" s="9" t="n">
        <x:f>IF(OR(Inputs!$F$6=TRUE,Inputs!$F$6="TRUE",Inputs!$F$6=1),(Inputs!$H$6+Inputs!$L$6*(((Inputs!$I$6+(((A238)+1)/2)*(Inputs!$J$6-Inputs!$I$6)))/Inputs!$K$6)^2),NA())</x:f>
        <x:v>403.740356</x:v>
      </x:c>
      <x:c r="BA238" s="9" t="n">
        <x:f>IF(OR(Inputs!$F$7=TRUE,Inputs!$F$7="TRUE",Inputs!$F$7=1),(Inputs!$H$7+Inputs!$L$7*(((Inputs!$I$7+(((A238)+1)/2)*(Inputs!$J$7-Inputs!$I$7)))/Inputs!$K$7)^2),NA())</x:f>
        <x:v>376.30748500000016</x:v>
      </x:c>
      <x:c r="BB238" s="9" t="n">
        <x:f>IF(OR(Inputs!$F$8=TRUE,Inputs!$F$8="TRUE",Inputs!$F$8=1),(Inputs!$H$8+Inputs!$L$8*(((Inputs!$I$8+(((A238)+1)/2)*(Inputs!$J$8-Inputs!$I$8)))/Inputs!$K$8)^2),NA())</x:f>
        <x:v>937.3608850000004</x:v>
      </x:c>
      <x:c r="BC238" s="9" t="n">
        <x:f>IF(OR(Inputs!$F$9=TRUE,Inputs!$F$9="TRUE",Inputs!$F$9=1),(Inputs!$H$9+Inputs!$L$9*(((Inputs!$I$9+(((A238)+1)/2)*(Inputs!$J$9-Inputs!$I$9)))/Inputs!$K$9)^2),NA())</x:f>
        <x:v>936.7117750000003</x:v>
      </x:c>
      <x:c r="BD238" s="10"/>
      <x:c r="BE238" s="9">
        <x:f t="shared" si="35"/>
        <x:v>0.96699999999999997</x:v>
      </x:c>
      <x:c r="BF238" s="9" t="n">
        <x:f>0</x:f>
        <x:v>0</x:v>
      </x:c>
      <x:c r="BG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9" t="n">
        <x:f>ROUND(-1+237*2/240,3)</x:f>
        <x:v>0.975</x:v>
      </x:c>
      <x:c r="B239" s="9" t="n">
        <x:f>IF(OR(Inputs!$F$6=TRUE,Inputs!$F$6="TRUE",Inputs!$F$6=1),(Inputs!$H$6+Inputs!$L$6*(((Inputs!$I$6+(((A239)+1)/2)*(Inputs!$J$6-Inputs!$I$6)))/Inputs!$K$6)^2),NA())</x:f>
        <x:v>403.8025</x:v>
      </x:c>
      <x:c r="C239" s="9" t="n">
        <x:f>IF(OR(Inputs!$F$7=TRUE,Inputs!$F$7="TRUE",Inputs!$F$7=1),(Inputs!$H$7+Inputs!$L$7*(((Inputs!$I$7+(((A239)+1)/2)*(Inputs!$J$7-Inputs!$I$7)))/Inputs!$K$7)^2),NA())</x:f>
        <x:v>381.978125</x:v>
      </x:c>
      <x:c r="D239" s="9" t="n">
        <x:f>IF(OR(Inputs!$F$8=TRUE,Inputs!$F$8="TRUE",Inputs!$F$8=1),(Inputs!$H$8+Inputs!$L$8*(((Inputs!$I$8+(((A239)+1)/2)*(Inputs!$J$8-Inputs!$I$8)))/Inputs!$K$8)^2),NA())</x:f>
        <x:v>952.353125</x:v>
      </x:c>
      <x:c r="E239" s="9" t="n">
        <x:f>IF(OR(Inputs!$F$9=TRUE,Inputs!$F$9="TRUE",Inputs!$F$9=1),(Inputs!$H$9+Inputs!$L$9*(((Inputs!$I$9+(((A239)+1)/2)*(Inputs!$J$9-Inputs!$I$9)))/Inputs!$K$9)^2),NA())</x:f>
        <x:v>951.859375</x:v>
      </x:c>
      <x:c r="F239" s="10"/>
      <x:c r="G239" s="9">
        <x:f t="shared" si="27"/>
        <x:v>0.97499999999999998</x:v>
      </x:c>
      <x:c r="H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10"/>
      <x:c r="M239" s="9">
        <x:f t="shared" si="28"/>
        <x:v>0.97499999999999998</x:v>
      </x:c>
      <x:c r="N239" s="9"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9"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9"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9"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10"/>
      <x:c r="S239" s="9">
        <x:f t="shared" si="29"/>
        <x:v>0.97499999999999998</x:v>
      </x:c>
      <x:c r="T239" s="9" t="n">
        <x:f>(Inputs!$I$6+(((A239)+1)/2)*(Inputs!$J$6-Inputs!$I$6))</x:f>
        <x:v>58.5</x:v>
      </x:c>
      <x:c r="U239" s="9" t="n">
        <x:f>(Inputs!$I$7+(((A239)+1)/2)*(Inputs!$J$7-Inputs!$I$7))</x:f>
        <x:v>390</x:v>
      </x:c>
      <x:c r="V239" s="9" t="n">
        <x:f>(Inputs!$I$8+(((A239)+1)/2)*(Inputs!$J$8-Inputs!$I$8))</x:f>
        <x:v>780</x:v>
      </x:c>
      <x:c r="W239" s="9" t="n">
        <x:f>(Inputs!$I$9+(((A239)+1)/2)*(Inputs!$J$9-Inputs!$I$9))</x:f>
        <x:v>780</x:v>
      </x:c>
      <x:c r="X239" s="10"/>
      <x:c r="Y239" s="9">
        <x:f t="shared" si="30"/>
        <x:v>0.97499999999999998</x:v>
      </x:c>
      <x:c r="Z239" s="9" t="n">
        <x:f>(Inputs!$H$6+Inputs!$L$6*(((Inputs!$I$6+(((A239)+1)/2)*(Inputs!$J$6-Inputs!$I$6)))/Inputs!$K$6)^2)</x:f>
        <x:v>403.8025</x:v>
      </x:c>
      <x:c r="AA239" s="9" t="n">
        <x:f>(Inputs!$H$7+Inputs!$L$7*(((Inputs!$I$7+(((A239)+1)/2)*(Inputs!$J$7-Inputs!$I$7)))/Inputs!$K$7)^2)</x:f>
        <x:v>381.978125</x:v>
      </x:c>
      <x:c r="AB239" s="9" t="n">
        <x:f>(Inputs!$H$8+Inputs!$L$8*(((Inputs!$I$8+(((A239)+1)/2)*(Inputs!$J$8-Inputs!$I$8)))/Inputs!$K$8)^2)</x:f>
        <x:v>952.353125</x:v>
      </x:c>
      <x:c r="AC239" s="9" t="n">
        <x:f>(Inputs!$H$9+Inputs!$L$9*(((Inputs!$I$9+(((A239)+1)/2)*(Inputs!$J$9-Inputs!$I$9)))/Inputs!$K$9)^2)</x:f>
        <x:v>951.859375</x:v>
      </x:c>
      <x:c r="AD239" s="10"/>
      <x:c r="AE239" s="9">
        <x:f t="shared" si="31"/>
        <x:v>0.97499999999999998</x:v>
      </x:c>
      <x:c r="AF239" s="9"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9"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9"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9"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10"/>
      <x:c r="AK239" s="9">
        <x:f t="shared" si="32"/>
        <x:v>0.97499999999999998</x:v>
      </x:c>
      <x:c r="AL239" s="9"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9"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9"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9"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10"/>
      <x:c r="AQ239" s="9">
        <x:f t="shared" si="33"/>
        <x:v>0.97499999999999998</x:v>
      </x:c>
      <x:c r="AR239" s="9" t="n">
        <x:f>0</x:f>
        <x:v>0</x:v>
      </x:c>
      <x:c r="AS239" s="9"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x:f>
        <x:v>188.33221875951745</x:v>
      </x:c>
      <x:c r="AT239" s="9"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x:f>
        <x:v>99.71913061962508</x:v>
      </x:c>
      <x:c r="AU239" s="9"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x:f>
        <x:v>188.3892139425484</x:v>
      </x:c>
      <x:c r="AV239" s="9"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x:f>
        <x:v>188.3892139425484</x:v>
      </x:c>
      <x:c r="AW239" s="10"/>
      <x:c r="AX239" s="9">
        <x:f t="shared" si="34"/>
        <x:v>0.97499999999999998</x:v>
      </x:c>
      <x:c r="AY239" s="9" t="n">
        <x:f>0</x:f>
        <x:v>0</x:v>
      </x:c>
      <x:c r="AZ239" s="9" t="n">
        <x:f>IF(OR(Inputs!$F$6=TRUE,Inputs!$F$6="TRUE",Inputs!$F$6=1),(Inputs!$H$6+Inputs!$L$6*(((Inputs!$I$6+(((A239)+1)/2)*(Inputs!$J$6-Inputs!$I$6)))/Inputs!$K$6)^2),NA())</x:f>
        <x:v>403.8025</x:v>
      </x:c>
      <x:c r="BA239" s="9" t="n">
        <x:f>IF(OR(Inputs!$F$7=TRUE,Inputs!$F$7="TRUE",Inputs!$F$7=1),(Inputs!$H$7+Inputs!$L$7*(((Inputs!$I$7+(((A239)+1)/2)*(Inputs!$J$7-Inputs!$I$7)))/Inputs!$K$7)^2),NA())</x:f>
        <x:v>381.978125</x:v>
      </x:c>
      <x:c r="BB239" s="9" t="n">
        <x:f>IF(OR(Inputs!$F$8=TRUE,Inputs!$F$8="TRUE",Inputs!$F$8=1),(Inputs!$H$8+Inputs!$L$8*(((Inputs!$I$8+(((A239)+1)/2)*(Inputs!$J$8-Inputs!$I$8)))/Inputs!$K$8)^2),NA())</x:f>
        <x:v>952.353125</x:v>
      </x:c>
      <x:c r="BC239" s="9" t="n">
        <x:f>IF(OR(Inputs!$F$9=TRUE,Inputs!$F$9="TRUE",Inputs!$F$9=1),(Inputs!$H$9+Inputs!$L$9*(((Inputs!$I$9+(((A239)+1)/2)*(Inputs!$J$9-Inputs!$I$9)))/Inputs!$K$9)^2),NA())</x:f>
        <x:v>951.859375</x:v>
      </x:c>
      <x:c r="BD239" s="10"/>
      <x:c r="BE239" s="9">
        <x:f t="shared" si="35"/>
        <x:v>0.97499999999999998</x:v>
      </x:c>
      <x:c r="BF239" s="9" t="n">
        <x:f>0</x:f>
        <x:v>0</x:v>
      </x:c>
      <x:c r="BG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9" t="n">
        <x:f>ROUND(-1+238*2/240,3)</x:f>
        <x:v>0.983</x:v>
      </x:c>
      <x:c r="B240" s="9" t="n">
        <x:f>IF(OR(Inputs!$F$6=TRUE,Inputs!$F$6="TRUE",Inputs!$F$6=1),(Inputs!$H$6+Inputs!$L$6*(((Inputs!$I$6+(((A240)+1)/2)*(Inputs!$J$6-Inputs!$I$6)))/Inputs!$K$6)^2),NA())</x:f>
        <x:v>403.865156</x:v>
      </x:c>
      <x:c r="C240" s="9" t="n">
        <x:f>IF(OR(Inputs!$F$7=TRUE,Inputs!$F$7="TRUE",Inputs!$F$7=1),(Inputs!$H$7+Inputs!$L$7*(((Inputs!$I$7+(((A240)+1)/2)*(Inputs!$J$7-Inputs!$I$7)))/Inputs!$K$7)^2),NA())</x:f>
        <x:v>387.6954850000001</x:v>
      </x:c>
      <x:c r="D240" s="9" t="n">
        <x:f>IF(OR(Inputs!$F$8=TRUE,Inputs!$F$8="TRUE",Inputs!$F$8=1),(Inputs!$H$8+Inputs!$L$8*(((Inputs!$I$8+(((A240)+1)/2)*(Inputs!$J$8-Inputs!$I$8)))/Inputs!$K$8)^2),NA())</x:f>
        <x:v>967.4688850000001</x:v>
      </x:c>
      <x:c r="E240" s="9" t="n">
        <x:f>IF(OR(Inputs!$F$9=TRUE,Inputs!$F$9="TRUE",Inputs!$F$9=1),(Inputs!$H$9+Inputs!$L$9*(((Inputs!$I$9+(((A240)+1)/2)*(Inputs!$J$9-Inputs!$I$9)))/Inputs!$K$9)^2),NA())</x:f>
        <x:v>967.1317750000002</x:v>
      </x:c>
      <x:c r="F240" s="10"/>
      <x:c r="G240" s="9">
        <x:f t="shared" si="27"/>
        <x:v>0.98299999999999998</x:v>
      </x:c>
      <x:c r="H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10"/>
      <x:c r="M240" s="9">
        <x:f t="shared" si="28"/>
        <x:v>0.98299999999999998</x:v>
      </x:c>
      <x:c r="N240" s="9"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9"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9"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9"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10"/>
      <x:c r="S240" s="9">
        <x:f t="shared" si="29"/>
        <x:v>0.98299999999999998</x:v>
      </x:c>
      <x:c r="T240" s="9" t="n">
        <x:f>(Inputs!$I$6+(((A240)+1)/2)*(Inputs!$J$6-Inputs!$I$6))</x:f>
        <x:v>58.980000000000004</x:v>
      </x:c>
      <x:c r="U240" s="9" t="n">
        <x:f>(Inputs!$I$7+(((A240)+1)/2)*(Inputs!$J$7-Inputs!$I$7))</x:f>
        <x:v>393.20000000000005</x:v>
      </x:c>
      <x:c r="V240" s="9" t="n">
        <x:f>(Inputs!$I$8+(((A240)+1)/2)*(Inputs!$J$8-Inputs!$I$8))</x:f>
        <x:v>786.4000000000001</x:v>
      </x:c>
      <x:c r="W240" s="9" t="n">
        <x:f>(Inputs!$I$9+(((A240)+1)/2)*(Inputs!$J$9-Inputs!$I$9))</x:f>
        <x:v>786.4000000000001</x:v>
      </x:c>
      <x:c r="X240" s="10"/>
      <x:c r="Y240" s="9">
        <x:f t="shared" si="30"/>
        <x:v>0.98299999999999998</x:v>
      </x:c>
      <x:c r="Z240" s="9" t="n">
        <x:f>(Inputs!$H$6+Inputs!$L$6*(((Inputs!$I$6+(((A240)+1)/2)*(Inputs!$J$6-Inputs!$I$6)))/Inputs!$K$6)^2)</x:f>
        <x:v>403.865156</x:v>
      </x:c>
      <x:c r="AA240" s="9" t="n">
        <x:f>(Inputs!$H$7+Inputs!$L$7*(((Inputs!$I$7+(((A240)+1)/2)*(Inputs!$J$7-Inputs!$I$7)))/Inputs!$K$7)^2)</x:f>
        <x:v>387.6954850000001</x:v>
      </x:c>
      <x:c r="AB240" s="9" t="n">
        <x:f>(Inputs!$H$8+Inputs!$L$8*(((Inputs!$I$8+(((A240)+1)/2)*(Inputs!$J$8-Inputs!$I$8)))/Inputs!$K$8)^2)</x:f>
        <x:v>967.4688850000001</x:v>
      </x:c>
      <x:c r="AC240" s="9" t="n">
        <x:f>(Inputs!$H$9+Inputs!$L$9*(((Inputs!$I$9+(((A240)+1)/2)*(Inputs!$J$9-Inputs!$I$9)))/Inputs!$K$9)^2)</x:f>
        <x:v>967.1317750000002</x:v>
      </x:c>
      <x:c r="AD240" s="10"/>
      <x:c r="AE240" s="9">
        <x:f t="shared" si="31"/>
        <x:v>0.98299999999999998</x:v>
      </x:c>
      <x:c r="AF240" s="9"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9"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9"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9"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10"/>
      <x:c r="AK240" s="9">
        <x:f t="shared" si="32"/>
        <x:v>0.98299999999999998</x:v>
      </x:c>
      <x:c r="AL240" s="9"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9"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9"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9"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10"/>
      <x:c r="AQ240" s="9">
        <x:f t="shared" si="33"/>
        <x:v>0.98299999999999998</x:v>
      </x:c>
      <x:c r="AR240" s="9" t="n">
        <x:f>0</x:f>
        <x:v>0</x:v>
      </x:c>
      <x:c r="AS240" s="9"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x:f>
        <x:v>179.72692406715734</x:v>
      </x:c>
      <x:c r="AT240" s="9"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x:f>
        <x:v>66.81644158580339</x:v>
      </x:c>
      <x:c r="AU240" s="9"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x:f>
        <x:v>109.3494327069107</x:v>
      </x:c>
      <x:c r="AV240" s="9"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x:f>
        <x:v>109.3494327069107</x:v>
      </x:c>
      <x:c r="AW240" s="10"/>
      <x:c r="AX240" s="9">
        <x:f t="shared" si="34"/>
        <x:v>0.98299999999999998</x:v>
      </x:c>
      <x:c r="AY240" s="9" t="n">
        <x:f>0</x:f>
        <x:v>0</x:v>
      </x:c>
      <x:c r="AZ240" s="9" t="n">
        <x:f>IF(OR(Inputs!$F$6=TRUE,Inputs!$F$6="TRUE",Inputs!$F$6=1),(Inputs!$H$6+Inputs!$L$6*(((Inputs!$I$6+(((A240)+1)/2)*(Inputs!$J$6-Inputs!$I$6)))/Inputs!$K$6)^2),NA())</x:f>
        <x:v>403.865156</x:v>
      </x:c>
      <x:c r="BA240" s="9" t="n">
        <x:f>IF(OR(Inputs!$F$7=TRUE,Inputs!$F$7="TRUE",Inputs!$F$7=1),(Inputs!$H$7+Inputs!$L$7*(((Inputs!$I$7+(((A240)+1)/2)*(Inputs!$J$7-Inputs!$I$7)))/Inputs!$K$7)^2),NA())</x:f>
        <x:v>387.6954850000001</x:v>
      </x:c>
      <x:c r="BB240" s="9" t="n">
        <x:f>IF(OR(Inputs!$F$8=TRUE,Inputs!$F$8="TRUE",Inputs!$F$8=1),(Inputs!$H$8+Inputs!$L$8*(((Inputs!$I$8+(((A240)+1)/2)*(Inputs!$J$8-Inputs!$I$8)))/Inputs!$K$8)^2),NA())</x:f>
        <x:v>967.4688850000001</x:v>
      </x:c>
      <x:c r="BC240" s="9" t="n">
        <x:f>IF(OR(Inputs!$F$9=TRUE,Inputs!$F$9="TRUE",Inputs!$F$9=1),(Inputs!$H$9+Inputs!$L$9*(((Inputs!$I$9+(((A240)+1)/2)*(Inputs!$J$9-Inputs!$I$9)))/Inputs!$K$9)^2),NA())</x:f>
        <x:v>967.1317750000002</x:v>
      </x:c>
      <x:c r="BD240" s="10"/>
      <x:c r="BE240" s="9">
        <x:f t="shared" si="35"/>
        <x:v>0.98299999999999998</x:v>
      </x:c>
      <x:c r="BF240" s="9" t="n">
        <x:f>0</x:f>
        <x:v>0</x:v>
      </x:c>
      <x:c r="BG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9" t="n">
        <x:f>ROUND(-1+239*2/240,3)</x:f>
        <x:v>0.992</x:v>
      </x:c>
      <x:c r="B241" s="9" t="n">
        <x:f>IF(OR(Inputs!$F$6=TRUE,Inputs!$F$6="TRUE",Inputs!$F$6=1),(Inputs!$H$6+Inputs!$L$6*(((Inputs!$I$6+(((A241)+1)/2)*(Inputs!$J$6-Inputs!$I$6)))/Inputs!$K$6)^2),NA())</x:f>
        <x:v>403.936256</x:v>
      </x:c>
      <x:c r="C241" s="9" t="n">
        <x:f>IF(OR(Inputs!$F$7=TRUE,Inputs!$F$7="TRUE",Inputs!$F$7=1),(Inputs!$H$7+Inputs!$L$7*(((Inputs!$I$7+(((A241)+1)/2)*(Inputs!$J$7-Inputs!$I$7)))/Inputs!$K$7)^2),NA())</x:f>
        <x:v>394.1833599999999</x:v>
      </x:c>
      <x:c r="D241" s="9" t="n">
        <x:f>IF(OR(Inputs!$F$8=TRUE,Inputs!$F$8="TRUE",Inputs!$F$8=1),(Inputs!$H$8+Inputs!$L$8*(((Inputs!$I$8+(((A241)+1)/2)*(Inputs!$J$8-Inputs!$I$8)))/Inputs!$K$8)^2),NA())</x:f>
        <x:v>984.6217599999998</x:v>
      </x:c>
      <x:c r="E241" s="9" t="n">
        <x:f>IF(OR(Inputs!$F$9=TRUE,Inputs!$F$9="TRUE",Inputs!$F$9=1),(Inputs!$H$9+Inputs!$L$9*(((Inputs!$I$9+(((A241)+1)/2)*(Inputs!$J$9-Inputs!$I$9)))/Inputs!$K$9)^2),NA())</x:f>
        <x:v>984.4623999999998</x:v>
      </x:c>
      <x:c r="F241" s="10"/>
      <x:c r="G241" s="9">
        <x:f t="shared" si="27"/>
        <x:v>0.99199999999999999</x:v>
      </x:c>
      <x:c r="H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10"/>
      <x:c r="M241" s="9">
        <x:f t="shared" si="28"/>
        <x:v>0.99199999999999999</x:v>
      </x:c>
      <x:c r="N241" s="9"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9"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9"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9"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10"/>
      <x:c r="S241" s="9">
        <x:f t="shared" si="29"/>
        <x:v>0.99199999999999999</x:v>
      </x:c>
      <x:c r="T241" s="9" t="n">
        <x:f>(Inputs!$I$6+(((A241)+1)/2)*(Inputs!$J$6-Inputs!$I$6))</x:f>
        <x:v>59.519999999999996</x:v>
      </x:c>
      <x:c r="U241" s="9" t="n">
        <x:f>(Inputs!$I$7+(((A241)+1)/2)*(Inputs!$J$7-Inputs!$I$7))</x:f>
        <x:v>396.79999999999995</x:v>
      </x:c>
      <x:c r="V241" s="9" t="n">
        <x:f>(Inputs!$I$8+(((A241)+1)/2)*(Inputs!$J$8-Inputs!$I$8))</x:f>
        <x:v>793.5999999999999</x:v>
      </x:c>
      <x:c r="W241" s="9" t="n">
        <x:f>(Inputs!$I$9+(((A241)+1)/2)*(Inputs!$J$9-Inputs!$I$9))</x:f>
        <x:v>793.5999999999999</x:v>
      </x:c>
      <x:c r="X241" s="10"/>
      <x:c r="Y241" s="9">
        <x:f t="shared" si="30"/>
        <x:v>0.99199999999999999</x:v>
      </x:c>
      <x:c r="Z241" s="9" t="n">
        <x:f>(Inputs!$H$6+Inputs!$L$6*(((Inputs!$I$6+(((A241)+1)/2)*(Inputs!$J$6-Inputs!$I$6)))/Inputs!$K$6)^2)</x:f>
        <x:v>403.936256</x:v>
      </x:c>
      <x:c r="AA241" s="9" t="n">
        <x:f>(Inputs!$H$7+Inputs!$L$7*(((Inputs!$I$7+(((A241)+1)/2)*(Inputs!$J$7-Inputs!$I$7)))/Inputs!$K$7)^2)</x:f>
        <x:v>394.1833599999999</x:v>
      </x:c>
      <x:c r="AB241" s="9" t="n">
        <x:f>(Inputs!$H$8+Inputs!$L$8*(((Inputs!$I$8+(((A241)+1)/2)*(Inputs!$J$8-Inputs!$I$8)))/Inputs!$K$8)^2)</x:f>
        <x:v>984.6217599999998</x:v>
      </x:c>
      <x:c r="AC241" s="9" t="n">
        <x:f>(Inputs!$H$9+Inputs!$L$9*(((Inputs!$I$9+(((A241)+1)/2)*(Inputs!$J$9-Inputs!$I$9)))/Inputs!$K$9)^2)</x:f>
        <x:v>984.4623999999998</x:v>
      </x:c>
      <x:c r="AD241" s="10"/>
      <x:c r="AE241" s="9">
        <x:f t="shared" si="31"/>
        <x:v>0.99199999999999999</x:v>
      </x:c>
      <x:c r="AF241" s="9"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9"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9"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9"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10"/>
      <x:c r="AK241" s="9">
        <x:f t="shared" si="32"/>
        <x:v>0.99199999999999999</x:v>
      </x:c>
      <x:c r="AL241" s="9"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9"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9"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9"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10"/>
      <x:c r="AQ241" s="9">
        <x:f t="shared" si="33"/>
        <x:v>0.99199999999999999</x:v>
      </x:c>
      <x:c r="AR241" s="9" t="n">
        <x:f>0</x:f>
        <x:v>0</x:v>
      </x:c>
      <x:c r="AS241" s="9"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x:f>
        <x:v>178.74691984017164</x:v>
      </x:c>
      <x:c r="AT241" s="9"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x:f>
        <x:v>160.47037363481115</x:v>
      </x:c>
      <x:c r="AU241" s="9"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x:f>
        <x:v>184.93589385004145</x:v>
      </x:c>
      <x:c r="AV241" s="9"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x:f>
        <x:v>184.93589385004145</x:v>
      </x:c>
      <x:c r="AW241" s="10"/>
      <x:c r="AX241" s="9">
        <x:f t="shared" si="34"/>
        <x:v>0.99199999999999999</x:v>
      </x:c>
      <x:c r="AY241" s="9" t="n">
        <x:f>0</x:f>
        <x:v>0</x:v>
      </x:c>
      <x:c r="AZ241" s="9" t="n">
        <x:f>IF(OR(Inputs!$F$6=TRUE,Inputs!$F$6="TRUE",Inputs!$F$6=1),(Inputs!$H$6+Inputs!$L$6*(((Inputs!$I$6+(((A241)+1)/2)*(Inputs!$J$6-Inputs!$I$6)))/Inputs!$K$6)^2),NA())</x:f>
        <x:v>403.936256</x:v>
      </x:c>
      <x:c r="BA241" s="9" t="n">
        <x:f>IF(OR(Inputs!$F$7=TRUE,Inputs!$F$7="TRUE",Inputs!$F$7=1),(Inputs!$H$7+Inputs!$L$7*(((Inputs!$I$7+(((A241)+1)/2)*(Inputs!$J$7-Inputs!$I$7)))/Inputs!$K$7)^2),NA())</x:f>
        <x:v>394.1833599999999</x:v>
      </x:c>
      <x:c r="BB241" s="9" t="n">
        <x:f>IF(OR(Inputs!$F$8=TRUE,Inputs!$F$8="TRUE",Inputs!$F$8=1),(Inputs!$H$8+Inputs!$L$8*(((Inputs!$I$8+(((A241)+1)/2)*(Inputs!$J$8-Inputs!$I$8)))/Inputs!$K$8)^2),NA())</x:f>
        <x:v>984.6217599999998</x:v>
      </x:c>
      <x:c r="BC241" s="9" t="n">
        <x:f>IF(OR(Inputs!$F$9=TRUE,Inputs!$F$9="TRUE",Inputs!$F$9=1),(Inputs!$H$9+Inputs!$L$9*(((Inputs!$I$9+(((A241)+1)/2)*(Inputs!$J$9-Inputs!$I$9)))/Inputs!$K$9)^2),NA())</x:f>
        <x:v>984.4623999999998</x:v>
      </x:c>
      <x:c r="BD241" s="10"/>
      <x:c r="BE241" s="9">
        <x:f t="shared" si="35"/>
        <x:v>0.99199999999999999</x:v>
      </x:c>
      <x:c r="BF241" s="9" t="n">
        <x:f>0</x:f>
        <x:v>0</x:v>
      </x:c>
      <x:c r="BG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9" t="n">
        <x:f>ROUND(-1+240*2/240,3)</x:f>
        <x:v>1</x:v>
      </x:c>
      <x:c r="B242" s="9" t="n">
        <x:f>IF(OR(Inputs!$F$6=TRUE,Inputs!$F$6="TRUE",Inputs!$F$6=1),(Inputs!$H$6+Inputs!$L$6*(((Inputs!$I$6+(((A242)+1)/2)*(Inputs!$J$6-Inputs!$I$6)))/Inputs!$K$6)^2),NA())</x:f>
        <x:v>404</x:v>
      </x:c>
      <x:c r="C242" s="9" t="n">
        <x:f>IF(OR(Inputs!$F$7=TRUE,Inputs!$F$7="TRUE",Inputs!$F$7=1),(Inputs!$H$7+Inputs!$L$7*(((Inputs!$I$7+(((A242)+1)/2)*(Inputs!$J$7-Inputs!$I$7)))/Inputs!$K$7)^2),NA())</x:f>
        <x:v>400</x:v>
      </x:c>
      <x:c r="D242" s="9" t="n">
        <x:f>IF(OR(Inputs!$F$8=TRUE,Inputs!$F$8="TRUE",Inputs!$F$8=1),(Inputs!$H$8+Inputs!$L$8*(((Inputs!$I$8+(((A242)+1)/2)*(Inputs!$J$8-Inputs!$I$8)))/Inputs!$K$8)^2),NA())</x:f>
        <x:v>1000</x:v>
      </x:c>
      <x:c r="E242" s="9" t="n">
        <x:f>IF(OR(Inputs!$F$9=TRUE,Inputs!$F$9="TRUE",Inputs!$F$9=1),(Inputs!$H$9+Inputs!$L$9*(((Inputs!$I$9+(((A242)+1)/2)*(Inputs!$J$9-Inputs!$I$9)))/Inputs!$K$9)^2),NA())</x:f>
        <x:v>1000</x:v>
      </x:c>
      <x:c r="F242" s="10"/>
      <x:c r="G242" s="9">
        <x:f t="shared" si="27"/>
        <x:v>1</x:v>
      </x:c>
      <x:c r="H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10"/>
      <x:c r="M242" s="9">
        <x:f t="shared" si="28"/>
        <x:v>1</x:v>
      </x:c>
      <x:c r="N242" s="9"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9"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9"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9"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10"/>
      <x:c r="S242" s="9">
        <x:f t="shared" si="29"/>
        <x:v>1</x:v>
      </x:c>
      <x:c r="T242" s="9" t="n">
        <x:f>(Inputs!$I$6+(((A242)+1)/2)*(Inputs!$J$6-Inputs!$I$6))</x:f>
        <x:v>60</x:v>
      </x:c>
      <x:c r="U242" s="9" t="n">
        <x:f>(Inputs!$I$7+(((A242)+1)/2)*(Inputs!$J$7-Inputs!$I$7))</x:f>
        <x:v>400</x:v>
      </x:c>
      <x:c r="V242" s="9" t="n">
        <x:f>(Inputs!$I$8+(((A242)+1)/2)*(Inputs!$J$8-Inputs!$I$8))</x:f>
        <x:v>800</x:v>
      </x:c>
      <x:c r="W242" s="9" t="n">
        <x:f>(Inputs!$I$9+(((A242)+1)/2)*(Inputs!$J$9-Inputs!$I$9))</x:f>
        <x:v>800</x:v>
      </x:c>
      <x:c r="X242" s="10"/>
      <x:c r="Y242" s="9">
        <x:f t="shared" si="30"/>
        <x:v>1</x:v>
      </x:c>
      <x:c r="Z242" s="9" t="n">
        <x:f>(Inputs!$H$6+Inputs!$L$6*(((Inputs!$I$6+(((A242)+1)/2)*(Inputs!$J$6-Inputs!$I$6)))/Inputs!$K$6)^2)</x:f>
        <x:v>404</x:v>
      </x:c>
      <x:c r="AA242" s="9" t="n">
        <x:f>(Inputs!$H$7+Inputs!$L$7*(((Inputs!$I$7+(((A242)+1)/2)*(Inputs!$J$7-Inputs!$I$7)))/Inputs!$K$7)^2)</x:f>
        <x:v>400</x:v>
      </x:c>
      <x:c r="AB242" s="9" t="n">
        <x:f>(Inputs!$H$8+Inputs!$L$8*(((Inputs!$I$8+(((A242)+1)/2)*(Inputs!$J$8-Inputs!$I$8)))/Inputs!$K$8)^2)</x:f>
        <x:v>1000</x:v>
      </x:c>
      <x:c r="AC242" s="9" t="n">
        <x:f>(Inputs!$H$9+Inputs!$L$9*(((Inputs!$I$9+(((A242)+1)/2)*(Inputs!$J$9-Inputs!$I$9)))/Inputs!$K$9)^2)</x:f>
        <x:v>1000</x:v>
      </x:c>
      <x:c r="AD242" s="10"/>
      <x:c r="AE242" s="9">
        <x:f t="shared" si="31"/>
        <x:v>1</x:v>
      </x:c>
      <x:c r="AF242" s="9"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9"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9"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9"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10"/>
      <x:c r="AK242" s="9">
        <x:f t="shared" si="32"/>
        <x:v>1</x:v>
      </x:c>
      <x:c r="AL242" s="9"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9"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9"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9"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10"/>
      <x:c r="AQ242" s="9">
        <x:f t="shared" si="33"/>
        <x:v>1</x:v>
      </x:c>
      <x:c r="AR242" s="9" t="n">
        <x:f>0</x:f>
        <x:v>0</x:v>
      </x:c>
      <x:c r="AS242" s="9"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x:f>
        <x:v>179.34901119414707</x:v>
      </x:c>
      <x:c r="AT242" s="9"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x:f>
        <x:v>200.7418453023654</x:v>
      </x:c>
      <x:c r="AU242" s="9"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x:f>
        <x:v>169.0266650218729</x:v>
      </x:c>
      <x:c r="AV242" s="9"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x:f>
        <x:v>169.0266650218729</x:v>
      </x:c>
      <x:c r="AW242" s="10"/>
      <x:c r="AX242" s="9">
        <x:f t="shared" si="34"/>
        <x:v>1</x:v>
      </x:c>
      <x:c r="AY242" s="9" t="n">
        <x:f>0</x:f>
        <x:v>0</x:v>
      </x:c>
      <x:c r="AZ242" s="9" t="n">
        <x:f>IF(OR(Inputs!$F$6=TRUE,Inputs!$F$6="TRUE",Inputs!$F$6=1),(Inputs!$H$6+Inputs!$L$6*(((Inputs!$I$6+(((A242)+1)/2)*(Inputs!$J$6-Inputs!$I$6)))/Inputs!$K$6)^2),NA())</x:f>
        <x:v>404</x:v>
      </x:c>
      <x:c r="BA242" s="9" t="n">
        <x:f>IF(OR(Inputs!$F$7=TRUE,Inputs!$F$7="TRUE",Inputs!$F$7=1),(Inputs!$H$7+Inputs!$L$7*(((Inputs!$I$7+(((A242)+1)/2)*(Inputs!$J$7-Inputs!$I$7)))/Inputs!$K$7)^2),NA())</x:f>
        <x:v>400</x:v>
      </x:c>
      <x:c r="BB242" s="9" t="n">
        <x:f>IF(OR(Inputs!$F$8=TRUE,Inputs!$F$8="TRUE",Inputs!$F$8=1),(Inputs!$H$8+Inputs!$L$8*(((Inputs!$I$8+(((A242)+1)/2)*(Inputs!$J$8-Inputs!$I$8)))/Inputs!$K$8)^2),NA())</x:f>
        <x:v>1000</x:v>
      </x:c>
      <x:c r="BC242" s="9" t="n">
        <x:f>IF(OR(Inputs!$F$9=TRUE,Inputs!$F$9="TRUE",Inputs!$F$9=1),(Inputs!$H$9+Inputs!$L$9*(((Inputs!$I$9+(((A242)+1)/2)*(Inputs!$J$9-Inputs!$I$9)))/Inputs!$K$9)^2),NA())</x:f>
        <x:v>1000</x:v>
      </x:c>
      <x:c r="BD242" s="10"/>
      <x:c r="BE242" s="9">
        <x:f t="shared" si="35"/>
        <x:v>1</x:v>
      </x:c>
      <x:c r="BF242" s="9" t="n">
        <x:f>0</x:f>
        <x:v>0</x:v>
      </x:c>
      <x:c r="BG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5"/>
  <x:cols>
    <x:col min="1" max="1" width="12" customWidth="1"/>
    <x:col min="2" max="2" width="18" customWidth="1"/>
    <x:col min="3" max="4" width="22" customWidth="1"/>
    <x:col min="5" max="5" width="20" customWidth="1"/>
    <x:col min="6" max="6" width="30" customWidth="1"/>
  </x:cols>
  <x:sheetData>
    <x:row r="1" ht="21">
      <x:c r="A1" s="23" t="s">
        <x:v>333</x:v>
      </x:c>
      <x:c r="B1" s="23"/>
      <x:c r="C1" s="23"/>
      <x:c r="D1" s="23"/>
      <x:c r="E1" s="23"/>
      <x:c r="F1" s="23"/>
    </x:row>
    <x:row r="3">
      <x:c r="A3" s="2" t="s">
        <x:v>36</x:v>
      </x:c>
      <x:c r="B3" s="2" t="s">
        <x:v>37</x:v>
      </x:c>
      <x:c r="C3" s="2" t="s">
        <x:v>38</x:v>
      </x:c>
      <x:c r="D3" s="2" t="s">
        <x:v>39</x:v>
      </x:c>
      <x:c r="E3" s="2" t="s">
        <x:v>40</x:v>
      </x:c>
      <x:c r="F3" s="2" t="s">
        <x:v>334</x:v>
      </x:c>
    </x:row>
    <x:row r="4">
      <x:c r="A4" s="9" t="n">
        <x:f>Inputs!$C$18</x:f>
        <x:v>50</x:v>
      </x:c>
      <x:c r="B4" s="9" t="n">
        <x:f>1000/A4</x:f>
        <x:v>20</x:v>
      </x:c>
      <x:c r="C4" s="9" t="n">
        <x:f>Inputs!$C$11*1000/A4</x:f>
        <x:v>80</x:v>
      </x:c>
      <x:c r="D4" s="9" t="n">
        <x:f>Inputs!$C$21/(2*A4)/1000</x:f>
        <x:v>2997.92458</x:v>
      </x:c>
      <x:c r="E4" s="9" t="n">
        <x:f>A4*(2*Inputs!$C$5*1000/Inputs!$C$21)</x:f>
        <x:v>0.13342563807926083</x:v>
      </x:c>
      <x:c r="F4" s="1" t="str">
        <x:f>IF(A4&gt;=Dashboard!$B$16,"OK for modeled topo VHF Doppler","Below simple Doppler floor")</x:f>
        <x:v>Below simple Doppler floor</x:v>
      </x:c>
    </x:row>
    <x:row r="5">
      <x:c r="A5" s="9" t="n">
        <x:f>Inputs!$C$19</x:f>
        <x:v>500</x:v>
      </x:c>
      <x:c r="B5" s="9" t="n">
        <x:f>1000/A5</x:f>
        <x:v>2</x:v>
      </x:c>
      <x:c r="C5" s="9" t="n">
        <x:f>Inputs!$C$11*1000/A5</x:f>
        <x:v>8</x:v>
      </x:c>
      <x:c r="D5" s="9" t="n">
        <x:f>Inputs!$C$21/(2*A5)/1000</x:f>
        <x:v>299.792458</x:v>
      </x:c>
      <x:c r="E5" s="9" t="n">
        <x:f>A5*(2*Inputs!$C$5*1000/Inputs!$C$21)</x:f>
        <x:v>1.3342563807926082</x:v>
      </x:c>
      <x:c r="F5" s="1" t="str">
        <x:f>IF(A5&gt;=Dashboard!$B$16,"OK for modeled topo VHF Doppler","Below simple Doppler floor")</x:f>
        <x:v>Below simple Doppler floor</x:v>
      </x:c>
    </x:row>
    <x:row r="6">
      <x:c r="A6" s="9" t="n">
        <x:f>Inputs!$C$20</x:f>
        <x:v>3000</x:v>
      </x:c>
      <x:c r="B6" s="9" t="n">
        <x:f>1000/A6</x:f>
        <x:v>0.3333333333333333</x:v>
      </x:c>
      <x:c r="C6" s="9" t="n">
        <x:f>Inputs!$C$11*1000/A6</x:f>
        <x:v>1.3333333333333333</x:v>
      </x:c>
      <x:c r="D6" s="9" t="n">
        <x:f>Inputs!$C$21/(2*A6)/1000</x:f>
        <x:v>49.965409666666666</x:v>
      </x:c>
      <x:c r="E6" s="9" t="n">
        <x:f>A6*(2*Inputs!$C$5*1000/Inputs!$C$21)</x:f>
        <x:v>8.00553828475565</x:v>
      </x:c>
      <x:c r="F6" s="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5"/>
  <x:cols>
    <x:col min="1" max="1" width="45" customWidth="1"/>
    <x:col min="2" max="2" width="55" customWidth="1"/>
    <x:col min="3" max="3" width="36" customWidth="1"/>
    <x:col min="4" max="4" width="24" customWidth="1"/>
  </x:cols>
  <x:sheetData>
    <x:row r="1" ht="21">
      <x:c r="A1" s="23" t="s">
        <x:v>335</x:v>
      </x:c>
      <x:c r="B1" s="23"/>
      <x:c r="C1" s="23"/>
      <x:c r="D1" s="23"/>
    </x:row>
    <x:row r="3">
      <x:c r="A3" s="2" t="s">
        <x:v>336</x:v>
      </x:c>
      <x:c r="B3" s="2" t="s">
        <x:v>337</x:v>
      </x:c>
      <x:c r="C3" s="2" t="s">
        <x:v>338</x:v>
      </x:c>
      <x:c r="D3" s="2" t="s">
        <x:v>339</x:v>
      </x:c>
    </x:row>
    <x:row r="4">
      <x:c r="A4" s="1" t="s">
        <x:v>340</x:v>
      </x:c>
      <x:c r="B4" s="1" t="s">
        <x:v>341</x:v>
      </x:c>
      <x:c r="C4" s="1" t="s">
        <x:v>342</x:v>
      </x:c>
      <x:c r="D4" s="1" t="s">
        <x:v>343</x:v>
      </x:c>
    </x:row>
    <x:row r="5" ht="26.25">
      <x:c r="A5" s="1" t="s">
        <x:v>344</x:v>
      </x:c>
      <x:c r="B5" s="1" t="s">
        <x:v>345</x:v>
      </x:c>
      <x:c r="C5" s="1" t="s">
        <x:v>346</x:v>
      </x:c>
      <x:c r="D5" s="1" t="s">
        <x:v>347</x:v>
      </x:c>
    </x:row>
    <x:row r="6" ht="26.25">
      <x:c r="A6" s="1" t="s">
        <x:v>348</x:v>
      </x:c>
      <x:c r="B6" s="1" t="s">
        <x:v>349</x:v>
      </x:c>
      <x:c r="C6" s="1" t="s">
        <x:v>350</x:v>
      </x:c>
      <x:c r="D6" s="1" t="s">
        <x:v>351</x:v>
      </x:c>
    </x:row>
    <x:row r="7">
      <x:c r="A7" s="1" t="s">
        <x:v>352</x:v>
      </x:c>
      <x:c r="B7" s="1" t="s">
        <x:v>353</x:v>
      </x:c>
      <x:c r="C7" s="1" t="s">
        <x:v>354</x:v>
      </x:c>
      <x:c r="D7" s="1" t="s">
        <x:v>355</x:v>
      </x:c>
    </x:row>
    <x:row r="8">
      <x:c r="A8" s="1" t="s">
        <x:v>356</x:v>
      </x:c>
      <x:c r="B8" s="1" t="s">
        <x:v>357</x:v>
      </x:c>
      <x:c r="C8" s="1" t="s">
        <x:v>358</x:v>
      </x:c>
      <x:c r="D8" s="1" t="s">
        <x:v>359</x:v>
      </x:c>
    </x:row>
    <x:row r="9">
      <x:c r="A9" s="1" t="s">
        <x:v>360</x:v>
      </x:c>
      <x:c r="B9" s="1" t="s">
        <x:v>361</x:v>
      </x:c>
      <x:c r="C9" s="1" t="s">
        <x:v>362</x:v>
      </x:c>
      <x:c r="D9" s="1" t="s">
        <x:v>363</x:v>
      </x:c>
    </x:row>
    <x:row r="10">
      <x:c r="A10" s="1" t="s">
        <x:v>364</x:v>
      </x:c>
      <x:c r="B10" s="1" t="s">
        <x:v>365</x:v>
      </x:c>
      <x:c r="C10" s="1" t="s">
        <x:v>366</x:v>
      </x:c>
      <x:c r="D10" s="1" t="s">
        <x:v>367</x:v>
      </x:c>
    </x:row>
    <x:row r="11">
      <x:c r="A11" s="1" t="s">
        <x:v>368</x:v>
      </x:c>
      <x:c r="B11" s="1" t="s">
        <x:v>369</x:v>
      </x:c>
      <x:c r="C11" s="1" t="s">
        <x:v>370</x:v>
      </x:c>
      <x:c r="D11" s="1" t="s">
        <x:v>371</x:v>
      </x:c>
    </x:row>
    <x:row r="12">
      <x:c r="A12" s="1" t="s">
        <x:v>372</x:v>
      </x:c>
      <x:c r="B12" s="1" t="s">
        <x:v>373</x:v>
      </x:c>
      <x:c r="C12" s="1" t="s">
        <x:v>374</x:v>
      </x:c>
      <x:c r="D12" s="1" t="s">
        <x:v>375</x:v>
      </x:c>
    </x:row>
    <x:row r="13">
      <x:c r="A13" s="1" t="s">
        <x:v>376</x:v>
      </x:c>
      <x:c r="B13" s="1" t="s">
        <x:v>377</x:v>
      </x:c>
      <x:c r="C13" s="1" t="s">
        <x:v>378</x:v>
      </x:c>
      <x:c r="D13" s="1" t="s">
        <x:v>379</x:v>
      </x:c>
    </x:row>
    <x:row r="14">
      <x:c r="A14" s="1" t="s">
        <x:v>380</x:v>
      </x:c>
      <x:c r="B14" s="1" t="s">
        <x:v>381</x:v>
      </x:c>
      <x:c r="C14" s="1" t="s">
        <x:v>382</x:v>
      </x:c>
      <x:c r="D14" s="1" t="s">
        <x:v>383</x:v>
      </x:c>
    </x:row>
    <x:row r="15">
      <x:c r="A15" s="1" t="s">
        <x:v>384</x:v>
      </x:c>
      <x:c r="B15" s="1" t="s">
        <x:v>385</x:v>
      </x:c>
      <x:c r="C15" s="1" t="s">
        <x:v>386</x:v>
      </x:c>
      <x:c r="D15" s="1" t="s">
        <x:v>387</x:v>
      </x:c>
    </x:row>
    <x:row r="16">
      <x:c r="A16" s="1" t="s">
        <x:v>388</x:v>
      </x:c>
      <x:c r="B16" s="1" t="s">
        <x:v>389</x:v>
      </x:c>
      <x:c r="C16" s="1" t="s">
        <x:v>390</x:v>
      </x:c>
      <x:c r="D16" s="1" t="s">
        <x:v>391</x:v>
      </x:c>
    </x:row>
    <x:row r="17">
      <x:c r="A17" s="1" t="s">
        <x:v>392</x:v>
      </x:c>
      <x:c r="B17" s="1" t="s">
        <x:v>393</x:v>
      </x:c>
      <x:c r="C17" s="1" t="s">
        <x:v>394</x:v>
      </x:c>
      <x:c r="D17" s="1" t="s">
        <x:v>395</x:v>
      </x:c>
    </x:row>
    <x:row r="18">
      <x:c r="A18" s="1" t="s">
        <x:v>396</x:v>
      </x:c>
      <x:c r="B18" s="1" t="s">
        <x:v>397</x:v>
      </x:c>
      <x:c r="C18" s="1" t="s">
        <x:v>398</x:v>
      </x:c>
      <x:c r="D18" s="1" t="s">
        <x:v>399</x:v>
      </x:c>
    </x:row>
    <x:row r="19">
      <x:c r="A19" s="1" t="s">
        <x:v>400</x:v>
      </x:c>
      <x:c r="B19" s="1" t="s">
        <x:v>401</x:v>
      </x:c>
      <x:c r="C19" s="1" t="s">
        <x:v>402</x:v>
      </x:c>
      <x:c r="D19" s="1" t="s">
        <x:v>70</x:v>
      </x:c>
    </x:row>
    <x:row r="20">
      <x:c r="A20" s="1" t="s">
        <x:v>403</x:v>
      </x:c>
      <x:c r="B20" s="1" t="s">
        <x:v>404</x:v>
      </x:c>
      <x:c r="C20" s="1" t="s">
        <x:v>70</x:v>
      </x:c>
      <x:c r="D20" s="1" t="s">
        <x:v>405</x:v>
      </x:c>
    </x:row>
    <x:row r="21" ht="26.25">
      <x:c r="A21" s="1" t="s">
        <x:v>406</x:v>
      </x:c>
      <x:c r="B21" s="1" t="s">
        <x:v>407</x:v>
      </x:c>
      <x:c r="C21" s="1" t="s">
        <x:v>408</x:v>
      </x:c>
      <x:c r="D21" s="1" t="s">
        <x:v>409</x:v>
      </x:c>
    </x:row>
    <x:row r="22" ht="26.25">
      <x:c r="A22" s="1" t="s">
        <x:v>410</x:v>
      </x:c>
      <x:c r="B22" s="1" t="s">
        <x:v>411</x:v>
      </x:c>
      <x:c r="C22" s="1" t="s">
        <x:v>412</x:v>
      </x:c>
      <x:c r="D22" s="1" t="s">
        <x:v>413</x:v>
      </x:c>
    </x:row>
    <x:row r="23" ht="26.25">
      <x:c r="A23" s="1" t="s">
        <x:v>414</x:v>
      </x:c>
      <x:c r="B23" s="1" t="s">
        <x:v>415</x:v>
      </x:c>
      <x:c r="C23" s="1" t="s">
        <x:v>416</x:v>
      </x:c>
      <x:c r="D23" s="1" t="s">
        <x:v>417</x:v>
      </x:c>
    </x:row>
    <x:row r="24">
      <x:c r="A24" s="1" t="s">
        <x:v>418</x:v>
      </x:c>
      <x:c r="B24" s="1" t="s">
        <x:v>419</x:v>
      </x:c>
      <x:c r="C24" s="1" t="s">
        <x:v>420</x:v>
      </x:c>
      <x:c r="D24" s="1" t="s">
        <x:v>421</x:v>
      </x:c>
    </x:row>
    <x:row r="25">
      <x:c r="A25" s="1" t="s">
        <x:v>422</x:v>
      </x:c>
      <x:c r="B25" s="1" t="s">
        <x:v>423</x:v>
      </x:c>
      <x:c r="C25" s="1" t="s">
        <x:v>424</x:v>
      </x:c>
      <x:c r="D25" s="1" t="s">
        <x:v>425</x:v>
      </x:c>
    </x:row>
    <x:row r="26">
      <x:c r="A26" s="1" t="s">
        <x:v>426</x:v>
      </x:c>
      <x:c r="B26" s="1" t="s">
        <x:v>427</x:v>
      </x:c>
      <x:c r="C26" s="1" t="s">
        <x:v>428</x:v>
      </x:c>
      <x:c r="D26" s="1" t="s">
        <x:v>429</x:v>
      </x:c>
    </x:row>
    <x:row r="27" ht="26.25">
      <x:c r="A27" s="1" t="s">
        <x:v>430</x:v>
      </x:c>
      <x:c r="B27" s="1" t="s">
        <x:v>431</x:v>
      </x:c>
      <x:c r="C27" s="1" t="s">
        <x:v>432</x:v>
      </x:c>
      <x:c r="D27" s="1" t="s">
        <x:v>433</x:v>
      </x:c>
    </x:row>
    <x:row r="28">
      <x:c r="A28" s="1" t="s">
        <x:v>434</x:v>
      </x:c>
      <x:c r="B28" s="1" t="s">
        <x:v>435</x:v>
      </x:c>
      <x:c r="C28" s="1" t="s">
        <x:v>436</x:v>
      </x:c>
      <x:c r="D28" s="1" t="s">
        <x:v>437</x:v>
      </x:c>
    </x:row>
    <x:row r="29">
      <x:c r="A29" s="1" t="s">
        <x:v>438</x:v>
      </x:c>
      <x:c r="B29" s="1" t="s">
        <x:v>439</x:v>
      </x:c>
      <x:c r="C29" s="1" t="s">
        <x:v>440</x:v>
      </x:c>
      <x:c r="D29" s="1" t="s">
        <x:v>441</x:v>
      </x:c>
    </x:row>
    <x:row r="30" ht="26.25">
      <x:c r="A30" s="1" t="s">
        <x:v>442</x:v>
      </x:c>
      <x:c r="B30" s="1" t="s">
        <x:v>443</x:v>
      </x:c>
      <x:c r="C30" s="1" t="s">
        <x:v>444</x:v>
      </x:c>
      <x:c r="D30" s="1" t="s">
        <x:v>445</x:v>
      </x:c>
    </x:row>
    <x:row r="31" ht="26.25">
      <x:c r="A31" s="1" t="s">
        <x:v>446</x:v>
      </x:c>
      <x:c r="B31" s="1" t="s">
        <x:v>447</x:v>
      </x:c>
      <x:c r="C31" s="1" t="s">
        <x:v>448</x:v>
      </x:c>
      <x:c r="D31" s="1" t="s">
        <x:v>449</x:v>
      </x:c>
    </x:row>
    <x:row r="32" ht="26.25">
      <x:c r="A32" s="1" t="s">
        <x:v>450</x:v>
      </x:c>
      <x:c r="B32" s="1" t="s">
        <x:v>451</x:v>
      </x:c>
      <x:c r="C32" s="1" t="s">
        <x:v>452</x:v>
      </x:c>
      <x:c r="D32" s="1" t="s">
        <x:v>453</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3.5"/>
  <x:cols>
    <x:col min="1" max="1" width="24" customWidth="1"/>
    <x:col min="2" max="2" width="74" customWidth="1"/>
    <x:col min="3" max="3" width="44" customWidth="1"/>
    <x:col min="4" max="4" width="40" customWidth="1"/>
    <x:col min="5" max="5" width="48" customWidth="1"/>
  </x:cols>
  <x:sheetData>
    <x:row r="1" ht="21">
      <x:c r="A1" s="23" t="s">
        <x:v>454</x:v>
      </x:c>
      <x:c r="B1" s="23"/>
      <x:c r="C1" s="23"/>
      <x:c r="D1" s="23"/>
      <x:c r="E1" s="23"/>
    </x:row>
    <x:row r="2" ht="13.899999618530273">
      <x:c r="A2" s="24" t="s">
        <x:v>455</x:v>
      </x:c>
      <x:c r="B2" s="24"/>
      <x:c r="C2" s="24"/>
      <x:c r="D2" s="24"/>
      <x:c r="E2" s="24"/>
    </x:row>
    <x:row r="4">
      <x:c r="A4" s="2" t="s">
        <x:v>456</x:v>
      </x:c>
      <x:c r="B4" s="2" t="s">
        <x:v>336</x:v>
      </x:c>
      <x:c r="C4" s="2" t="s">
        <x:v>457</x:v>
      </x:c>
      <x:c r="D4" s="2" t="s">
        <x:v>458</x:v>
      </x:c>
      <x:c r="E4" s="2" t="s">
        <x:v>459</x:v>
      </x:c>
    </x:row>
    <x:row r="5">
      <x:c r="A5" s="1" t="s">
        <x:v>460</x:v>
      </x:c>
      <x:c r="B5" s="12" t="s">
        <x:v>461</x:v>
      </x:c>
      <x:c r="C5" s="1" t="s">
        <x:v>462</x:v>
      </x:c>
      <x:c r="D5" s="1" t="s">
        <x:v>463</x:v>
      </x:c>
      <x:c r="E5" s="1" t="s">
        <x:v>464</x:v>
      </x:c>
    </x:row>
    <x:row r="6" ht="39.400001525878906">
      <x:c r="A6" s="1" t="s">
        <x:v>465</x:v>
      </x:c>
      <x:c r="B6" s="12" t="s">
        <x:v>466</x:v>
      </x:c>
      <x:c r="C6" s="1" t="s">
        <x:v>467</x:v>
      </x:c>
      <x:c r="D6" s="1" t="s">
        <x:v>408</x:v>
      </x:c>
      <x:c r="E6" s="1" t="s">
        <x:v>468</x:v>
      </x:c>
    </x:row>
    <x:row r="7" ht="39.400001525878906">
      <x:c r="A7" s="1" t="s">
        <x:v>469</x:v>
      </x:c>
      <x:c r="B7" s="12" t="s">
        <x:v>470</x:v>
      </x:c>
      <x:c r="C7" s="1" t="s">
        <x:v>471</x:v>
      </x:c>
      <x:c r="D7" s="1" t="s">
        <x:v>412</x:v>
      </x:c>
      <x:c r="E7" s="1" t="s">
        <x:v>472</x:v>
      </x:c>
    </x:row>
    <x:row r="8" ht="26.25">
      <x:c r="A8" s="1" t="s">
        <x:v>473</x:v>
      </x:c>
      <x:c r="B8" s="12" t="s">
        <x:v>474</x:v>
      </x:c>
      <x:c r="C8" s="1" t="s">
        <x:v>475</x:v>
      </x:c>
      <x:c r="D8" s="1" t="s">
        <x:v>476</x:v>
      </x:c>
      <x:c r="E8" s="1" t="s">
        <x:v>477</x:v>
      </x:c>
    </x:row>
    <x:row r="9" ht="26.25">
      <x:c r="A9" s="1" t="s">
        <x:v>478</x:v>
      </x:c>
      <x:c r="B9" s="12" t="s">
        <x:v>479</x:v>
      </x:c>
      <x:c r="C9" s="1" t="s">
        <x:v>480</x:v>
      </x:c>
      <x:c r="D9" s="1" t="s">
        <x:v>481</x:v>
      </x:c>
      <x:c r="E9" s="1" t="s">
        <x:v>482</x:v>
      </x:c>
    </x:row>
    <x:row r="10" ht="26.25">
      <x:c r="A10" s="1" t="s">
        <x:v>483</x:v>
      </x:c>
      <x:c r="B10" s="12" t="s">
        <x:v>484</x:v>
      </x:c>
      <x:c r="C10" s="1" t="s">
        <x:v>485</x:v>
      </x:c>
      <x:c r="D10" s="1" t="s">
        <x:v>486</x:v>
      </x:c>
      <x:c r="E10" s="1" t="s">
        <x:v>487</x:v>
      </x:c>
    </x:row>
    <x:row r="11" ht="26.25">
      <x:c r="A11" s="1" t="s">
        <x:v>488</x:v>
      </x:c>
      <x:c r="B11" s="12" t="s">
        <x:v>489</x:v>
      </x:c>
      <x:c r="C11" s="1" t="s">
        <x:v>490</x:v>
      </x:c>
      <x:c r="D11" s="1" t="s">
        <x:v>491</x:v>
      </x:c>
      <x:c r="E11" s="1" t="s">
        <x:v>492</x:v>
      </x:c>
    </x:row>
    <x:row r="12" ht="26.25">
      <x:c r="A12" s="1" t="s">
        <x:v>493</x:v>
      </x:c>
      <x:c r="B12" s="12" t="s">
        <x:v>494</x:v>
      </x:c>
      <x:c r="C12" s="1" t="s">
        <x:v>495</x:v>
      </x:c>
      <x:c r="D12" s="1" t="s">
        <x:v>496</x:v>
      </x:c>
      <x:c r="E12" s="1" t="s">
        <x:v>497</x:v>
      </x:c>
    </x:row>
    <x:row r="13" ht="26.25">
      <x:c r="A13" s="1" t="s">
        <x:v>498</x:v>
      </x:c>
      <x:c r="B13" s="12" t="s">
        <x:v>499</x:v>
      </x:c>
      <x:c r="C13" s="1" t="s">
        <x:v>500</x:v>
      </x:c>
      <x:c r="D13" s="1" t="s">
        <x:v>501</x:v>
      </x:c>
      <x:c r="E13" s="1" t="s">
        <x:v>502</x:v>
      </x:c>
    </x:row>
    <x:row r="14">
      <x:c r="A14" s="1" t="s">
        <x:v>503</x:v>
      </x:c>
      <x:c r="B14" s="12" t="s">
        <x:v>504</x:v>
      </x:c>
      <x:c r="C14" s="1" t="s">
        <x:v>505</x:v>
      </x:c>
      <x:c r="D14" s="1" t="s">
        <x:v>506</x:v>
      </x:c>
      <x:c r="E14" s="1" t="s">
        <x:v>507</x:v>
      </x:c>
    </x:row>
    <x:row r="15">
      <x:c r="A15" s="1" t="s">
        <x:v>508</x:v>
      </x:c>
      <x:c r="B15" s="12" t="s">
        <x:v>509</x:v>
      </x:c>
      <x:c r="C15" s="1" t="s">
        <x:v>510</x:v>
      </x:c>
      <x:c r="D15" s="1" t="s">
        <x:v>511</x:v>
      </x:c>
      <x:c r="E15" s="1" t="s">
        <x:v>512</x:v>
      </x:c>
    </x:row>
    <x:row r="16">
      <x:c r="A16" s="1" t="s">
        <x:v>513</x:v>
      </x:c>
      <x:c r="B16" s="12" t="s">
        <x:v>514</x:v>
      </x:c>
      <x:c r="C16" s="1" t="s">
        <x:v>515</x:v>
      </x:c>
      <x:c r="D16" s="1" t="s">
        <x:v>516</x:v>
      </x:c>
      <x:c r="E16" s="1" t="s">
        <x:v>517</x:v>
      </x:c>
    </x:row>
    <x:row r="17" ht="26.25">
      <x:c r="A17" s="1" t="s">
        <x:v>518</x:v>
      </x:c>
      <x:c r="B17" s="12" t="s">
        <x:v>519</x:v>
      </x:c>
      <x:c r="C17" s="1" t="s">
        <x:v>520</x:v>
      </x:c>
      <x:c r="D17" s="1" t="s">
        <x:v>521</x:v>
      </x:c>
      <x:c r="E17" s="1" t="s">
        <x:v>522</x:v>
      </x:c>
    </x:row>
    <x:row r="18" ht="26.25">
      <x:c r="A18" s="1" t="s">
        <x:v>523</x:v>
      </x:c>
      <x:c r="B18" s="12" t="s">
        <x:v>524</x:v>
      </x:c>
      <x:c r="C18" s="1" t="s">
        <x:v>525</x:v>
      </x:c>
      <x:c r="D18" s="1" t="s">
        <x:v>526</x:v>
      </x:c>
      <x:c r="E18" s="1" t="s">
        <x:v>527</x:v>
      </x:c>
    </x:row>
    <x:row r="19" ht="26.25">
      <x:c r="A19" s="1" t="s">
        <x:v>528</x:v>
      </x:c>
      <x:c r="B19" s="12" t="s">
        <x:v>529</x:v>
      </x:c>
      <x:c r="C19" s="1" t="s">
        <x:v>530</x:v>
      </x:c>
      <x:c r="D19" s="1" t="s">
        <x:v>531</x:v>
      </x:c>
      <x:c r="E19" s="1" t="s">
        <x:v>532</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5"/>
  <x:cols>
    <x:col min="1" max="1" width="34" customWidth="1"/>
    <x:col min="2" max="2" width="28" customWidth="1"/>
    <x:col min="3" max="3" width="56" customWidth="1"/>
  </x:cols>
  <x:sheetData>
    <x:row r="1" ht="21">
      <x:c r="A1" s="23" t="s">
        <x:v>533</x:v>
      </x:c>
      <x:c r="B1" s="23"/>
      <x:c r="C1" s="23"/>
    </x:row>
    <x:row r="3">
      <x:c r="A3" s="2" t="s">
        <x:v>534</x:v>
      </x:c>
      <x:c r="B3" s="2" t="s">
        <x:v>41</x:v>
      </x:c>
      <x:c r="C3" s="2" t="s">
        <x:v>336</x:v>
      </x:c>
    </x:row>
    <x:row r="4">
      <x:c r="A4" s="1" t="s">
        <x:v>535</x:v>
      </x:c>
      <x:c r="B4" s="1" t="str">
        <x:f>IF(Inputs!C7&lt;Inputs!C8,"OK","Fix x_min/x_max")</x:f>
        <x:v>OK</x:v>
      </x:c>
      <x:c r="C4" s="1" t="s">
        <x:v>536</x:v>
      </x:c>
    </x:row>
    <x:row r="5">
      <x:c r="A5" s="1" t="s">
        <x:v>537</x:v>
      </x:c>
      <x:c r="B5" s="1" t="str">
        <x:f>IF(Inputs!C5&gt;0,"OK","Fix z0")</x:f>
        <x:v>OK</x:v>
      </x:c>
      <x:c r="C5" s="1" t="s">
        <x:v>538</x:v>
      </x:c>
    </x:row>
    <x:row r="6">
      <x:c r="A6" s="1" t="s">
        <x:v>539</x:v>
      </x:c>
      <x:c r="B6" s="1" t="str">
        <x:f>IF(Inputs!C10&gt;0,"OK","Fix x_edge")</x:f>
        <x:v>OK</x:v>
      </x:c>
      <x:c r="C6" s="1" t="s">
        <x:v>540</x:v>
      </x:c>
    </x:row>
    <x:row r="7">
      <x:c r="A7" s="1" t="s">
        <x:v>541</x:v>
      </x:c>
      <x:c r="B7" s="1" t="str">
        <x:f>IF(Inputs!C12&gt;0,"OK","Fix n")</x:f>
        <x:v>OK</x:v>
      </x:c>
      <x:c r="C7" s="1" t="s">
        <x:v>542</x:v>
      </x:c>
    </x:row>
    <x:row r="8">
      <x:c r="A8" s="1" t="s">
        <x:v>543</x:v>
      </x:c>
      <x:c r="B8" s="1" t="str">
        <x:f>IF(AND(Inputs!C13&gt;0,Inputs!C14&gt;0),"OK","Fix wavelengths")</x:f>
        <x:v>OK</x:v>
      </x:c>
      <x:c r="C8" s="1" t="s">
        <x:v>544</x:v>
      </x:c>
    </x:row>
    <x:row r="9">
      <x:c r="A9" s="1" t="s">
        <x:v>545</x:v>
      </x:c>
      <x:c r="B9" s="1" t="str">
        <x:f>IF(Inputs!C15&gt;0,"OK","Fix baseline")</x:f>
        <x:v>OK</x:v>
      </x:c>
      <x:c r="C9" s="1" t="s">
        <x:v>546</x:v>
      </x:c>
    </x:row>
    <x:row r="10">
      <x:c r="A10" s="1" t="s">
        <x:v>547</x:v>
      </x:c>
      <x:c r="B10" s="1" t="str">
        <x:f>IF(OR(Inputs!C27=TRUE,Inputs!C27=FALSE,Inputs!C27="TRUE",Inputs!C27="FALSE",Inputs!C27=1,Inputs!C27=0),"OK","Fix topography toggle")</x:f>
        <x:v>OK</x:v>
      </x:c>
      <x:c r="C10" s="1" t="s">
        <x:v>548</x:v>
      </x:c>
    </x:row>
    <x:row r="11">
      <x:c r="A11" s="1" t="s">
        <x:v>549</x:v>
      </x:c>
      <x:c r="B11" s="1" t="str">
        <x:f>IF(AND(Inputs!C31&gt;0,Inputs!C32&gt;0,Inputs!C36&gt;0,Inputs!C39&gt;0,Inputs!C40&gt;0,Inputs!C44&gt;0,Inputs!C45&gt;0),"OK","Fix topography width")</x:f>
        <x:v>OK</x:v>
      </x:c>
      <x:c r="C11" s="1" t="s">
        <x:v>550</x:v>
      </x:c>
    </x:row>
    <x:row r="12">
      <x:c r="A12" s="1" t="s">
        <x:v>551</x:v>
      </x:c>
      <x:c r="B12" s="1" t="str">
        <x:f>IF(Inputs!C46&gt;=0,"OK","Fix terrain uncertainty")</x:f>
        <x:v>OK</x:v>
      </x:c>
      <x:c r="C12" s="1" t="s">
        <x:v>552</x:v>
      </x:c>
    </x:row>
    <x:row r="13">
      <x:c r="A13" s="1" t="s">
        <x:v>553</x:v>
      </x:c>
      <x:c r="B13" s="1" t="str">
        <x:f>IF(AND(Inputs!C49&gt;0,Inputs!C50&gt;0),"OK","Fix seeded terrain scale")</x:f>
        <x:v>OK</x:v>
      </x:c>
      <x:c r="C13" s="1" t="s">
        <x:v>554</x:v>
      </x:c>
    </x:row>
    <x:row r="14">
      <x:c r="A14" s="1" t="s">
        <x:v>555</x:v>
      </x:c>
      <x:c r="B14" s="1" t="str">
        <x:f>IF(Inputs!C48&gt;=0,"OK","Fix seeded amplitude")</x:f>
        <x:v>OK</x:v>
      </x:c>
      <x:c r="C14" s="1" t="s">
        <x:v>556</x:v>
      </x:c>
    </x:row>
    <x:row r="15">
      <x:c r="A15" s="1" t="s">
        <x:v>557</x:v>
      </x:c>
      <x:c r="B15" s="1" t="str">
        <x:f>IF(Inputs!C51&gt;=0,"OK","Fix DEM scale")</x:f>
        <x:v>OK</x:v>
      </x:c>
      <x:c r="C15" s="1" t="s">
        <x:v>558</x:v>
      </x:c>
    </x:row>
    <x:row r="16">
      <x:c r="A16" s="1" t="s">
        <x:v>559</x:v>
      </x:c>
      <x:c r="B16" s="1" t="str">
        <x:f>IF(Inputs!C52&gt;0,"OK","Fix Europa radius")</x:f>
        <x:v>OK</x:v>
      </x:c>
      <x:c r="C16" s="1" t="s">
        <x:v>560</x:v>
      </x:c>
    </x:row>
    <x:row r="17">
      <x:c r="A17" s="1" t="s">
        <x:v>561</x:v>
      </x:c>
      <x:c r="B17" s="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 t="s">
        <x:v>562</x:v>
      </x:c>
    </x:row>
    <x:row r="18">
      <x:c r="A18" s="1" t="s">
        <x:v>563</x:v>
      </x:c>
      <x:c r="B18" s="1" t="str">
        <x:f>IF(AND(Inputs!I6&lt;Inputs!J6,Inputs!K6&gt;0,Inputs!I7&lt;Inputs!J7,Inputs!K7&gt;0,Inputs!I8&lt;Inputs!J8,Inputs!K8&gt;0,Inputs!I9&lt;Inputs!J9,Inputs!K9&gt;0),"OK","Fix scenario length")</x:f>
        <x:v>OK</x:v>
      </x:c>
      <x:c r="C18" s="1" t="s">
        <x:v>564</x:v>
      </x:c>
    </x:row>
    <x:row r="19">
      <x:c r="A19" s="1" t="s">
        <x:v>565</x:v>
      </x:c>
      <x:c r="B19" s="1" t="str">
        <x:f>IF(Inputs!C20&gt;=Dashboard!B16,"OK","High PRF below simple floor")</x:f>
        <x:v>OK</x:v>
      </x:c>
      <x:c r="C19" s="1" t="s">
        <x:v>566</x:v>
      </x:c>
    </x:row>
    <x:row r="20">
      <x:c r="A20" s="1" t="s">
        <x:v>567</x:v>
      </x:c>
      <x:c r="B20" s="1" t="str">
        <x:f>IF(COUNTA(Model_Data!A2:A242)=241,"OK","Missing rows")</x:f>
        <x:v>OK</x:v>
      </x:c>
      <x:c r="C20" s="1" t="s">
        <x:v>568</x:v>
      </x:c>
    </x:row>
    <x:row r="21">
      <x:c r="A21" s="1" t="s">
        <x:v>569</x:v>
      </x:c>
      <x:c r="B21" s="1" t="str">
        <x:f>IF(Chart_Data!L122=Model_Data!Y122,"OK","Fix off-nadir chart link")</x:f>
        <x:v>OK</x:v>
      </x:c>
      <x:c r="C21" s="1" t="s">
        <x:v>570</x:v>
      </x:c>
    </x:row>
    <x:row r="22">
      <x:c r="A22" s="1" t="s">
        <x:v>571</x:v>
      </x:c>
      <x:c r="B22" s="1" t="str">
        <x:f>IF(Chart_Data!M122=Model_Data!X122,"OK","Fix nadir chart link")</x:f>
        <x:v>OK</x:v>
      </x:c>
      <x:c r="C22" s="1" t="s">
        <x:v>572</x:v>
      </x:c>
    </x:row>
    <x:row r="23">
      <x:c r="A23" s="1" t="s">
        <x:v>573</x:v>
      </x:c>
      <x:c r="B23" s="1" t="str">
        <x:f>IF(ABS(Chart_Data!N122+Model_Data!AI122*Inputs!C12)&lt;0.001,"OK","Fix apparent-height conversion")</x:f>
        <x:v>OK</x:v>
      </x:c>
      <x:c r="C23" s="1" t="s">
        <x:v>574</x:v>
      </x:c>
    </x:row>
    <x:row r="25" ht="13.899999618530273">
      <x:c r="A25" s="13" t="s">
        <x:v>575</x:v>
      </x:c>
      <x:c r="B25" s="13"/>
      <x:c r="C25" s="13"/>
    </x:row>
    <x:row r="26" ht="27">
      <x:c r="A26" s="16" t="s">
        <x:v>576</x:v>
      </x:c>
      <x:c r="B26" s="15" t="s">
        <x:v>577</x:v>
      </x:c>
      <x:c r="C26" s="15" t="s">
        <x:v>578</x:v>
      </x:c>
    </x:row>
    <x:row r="27" ht="27">
      <x:c r="A27" s="16" t="s">
        <x:v>579</x:v>
      </x:c>
      <x:c r="B27" s="15" t="s">
        <x:v>577</x:v>
      </x:c>
      <x:c r="C27" s="15" t="s">
        <x:v>580</x:v>
      </x:c>
    </x:row>
  </x:sheetData>
  <x:mergeCells>
    <x:mergeCell ref="A1:C1"/>
  </x:mergeCells>
  <x:conditionalFormatting sqref="B4:B23">
    <x:cfRule type="containsText" dxfId="1" priority="1" operator="containsText" text="OK"/>
    <x:cfRule type="notContainsText" dxfId="0" priority="2" operator="notContains"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5"/>
  <x:cols>
    <x:col min="1" max="1" width="25.625" customWidth="1"/>
    <x:col min="2" max="2" width="45" customWidth="1"/>
    <x:col min="3" max="3" width="35" customWidth="1"/>
    <x:col min="4" max="4" width="31.25" customWidth="1"/>
    <x:col min="5" max="5" width="22.5" customWidth="1"/>
    <x:col min="6" max="6" width="45" customWidth="1"/>
    <x:col min="7" max="7" width="22.5" customWidth="1"/>
  </x:cols>
  <x:sheetData>
    <x:row r="1" ht="22.5" customHeight="1">
      <x:c r="A1" s="35" t="s">
        <x:v>581</x:v>
      </x:c>
      <x:c r="B1" s="35"/>
      <x:c r="C1" s="35"/>
      <x:c r="D1" s="35"/>
      <x:c r="E1" s="35"/>
      <x:c r="F1" s="35"/>
      <x:c r="G1" s="35"/>
    </x:row>
    <x:row r="2" ht="25.5" customHeight="1">
      <x:c r="A2" s="36" t="s">
        <x:v>582</x:v>
      </x:c>
      <x:c r="B2" s="37"/>
      <x:c r="C2" s="37"/>
      <x:c r="D2" s="37"/>
      <x:c r="E2" s="37"/>
      <x:c r="F2" s="37"/>
      <x:c r="G2" s="38"/>
    </x:row>
    <x:row r="3" ht="31.5" customHeight="1">
      <x:c r="A3" s="17"/>
      <x:c r="B3" s="17"/>
      <x:c r="C3" s="17"/>
      <x:c r="D3" s="17"/>
      <x:c r="E3" s="17"/>
      <x:c r="F3" s="17"/>
      <x:c r="G3" s="17"/>
    </x:row>
    <x:row r="4" ht="31.5" customHeight="1">
      <x:c r="A4" s="22" t="s">
        <x:v>61</x:v>
      </x:c>
      <x:c r="B4" s="22" t="s">
        <x:v>583</x:v>
      </x:c>
      <x:c r="C4" s="22" t="s">
        <x:v>584</x:v>
      </x:c>
      <x:c r="D4" s="22" t="s">
        <x:v>63</x:v>
      </x:c>
      <x:c r="E4" s="22" t="s">
        <x:v>585</x:v>
      </x:c>
      <x:c r="F4" s="22" t="s">
        <x:v>586</x:v>
      </x:c>
      <x:c r="G4" s="22" t="s">
        <x:v>587</x:v>
      </x:c>
    </x:row>
    <x:row r="5" ht="43.5" customHeight="1">
      <x:c r="A5" s="18" t="s">
        <x:v>588</x:v>
      </x:c>
      <x:c r="B5" s="19" t="s">
        <x:v>589</x:v>
      </x:c>
      <x:c r="C5" s="19" t="s">
        <x:v>590</x:v>
      </x:c>
      <x:c r="D5" s="19" t="s">
        <x:v>591</x:v>
      </x:c>
      <x:c r="E5" s="19" t="s">
        <x:v>592</x:v>
      </x:c>
      <x:c r="F5" s="19" t="s">
        <x:v>593</x:v>
      </x:c>
      <x:c r="G5" s="19" t="s">
        <x:v>594</x:v>
      </x:c>
    </x:row>
    <x:row r="6" ht="43.5" customHeight="1">
      <x:c r="A6" s="18" t="s">
        <x:v>595</x:v>
      </x:c>
      <x:c r="B6" s="19" t="s">
        <x:v>596</x:v>
      </x:c>
      <x:c r="C6" s="19" t="s">
        <x:v>597</x:v>
      </x:c>
      <x:c r="D6" s="19" t="s">
        <x:v>598</x:v>
      </x:c>
      <x:c r="E6" s="19" t="s">
        <x:v>599</x:v>
      </x:c>
      <x:c r="F6" s="19" t="s">
        <x:v>600</x:v>
      </x:c>
      <x:c r="G6" s="19" t="s">
        <x:v>601</x:v>
      </x:c>
    </x:row>
    <x:row r="7" ht="43.5" customHeight="1">
      <x:c r="A7" s="18" t="s">
        <x:v>602</x:v>
      </x:c>
      <x:c r="B7" s="19" t="s">
        <x:v>603</x:v>
      </x:c>
      <x:c r="C7" s="19" t="s">
        <x:v>604</x:v>
      </x:c>
      <x:c r="D7" s="19" t="s">
        <x:v>605</x:v>
      </x:c>
      <x:c r="E7" s="19" t="s">
        <x:v>606</x:v>
      </x:c>
      <x:c r="F7" s="19" t="s">
        <x:v>607</x:v>
      </x:c>
      <x:c r="G7" s="19" t="s">
        <x:v>608</x:v>
      </x:c>
    </x:row>
    <x:row r="8" ht="43.5" customHeight="1">
      <x:c r="A8" s="18" t="s">
        <x:v>609</x:v>
      </x:c>
      <x:c r="B8" s="19" t="s">
        <x:v>610</x:v>
      </x:c>
      <x:c r="C8" s="19" t="s">
        <x:v>611</x:v>
      </x:c>
      <x:c r="D8" s="19" t="s">
        <x:v>612</x:v>
      </x:c>
      <x:c r="E8" s="19" t="s">
        <x:v>613</x:v>
      </x:c>
      <x:c r="F8" s="19" t="s">
        <x:v>614</x:v>
      </x:c>
      <x:c r="G8" s="19" t="s">
        <x:v>615</x:v>
      </x:c>
    </x:row>
    <x:row r="9" ht="43.5" customHeight="1">
      <x:c r="A9" s="18" t="s">
        <x:v>616</x:v>
      </x:c>
      <x:c r="B9" s="19" t="s">
        <x:v>617</x:v>
      </x:c>
      <x:c r="C9" s="19" t="s">
        <x:v>618</x:v>
      </x:c>
      <x:c r="D9" s="19" t="s">
        <x:v>619</x:v>
      </x:c>
      <x:c r="E9" s="19" t="s">
        <x:v>620</x:v>
      </x:c>
      <x:c r="F9" s="19" t="s">
        <x:v>621</x:v>
      </x:c>
      <x:c r="G9" s="19" t="s">
        <x:v>622</x:v>
      </x:c>
    </x:row>
    <x:row r="10" ht="43.5" customHeight="1">
      <x:c r="A10" s="18" t="s">
        <x:v>623</x:v>
      </x:c>
      <x:c r="B10" s="19" t="s">
        <x:v>624</x:v>
      </x:c>
      <x:c r="C10" s="19" t="s">
        <x:v>625</x:v>
      </x:c>
      <x:c r="D10" s="19" t="s">
        <x:v>626</x:v>
      </x:c>
      <x:c r="E10" s="19" t="s">
        <x:v>627</x:v>
      </x:c>
      <x:c r="F10" s="19" t="s">
        <x:v>628</x:v>
      </x:c>
      <x:c r="G10" s="19" t="s">
        <x:v>622</x:v>
      </x:c>
    </x:row>
    <x:row r="11" ht="43.5" customHeight="1">
      <x:c r="A11" s="18" t="s">
        <x:v>629</x:v>
      </x:c>
      <x:c r="B11" s="19" t="s">
        <x:v>630</x:v>
      </x:c>
      <x:c r="C11" s="19" t="s">
        <x:v>631</x:v>
      </x:c>
      <x:c r="D11" s="19" t="s">
        <x:v>632</x:v>
      </x:c>
      <x:c r="E11" s="19" t="s">
        <x:v>633</x:v>
      </x:c>
      <x:c r="F11" s="19" t="s">
        <x:v>634</x:v>
      </x:c>
      <x:c r="G11" s="19" t="s">
        <x:v>622</x:v>
      </x:c>
    </x:row>
    <x:row r="12" ht="31.5" customHeight="1">
      <x:c r="A12" s="17"/>
      <x:c r="B12" s="17"/>
      <x:c r="C12" s="17"/>
      <x:c r="D12" s="17"/>
      <x:c r="E12" s="17"/>
      <x:c r="F12" s="17"/>
      <x:c r="G12" s="17"/>
    </x:row>
    <x:row r="13" ht="31.5" customHeight="1">
      <x:c r="A13" s="35" t="s">
        <x:v>635</x:v>
      </x:c>
      <x:c r="B13" s="35"/>
      <x:c r="C13" s="35"/>
      <x:c r="D13" s="35"/>
      <x:c r="E13" s="35"/>
      <x:c r="F13" s="35"/>
      <x:c r="G13" s="35"/>
    </x:row>
    <x:row r="14" ht="31.5" customHeight="1">
      <x:c r="A14" s="22" t="s">
        <x:v>636</x:v>
      </x:c>
      <x:c r="B14" s="22" t="s">
        <x:v>637</x:v>
      </x:c>
      <x:c r="C14" s="22" t="s">
        <x:v>5</x:v>
      </x:c>
      <x:c r="D14" s="22" t="s">
        <x:v>638</x:v>
      </x:c>
      <x:c r="E14" s="22" t="s">
        <x:v>584</x:v>
      </x:c>
      <x:c r="F14" s="17"/>
      <x:c r="G14" s="17"/>
    </x:row>
    <x:row r="15" ht="40.5" customHeight="1">
      <x:c r="A15" s="18" t="s">
        <x:v>639</x:v>
      </x:c>
      <x:c r="B15" s="20" t="str">
        <x:f>IF(COUNTIF(Checks!B4:B23,"OK")=ROWS(Checks!B4:B23),"OK","Review Checks")</x:f>
        <x:v>OK</x:v>
      </x:c>
      <x:c r="C15" s="19"/>
      <x:c r="D15" s="19" t="s">
        <x:v>640</x:v>
      </x:c>
      <x:c r="E15" s="19" t="s">
        <x:v>641</x:v>
      </x:c>
      <x:c r="F15" s="17"/>
      <x:c r="G15" s="17"/>
    </x:row>
    <x:row r="16" ht="40.5" customHeight="1">
      <x:c r="A16" s="18" t="s">
        <x:v>9</x:v>
      </x:c>
      <x:c r="B16" s="21" t="n">
        <x:f>Dashboard!B7</x:f>
        <x:v>550.6998603390537</x:v>
      </x:c>
      <x:c r="C16" s="19" t="s">
        <x:v>10</x:v>
      </x:c>
      <x:c r="D16" s="19" t="s">
        <x:v>642</x:v>
      </x:c>
      <x:c r="E16" s="19" t="s">
        <x:v>643</x:v>
      </x:c>
      <x:c r="F16" s="17"/>
      <x:c r="G16" s="17"/>
    </x:row>
    <x:row r="17" ht="40.5" customHeight="1">
      <x:c r="A17" s="18" t="s">
        <x:v>644</x:v>
      </x:c>
      <x:c r="B17" s="21" t="n">
        <x:f>Dashboard!B8</x:f>
        <x:v>278.8355336025972</x:v>
      </x:c>
      <x:c r="C17" s="19" t="s">
        <x:v>10</x:v>
      </x:c>
      <x:c r="D17" s="19" t="s">
        <x:v>645</x:v>
      </x:c>
      <x:c r="E17" s="19" t="s">
        <x:v>646</x:v>
      </x:c>
      <x:c r="F17" s="17"/>
      <x:c r="G17" s="17"/>
    </x:row>
    <x:row r="18" ht="40.5" customHeight="1">
      <x:c r="A18" s="18" t="s">
        <x:v>14</x:v>
      </x:c>
      <x:c r="B18" s="21" t="n">
        <x:f>Dashboard!B9</x:f>
        <x:v>-271.86432673645646</x:v>
      </x:c>
      <x:c r="C18" s="19" t="s">
        <x:v>10</x:v>
      </x:c>
      <x:c r="D18" s="19" t="s">
        <x:v>647</x:v>
      </x:c>
      <x:c r="E18" s="19" t="s">
        <x:v>648</x:v>
      </x:c>
      <x:c r="F18" s="17"/>
      <x:c r="G18" s="17"/>
    </x:row>
    <x:row r="19" ht="40.5" customHeight="1">
      <x:c r="A19" s="18" t="s">
        <x:v>31</x:v>
      </x:c>
      <x:c r="B19" s="21" t="n">
        <x:f>Dashboard!B16</x:f>
        <x:v>1068.1204298898592</x:v>
      </x:c>
      <x:c r="C19" s="19" t="s">
        <x:v>29</x:v>
      </x:c>
      <x:c r="D19" s="19" t="s">
        <x:v>649</x:v>
      </x:c>
      <x:c r="E19" s="19" t="s">
        <x:v>650</x:v>
      </x:c>
      <x:c r="F19" s="17"/>
      <x:c r="G19" s="17"/>
    </x:row>
    <x:row r="20" ht="40.5" customHeight="1">
      <x:c r="A20" s="18" t="s">
        <x:v>651</x:v>
      </x:c>
      <x:c r="B20" s="20" t="s">
        <x:v>577</x:v>
      </x:c>
      <x:c r="C20" s="19"/>
      <x:c r="D20" s="19" t="s">
        <x:v>652</x:v>
      </x:c>
      <x:c r="E20" s="19" t="s">
        <x:v>653</x:v>
      </x:c>
      <x:c r="F20" s="17"/>
      <x:c r="G20" s="17"/>
    </x:row>
  </x:sheetData>
  <x:mergeCells>
    <x:mergeCell ref="A1:G1"/>
    <x:mergeCell ref="A2:G2"/>
    <x:mergeCell ref="A13:G13"/>
  </x:mergeCells>
  <x:pageMargins left="0.7" right="0.7" top="0.75" bottom="0.75" header="0.3" footer="0.3"/>
</x:worksheet>
</file>

<file path=xl/worksheets/sheet11.xml><?xml version="1.0" encoding="utf-8"?>
<x:worksheet xmlns:x="http://schemas.openxmlformats.org/spreadsheetml/2006/main">
  <x:sheetFormatPr defaultRowHeight="13.5"/>
  <x:sheetData>
    <x:row r="1">
      <x:c r="A1" t="s">
        <x:v>654</x:v>
      </x:c>
      <x:c r="B1" t="s">
        <x:v>655</x:v>
      </x:c>
      <x:c r="D1" t="s">
        <x:v>656</x:v>
      </x:c>
      <x:c r="E1" t="s">
        <x:v>657</x:v>
      </x:c>
      <x:c r="F1" t="s">
        <x:v>658</x:v>
      </x:c>
      <x:c r="G1" t="s">
        <x:v>659</x:v>
      </x:c>
      <x:c r="I1" t="s">
        <x:v>660</x:v>
      </x:c>
      <x:c r="J1" t="s">
        <x:v>661</x:v>
      </x:c>
      <x:c r="K1" t="s">
        <x:v>662</x:v>
      </x:c>
      <x:c r="L1" t="s">
        <x:v>663</x:v>
      </x:c>
      <x:c r="M1" t="s">
        <x:v>664</x:v>
      </x:c>
      <x:c r="O1" t="s">
        <x:v>665</x:v>
      </x:c>
      <x:c r="P1" t="s">
        <x:v>666</x:v>
      </x:c>
      <x:c r="Q1" t="s">
        <x:v>667</x:v>
      </x:c>
      <x:c r="R1" t="s">
        <x:v>668</x:v>
      </x:c>
      <x:c r="S1" t="s">
        <x:v>669</x:v>
      </x:c>
      <x:c r="T1" t="s">
        <x:v>670</x:v>
      </x:c>
      <x:c r="U1" t="s">
        <x:v>671</x:v>
      </x:c>
      <x:c r="V1" t="s">
        <x:v>672</x:v>
      </x:c>
      <x:c r="X1" t="s">
        <x:v>673</x:v>
      </x:c>
      <x:c r="Y1" t="s">
        <x:v>674</x:v>
      </x:c>
      <x:c r="Z1" t="s">
        <x:v>675</x:v>
      </x:c>
      <x:c r="AA1" t="s">
        <x:v>676</x:v>
      </x:c>
      <x:c r="AB1" t="s">
        <x:v>677</x:v>
      </x:c>
      <x:c r="AC1" t="s">
        <x:v>678</x:v>
      </x:c>
      <x:c r="AD1" t="s">
        <x:v>679</x:v>
      </x:c>
      <x:c r="AE1" t="s">
        <x:v>680</x:v>
      </x:c>
      <x:c r="AG1" t="s">
        <x:v>681</x:v>
      </x:c>
      <x:c r="AH1" t="s">
        <x:v>682</x:v>
      </x:c>
      <x:c r="AI1" t="s">
        <x:v>683</x:v>
      </x:c>
      <x:c r="AJ1" t="s">
        <x:v>684</x:v>
      </x:c>
      <x:c r="AK1" t="s">
        <x:v>685</x:v>
      </x:c>
      <x:c r="AL1" t="s">
        <x:v>686</x:v>
      </x:c>
      <x:c r="AM1" t="s">
        <x:v>687</x:v>
      </x:c>
      <x:c r="AN1" t="s">
        <x:v>688</x:v>
      </x:c>
      <x:c r="AP1" t="s">
        <x:v>689</x:v>
      </x:c>
      <x:c r="AQ1" t="s">
        <x:v>690</x:v>
      </x:c>
      <x:c r="AR1" t="s">
        <x:v>691</x:v>
      </x:c>
      <x:c r="AS1" t="s">
        <x:v>692</x:v>
      </x:c>
      <x:c r="AT1" t="s">
        <x:v>693</x:v>
      </x:c>
      <x:c r="AU1" t="s">
        <x:v>694</x:v>
      </x:c>
      <x:c r="AV1" t="s">
        <x:v>695</x:v>
      </x:c>
      <x:c r="AW1" t="s">
        <x:v>696</x:v>
      </x:c>
    </x:row>
    <x:row r="2">
      <x:c r="A2" t="n">
        <x:f>Chart_Data!K2</x:f>
        <x:v>-60</x:v>
      </x:c>
      <x:c r="B2" t="n">
        <x:f>Chart_Data!N2-Chart_Data!L2</x:f>
        <x:v>-5.159813914717645</x:v>
      </x:c>
      <x:c r="D2" t="n">
        <x:f>Chart_Data!G2</x:f>
        <x:v>-60</x:v>
      </x:c>
      <x:c r="E2" t="n">
        <x:f>Chart_Data!H2</x:f>
        <x:v>119.42638570504096</x:v>
      </x:c>
      <x:c r="F2" t="n">
        <x:f>Chart_Data!I2</x:f>
        <x:v>119.42638570504096</x:v>
      </x:c>
      <x:c r="G2" t="n">
        <x:f>Chart_Data!J2</x:f>
        <x:v>2.7642790376402013</x:v>
      </x:c>
      <x:c r="I2" t="n">
        <x:f>Scenario_Data!A2</x:f>
        <x:v>-1</x:v>
      </x:c>
      <x:c r="J2" t="n">
        <x:f>Scenario_Data!H2-(((SQRT((Inputs!$C$52+(Inputs!$H$6))^2+Inputs!$C$52^2-2*(Inputs!$C$52+(Inputs!$H$6))*Inputs!$C$52*COS(SQRT((Scenario_Data!T2)^2+Inputs!$C$6^2)/Inputs!$C$52)))-(Inputs!$H$6))*1000/Inputs!$C$12)</x:f>
        <x:v>-28.60683575205121</x:v>
      </x:c>
      <x:c r="K2" t="n">
        <x:f>Scenario_Data!I2-(((SQRT((Inputs!$C$52+(Inputs!$H$7))^2+Inputs!$C$52^2-2*(Inputs!$C$52+(Inputs!$H$7))*Inputs!$C$52*COS(SQRT((Scenario_Data!U2)^2+Inputs!$C$6^2)/Inputs!$C$52)))-(Inputs!$H$7))*1000/Inputs!$C$12)</x:f>
        <x:v>-95550.6968246352</x:v>
      </x:c>
      <x:c r="L2" t="n">
        <x:f>Scenario_Data!J2-(((SQRT((Inputs!$C$52+(Inputs!$H$8))^2+Inputs!$C$52^2-2*(Inputs!$C$52+(Inputs!$H$8))*Inputs!$C$52*COS(SQRT((Scenario_Data!V2)^2+Inputs!$C$6^2)/Inputs!$C$52)))-(Inputs!$H$8))*1000/Inputs!$C$12)</x:f>
        <x:v>-192178.91313344726</x:v>
      </x:c>
      <x:c r="M2" t="n">
        <x:f>Scenario_Data!K2-(((SQRT((Inputs!$C$52+(Inputs!$H$9))^2+Inputs!$C$52^2-2*(Inputs!$C$52+(Inputs!$H$9))*Inputs!$C$52*COS(SQRT((Scenario_Data!W2)^2+Inputs!$C$6^2)/Inputs!$C$52)))-(Inputs!$H$9))*1000/Inputs!$C$12)</x:f>
        <x:v>-196175.94007289349</x:v>
      </x:c>
      <x:c r="O2" t="n">
        <x:f>Scenario_Data!T2</x:f>
        <x:v>-60</x:v>
      </x:c>
      <x:c r="P2" t="n">
        <x:f>2*(Scenario_Data!B2*1000)/Inputs!$C$21*1000000</x:f>
        <x:v>2695.1978892010684</x:v>
      </x:c>
      <x:c r="Q2" t="n">
        <x:f>Scenario_Data!U2</x:f>
        <x:v>-400</x:v>
      </x:c>
      <x:c r="R2" t="n">
        <x:f>2*(Scenario_Data!C2*1000)/Inputs!$C$21*1000000</x:f>
        <x:v>2668.5127615852166</x:v>
      </x:c>
      <x:c r="S2" t="n">
        <x:f>Scenario_Data!V2</x:f>
        <x:v>-800</x:v>
      </x:c>
      <x:c r="T2" t="n">
        <x:f>2*(Scenario_Data!D2*1000)/Inputs!$C$21*1000000</x:f>
        <x:v>6671.281903963041</x:v>
      </x:c>
      <x:c r="U2" t="n">
        <x:f>Scenario_Data!W2</x:f>
        <x:v>-800</x:v>
      </x:c>
      <x:c r="V2" t="n">
        <x:f>2*(Scenario_Data!E2*1000)/Inputs!$C$21*1000000</x:f>
        <x:v>6671.281903963041</x:v>
      </x:c>
      <x:c r="X2" t="n">
        <x:f>Scenario_Data!T2</x:f>
        <x:v>-60</x:v>
      </x:c>
      <x:c r="Y2" t="n">
        <x: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x:f>
        <x:v>2695.1794479163473</x:v>
      </x:c>
      <x:c r="Z2" t="n">
        <x:f>Scenario_Data!U2</x:f>
        <x:v>-400</x:v>
      </x:c>
      <x:c r="AA2" t="n">
        <x: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x:f>
        <x:v>2668.428145382045</x:v>
      </x:c>
      <x:c r="AB2" t="n">
        <x:f>Scenario_Data!V2</x:f>
        <x:v>-800</x:v>
      </x:c>
      <x:c r="AC2" t="n">
        <x: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x:f>
        <x:v>6671.247983955019</x:v>
      </x:c>
      <x:c r="AD2" t="n">
        <x:f>Scenario_Data!W2</x:f>
        <x:v>-800</x:v>
      </x:c>
      <x:c r="AE2" t="n">
        <x: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x:f>
        <x:v>6671.247983955019</x:v>
      </x:c>
      <x:c r="AG2" t="n">
        <x:f>Scenario_Data!T2</x:f>
        <x:v>-60</x:v>
      </x:c>
      <x:c r="AH2" t="n">
        <x:f>2*(SQRT((Inputs!$C$52+(Scenario_Data!B2))^2+Inputs!$C$52^2-2*(Inputs!$C$52+(Scenario_Data!B2))*Inputs!$C$52*COS(SQRT((Scenario_Data!T2)^2+Inputs!$C$6^2)/Inputs!$C$52))*1000)/Inputs!$C$21*1000000</x:f>
        <x:v>2738.7528797589603</x:v>
      </x:c>
      <x:c r="AI2" t="n">
        <x:f>Scenario_Data!U2</x:f>
        <x:v>-400</x:v>
      </x:c>
      <x:c r="AJ2" t="n">
        <x:f>2*(SQRT((Inputs!$C$52+(Scenario_Data!C2))^2+Inputs!$C$52^2-2*(Inputs!$C$52+(Scenario_Data!C2))*Inputs!$C$52*COS(SQRT((Scenario_Data!U2)^2+Inputs!$C$6^2)/Inputs!$C$52))*1000)/Inputs!$C$21*1000000</x:f>
        <x:v>4006.5669904921833</x:v>
      </x:c>
      <x:c r="AK2" t="n">
        <x:f>Scenario_Data!V2</x:f>
        <x:v>-800</x:v>
      </x:c>
      <x:c r="AL2" t="n">
        <x:f>2*(SQRT((Inputs!$C$52+(Scenario_Data!D2))^2+Inputs!$C$52^2-2*(Inputs!$C$52+(Scenario_Data!D2))*Inputs!$C$52*COS(SQRT((Scenario_Data!V2)^2+Inputs!$C$6^2)/Inputs!$C$52))*1000)/Inputs!$C$21*1000000</x:f>
        <x:v>9500.98992327336</x:v>
      </x:c>
      <x:c r="AM2" t="n">
        <x:f>Scenario_Data!W2</x:f>
        <x:v>-800</x:v>
      </x:c>
      <x:c r="AN2" t="n">
        <x:f>2*(SQRT((Inputs!$C$52+(Scenario_Data!E2))^2+Inputs!$C$52^2-2*(Inputs!$C$52+(Scenario_Data!E2))*Inputs!$C$52*COS(SQRT((Scenario_Data!W2)^2+Inputs!$C$6^2)/Inputs!$C$52))*1000)/Inputs!$C$21*1000000</x:f>
        <x:v>9500.98992327336</x:v>
      </x:c>
      <x:c r="AP2" t="n">
        <x:f>Scenario_Data!T2</x:f>
        <x:v>-60</x:v>
      </x:c>
      <x:c r="AQ2" t="n">
        <x: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x:f>
        <x:v>2737.9721339616262</x:v>
      </x:c>
      <x:c r="AR2" t="n">
        <x:f>Scenario_Data!U2</x:f>
        <x:v>-400</x:v>
      </x:c>
      <x:c r="AS2" t="n">
        <x: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x:f>
        <x:v>4006.1845220388846</x:v>
      </x:c>
      <x:c r="AT2" t="n">
        <x:f>Scenario_Data!V2</x:f>
        <x:v>-800</x:v>
      </x:c>
      <x:c r="AU2" t="n">
        <x: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x:f>
        <x:v>9500.556371343455</x:v>
      </x:c>
      <x:c r="AV2" t="n">
        <x:f>Scenario_Data!W2</x:f>
        <x:v>-800</x:v>
      </x:c>
      <x:c r="AW2" t="n">
        <x: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x:f>
        <x:v>9500.556371343455</x:v>
      </x:c>
    </x:row>
    <x:row r="3">
      <x:c r="A3" t="n">
        <x:f>Chart_Data!K3</x:f>
        <x:v>-59.5</x:v>
      </x:c>
      <x:c r="B3" t="n">
        <x:f>Chart_Data!N3-Chart_Data!L3</x:f>
        <x:v>-21.835331789793656</x:v>
      </x:c>
      <x:c r="D3" t="n">
        <x:f>Chart_Data!G3</x:f>
        <x:v>-59.5</x:v>
      </x:c>
      <x:c r="E3" t="n">
        <x:f>Chart_Data!H3</x:f>
        <x:v>110.69606493723512</x:v>
      </x:c>
      <x:c r="F3" t="n">
        <x:f>Chart_Data!I3</x:f>
        <x:v>110.69606493723512</x:v>
      </x:c>
      <x:c r="G3" t="n">
        <x:f>Chart_Data!J3</x:f>
        <x:v>19.645117006397193</x:v>
      </x:c>
      <x:c r="I3" t="n">
        <x:f>Scenario_Data!A3</x:f>
        <x:v>-0.992</x:v>
      </x:c>
      <x:c r="J3" t="n">
        <x:f>Scenario_Data!H3-(((SQRT((Inputs!$C$52+(Inputs!$H$6))^2+Inputs!$C$52^2-2*(Inputs!$C$52+(Inputs!$H$6))*Inputs!$C$52*COS(SQRT((Scenario_Data!T3)^2+Inputs!$C$6^2)/Inputs!$C$52)))-(Inputs!$H$6))*1000/Inputs!$C$12)</x:f>
        <x:v>-27.782863149590867</x:v>
      </x:c>
      <x:c r="K3" t="n">
        <x:f>Scenario_Data!I3-(((SQRT((Inputs!$C$52+(Inputs!$H$7))^2+Inputs!$C$52^2-2*(Inputs!$C$52+(Inputs!$H$7))*Inputs!$C$52*COS(SQRT((Scenario_Data!U3)^2+Inputs!$C$6^2)/Inputs!$C$52)))-(Inputs!$H$7))*1000/Inputs!$C$12)</x:f>
        <x:v>-94429.87293064831</x:v>
      </x:c>
      <x:c r="L3" t="n">
        <x:f>Scenario_Data!J3-(((SQRT((Inputs!$C$52+(Inputs!$H$8))^2+Inputs!$C$52^2-2*(Inputs!$C$52+(Inputs!$H$8))*Inputs!$C$52*COS(SQRT((Scenario_Data!V3)^2+Inputs!$C$6^2)/Inputs!$C$52)))-(Inputs!$H$8))*1000/Inputs!$C$12)</x:f>
        <x:v>-190472.55314770044</x:v>
      </x:c>
      <x:c r="M3" t="n">
        <x:f>Scenario_Data!K3-(((SQRT((Inputs!$C$52+(Inputs!$H$9))^2+Inputs!$C$52^2-2*(Inputs!$C$52+(Inputs!$H$9))*Inputs!$C$52*COS(SQRT((Scenario_Data!W3)^2+Inputs!$C$6^2)/Inputs!$C$52)))-(Inputs!$H$9))*1000/Inputs!$C$12)</x:f>
        <x:v>-194464.73837065272</x:v>
      </x:c>
      <x:c r="O3" t="n">
        <x:f>Scenario_Data!T3</x:f>
        <x:v>-59.519999999999996</x:v>
      </x:c>
      <x:c r="P3" t="n">
        <x:f>2*(Scenario_Data!B3*1000)/Inputs!$C$21*1000000</x:f>
        <x:v>2694.7726350073826</x:v>
      </x:c>
      <x:c r="Q3" t="n">
        <x:f>Scenario_Data!U3</x:f>
        <x:v>-396.8</x:v>
      </x:c>
      <x:c r="R3" t="n">
        <x:f>2*(Scenario_Data!C3*1000)/Inputs!$C$21*1000000</x:f>
        <x:v>2629.7083164113487</x:v>
      </x:c>
      <x:c r="S3" t="n">
        <x:f>Scenario_Data!V3</x:f>
        <x:v>-793.6</x:v>
      </x:c>
      <x:c r="T3" t="n">
        <x:f>2*(Scenario_Data!D3*1000)/Inputs!$C$21*1000000</x:f>
        <x:v>6568.689329736241</x:v>
      </x:c>
      <x:c r="U3" t="n">
        <x:f>Scenario_Data!W3</x:f>
        <x:v>-793.6</x:v>
      </x:c>
      <x:c r="V3" t="n">
        <x:f>2*(Scenario_Data!E3*1000)/Inputs!$C$21*1000000</x:f>
        <x:v>6567.626194252024</x:v>
      </x:c>
      <x:c r="X3" t="n">
        <x:f>Scenario_Data!T3</x:f>
        <x:v>-59.519999999999996</x:v>
      </x:c>
      <x:c r="Y3" t="n">
        <x: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x:f>
        <x:v>2694.649504247689</x:v>
      </x:c>
      <x:c r="Z3" t="n">
        <x:f>Scenario_Data!U3</x:f>
        <x:v>-396.8</x:v>
      </x:c>
      <x:c r="AA3" t="n">
        <x: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x:f>
        <x:v>2629.6394627152467</x:v>
      </x:c>
      <x:c r="AB3" t="n">
        <x:f>Scenario_Data!V3</x:f>
        <x:v>-793.6</x:v>
      </x:c>
      <x:c r="AC3" t="n">
        <x: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x:f>
        <x:v>6568.698547910094</x:v>
      </x:c>
      <x:c r="AD3" t="n">
        <x:f>Scenario_Data!W3</x:f>
        <x:v>-793.6</x:v>
      </x:c>
      <x:c r="AE3" t="n">
        <x: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x:f>
        <x:v>6567.635412425879</x:v>
      </x:c>
      <x:c r="AG3" t="n">
        <x:f>Scenario_Data!T3</x:f>
        <x:v>-59.519999999999996</x:v>
      </x:c>
      <x:c r="AH3" t="n">
        <x:f>2*(SQRT((Inputs!$C$52+(Scenario_Data!B3))^2+Inputs!$C$52^2-2*(Inputs!$C$52+(Scenario_Data!B3))*Inputs!$C$52*COS(SQRT((Scenario_Data!T3)^2+Inputs!$C$6^2)/Inputs!$C$52))*1000)/Inputs!$C$21*1000000</x:f>
        <x:v>2737.746224109234</x:v>
      </x:c>
      <x:c r="AI3" t="n">
        <x:f>Scenario_Data!U3</x:f>
        <x:v>-396.8</x:v>
      </x:c>
      <x:c r="AJ3" t="n">
        <x:f>2*(SQRT((Inputs!$C$52+(Scenario_Data!C3))^2+Inputs!$C$52^2-2*(Inputs!$C$52+(Scenario_Data!C3))*Inputs!$C$52*COS(SQRT((Scenario_Data!U3)^2+Inputs!$C$6^2)/Inputs!$C$52))*1000)/Inputs!$C$21*1000000</x:f>
        <x:v>3959.784666367032</x:v>
      </x:c>
      <x:c r="AK3" t="n">
        <x:f>Scenario_Data!V3</x:f>
        <x:v>-793.6</x:v>
      </x:c>
      <x:c r="AL3" t="n">
        <x:f>2*(SQRT((Inputs!$C$52+(Scenario_Data!D3))^2+Inputs!$C$52^2-2*(Inputs!$C$52+(Scenario_Data!D3))*Inputs!$C$52*COS(SQRT((Scenario_Data!V3)^2+Inputs!$C$6^2)/Inputs!$C$52))*1000)/Inputs!$C$21*1000000</x:f>
        <x:v>9376.948806056145</x:v>
      </x:c>
      <x:c r="AM3" t="n">
        <x:f>Scenario_Data!W3</x:f>
        <x:v>-793.6</x:v>
      </x:c>
      <x:c r="AN3" t="n">
        <x:f>2*(SQRT((Inputs!$C$52+(Scenario_Data!E3))^2+Inputs!$C$52^2-2*(Inputs!$C$52+(Scenario_Data!E3))*Inputs!$C$52*COS(SQRT((Scenario_Data!W3)^2+Inputs!$C$6^2)/Inputs!$C$52))*1000)/Inputs!$C$21*1000000</x:f>
        <x:v>9376.054593495282</x:v>
      </x:c>
      <x:c r="AP3" t="n">
        <x:f>Scenario_Data!T3</x:f>
        <x:v>-59.519999999999996</x:v>
      </x:c>
      <x:c r="AQ3" t="n">
        <x: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x:f>
        <x:v>2736.952820139559</x:v>
      </x:c>
      <x:c r="AR3" t="n">
        <x:f>Scenario_Data!U3</x:f>
        <x:v>-396.8</x:v>
      </x:c>
      <x:c r="AS3" t="n">
        <x: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x:f>
        <x:v>3959.1477374020114</x:v>
      </x:c>
      <x:c r="AT3" t="n">
        <x:f>Scenario_Data!V3</x:f>
        <x:v>-793.6</x:v>
      </x:c>
      <x:c r="AU3" t="n">
        <x: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x:f>
        <x:v>9376.680634893852</x:v>
      </x:c>
      <x:c r="AV3" t="n">
        <x:f>Scenario_Data!W3</x:f>
        <x:v>-793.6</x:v>
      </x:c>
      <x:c r="AW3" t="n">
        <x: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x:f>
        <x:v>9375.786453121236</x:v>
      </x:c>
    </x:row>
    <x:row r="4">
      <x:c r="A4" t="n">
        <x:f>Chart_Data!K4</x:f>
        <x:v>-59</x:v>
      </x:c>
      <x:c r="B4" t="n">
        <x:f>Chart_Data!N4-Chart_Data!L4</x:f>
        <x:v>-10.1755490948848</x:v>
      </x:c>
      <x:c r="D4" t="n">
        <x:f>Chart_Data!G4</x:f>
        <x:v>-59</x:v>
      </x:c>
      <x:c r="E4" t="n">
        <x:f>Chart_Data!H4</x:f>
        <x:v>112.99219424849355</x:v>
      </x:c>
      <x:c r="F4" t="n">
        <x:f>Chart_Data!I4</x:f>
        <x:v>112.99219424849355</x:v>
      </x:c>
      <x:c r="G4" t="n">
        <x:f>Chart_Data!J4</x:f>
        <x:v>7.970448353767724</x:v>
      </x:c>
      <x:c r="I4" t="n">
        <x:f>Scenario_Data!A4</x:f>
        <x:v>-0.983</x:v>
      </x:c>
      <x:c r="J4" t="n">
        <x:f>Scenario_Data!H4-(((SQRT((Inputs!$C$52+(Inputs!$H$6))^2+Inputs!$C$52^2-2*(Inputs!$C$52+(Inputs!$H$6))*Inputs!$C$52*COS(SQRT((Scenario_Data!T4)^2+Inputs!$C$6^2)/Inputs!$C$52)))-(Inputs!$H$6))*1000/Inputs!$C$12)</x:f>
        <x:v>-26.877434485224512</x:v>
      </x:c>
      <x:c r="K4" t="n">
        <x:f>Scenario_Data!I4-(((SQRT((Inputs!$C$52+(Inputs!$H$7))^2+Inputs!$C$52^2-2*(Inputs!$C$52+(Inputs!$H$7))*Inputs!$C$52*COS(SQRT((Scenario_Data!U4)^2+Inputs!$C$6^2)/Inputs!$C$52)))-(Inputs!$H$7))*1000/Inputs!$C$12)</x:f>
        <x:v>-93169.45002082347</x:v>
      </x:c>
      <x:c r="L4" t="n">
        <x:f>Scenario_Data!J4-(((SQRT((Inputs!$C$52+(Inputs!$H$8))^2+Inputs!$C$52^2-2*(Inputs!$C$52+(Inputs!$H$8))*Inputs!$C$52*COS(SQRT((Scenario_Data!V4)^2+Inputs!$C$6^2)/Inputs!$C$52)))-(Inputs!$H$8))*1000/Inputs!$C$12)</x:f>
        <x:v>-188542.34891493866</x:v>
      </x:c>
      <x:c r="M4" t="n">
        <x:f>Scenario_Data!K4-(((SQRT((Inputs!$C$52+(Inputs!$H$9))^2+Inputs!$C$52^2-2*(Inputs!$C$52+(Inputs!$H$9))*Inputs!$C$52*COS(SQRT((Scenario_Data!W4)^2+Inputs!$C$6^2)/Inputs!$C$52)))-(Inputs!$H$9))*1000/Inputs!$C$12)</x:f>
        <x:v>-192528.7589427015</x:v>
      </x:c>
      <x:c r="O4" t="n">
        <x:f>Scenario_Data!T4</x:f>
        <x:v>-58.98</x:v>
      </x:c>
      <x:c r="P4" t="n">
        <x:f>2*(Scenario_Data!B4*1000)/Inputs!$C$21*1000000</x:f>
        <x:v>2694.2983068640106</x:v>
      </x:c>
      <x:c r="Q4" t="n">
        <x:f>Scenario_Data!U4</x:f>
        <x:v>-393.2</x:v>
      </x:c>
      <x:c r="R4" t="n">
        <x:f>2*(Scenario_Data!C4*1000)/Inputs!$C$21*1000000</x:f>
        <x:v>2586.4258733286742</x:v>
      </x:c>
      <x:c r="S4" t="n">
        <x:f>Scenario_Data!V4</x:f>
        <x:v>-786.4</x:v>
      </x:c>
      <x:c r="T4" t="n">
        <x:f>2*(Scenario_Data!D4*1000)/Inputs!$C$21*1000000</x:f>
        <x:v>6454.2576651478</x:v>
      </x:c>
      <x:c r="U4" t="n">
        <x:f>Scenario_Data!W4</x:f>
        <x:v>-786.4</x:v>
      </x:c>
      <x:c r="V4" t="n">
        <x:f>2*(Scenario_Data!E4*1000)/Inputs!$C$21*1000000</x:f>
        <x:v>6452.008709305155</x:v>
      </x:c>
      <x:c r="X4" t="n">
        <x:f>Scenario_Data!T4</x:f>
        <x:v>-58.98</x:v>
      </x:c>
      <x:c r="Y4" t="n">
        <x: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x:f>
        <x:v>2694.1888252313724</x:v>
      </x:c>
      <x:c r="Z4" t="n">
        <x:f>Scenario_Data!U4</x:f>
        <x:v>-393.2</x:v>
      </x:c>
      <x:c r="AA4" t="n">
        <x: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x:f>
        <x:v>2585.9914136189823</x:v>
      </x:c>
      <x:c r="AB4" t="n">
        <x:f>Scenario_Data!V4</x:f>
        <x:v>-786.4</x:v>
      </x:c>
      <x:c r="AC4" t="n">
        <x: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x:f>
        <x:v>6453.945176408153</x:v>
      </x:c>
      <x:c r="AD4" t="n">
        <x:f>Scenario_Data!W4</x:f>
        <x:v>-786.4</x:v>
      </x:c>
      <x:c r="AE4" t="n">
        <x: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x:f>
        <x:v>6451.696220565506</x:v>
      </x:c>
      <x:c r="AG4" t="n">
        <x:f>Scenario_Data!T4</x:f>
        <x:v>-58.98</x:v>
      </x:c>
      <x:c r="AH4" t="n">
        <x:f>2*(SQRT((Inputs!$C$52+(Scenario_Data!B4))^2+Inputs!$C$52^2-2*(Inputs!$C$52+(Scenario_Data!B4))*Inputs!$C$52*COS(SQRT((Scenario_Data!T4)^2+Inputs!$C$6^2)/Inputs!$C$52))*1000)/Inputs!$C$21*1000000</x:f>
        <x:v>2736.623084633149</x:v>
      </x:c>
      <x:c r="AI4" t="n">
        <x:f>Scenario_Data!U4</x:f>
        <x:v>-393.2</x:v>
      </x:c>
      <x:c r="AJ4" t="n">
        <x:f>2*(SQRT((Inputs!$C$52+(Scenario_Data!C4))^2+Inputs!$C$52^2-2*(Inputs!$C$52+(Scenario_Data!C4))*Inputs!$C$52*COS(SQRT((Scenario_Data!U4)^2+Inputs!$C$6^2)/Inputs!$C$52))*1000)/Inputs!$C$21*1000000</x:f>
        <x:v>3907.520143552331</x:v>
      </x:c>
      <x:c r="AK4" t="n">
        <x:f>Scenario_Data!V4</x:f>
        <x:v>-786.4</x:v>
      </x:c>
      <x:c r="AL4" t="n">
        <x:f>2*(SQRT((Inputs!$C$52+(Scenario_Data!D4))^2+Inputs!$C$52^2-2*(Inputs!$C$52+(Scenario_Data!D4))*Inputs!$C$52*COS(SQRT((Scenario_Data!V4)^2+Inputs!$C$6^2)/Inputs!$C$52))*1000)/Inputs!$C$21*1000000</x:f>
        <x:v>9238.487402839646</x:v>
      </x:c>
      <x:c r="AM4" t="n">
        <x:f>Scenario_Data!W4</x:f>
        <x:v>-786.4</x:v>
      </x:c>
      <x:c r="AN4" t="n">
        <x:f>2*(SQRT((Inputs!$C$52+(Scenario_Data!E4))^2+Inputs!$C$52^2-2*(Inputs!$C$52+(Scenario_Data!E4))*Inputs!$C$52*COS(SQRT((Scenario_Data!W4)^2+Inputs!$C$6^2)/Inputs!$C$52))*1000)/Inputs!$C$21*1000000</x:f>
        <x:v>9236.601004281432</x:v>
      </x:c>
      <x:c r="AP4" t="n">
        <x:f>Scenario_Data!T4</x:f>
        <x:v>-58.98</x:v>
      </x:c>
      <x:c r="AQ4" t="n">
        <x: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x:f>
        <x:v>2735.869392882246</x:v>
      </x:c>
      <x:c r="AR4" t="n">
        <x:f>Scenario_Data!U4</x:f>
        <x:v>-393.2</x:v>
      </x:c>
      <x:c r="AS4" t="n">
        <x: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x:f>
        <x:v>3906.689980315416</x:v>
      </x:c>
      <x:c r="AT4" t="n">
        <x:f>Scenario_Data!V4</x:f>
        <x:v>-786.4</x:v>
      </x:c>
      <x:c r="AU4" t="n">
        <x: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x:f>
        <x:v>9237.866936575247</x:v>
      </x:c>
      <x:c r="AV4" t="n">
        <x:f>Scenario_Data!W4</x:f>
        <x:v>-786.4</x:v>
      </x:c>
      <x:c r="AW4" t="n">
        <x: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x:f>
        <x:v>9235.980691879404</x:v>
      </x:c>
    </x:row>
    <x:row r="5">
      <x:c r="A5" t="n">
        <x:f>Chart_Data!K5</x:f>
        <x:v>-58.5</x:v>
      </x:c>
      <x:c r="B5" t="n">
        <x:f>Chart_Data!N5-Chart_Data!L5</x:f>
        <x:v>-24.33397914678592</x:v>
      </x:c>
      <x:c r="D5" t="n">
        <x:f>Chart_Data!G5</x:f>
        <x:v>-58.5</x:v>
      </x:c>
      <x:c r="E5" t="n">
        <x:f>Chart_Data!H5</x:f>
        <x:v>134.3858310571132</x:v>
      </x:c>
      <x:c r="F5" t="n">
        <x:f>Chart_Data!I5</x:f>
        <x:v>134.3858310571132</x:v>
      </x:c>
      <x:c r="G5" t="n">
        <x:f>Chart_Data!J5</x:f>
        <x:v>21.747313566550197</x:v>
      </x:c>
      <x:c r="I5" t="n">
        <x:f>Scenario_Data!A5</x:f>
        <x:v>-0.975</x:v>
      </x:c>
      <x:c r="J5" t="n">
        <x:f>Scenario_Data!H5-(((SQRT((Inputs!$C$52+(Inputs!$H$6))^2+Inputs!$C$52^2-2*(Inputs!$C$52+(Inputs!$H$6))*Inputs!$C$52*COS(SQRT((Scenario_Data!T5)^2+Inputs!$C$6^2)/Inputs!$C$52)))-(Inputs!$H$6))*1000/Inputs!$C$12)</x:f>
        <x:v>-26.091469511469313</x:v>
      </x:c>
      <x:c r="K5" t="n">
        <x:f>Scenario_Data!I5-(((SQRT((Inputs!$C$52+(Inputs!$H$7))^2+Inputs!$C$52^2-2*(Inputs!$C$52+(Inputs!$H$7))*Inputs!$C$52*COS(SQRT((Scenario_Data!U5)^2+Inputs!$C$6^2)/Inputs!$C$52)))-(Inputs!$H$7))*1000/Inputs!$C$12)</x:f>
        <x:v>-92049.59969520803</x:v>
      </x:c>
      <x:c r="L5" t="n">
        <x:f>Scenario_Data!J5-(((SQRT((Inputs!$C$52+(Inputs!$H$8))^2+Inputs!$C$52^2-2*(Inputs!$C$52+(Inputs!$H$8))*Inputs!$C$52*COS(SQRT((Scenario_Data!V5)^2+Inputs!$C$6^2)/Inputs!$C$52)))-(Inputs!$H$8))*1000/Inputs!$C$12)</x:f>
        <x:v>-186817.33873453335</x:v>
      </x:c>
      <x:c r="M5" t="n">
        <x:f>Scenario_Data!K5-(((SQRT((Inputs!$C$52+(Inputs!$H$9))^2+Inputs!$C$52^2-2*(Inputs!$C$52+(Inputs!$H$9))*Inputs!$C$52*COS(SQRT((Scenario_Data!W5)^2+Inputs!$C$6^2)/Inputs!$C$52)))-(Inputs!$H$9))*1000/Inputs!$C$12)</x:f>
        <x:v>-190798.31818207764</x:v>
      </x:c>
      <x:c r="O5" t="n">
        <x:f>Scenario_Data!T5</x:f>
        <x:v>-58.5</x:v>
      </x:c>
      <x:c r="P5" t="n">
        <x:f>2*(Scenario_Data!B5*1000)/Inputs!$C$21*1000000</x:f>
        <x:v>2693.8803110250356</x:v>
      </x:c>
      <x:c r="Q5" t="n">
        <x:f>Scenario_Data!U5</x:f>
        <x:v>-390</x:v>
      </x:c>
      <x:c r="R5" t="n">
        <x:f>2*(Scenario_Data!C5*1000)/Inputs!$C$21*1000000</x:f>
        <x:v>2548.2837530222323</x:v>
      </x:c>
      <x:c r="S5" t="n">
        <x:f>Scenario_Data!V5</x:f>
        <x:v>-780</x:v>
      </x:c>
      <x:c r="T5" t="n">
        <x:f>2*(Scenario_Data!D5*1000)/Inputs!$C$21*1000000</x:f>
        <x:v>6353.416168995152</x:v>
      </x:c>
      <x:c r="U5" t="n">
        <x:f>Scenario_Data!W5</x:f>
        <x:v>-780</x:v>
      </x:c>
      <x:c r="V5" t="n">
        <x:f>2*(Scenario_Data!E5*1000)/Inputs!$C$21*1000000</x:f>
        <x:v>6350.12222355507</x:v>
      </x:c>
      <x:c r="X5" t="n">
        <x:f>Scenario_Data!T5</x:f>
        <x:v>-58.5</x:v>
      </x:c>
      <x:c r="Y5" t="n">
        <x: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x:f>
        <x:v>2693.7352285655793</x:v>
      </x:c>
      <x:c r="Z5" t="n">
        <x:f>Scenario_Data!U5</x:f>
        <x:v>-390</x:v>
      </x:c>
      <x:c r="AA5" t="n">
        <x: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x:f>
        <x:v>2547.8333970113854</x:v>
      </x:c>
      <x:c r="AB5" t="n">
        <x:f>Scenario_Data!V5</x:f>
        <x:v>-780</x:v>
      </x:c>
      <x:c r="AC5" t="n">
        <x: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x:f>
        <x:v>6353.461154685279</x:v>
      </x:c>
      <x:c r="AD5" t="n">
        <x:f>Scenario_Data!W5</x:f>
        <x:v>-780</x:v>
      </x:c>
      <x:c r="AE5" t="n">
        <x: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x:f>
        <x:v>6350.167209245198</x:v>
      </x:c>
      <x:c r="AG5" t="n">
        <x:f>Scenario_Data!T5</x:f>
        <x:v>-58.5</x:v>
      </x:c>
      <x:c r="AH5" t="n">
        <x:f>2*(SQRT((Inputs!$C$52+(Scenario_Data!B5))^2+Inputs!$C$52^2-2*(Inputs!$C$52+(Scenario_Data!B5))*Inputs!$C$52*COS(SQRT((Scenario_Data!T5)^2+Inputs!$C$6^2)/Inputs!$C$52))*1000)/Inputs!$C$21*1000000</x:f>
        <x:v>2735.6330546630293</x:v>
      </x:c>
      <x:c r="AI5" t="n">
        <x:f>Scenario_Data!U5</x:f>
        <x:v>-390</x:v>
      </x:c>
      <x:c r="AJ5" t="n">
        <x:f>2*(SQRT((Inputs!$C$52+(Scenario_Data!C5))^2+Inputs!$C$52^2-2*(Inputs!$C$52+(Scenario_Data!C5))*Inputs!$C$52*COS(SQRT((Scenario_Data!U5)^2+Inputs!$C$6^2)/Inputs!$C$52))*1000)/Inputs!$C$21*1000000</x:f>
        <x:v>3861.3869170271155</x:v>
      </x:c>
      <x:c r="AK5" t="n">
        <x:f>Scenario_Data!V5</x:f>
        <x:v>-780</x:v>
      </x:c>
      <x:c r="AL5" t="n">
        <x:f>2*(SQRT((Inputs!$C$52+(Scenario_Data!D5))^2+Inputs!$C$52^2-2*(Inputs!$C$52+(Scenario_Data!D5))*Inputs!$C$52*COS(SQRT((Scenario_Data!V5)^2+Inputs!$C$6^2)/Inputs!$C$52))*1000)/Inputs!$C$21*1000000</x:f>
        <x:v>9116.373900783714</x:v>
      </x:c>
      <x:c r="AM5" t="n">
        <x:f>Scenario_Data!W5</x:f>
        <x:v>-780</x:v>
      </x:c>
      <x:c r="AN5" t="n">
        <x:f>2*(SQRT((Inputs!$C$52+(Scenario_Data!E5))^2+Inputs!$C$52^2-2*(Inputs!$C$52+(Scenario_Data!E5))*Inputs!$C$52*COS(SQRT((Scenario_Data!W5)^2+Inputs!$C$6^2)/Inputs!$C$52))*1000)/Inputs!$C$21*1000000</x:f>
        <x:v>9113.617881954191</x:v>
      </x:c>
      <x:c r="AP5" t="n">
        <x:f>Scenario_Data!T5</x:f>
        <x:v>-58.5</x:v>
      </x:c>
      <x:c r="AQ5" t="n">
        <x: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x:f>
        <x:v>2734.7537852754253</x:v>
      </x:c>
      <x:c r="AR5" t="n">
        <x:f>Scenario_Data!U5</x:f>
        <x:v>-390</x:v>
      </x:c>
      <x:c r="AS5" t="n">
        <x: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x:f>
        <x:v>3860.6694546054136</x:v>
      </x:c>
      <x:c r="AT5" t="n">
        <x:f>Scenario_Data!V5</x:f>
        <x:v>-780</x:v>
      </x:c>
      <x:c r="AU5" t="n">
        <x: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x:f>
        <x:v>9116.215434885857</x:v>
      </x:c>
      <x:c r="AV5" t="n">
        <x:f>Scenario_Data!W5</x:f>
        <x:v>-780</x:v>
      </x:c>
      <x:c r="AW5" t="n">
        <x: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x:f>
        <x:v>9113.459474677602</x:v>
      </x:c>
    </x:row>
    <x:row r="6">
      <x:c r="A6" t="n">
        <x:f>Chart_Data!K6</x:f>
        <x:v>-58</x:v>
      </x:c>
      <x:c r="B6" t="n">
        <x:f>Chart_Data!N6-Chart_Data!L6</x:f>
        <x:v>-34.145943095855884</x:v>
      </x:c>
      <x:c r="D6" t="n">
        <x:f>Chart_Data!G6</x:f>
        <x:v>-58</x:v>
      </x:c>
      <x:c r="E6" t="n">
        <x:f>Chart_Data!H6</x:f>
        <x:v>120.06952906780961</x:v>
      </x:c>
      <x:c r="F6" t="n">
        <x:f>Chart_Data!I6</x:f>
        <x:v>120.06952906780961</x:v>
      </x:c>
      <x:c r="G6" t="n">
        <x:f>Chart_Data!J6</x:f>
        <x:v>31.86691354901535</x:v>
      </x:c>
      <x:c r="I6" t="n">
        <x:f>Scenario_Data!A6</x:f>
        <x:v>-0.967</x:v>
      </x:c>
      <x:c r="J6" t="n">
        <x:f>Scenario_Data!H6-(((SQRT((Inputs!$C$52+(Inputs!$H$6))^2+Inputs!$C$52^2-2*(Inputs!$C$52+(Inputs!$H$6))*Inputs!$C$52*COS(SQRT((Scenario_Data!T6)^2+Inputs!$C$6^2)/Inputs!$C$52)))-(Inputs!$H$6))*1000/Inputs!$C$12)</x:f>
        <x:v>-25.322987391846254</x:v>
      </x:c>
      <x:c r="K6" t="n">
        <x:f>Scenario_Data!I6-(((SQRT((Inputs!$C$52+(Inputs!$H$7))^2+Inputs!$C$52^2-2*(Inputs!$C$52+(Inputs!$H$7))*Inputs!$C$52*COS(SQRT((Scenario_Data!U6)^2+Inputs!$C$6^2)/Inputs!$C$52)))-(Inputs!$H$7))*1000/Inputs!$C$12)</x:f>
        <x:v>-90930.31855627525</x:v>
      </x:c>
      <x:c r="L6" t="n">
        <x:f>Scenario_Data!J6-(((SQRT((Inputs!$C$52+(Inputs!$H$8))^2+Inputs!$C$52^2-2*(Inputs!$C$52+(Inputs!$H$8))*Inputs!$C$52*COS(SQRT((Scenario_Data!V6)^2+Inputs!$C$6^2)/Inputs!$C$52)))-(Inputs!$H$8))*1000/Inputs!$C$12)</x:f>
        <x:v>-185083.7019914568</x:v>
      </x:c>
      <x:c r="M6" t="n">
        <x:f>Scenario_Data!K6-(((SQRT((Inputs!$C$52+(Inputs!$H$9))^2+Inputs!$C$52^2-2*(Inputs!$C$52+(Inputs!$H$9))*Inputs!$C$52*COS(SQRT((Scenario_Data!W6)^2+Inputs!$C$6^2)/Inputs!$C$52)))-(Inputs!$H$9))*1000/Inputs!$C$12)</x:f>
        <x:v>-189058.96620570074</x:v>
      </x:c>
      <x:c r="O6" t="n">
        <x:f>Scenario_Data!T6</x:f>
        <x:v>-58.019999999999996</x:v>
      </x:c>
      <x:c r="P6" t="n">
        <x:f>2*(Scenario_Data!B6*1000)/Inputs!$C$21*1000000</x:f>
        <x:v>2693.465730882396</x:v>
      </x:c>
      <x:c r="Q6" t="n">
        <x:f>Scenario_Data!U6</x:f>
        <x:v>-386.8</x:v>
      </x:c>
      <x:c r="R6" t="n">
        <x:f>2*(Scenario_Data!C6*1000)/Inputs!$C$21*1000000</x:f>
        <x:v>2510.4533150063435</x:v>
      </x:c>
      <x:c r="S6" t="n">
        <x:f>Scenario_Data!V6</x:f>
        <x:v>-773.6</x:v>
      </x:c>
      <x:c r="T6" t="n">
        <x:f>2*(Scenario_Data!D6*1000)/Inputs!$C$21*1000000</x:f>
        <x:v>6253.398709583282</x:v>
      </x:c>
      <x:c r="U6" t="n">
        <x:f>Scenario_Data!W6</x:f>
        <x:v>-773.6</x:v>
      </x:c>
      <x:c r="V6" t="n">
        <x:f>2*(Scenario_Data!E6*1000)/Inputs!$C$21*1000000</x:f>
        <x:v>6249.068313786602</x:v>
      </x:c>
      <x:c r="X6" t="n">
        <x:f>Scenario_Data!T6</x:f>
        <x:v>-58.019999999999996</x:v>
      </x:c>
      <x:c r="Y6" t="n">
        <x: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x:f>
        <x:v>2693.215329991879</x:v>
      </x:c>
      <x:c r="Z6" t="n">
        <x:f>Scenario_Data!U6</x:f>
        <x:v>-386.8</x:v>
      </x:c>
      <x:c r="AA6" t="n">
        <x: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x:f>
        <x:v>2510.4039491819062</x:v>
      </x:c>
      <x:c r="AB6" t="n">
        <x:f>Scenario_Data!V6</x:f>
        <x:v>-773.6</x:v>
      </x:c>
      <x:c r="AC6" t="n">
        <x: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x:f>
        <x:v>6253.070767176094</x:v>
      </x:c>
      <x:c r="AD6" t="n">
        <x:f>Scenario_Data!W6</x:f>
        <x:v>-773.6</x:v>
      </x:c>
      <x:c r="AE6" t="n">
        <x: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x:f>
        <x:v>6248.740371379414</x:v>
      </x:c>
      <x:c r="AG6" t="n">
        <x:f>Scenario_Data!T6</x:f>
        <x:v>-58.019999999999996</x:v>
      </x:c>
      <x:c r="AH6" t="n">
        <x:f>2*(SQRT((Inputs!$C$52+(Scenario_Data!B6))^2+Inputs!$C$52^2-2*(Inputs!$C$52+(Scenario_Data!B6))*Inputs!$C$52*COS(SQRT((Scenario_Data!T6)^2+Inputs!$C$6^2)/Inputs!$C$52))*1000)/Inputs!$C$21*1000000</x:f>
        <x:v>2734.650858075406</x:v>
      </x:c>
      <x:c r="AI6" t="n">
        <x:f>Scenario_Data!U6</x:f>
        <x:v>-386.8</x:v>
      </x:c>
      <x:c r="AJ6" t="n">
        <x:f>2*(SQRT((Inputs!$C$52+(Scenario_Data!C6))^2+Inputs!$C$52^2-2*(Inputs!$C$52+(Scenario_Data!C6))*Inputs!$C$52*COS(SQRT((Scenario_Data!U6)^2+Inputs!$C$6^2)/Inputs!$C$52))*1000)/Inputs!$C$21*1000000</x:f>
        <x:v>3815.557941887678</x:v>
      </x:c>
      <x:c r="AK6" t="n">
        <x:f>Scenario_Data!V6</x:f>
        <x:v>-773.6</x:v>
      </x:c>
      <x:c r="AL6" t="n">
        <x:f>2*(SQRT((Inputs!$C$52+(Scenario_Data!D6))^2+Inputs!$C$52^2-2*(Inputs!$C$52+(Scenario_Data!D6))*Inputs!$C$52*COS(SQRT((Scenario_Data!V6)^2+Inputs!$C$6^2)/Inputs!$C$52))*1000)/Inputs!$C$21*1000000</x:f>
        <x:v>8995.166044528318</x:v>
      </x:c>
      <x:c r="AM6" t="n">
        <x:f>Scenario_Data!W6</x:f>
        <x:v>-773.6</x:v>
      </x:c>
      <x:c r="AN6" t="n">
        <x:f>2*(SQRT((Inputs!$C$52+(Scenario_Data!E6))^2+Inputs!$C$52^2-2*(Inputs!$C$52+(Scenario_Data!E6))*Inputs!$C$52*COS(SQRT((Scenario_Data!W6)^2+Inputs!$C$6^2)/Inputs!$C$52))*1000)/Inputs!$C$21*1000000</x:f>
        <x:v>8991.55205433549</x:v>
      </x:c>
      <x:c r="AP6" t="n">
        <x:f>Scenario_Data!T6</x:f>
        <x:v>-58.019999999999996</x:v>
      </x:c>
      <x:c r="AQ6" t="n">
        <x: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x:f>
        <x:v>2733.8712853195143</x:v>
      </x:c>
      <x:c r="AR6" t="n">
        <x:f>Scenario_Data!U6</x:f>
        <x:v>-386.8</x:v>
      </x:c>
      <x:c r="AS6" t="n">
        <x: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x:f>
        <x:v>3815.077300022674</x:v>
      </x:c>
      <x:c r="AT6" t="n">
        <x:f>Scenario_Data!V6</x:f>
        <x:v>-773.6</x:v>
      </x:c>
      <x:c r="AU6" t="n">
        <x: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x:f>
        <x:v>8994.69701979891</x:v>
      </x:c>
      <x:c r="AV6" t="n">
        <x:f>Scenario_Data!W6</x:f>
        <x:v>-773.6</x:v>
      </x:c>
      <x:c r="AW6" t="n">
        <x: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x:f>
        <x:v>8991.083262053256</x:v>
      </x:c>
    </x:row>
    <x:row r="7">
      <x:c r="A7" t="n">
        <x:f>Chart_Data!K7</x:f>
        <x:v>-57.5</x:v>
      </x:c>
      <x:c r="B7" t="n">
        <x:f>Chart_Data!N7-Chart_Data!L7</x:f>
        <x:v>-37.18620756396368</x:v>
      </x:c>
      <x:c r="D7" t="n">
        <x:f>Chart_Data!G7</x:f>
        <x:v>-57.5</x:v>
      </x:c>
      <x:c r="E7" t="n">
        <x:f>Chart_Data!H7</x:f>
        <x:v>138.90151425445745</x:v>
      </x:c>
      <x:c r="F7" t="n">
        <x:f>Chart_Data!I7</x:f>
        <x:v>138.90151425445745</x:v>
      </x:c>
      <x:c r="G7" t="n">
        <x:f>Chart_Data!J7</x:f>
        <x:v>34.58634748797326</x:v>
      </x:c>
      <x:c r="I7" t="n">
        <x:f>Scenario_Data!A7</x:f>
        <x:v>-0.958</x:v>
      </x:c>
      <x:c r="J7" t="n">
        <x:f>Scenario_Data!H7-(((SQRT((Inputs!$C$52+(Inputs!$H$6))^2+Inputs!$C$52^2-2*(Inputs!$C$52+(Inputs!$H$6))*Inputs!$C$52*COS(SQRT((Scenario_Data!T7)^2+Inputs!$C$6^2)/Inputs!$C$52)))-(Inputs!$H$6))*1000/Inputs!$C$12)</x:f>
        <x:v>-24.47902381513677</x:v>
      </x:c>
      <x:c r="K7" t="n">
        <x:f>Scenario_Data!I7-(((SQRT((Inputs!$C$52+(Inputs!$H$7))^2+Inputs!$C$52^2-2*(Inputs!$C$52+(Inputs!$H$7))*Inputs!$C$52*COS(SQRT((Scenario_Data!U7)^2+Inputs!$C$6^2)/Inputs!$C$52)))-(Inputs!$H$7))*1000/Inputs!$C$12)</x:f>
        <x:v>-89671.89852079703</x:v>
      </x:c>
      <x:c r="L7" t="n">
        <x:f>Scenario_Data!J7-(((SQRT((Inputs!$C$52+(Inputs!$H$8))^2+Inputs!$C$52^2-2*(Inputs!$C$52+(Inputs!$H$8))*Inputs!$C$52*COS(SQRT((Scenario_Data!V7)^2+Inputs!$C$6^2)/Inputs!$C$52)))-(Inputs!$H$8))*1000/Inputs!$C$12)</x:f>
        <x:v>-183123.17397563407</x:v>
      </x:c>
      <x:c r="M7" t="n">
        <x:f>Scenario_Data!K7-(((SQRT((Inputs!$C$52+(Inputs!$H$9))^2+Inputs!$C$52^2-2*(Inputs!$C$52+(Inputs!$H$9))*Inputs!$C$52*COS(SQRT((Scenario_Data!W7)^2+Inputs!$C$6^2)/Inputs!$C$52)))-(Inputs!$H$9))*1000/Inputs!$C$12)</x:f>
        <x:v>-187091.66215917454</x:v>
      </x:c>
      <x:c r="O7" t="n">
        <x:f>Scenario_Data!T7</x:f>
        <x:v>-57.48</x:v>
      </x:c>
      <x:c r="P7" t="n">
        <x:f>2*(Scenario_Data!B7*1000)/Inputs!$C$21*1000000</x:f>
        <x:v>2693.0034110464517</x:v>
      </x:c>
      <x:c r="Q7" t="n">
        <x:f>Scenario_Data!U7</x:f>
        <x:v>-383.2</x:v>
      </x:c>
      <x:c r="R7" t="n">
        <x:f>2*(Scenario_Data!C7*1000)/Inputs!$C$21*1000000</x:f>
        <x:v>2468.266629976395</x:v>
      </x:c>
      <x:c r="S7" t="n">
        <x:f>Scenario_Data!V7</x:f>
        <x:v>-766.4</x:v>
      </x:c>
      <x:c r="T7" t="n">
        <x:f>2*(Scenario_Data!D7*1000)/Inputs!$C$21*1000000</x:f>
        <x:v>6141.864049161637</x:v>
      </x:c>
      <x:c r="U7" t="n">
        <x:f>Scenario_Data!W7</x:f>
        <x:v>-766.4</x:v>
      </x:c>
      <x:c r="V7" t="n">
        <x:f>2*(Scenario_Data!E7*1000)/Inputs!$C$21*1000000</x:f>
        <x:v>6136.377853775093</x:v>
      </x:c>
      <x:c r="X7" t="n">
        <x:f>Scenario_Data!T7</x:f>
        <x:v>-57.48</x:v>
      </x:c>
      <x:c r="Y7" t="n">
        <x: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x:f>
        <x:v>2692.827045062799</x:v>
      </x:c>
      <x:c r="Z7" t="n">
        <x:f>Scenario_Data!U7</x:f>
        <x:v>-383.2</x:v>
      </x:c>
      <x:c r="AA7" t="n">
        <x: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x:f>
        <x:v>2468.416414407845</x:v>
      </x:c>
      <x:c r="AB7" t="n">
        <x:f>Scenario_Data!V7</x:f>
        <x:v>-766.4</x:v>
      </x:c>
      <x:c r="AC7" t="n">
        <x: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x:f>
        <x:v>6141.373980598753</x:v>
      </x:c>
      <x:c r="AD7" t="n">
        <x:f>Scenario_Data!W7</x:f>
        <x:v>-766.4</x:v>
      </x:c>
      <x:c r="AE7" t="n">
        <x: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x:f>
        <x:v>6135.887785212209</x:v>
      </x:c>
      <x:c r="AG7" t="n">
        <x:f>Scenario_Data!T7</x:f>
        <x:v>-57.48</x:v>
      </x:c>
      <x:c r="AH7" t="n">
        <x:f>2*(SQRT((Inputs!$C$52+(Scenario_Data!B7))^2+Inputs!$C$52^2-2*(Inputs!$C$52+(Scenario_Data!B7))*Inputs!$C$52*COS(SQRT((Scenario_Data!T7)^2+Inputs!$C$6^2)/Inputs!$C$52))*1000)/Inputs!$C$21*1000000</x:f>
        <x:v>2733.555257783269</x:v>
      </x:c>
      <x:c r="AI7" t="n">
        <x:f>Scenario_Data!U7</x:f>
        <x:v>-383.2</x:v>
      </x:c>
      <x:c r="AJ7" t="n">
        <x:f>2*(SQRT((Inputs!$C$52+(Scenario_Data!C7))^2+Inputs!$C$52^2-2*(Inputs!$C$52+(Scenario_Data!C7))*Inputs!$C$52*COS(SQRT((Scenario_Data!U7)^2+Inputs!$C$6^2)/Inputs!$C$52))*1000)/Inputs!$C$21*1000000</x:f>
        <x:v>3764.3630333251954</x:v>
      </x:c>
      <x:c r="AK7" t="n">
        <x:f>Scenario_Data!V7</x:f>
        <x:v>-766.4</x:v>
      </x:c>
      <x:c r="AL7" t="n">
        <x:f>2*(SQRT((Inputs!$C$52+(Scenario_Data!D7))^2+Inputs!$C$52^2-2*(Inputs!$C$52+(Scenario_Data!D7))*Inputs!$C$52*COS(SQRT((Scenario_Data!V7)^2+Inputs!$C$6^2)/Inputs!$C$52))*1000)/Inputs!$C$21*1000000</x:f>
        <x:v>8859.888506354831</x:v>
      </x:c>
      <x:c r="AM7" t="n">
        <x:f>Scenario_Data!W7</x:f>
        <x:v>-766.4</x:v>
      </x:c>
      <x:c r="AN7" t="n">
        <x:f>2*(SQRT((Inputs!$C$52+(Scenario_Data!E7))^2+Inputs!$C$52^2-2*(Inputs!$C$52+(Scenario_Data!E7))*Inputs!$C$52*COS(SQRT((Scenario_Data!W7)^2+Inputs!$C$6^2)/Inputs!$C$52))*1000)/Inputs!$C$21*1000000</x:f>
        <x:v>8855.323284209488</x:v>
      </x:c>
      <x:c r="AP7" t="n">
        <x:f>Scenario_Data!T7</x:f>
        <x:v>-57.48</x:v>
      </x:c>
      <x:c r="AQ7" t="n">
        <x: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x:f>
        <x:v>2732.687149406082</x:v>
      </x:c>
      <x:c r="AR7" t="n">
        <x:f>Scenario_Data!U7</x:f>
        <x:v>-383.2</x:v>
      </x:c>
      <x:c r="AS7" t="n">
        <x: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x:f>
        <x:v>3764.015425077756</x:v>
      </x:c>
      <x:c r="AT7" t="n">
        <x:f>Scenario_Data!V7</x:f>
        <x:v>-766.4</x:v>
      </x:c>
      <x:c r="AU7" t="n">
        <x: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x:f>
        <x:v>8859.340160987978</x:v>
      </x:c>
      <x:c r="AV7" t="n">
        <x:f>Scenario_Data!W7</x:f>
        <x:v>-766.4</x:v>
      </x:c>
      <x:c r="AW7" t="n">
        <x: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x:f>
        <x:v>8854.775290553753</x:v>
      </x:c>
    </x:row>
    <x:row r="8">
      <x:c r="A8" t="n">
        <x:f>Chart_Data!K8</x:f>
        <x:v>-57</x:v>
      </x:c>
      <x:c r="B8" t="n">
        <x:f>Chart_Data!N8-Chart_Data!L8</x:f>
        <x:v>-57.97778339698746</x:v>
      </x:c>
      <x:c r="D8" t="n">
        <x:f>Chart_Data!G8</x:f>
        <x:v>-57</x:v>
      </x:c>
      <x:c r="E8" t="n">
        <x:f>Chart_Data!H8</x:f>
        <x:v>137.46604725484156</x:v>
      </x:c>
      <x:c r="F8" t="n">
        <x:f>Chart_Data!I8</x:f>
        <x:v>137.46604725484156</x:v>
      </x:c>
      <x:c r="G8" t="n">
        <x:f>Chart_Data!J8</x:f>
        <x:v>55.44088303799376</x:v>
      </x:c>
      <x:c r="I8" t="n">
        <x:f>Scenario_Data!A8</x:f>
        <x:v>-0.95</x:v>
      </x:c>
      <x:c r="J8" t="n">
        <x:f>Scenario_Data!H8-(((SQRT((Inputs!$C$52+(Inputs!$H$6))^2+Inputs!$C$52^2-2*(Inputs!$C$52+(Inputs!$H$6))*Inputs!$C$52*COS(SQRT((Scenario_Data!T8)^2+Inputs!$C$6^2)/Inputs!$C$52)))-(Inputs!$H$6))*1000/Inputs!$C$12)</x:f>
        <x:v>-23.746844660086936</x:v>
      </x:c>
      <x:c r="K8" t="n">
        <x:f>Scenario_Data!I8-(((SQRT((Inputs!$C$52+(Inputs!$H$7))^2+Inputs!$C$52^2-2*(Inputs!$C$52+(Inputs!$H$7))*Inputs!$C$52*COS(SQRT((Scenario_Data!U8)^2+Inputs!$C$6^2)/Inputs!$C$52)))-(Inputs!$H$7))*1000/Inputs!$C$12)</x:f>
        <x:v>-88554.07088364325</x:v>
      </x:c>
      <x:c r="L8" t="n">
        <x:f>Scenario_Data!J8-(((SQRT((Inputs!$C$52+(Inputs!$H$8))^2+Inputs!$C$52^2-2*(Inputs!$C$52+(Inputs!$H$8))*Inputs!$C$52*COS(SQRT((Scenario_Data!V8)^2+Inputs!$C$6^2)/Inputs!$C$52)))-(Inputs!$H$8))*1000/Inputs!$C$12)</x:f>
        <x:v>-181371.54200338566</x:v>
      </x:c>
      <x:c r="M8" t="n">
        <x:f>Scenario_Data!K8-(((SQRT((Inputs!$C$52+(Inputs!$H$9))^2+Inputs!$C$52^2-2*(Inputs!$C$52+(Inputs!$H$9))*Inputs!$C$52*COS(SQRT((Scenario_Data!W8)^2+Inputs!$C$6^2)/Inputs!$C$52)))-(Inputs!$H$9))*1000/Inputs!$C$12)</x:f>
        <x:v>-185333.69359371395</x:v>
      </x:c>
      <x:c r="O8" t="n">
        <x:f>Scenario_Data!T8</x:f>
        <x:v>-57</x:v>
      </x:c>
      <x:c r="P8" t="n">
        <x:f>2*(Scenario_Data!B8*1000)/Inputs!$C$21*1000000</x:f>
        <x:v>2692.596089258523</x:v>
      </x:c>
      <x:c r="Q8" t="n">
        <x:f>Scenario_Data!U8</x:f>
        <x:v>-380</x:v>
      </x:c>
      <x:c r="R8" t="n">
        <x:f>2*(Scenario_Data!C8*1000)/Inputs!$C$21*1000000</x:f>
        <x:v>2431.0985168279312</x:v>
      </x:c>
      <x:c r="S8" t="n">
        <x:f>Scenario_Data!V8</x:f>
        <x:v>-760</x:v>
      </x:c>
      <x:c r="T8" t="n">
        <x:f>2*(Scenario_Data!D8*1000)/Inputs!$C$21*1000000</x:f>
        <x:v>6043.597667823918</x:v>
      </x:c>
      <x:c r="U8" t="n">
        <x:f>Scenario_Data!W8</x:f>
        <x:v>-760</x:v>
      </x:c>
      <x:c r="V8" t="n">
        <x:f>2*(Scenario_Data!E8*1000)/Inputs!$C$21*1000000</x:f>
        <x:v>6037.093167967554</x:v>
      </x:c>
      <x:c r="X8" t="n">
        <x:f>Scenario_Data!T8</x:f>
        <x:v>-57</x:v>
      </x:c>
      <x:c r="Y8" t="n">
        <x: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x:f>
        <x:v>2692.226227498772</x:v>
      </x:c>
      <x:c r="Z8" t="n">
        <x:f>Scenario_Data!U8</x:f>
        <x:v>-380</x:v>
      </x:c>
      <x:c r="AA8" t="n">
        <x: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x:f>
        <x:v>2431.3222101605993</x:v>
      </x:c>
      <x:c r="AB8" t="n">
        <x:f>Scenario_Data!V8</x:f>
        <x:v>-760</x:v>
      </x:c>
      <x:c r="AC8" t="n">
        <x: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x:f>
        <x:v>6043.3407753063475</x:v>
      </x:c>
      <x:c r="AD8" t="n">
        <x:f>Scenario_Data!W8</x:f>
        <x:v>-760</x:v>
      </x:c>
      <x:c r="AE8" t="n">
        <x: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x:f>
        <x:v>6036.836275449983</x:v>
      </x:c>
      <x:c r="AG8" t="n">
        <x:f>Scenario_Data!T8</x:f>
        <x:v>-57</x:v>
      </x:c>
      <x:c r="AH8" t="n">
        <x:f>2*(SQRT((Inputs!$C$52+(Scenario_Data!B8))^2+Inputs!$C$52^2-2*(Inputs!$C$52+(Scenario_Data!B8))*Inputs!$C$52*COS(SQRT((Scenario_Data!T8)^2+Inputs!$C$6^2)/Inputs!$C$52))*1000)/Inputs!$C$21*1000000</x:f>
        <x:v>2732.589727165975</x:v>
      </x:c>
      <x:c r="AI8" t="n">
        <x:f>Scenario_Data!U8</x:f>
        <x:v>-380</x:v>
      </x:c>
      <x:c r="AJ8" t="n">
        <x:f>2*(SQRT((Inputs!$C$52+(Scenario_Data!C8))^2+Inputs!$C$52^2-2*(Inputs!$C$52+(Scenario_Data!C8))*Inputs!$C$52*COS(SQRT((Scenario_Data!U8)^2+Inputs!$C$6^2)/Inputs!$C$52))*1000)/Inputs!$C$21*1000000</x:f>
        <x:v>3719.1779432130656</x:v>
      </x:c>
      <x:c r="AK8" t="n">
        <x:f>Scenario_Data!V8</x:f>
        <x:v>-760</x:v>
      </x:c>
      <x:c r="AL8" t="n">
        <x:f>2*(SQRT((Inputs!$C$52+(Scenario_Data!D8))^2+Inputs!$C$52^2-2*(Inputs!$C$52+(Scenario_Data!D8))*Inputs!$C$52*COS(SQRT((Scenario_Data!V8)^2+Inputs!$C$6^2)/Inputs!$C$52))*1000)/Inputs!$C$21*1000000</x:f>
        <x:v>8740.601827631473</x:v>
      </x:c>
      <x:c r="AM8" t="n">
        <x:f>Scenario_Data!W8</x:f>
        <x:v>-760</x:v>
      </x:c>
      <x:c r="AN8" t="n">
        <x:f>2*(SQRT((Inputs!$C$52+(Scenario_Data!E8))^2+Inputs!$C$52^2-2*(Inputs!$C$52+(Scenario_Data!E8))*Inputs!$C$52*COS(SQRT((Scenario_Data!W8)^2+Inputs!$C$6^2)/Inputs!$C$52))*1000)/Inputs!$C$21*1000000</x:f>
        <x:v>8735.203553435682</x:v>
      </x:c>
      <x:c r="AP8" t="n">
        <x:f>Scenario_Data!T8</x:f>
        <x:v>-57</x:v>
      </x:c>
      <x:c r="AQ8" t="n">
        <x: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x:f>
        <x:v>2731.689576789972</x:v>
      </x:c>
      <x:c r="AR8" t="n">
        <x:f>Scenario_Data!U8</x:f>
        <x:v>-380</x:v>
      </x:c>
      <x:c r="AS8" t="n">
        <x: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x:f>
        <x:v>3718.7207527081573</x:v>
      </x:c>
      <x:c r="AT8" t="n">
        <x:f>Scenario_Data!V8</x:f>
        <x:v>-760</x:v>
      </x:c>
      <x:c r="AU8" t="n">
        <x: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x:f>
        <x:v>8740.331788861331</x:v>
      </x:c>
      <x:c r="AV8" t="n">
        <x:f>Scenario_Data!W8</x:f>
        <x:v>-760</x:v>
      </x:c>
      <x:c r="AW8" t="n">
        <x: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x:f>
        <x:v>8734.93372395211</x:v>
      </x:c>
    </x:row>
    <x:row r="9">
      <x:c r="A9" t="n">
        <x:f>Chart_Data!K9</x:f>
        <x:v>-56.5</x:v>
      </x:c>
      <x:c r="B9" t="n">
        <x:f>Chart_Data!N9-Chart_Data!L9</x:f>
        <x:v>-59.899357079512</x:v>
      </x:c>
      <x:c r="D9" t="n">
        <x:f>Chart_Data!G9</x:f>
        <x:v>-56.5</x:v>
      </x:c>
      <x:c r="E9" t="n">
        <x:f>Chart_Data!H9</x:f>
        <x:v>141.4558244940569</x:v>
      </x:c>
      <x:c r="F9" t="n">
        <x:f>Chart_Data!I9</x:f>
        <x:v>141.4558244940569</x:v>
      </x:c>
      <x:c r="G9" t="n">
        <x:f>Chart_Data!J9</x:f>
        <x:v>57.32564727891993</x:v>
      </x:c>
      <x:c r="I9" t="n">
        <x:f>Scenario_Data!A9</x:f>
        <x:v>-0.942</x:v>
      </x:c>
      <x:c r="J9" t="n">
        <x:f>Scenario_Data!H9-(((SQRT((Inputs!$C$52+(Inputs!$H$6))^2+Inputs!$C$52^2-2*(Inputs!$C$52+(Inputs!$H$6))*Inputs!$C$52*COS(SQRT((Scenario_Data!T9)^2+Inputs!$C$6^2)/Inputs!$C$52)))-(Inputs!$H$6))*1000/Inputs!$C$12)</x:f>
        <x:v>-23.03135332022248</x:v>
      </x:c>
      <x:c r="K9" t="n">
        <x:f>Scenario_Data!I9-(((SQRT((Inputs!$C$52+(Inputs!$H$7))^2+Inputs!$C$52^2-2*(Inputs!$C$52+(Inputs!$H$7))*Inputs!$C$52*COS(SQRT((Scenario_Data!U9)^2+Inputs!$C$6^2)/Inputs!$C$52)))-(Inputs!$H$7))*1000/Inputs!$C$12)</x:f>
        <x:v>-87437.04511505857</x:v>
      </x:c>
      <x:c r="L9" t="n">
        <x:f>Scenario_Data!J9-(((SQRT((Inputs!$C$52+(Inputs!$H$8))^2+Inputs!$C$52^2-2*(Inputs!$C$52+(Inputs!$H$8))*Inputs!$C$52*COS(SQRT((Scenario_Data!V9)^2+Inputs!$C$6^2)/Inputs!$C$52)))-(Inputs!$H$8))*1000/Inputs!$C$12)</x:f>
        <x:v>-179611.60663962277</x:v>
      </x:c>
      <x:c r="M9" t="n">
        <x:f>Scenario_Data!K9-(((SQRT((Inputs!$C$52+(Inputs!$H$9))^2+Inputs!$C$52^2-2*(Inputs!$C$52+(Inputs!$H$9))*Inputs!$C$52*COS(SQRT((Scenario_Data!W9)^2+Inputs!$C$6^2)/Inputs!$C$52)))-(Inputs!$H$9))*1000/Inputs!$C$12)</x:f>
        <x:v>-183567.12131353328</x:v>
      </x:c>
      <x:c r="O9" t="n">
        <x:f>Scenario_Data!T9</x:f>
        <x:v>-56.519999999999996</x:v>
      </x:c>
      <x:c r="P9" t="n">
        <x:f>2*(Scenario_Data!B9*1000)/Inputs!$C$21*1000000</x:f>
        <x:v>2692.1921831669297</x:v>
      </x:c>
      <x:c r="Q9" t="n">
        <x:f>Scenario_Data!U9</x:f>
        <x:v>-376.79999999999995</x:v>
      </x:c>
      <x:c r="R9" t="n">
        <x:f>2*(Scenario_Data!C9*1000)/Inputs!$C$21*1000000</x:f>
        <x:v>2394.2420859700205</x:v>
      </x:c>
      <x:c r="S9" t="n">
        <x:f>Scenario_Data!V9</x:f>
        <x:v>-753.5999999999999</x:v>
      </x:c>
      <x:c r="T9" t="n">
        <x:f>2*(Scenario_Data!D9*1000)/Inputs!$C$21*1000000</x:f>
        <x:v>5946.155323226975</x:v>
      </x:c>
      <x:c r="U9" t="n">
        <x:f>Scenario_Data!W9</x:f>
        <x:v>-753.5999999999999</x:v>
      </x:c>
      <x:c r="V9" t="n">
        <x:f>2*(Scenario_Data!E9*1000)/Inputs!$C$21*1000000</x:f>
        <x:v>5938.6410581416285</x:v>
      </x:c>
      <x:c r="X9" t="n">
        <x:f>Scenario_Data!T9</x:f>
        <x:v>-56.519999999999996</x:v>
      </x:c>
      <x:c r="Y9" t="n">
        <x: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x:f>
        <x:v>2691.9513345452874</x:v>
      </x:c>
      <x:c r="Z9" t="n">
        <x:f>Scenario_Data!U9</x:f>
        <x:v>-376.79999999999995</x:v>
      </x:c>
      <x:c r="AA9" t="n">
        <x: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x:f>
        <x:v>2394.364951188643</x:v>
      </x:c>
      <x:c r="AB9" t="n">
        <x:f>Scenario_Data!V9</x:f>
        <x:v>-753.5999999999999</x:v>
      </x:c>
      <x:c r="AC9" t="n">
        <x: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x:f>
        <x:v>5945.633448560879</x:v>
      </x:c>
      <x:c r="AD9" t="n">
        <x:f>Scenario_Data!W9</x:f>
        <x:v>-753.5999999999999</x:v>
      </x:c>
      <x:c r="AE9" t="n">
        <x: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x:f>
        <x:v>5938.119183475531</x:v>
      </x:c>
      <x:c r="AG9" t="n">
        <x:f>Scenario_Data!T9</x:f>
        <x:v>-56.519999999999996</x:v>
      </x:c>
      <x:c r="AH9" t="n">
        <x:f>2*(SQRT((Inputs!$C$52+(Scenario_Data!B9))^2+Inputs!$C$52^2-2*(Inputs!$C$52+(Scenario_Data!B9))*Inputs!$C$52*COS(SQRT((Scenario_Data!T9)^2+Inputs!$C$6^2)/Inputs!$C$52))*1000)/Inputs!$C$21*1000000</x:f>
        <x:v>2731.632048701091</x:v>
      </x:c>
      <x:c r="AI9" t="n">
        <x:f>Scenario_Data!U9</x:f>
        <x:v>-376.79999999999995</x:v>
      </x:c>
      <x:c r="AJ9" t="n">
        <x:f>2*(SQRT((Inputs!$C$52+(Scenario_Data!C9))^2+Inputs!$C$52^2-2*(Inputs!$C$52+(Scenario_Data!C9))*Inputs!$C$52*COS(SQRT((Scenario_Data!U9)^2+Inputs!$C$6^2)/Inputs!$C$52))*1000)/Inputs!$C$21*1000000</x:f>
        <x:v>3674.294578654452</x:v>
      </x:c>
      <x:c r="AK9" t="n">
        <x:f>Scenario_Data!V9</x:f>
        <x:v>-753.5999999999999</x:v>
      </x:c>
      <x:c r="AL9" t="n">
        <x:f>2*(SQRT((Inputs!$C$52+(Scenario_Data!D9))^2+Inputs!$C$52^2-2*(Inputs!$C$52+(Scenario_Data!D9))*Inputs!$C$52*COS(SQRT((Scenario_Data!V9)^2+Inputs!$C$6^2)/Inputs!$C$52))*1000)/Inputs!$C$21*1000000</x:f>
        <x:v>8622.217592392886</x:v>
      </x:c>
      <x:c r="AM9" t="n">
        <x:f>Scenario_Data!W9</x:f>
        <x:v>-753.5999999999999</x:v>
      </x:c>
      <x:c r="AN9" t="n">
        <x:f>2*(SQRT((Inputs!$C$52+(Scenario_Data!E9))^2+Inputs!$C$52^2-2*(Inputs!$C$52+(Scenario_Data!E9))*Inputs!$C$52*COS(SQRT((Scenario_Data!W9)^2+Inputs!$C$6^2)/Inputs!$C$52))*1000)/Inputs!$C$21*1000000</x:f>
        <x:v>8615.998072070657</x:v>
      </x:c>
      <x:c r="AP9" t="n">
        <x:f>Scenario_Data!T9</x:f>
        <x:v>-56.519999999999996</x:v>
      </x:c>
      <x:c r="AQ9" t="n">
        <x: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x:f>
        <x:v>2730.708831878115</x:v>
      </x:c>
      <x:c r="AR9" t="n">
        <x:f>Scenario_Data!U9</x:f>
        <x:v>-376.79999999999995</x:v>
      </x:c>
      <x:c r="AS9" t="n">
        <x: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x:f>
        <x:v>3673.7176119881537</x:v>
      </x:c>
      <x:c r="AT9" t="n">
        <x:f>Scenario_Data!V9</x:f>
        <x:v>-753.5999999999999</x:v>
      </x:c>
      <x:c r="AU9" t="n">
        <x: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x:f>
        <x:v>8621.530757474558</x:v>
      </x:c>
      <x:c r="AV9" t="n">
        <x:f>Scenario_Data!W9</x:f>
        <x:v>-753.5999999999999</x:v>
      </x:c>
      <x:c r="AW9" t="n">
        <x: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x:f>
        <x:v>8615.311864200492</x:v>
      </x:c>
    </x:row>
    <x:row r="10">
      <x:c r="A10" t="n">
        <x:f>Chart_Data!K10</x:f>
        <x:v>-56</x:v>
      </x:c>
      <x:c r="B10" t="n">
        <x:f>Chart_Data!N10-Chart_Data!L10</x:f>
        <x:v>-64.55713040323774</x:v>
      </x:c>
      <x:c r="D10" t="n">
        <x:f>Chart_Data!G10</x:f>
        <x:v>-56</x:v>
      </x:c>
      <x:c r="E10" t="n">
        <x:f>Chart_Data!H10</x:f>
        <x:v>167.1152389347629</x:v>
      </x:c>
      <x:c r="F10" t="n">
        <x:f>Chart_Data!I10</x:f>
        <x:v>167.1152389347629</x:v>
      </x:c>
      <x:c r="G10" t="n">
        <x:f>Chart_Data!J10</x:f>
        <x:v>61.55956835196879</x:v>
      </x:c>
      <x:c r="I10" t="n">
        <x:f>Scenario_Data!A10</x:f>
        <x:v>-0.933</x:v>
      </x:c>
      <x:c r="J10" t="n">
        <x:f>Scenario_Data!H10-(((SQRT((Inputs!$C$52+(Inputs!$H$6))^2+Inputs!$C$52^2-2*(Inputs!$C$52+(Inputs!$H$6))*Inputs!$C$52*COS(SQRT((Scenario_Data!T10)^2+Inputs!$C$6^2)/Inputs!$C$52)))-(Inputs!$H$6))*1000/Inputs!$C$12)</x:f>
        <x:v>-22.246059825895372</x:v>
      </x:c>
      <x:c r="K10" t="n">
        <x:f>Scenario_Data!I10-(((SQRT((Inputs!$C$52+(Inputs!$H$7))^2+Inputs!$C$52^2-2*(Inputs!$C$52+(Inputs!$H$7))*Inputs!$C$52*COS(SQRT((Scenario_Data!U10)^2+Inputs!$C$6^2)/Inputs!$C$52)))-(Inputs!$H$7))*1000/Inputs!$C$12)</x:f>
        <x:v>-86181.44608297395</x:v>
      </x:c>
      <x:c r="L10" t="n">
        <x:f>Scenario_Data!J10-(((SQRT((Inputs!$C$52+(Inputs!$H$8))^2+Inputs!$C$52^2-2*(Inputs!$C$52+(Inputs!$H$8))*Inputs!$C$52*COS(SQRT((Scenario_Data!V10)^2+Inputs!$C$6^2)/Inputs!$C$52)))-(Inputs!$H$8))*1000/Inputs!$C$12)</x:f>
        <x:v>-177621.89133436125</x:v>
      </x:c>
      <x:c r="M10" t="n">
        <x:f>Scenario_Data!K10-(((SQRT((Inputs!$C$52+(Inputs!$H$9))^2+Inputs!$C$52^2-2*(Inputs!$C$52+(Inputs!$H$9))*Inputs!$C$52*COS(SQRT((Scenario_Data!W10)^2+Inputs!$C$6^2)/Inputs!$C$52)))-(Inputs!$H$9))*1000/Inputs!$C$12)</x:f>
        <x:v>-181569.57405040326</x:v>
      </x:c>
      <x:c r="O10" t="n">
        <x:f>Scenario_Data!T10</x:f>
        <x:v>-55.980000000000004</x:v>
      </x:c>
      <x:c r="P10" t="n">
        <x:f>2*(Scenario_Data!B10*1000)/Inputs!$C$21*1000000</x:f>
        <x:v>2691.7418716384122</x:v>
      </x:c>
      <x:c r="Q10" t="n">
        <x:f>Scenario_Data!U10</x:f>
        <x:v>-373.20000000000005</x:v>
      </x:c>
      <x:c r="R10" t="n">
        <x:f>2*(Scenario_Data!C10*1000)/Inputs!$C$21*1000000</x:f>
        <x:v>2353.1511589928</x:v>
      </x:c>
      <x:c r="S10" t="n">
        <x:f>Scenario_Data!V10</x:f>
        <x:v>-746.4000000000001</x:v>
      </x:c>
      <x:c r="T10" t="n">
        <x:f>2*(Scenario_Data!D10*1000)/Inputs!$C$21*1000000</x:f>
        <x:v>5837.51766697213</x:v>
      </x:c>
      <x:c r="U10" t="n">
        <x:f>Scenario_Data!W10</x:f>
        <x:v>-746.4000000000001</x:v>
      </x:c>
      <x:c r="V10" t="n">
        <x:f>2*(Scenario_Data!E10*1000)/Inputs!$C$21*1000000</x:f>
        <x:v>5828.87762306549</x:v>
      </x:c>
      <x:c r="X10" t="n">
        <x:f>Scenario_Data!T10</x:f>
        <x:v>-55.980000000000004</x:v>
      </x:c>
      <x:c r="Y10" t="n">
        <x: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x:f>
        <x:v>2691.331788094177</x:v>
      </x:c>
      <x:c r="Z10" t="n">
        <x:f>Scenario_Data!U10</x:f>
        <x:v>-373.20000000000005</x:v>
      </x:c>
      <x:c r="AA10" t="n">
        <x: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x:f>
        <x:v>2353.0603134471708</x:v>
      </x:c>
      <x:c r="AB10" t="n">
        <x:f>Scenario_Data!V10</x:f>
        <x:v>-746.4000000000001</x:v>
      </x:c>
      <x:c r="AC10" t="n">
        <x: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x:f>
        <x:v>5837.185632869483</x:v>
      </x:c>
      <x:c r="AD10" t="n">
        <x:f>Scenario_Data!W10</x:f>
        <x:v>-746.4000000000001</x:v>
      </x:c>
      <x:c r="AE10" t="n">
        <x: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x:f>
        <x:v>5828.545588962842</x:v>
      </x:c>
      <x:c r="AG10" t="n">
        <x:f>Scenario_Data!T10</x:f>
        <x:v>-55.980000000000004</x:v>
      </x:c>
      <x:c r="AH10" t="n">
        <x:f>2*(SQRT((Inputs!$C$52+(Scenario_Data!B10))^2+Inputs!$C$52^2-2*(Inputs!$C$52+(Scenario_Data!B10))*Inputs!$C$52*COS(SQRT((Scenario_Data!T10)^2+Inputs!$C$6^2)/Inputs!$C$52))*1000)/Inputs!$C$21*1000000</x:f>
        <x:v>2730.5640535799016</x:v>
      </x:c>
      <x:c r="AI10" t="n">
        <x:f>Scenario_Data!U10</x:f>
        <x:v>-373.20000000000005</x:v>
      </x:c>
      <x:c r="AJ10" t="n">
        <x:f>2*(SQRT((Inputs!$C$52+(Scenario_Data!C10))^2+Inputs!$C$52^2-2*(Inputs!$C$52+(Scenario_Data!C10))*Inputs!$C$52*COS(SQRT((Scenario_Data!U10)^2+Inputs!$C$6^2)/Inputs!$C$52))*1000)/Inputs!$C$21*1000000</x:f>
        <x:v>3624.160403492118</x:v>
      </x:c>
      <x:c r="AK10" t="n">
        <x:f>Scenario_Data!V10</x:f>
        <x:v>-746.4000000000001</x:v>
      </x:c>
      <x:c r="AL10" t="n">
        <x:f>2*(SQRT((Inputs!$C$52+(Scenario_Data!D10))^2+Inputs!$C$52^2-2*(Inputs!$C$52+(Scenario_Data!D10))*Inputs!$C$52*COS(SQRT((Scenario_Data!V10)^2+Inputs!$C$6^2)/Inputs!$C$52))*1000)/Inputs!$C$21*1000000</x:f>
        <x:v>8490.112657175801</x:v>
      </x:c>
      <x:c r="AM10" t="n">
        <x:f>Scenario_Data!W10</x:f>
        <x:v>-746.4000000000001</x:v>
      </x:c>
      <x:c r="AN10" t="n">
        <x:f>2*(SQRT((Inputs!$C$52+(Scenario_Data!E10))^2+Inputs!$C$52^2-2*(Inputs!$C$52+(Scenario_Data!E10))*Inputs!$C$52*COS(SQRT((Scenario_Data!W10)^2+Inputs!$C$6^2)/Inputs!$C$52))*1000)/Inputs!$C$21*1000000</x:f>
        <x:v>8482.983410922227</x:v>
      </x:c>
      <x:c r="AP10" t="n">
        <x:f>Scenario_Data!T10</x:f>
        <x:v>-55.980000000000004</x:v>
      </x:c>
      <x:c r="AQ10" t="n">
        <x: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x:f>
        <x:v>2729.524186781265</x:v>
      </x:c>
      <x:c r="AR10" t="n">
        <x:f>Scenario_Data!U10</x:f>
        <x:v>-373.20000000000005</x:v>
      </x:c>
      <x:c r="AS10" t="n">
        <x: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x:f>
        <x:v>3623.578456931738</x:v>
      </x:c>
      <x:c r="AT10" t="n">
        <x:f>Scenario_Data!V10</x:f>
        <x:v>-746.4000000000001</x:v>
      </x:c>
      <x:c r="AU10" t="n">
        <x: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x:f>
        <x:v>8489.738021557188</x:v>
      </x:c>
      <x:c r="AV10" t="n">
        <x:f>Scenario_Data!W10</x:f>
        <x:v>-746.4000000000001</x:v>
      </x:c>
      <x:c r="AW10" t="n">
        <x: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x:f>
        <x:v>8482.60917722077</x:v>
      </x:c>
    </x:row>
    <x:row r="11">
      <x:c r="A11" t="n">
        <x:f>Chart_Data!K11</x:f>
        <x:v>-55.5</x:v>
      </x:c>
      <x:c r="B11" t="n">
        <x:f>Chart_Data!N11-Chart_Data!L11</x:f>
        <x:v>-41.33568476798443</x:v>
      </x:c>
      <x:c r="D11" t="n">
        <x:f>Chart_Data!G11</x:f>
        <x:v>-55.5</x:v>
      </x:c>
      <x:c r="E11" t="n">
        <x:f>Chart_Data!H11</x:f>
        <x:v>160.57943103446084</x:v>
      </x:c>
      <x:c r="F11" t="n">
        <x:f>Chart_Data!I11</x:f>
        <x:v>160.57943103446084</x:v>
      </x:c>
      <x:c r="G11" t="n">
        <x:f>Chart_Data!J11</x:f>
        <x:v>38.49658216595124</x:v>
      </x:c>
      <x:c r="I11" t="n">
        <x:f>Scenario_Data!A11</x:f>
        <x:v>-0.925</x:v>
      </x:c>
      <x:c r="J11" t="n">
        <x:f>Scenario_Data!H11-(((SQRT((Inputs!$C$52+(Inputs!$H$6))^2+Inputs!$C$52^2-2*(Inputs!$C$52+(Inputs!$H$6))*Inputs!$C$52*COS(SQRT((Scenario_Data!T11)^2+Inputs!$C$6^2)/Inputs!$C$52)))-(Inputs!$H$6))*1000/Inputs!$C$12)</x:f>
        <x:v>-21.565197447271657</x:v>
      </x:c>
      <x:c r="K11" t="n">
        <x:f>Scenario_Data!I11-(((SQRT((Inputs!$C$52+(Inputs!$H$7))^2+Inputs!$C$52^2-2*(Inputs!$C$52+(Inputs!$H$7))*Inputs!$C$52*COS(SQRT((Scenario_Data!U11)^2+Inputs!$C$6^2)/Inputs!$C$52)))-(Inputs!$H$7))*1000/Inputs!$C$12)</x:f>
        <x:v>-85066.38324979196</x:v>
      </x:c>
      <x:c r="L11" t="n">
        <x:f>Scenario_Data!J11-(((SQRT((Inputs!$C$52+(Inputs!$H$8))^2+Inputs!$C$52^2-2*(Inputs!$C$52+(Inputs!$H$8))*Inputs!$C$52*COS(SQRT((Scenario_Data!V11)^2+Inputs!$C$6^2)/Inputs!$C$52)))-(Inputs!$H$8))*1000/Inputs!$C$12)</x:f>
        <x:v>-175844.68076899392</x:v>
      </x:c>
      <x:c r="M11" t="n">
        <x:f>Scenario_Data!K11-(((SQRT((Inputs!$C$52+(Inputs!$H$9))^2+Inputs!$C$52^2-2*(Inputs!$C$52+(Inputs!$H$9))*Inputs!$C$52*COS(SQRT((Scenario_Data!W11)^2+Inputs!$C$6^2)/Inputs!$C$52)))-(Inputs!$H$9))*1000/Inputs!$C$12)</x:f>
        <x:v>-179785.07110087413</x:v>
      </x:c>
      <x:c r="O11" t="n">
        <x:f>Scenario_Data!T11</x:f>
        <x:v>-55.5</x:v>
      </x:c>
      <x:c r="P11" t="n">
        <x:f>2*(Scenario_Data!B11*1000)/Inputs!$C$21*1000000</x:f>
        <x:v>2691.34522390153</x:v>
      </x:c>
      <x:c r="Q11" t="n">
        <x:f>Scenario_Data!U11</x:f>
        <x:v>-370</x:v>
      </x:c>
      <x:c r="R11" t="n">
        <x:f>2*(Scenario_Data!C11*1000)/Inputs!$C$21*1000000</x:f>
        <x:v>2316.957053002314</x:v>
      </x:c>
      <x:c r="S11" t="n">
        <x:f>Scenario_Data!V11</x:f>
        <x:v>-740</x:v>
      </x:c>
      <x:c r="T11" t="n">
        <x:f>2*(Scenario_Data!D11*1000)/Inputs!$C$21*1000000</x:f>
        <x:v>5741.82640044934</x:v>
      </x:c>
      <x:c r="U11" t="n">
        <x:f>Scenario_Data!W11</x:f>
        <x:v>-740</x:v>
      </x:c>
      <x:c r="V11" t="n">
        <x:f>2*(Scenario_Data!E11*1000)/Inputs!$C$21*1000000</x:f>
        <x:v>5732.194737200494</x:v>
      </x:c>
      <x:c r="X11" t="n">
        <x:f>Scenario_Data!T11</x:f>
        <x:v>-55.5</x:v>
      </x:c>
      <x:c r="Y11" t="n">
        <x: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x:f>
        <x:v>2691.088402349562</x:v>
      </x:c>
      <x:c r="Z11" t="n">
        <x:f>Scenario_Data!U11</x:f>
        <x:v>-370</x:v>
      </x:c>
      <x:c r="AA11" t="n">
        <x: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x:f>
        <x:v>2316.8740711674914</x:v>
      </x:c>
      <x:c r="AB11" t="n">
        <x:f>Scenario_Data!V11</x:f>
        <x:v>-740</x:v>
      </x:c>
      <x:c r="AC11" t="n">
        <x: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x:f>
        <x:v>5741.729536296609</x:v>
      </x:c>
      <x:c r="AD11" t="n">
        <x:f>Scenario_Data!W11</x:f>
        <x:v>-740</x:v>
      </x:c>
      <x:c r="AE11" t="n">
        <x: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x:f>
        <x:v>5732.097873047763</x:v>
      </x:c>
      <x:c r="AG11" t="n">
        <x:f>Scenario_Data!T11</x:f>
        <x:v>-55.5</x:v>
      </x:c>
      <x:c r="AH11" t="n">
        <x:f>2*(SQRT((Inputs!$C$52+(Scenario_Data!B11))^2+Inputs!$C$52^2-2*(Inputs!$C$52+(Scenario_Data!B11))*Inputs!$C$52*COS(SQRT((Scenario_Data!T11)^2+Inputs!$C$6^2)/Inputs!$C$52))*1000)/Inputs!$C$21*1000000</x:f>
        <x:v>2729.6230805624396</x:v>
      </x:c>
      <x:c r="AI11" t="n">
        <x:f>Scenario_Data!U11</x:f>
        <x:v>-370</x:v>
      </x:c>
      <x:c r="AJ11" t="n">
        <x:f>2*(SQRT((Inputs!$C$52+(Scenario_Data!C11))^2+Inputs!$C$52^2-2*(Inputs!$C$52+(Scenario_Data!C11))*Inputs!$C$52*COS(SQRT((Scenario_Data!U11)^2+Inputs!$C$6^2)/Inputs!$C$52))*1000)/Inputs!$C$21*1000000</x:f>
        <x:v>3579.915397473851</x:v>
      </x:c>
      <x:c r="AK11" t="n">
        <x:f>Scenario_Data!V11</x:f>
        <x:v>-740</x:v>
      </x:c>
      <x:c r="AL11" t="n">
        <x:f>2*(SQRT((Inputs!$C$52+(Scenario_Data!D11))^2+Inputs!$C$52^2-2*(Inputs!$C$52+(Scenario_Data!D11))*Inputs!$C$52*COS(SQRT((Scenario_Data!V11)^2+Inputs!$C$6^2)/Inputs!$C$52))*1000)/Inputs!$C$21*1000000</x:f>
        <x:v>8373.64240992586</x:v>
      </x:c>
      <x:c r="AM11" t="n">
        <x:f>Scenario_Data!W11</x:f>
        <x:v>-740</x:v>
      </x:c>
      <x:c r="AN11" t="n">
        <x:f>2*(SQRT((Inputs!$C$52+(Scenario_Data!E11))^2+Inputs!$C$52^2-2*(Inputs!$C$52+(Scenario_Data!E11))*Inputs!$C$52*COS(SQRT((Scenario_Data!W11)^2+Inputs!$C$6^2)/Inputs!$C$52))*1000)/Inputs!$C$21*1000000</x:f>
        <x:v>8365.717177007828</x:v>
      </x:c>
      <x:c r="AP11" t="n">
        <x:f>Scenario_Data!T11</x:f>
        <x:v>-55.5</x:v>
      </x:c>
      <x:c r="AQ11" t="n">
        <x: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x:f>
        <x:v>2728.570750363843</x:v>
      </x:c>
      <x:c r="AR11" t="n">
        <x:f>Scenario_Data!U11</x:f>
        <x:v>-370</x:v>
      </x:c>
      <x:c r="AS11" t="n">
        <x: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x:f>
        <x:v>3579.321968781586</x:v>
      </x:c>
      <x:c r="AT11" t="n">
        <x:f>Scenario_Data!V11</x:f>
        <x:v>-740</x:v>
      </x:c>
      <x:c r="AU11" t="n">
        <x: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x:f>
        <x:v>8373.161917250281</x:v>
      </x:c>
      <x:c r="AV11" t="n">
        <x:f>Scenario_Data!W11</x:f>
        <x:v>-740</x:v>
      </x:c>
      <x:c r="AW11" t="n">
        <x: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x:f>
        <x:v>8365.237270419912</x:v>
      </x:c>
    </x:row>
    <x:row r="12">
      <x:c r="A12" t="n">
        <x:f>Chart_Data!K12</x:f>
        <x:v>-55</x:v>
      </x:c>
      <x:c r="B12" t="n">
        <x:f>Chart_Data!N12-Chart_Data!L12</x:f>
        <x:v>-49.58095040517583</x:v>
      </x:c>
      <x:c r="D12" t="n">
        <x:f>Chart_Data!G12</x:f>
        <x:v>-55</x:v>
      </x:c>
      <x:c r="E12" t="n">
        <x:f>Chart_Data!H12</x:f>
        <x:v>176.10976359434375</x:v>
      </x:c>
      <x:c r="F12" t="n">
        <x:f>Chart_Data!I12</x:f>
        <x:v>176.10976359434375</x:v>
      </x:c>
      <x:c r="G12" t="n">
        <x:f>Chart_Data!J12</x:f>
        <x:v>46.51195593176057</x:v>
      </x:c>
      <x:c r="I12" t="n">
        <x:f>Scenario_Data!A12</x:f>
        <x:v>-0.917</x:v>
      </x:c>
      <x:c r="J12" t="n">
        <x:f>Scenario_Data!H12-(((SQRT((Inputs!$C$52+(Inputs!$H$6))^2+Inputs!$C$52^2-2*(Inputs!$C$52+(Inputs!$H$6))*Inputs!$C$52*COS(SQRT((Scenario_Data!T12)^2+Inputs!$C$6^2)/Inputs!$C$52)))-(Inputs!$H$6))*1000/Inputs!$C$12)</x:f>
        <x:v>-20.90024248669988</x:v>
      </x:c>
      <x:c r="K12" t="n">
        <x:f>Scenario_Data!I12-(((SQRT((Inputs!$C$52+(Inputs!$H$7))^2+Inputs!$C$52^2-2*(Inputs!$C$52+(Inputs!$H$7))*Inputs!$C$52*COS(SQRT((Scenario_Data!U12)^2+Inputs!$C$6^2)/Inputs!$C$52)))-(Inputs!$H$7))*1000/Inputs!$C$12)</x:f>
        <x:v>-83952.36924737085</x:v>
      </x:c>
      <x:c r="L12" t="n">
        <x:f>Scenario_Data!J12-(((SQRT((Inputs!$C$52+(Inputs!$H$8))^2+Inputs!$C$52^2-2*(Inputs!$C$52+(Inputs!$H$8))*Inputs!$C$52*COS(SQRT((Scenario_Data!V12)^2+Inputs!$C$6^2)/Inputs!$C$52)))-(Inputs!$H$8))*1000/Inputs!$C$12)</x:f>
        <x:v>-174059.5218997983</x:v>
      </x:c>
      <x:c r="M12" t="n">
        <x:f>Scenario_Data!K12-(((SQRT((Inputs!$C$52+(Inputs!$H$9))^2+Inputs!$C$52^2-2*(Inputs!$C$52+(Inputs!$H$9))*Inputs!$C$52*COS(SQRT((Scenario_Data!W12)^2+Inputs!$C$6^2)/Inputs!$C$52)))-(Inputs!$H$9))*1000/Inputs!$C$12)</x:f>
        <x:v>-177992.30309147586</x:v>
      </x:c>
      <x:c r="O12" t="n">
        <x:f>Scenario_Data!T12</x:f>
        <x:v>-55.02</x:v>
      </x:c>
      <x:c r="P12" t="n">
        <x:f>2*(Scenario_Data!B12*1000)/Inputs!$C$21*1000000</x:f>
        <x:v>2690.951991860983</x:v>
      </x:c>
      <x:c r="Q12" t="n">
        <x:f>Scenario_Data!U12</x:f>
        <x:v>-366.8</x:v>
      </x:c>
      <x:c r="R12" t="n">
        <x:f>2*(Scenario_Data!C12*1000)/Inputs!$C$21*1000000</x:f>
        <x:v>2281.0746293023826</x:v>
      </x:c>
      <x:c r="S12" t="n">
        <x:f>Scenario_Data!V12</x:f>
        <x:v>-733.6</x:v>
      </x:c>
      <x:c r="T12" t="n">
        <x:f>2*(Scenario_Data!D12*1000)/Inputs!$C$21*1000000</x:f>
        <x:v>5646.959170667329</x:v>
      </x:c>
      <x:c r="U12" t="n">
        <x:f>Scenario_Data!W12</x:f>
        <x:v>-733.6</x:v>
      </x:c>
      <x:c r="V12" t="n">
        <x:f>2*(Scenario_Data!E12*1000)/Inputs!$C$21*1000000</x:f>
        <x:v>5636.344427317114</x:v>
      </x:c>
      <x:c r="X12" t="n">
        <x:f>Scenario_Data!T12</x:f>
        <x:v>-55.02</x:v>
      </x:c>
      <x:c r="Y12" t="n">
        <x: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x:f>
        <x:v>2690.69544749007</x:v>
      </x:c>
      <x:c r="Z12" t="n">
        <x:f>Scenario_Data!U12</x:f>
        <x:v>-366.8</x:v>
      </x:c>
      <x:c r="AA12" t="n">
        <x: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x:f>
        <x:v>2281.42139016595</x:v>
      </x:c>
      <x:c r="AB12" t="n">
        <x:f>Scenario_Data!V12</x:f>
        <x:v>-733.6</x:v>
      </x:c>
      <x:c r="AC12" t="n">
        <x: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x:f>
        <x:v>5646.7277866164695</x:v>
      </x:c>
      <x:c r="AD12" t="n">
        <x:f>Scenario_Data!W12</x:f>
        <x:v>-733.6</x:v>
      </x:c>
      <x:c r="AE12" t="n">
        <x: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x:f>
        <x:v>5636.113043266254</x:v>
      </x:c>
      <x:c r="AG12" t="n">
        <x:f>Scenario_Data!T12</x:f>
        <x:v>-55.02</x:v>
      </x:c>
      <x:c r="AH12" t="n">
        <x:f>2*(SQRT((Inputs!$C$52+(Scenario_Data!B12))^2+Inputs!$C$52^2-2*(Inputs!$C$52+(Scenario_Data!B12))*Inputs!$C$52*COS(SQRT((Scenario_Data!T12)^2+Inputs!$C$6^2)/Inputs!$C$52))*1000)/Inputs!$C$21*1000000</x:f>
        <x:v>2728.689978080741</x:v>
      </x:c>
      <x:c r="AI12" t="n">
        <x:f>Scenario_Data!U12</x:f>
        <x:v>-366.8</x:v>
      </x:c>
      <x:c r="AJ12" t="n">
        <x:f>2*(SQRT((Inputs!$C$52+(Scenario_Data!C12))^2+Inputs!$C$52^2-2*(Inputs!$C$52+(Scenario_Data!C12))*Inputs!$C$52*COS(SQRT((Scenario_Data!U12)^2+Inputs!$C$6^2)/Inputs!$C$52))*1000)/Inputs!$C$21*1000000</x:f>
        <x:v>3535.9694398561164</x:v>
      </x:c>
      <x:c r="AK12" t="n">
        <x:f>Scenario_Data!V12</x:f>
        <x:v>-733.6</x:v>
      </x:c>
      <x:c r="AL12" t="n">
        <x:f>2*(SQRT((Inputs!$C$52+(Scenario_Data!D12))^2+Inputs!$C$52^2-2*(Inputs!$C$52+(Scenario_Data!D12))*Inputs!$C$52*COS(SQRT((Scenario_Data!V12)^2+Inputs!$C$6^2)/Inputs!$C$52))*1000)/Inputs!$C$21*1000000</x:f>
        <x:v>8258.071035157735</x:v>
      </x:c>
      <x:c r="AM12" t="n">
        <x:f>Scenario_Data!W12</x:f>
        <x:v>-733.6</x:v>
      </x:c>
      <x:c r="AN12" t="n">
        <x:f>2*(SQRT((Inputs!$C$52+(Scenario_Data!E12))^2+Inputs!$C$52^2-2*(Inputs!$C$52+(Scenario_Data!E12))*Inputs!$C$52*COS(SQRT((Scenario_Data!W12)^2+Inputs!$C$6^2)/Inputs!$C$52))*1000)/Inputs!$C$21*1000000</x:f>
        <x:v>8249.361784554472</x:v>
      </x:c>
      <x:c r="AP12" t="n">
        <x:f>Scenario_Data!T12</x:f>
        <x:v>-55.02</x:v>
      </x:c>
      <x:c r="AQ12" t="n">
        <x: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x:f>
        <x:v>2727.45681982305</x:v>
      </x:c>
      <x:c r="AR12" t="n">
        <x:f>Scenario_Data!U12</x:f>
        <x:v>-366.8</x:v>
      </x:c>
      <x:c r="AS12" t="n">
        <x: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x:f>
        <x:v>3535.53973919248</x:v>
      </x:c>
      <x:c r="AT12" t="n">
        <x:f>Scenario_Data!V12</x:f>
        <x:v>-733.6</x:v>
      </x:c>
      <x:c r="AU12" t="n">
        <x: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x:f>
        <x:v>8257.496479709396</x:v>
      </x:c>
      <x:c r="AV12" t="n">
        <x:f>Scenario_Data!W12</x:f>
        <x:v>-733.6</x:v>
      </x:c>
      <x:c r="AW12" t="n">
        <x: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x:f>
        <x:v>8248.788016979055</x:v>
      </x:c>
    </x:row>
    <x:row r="13">
      <x:c r="A13" t="n">
        <x:f>Chart_Data!K13</x:f>
        <x:v>-54.5</x:v>
      </x:c>
      <x:c r="B13" t="n">
        <x:f>Chart_Data!N13-Chart_Data!L13</x:f>
        <x:v>-53.11367179592119</x:v>
      </x:c>
      <x:c r="D13" t="n">
        <x:f>Chart_Data!G13</x:f>
        <x:v>-54.5</x:v>
      </x:c>
      <x:c r="E13" t="n">
        <x:f>Chart_Data!H13</x:f>
        <x:v>194.40953580817023</x:v>
      </x:c>
      <x:c r="F13" t="n">
        <x:f>Chart_Data!I13</x:f>
        <x:v>194.40953580817023</x:v>
      </x:c>
      <x:c r="G13" t="n">
        <x:f>Chart_Data!J13</x:f>
        <x:v>49.77469341509185</x:v>
      </x:c>
      <x:c r="I13" t="n">
        <x:f>Scenario_Data!A13</x:f>
        <x:v>-0.908</x:v>
      </x:c>
      <x:c r="J13" t="n">
        <x:f>Scenario_Data!H13-(((SQRT((Inputs!$C$52+(Inputs!$H$6))^2+Inputs!$C$52^2-2*(Inputs!$C$52+(Inputs!$H$6))*Inputs!$C$52*COS(SQRT((Scenario_Data!T13)^2+Inputs!$C$6^2)/Inputs!$C$52)))-(Inputs!$H$6))*1000/Inputs!$C$12)</x:f>
        <x:v>-20.17087555141279</x:v>
      </x:c>
      <x:c r="K13" t="n">
        <x:f>Scenario_Data!I13-(((SQRT((Inputs!$C$52+(Inputs!$H$7))^2+Inputs!$C$52^2-2*(Inputs!$C$52+(Inputs!$H$7))*Inputs!$C$52*COS(SQRT((Scenario_Data!U13)^2+Inputs!$C$6^2)/Inputs!$C$52)))-(Inputs!$H$7))*1000/Inputs!$C$12)</x:f>
        <x:v>-82700.4595564772</x:v>
      </x:c>
      <x:c r="L13" t="n">
        <x:f>Scenario_Data!J13-(((SQRT((Inputs!$C$52+(Inputs!$H$8))^2+Inputs!$C$52^2-2*(Inputs!$C$52+(Inputs!$H$8))*Inputs!$C$52*COS(SQRT((Scenario_Data!V13)^2+Inputs!$C$6^2)/Inputs!$C$52)))-(Inputs!$H$8))*1000/Inputs!$C$12)</x:f>
        <x:v>-172041.86803726538</x:v>
      </x:c>
      <x:c r="M13" t="n">
        <x:f>Scenario_Data!K13-(((SQRT((Inputs!$C$52+(Inputs!$H$9))^2+Inputs!$C$52^2-2*(Inputs!$C$52+(Inputs!$H$9))*Inputs!$C$52*COS(SQRT((Scenario_Data!W13)^2+Inputs!$C$6^2)/Inputs!$C$52)))-(Inputs!$H$9))*1000/Inputs!$C$12)</x:f>
        <x:v>-175965.70357183547</x:v>
      </x:c>
      <x:c r="O13" t="n">
        <x:f>Scenario_Data!T13</x:f>
        <x:v>-54.480000000000004</x:v>
      </x:c>
      <x:c r="P13" t="n">
        <x:f>2*(Scenario_Data!B13*1000)/Inputs!$C$21*1000000</x:f>
        <x:v>2690.5136886398923</x:v>
      </x:c>
      <x:c r="Q13" t="n">
        <x:f>Scenario_Data!U13</x:f>
        <x:v>-363.2</x:v>
      </x:c>
      <x:c r="R13" t="n">
        <x:f>2*(Scenario_Data!C13*1000)/Inputs!$C$21*1000000</x:f>
        <x:v>2241.0794603778854</x:v>
      </x:c>
      <x:c r="S13" t="n">
        <x:f>Scenario_Data!V13</x:f>
        <x:v>-726.4</x:v>
      </x:c>
      <x:c r="T13" t="n">
        <x:f>2*(Scenario_Data!D13*1000)/Inputs!$C$21*1000000</x:f>
        <x:v>5541.218518579276</x:v>
      </x:c>
      <x:c r="U13" t="n">
        <x:f>Scenario_Data!W13</x:f>
        <x:v>-726.4</x:v>
      </x:c>
      <x:c r="V13" t="n">
        <x:f>2*(Scenario_Data!E13*1000)/Inputs!$C$21*1000000</x:f>
        <x:v>5529.508017176336</x:v>
      </x:c>
      <x:c r="X13" t="n">
        <x:f>Scenario_Data!T13</x:f>
        <x:v>-54.480000000000004</x:v>
      </x:c>
      <x:c r="Y13" t="n">
        <x: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x:f>
        <x:v>2690.1320799792074</x:v>
      </x:c>
      <x:c r="Z13" t="n">
        <x:f>Scenario_Data!U13</x:f>
        <x:v>-363.2</x:v>
      </x:c>
      <x:c r="AA13" t="n">
        <x: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x:f>
        <x:v>2241.5050146309113</x:v>
      </x:c>
      <x:c r="AB13" t="n">
        <x:f>Scenario_Data!V13</x:f>
        <x:v>-726.4</x:v>
      </x:c>
      <x:c r="AC13" t="n">
        <x: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x:f>
        <x:v>5541.454225810645</x:v>
      </x:c>
      <x:c r="AD13" t="n">
        <x:f>Scenario_Data!W13</x:f>
        <x:v>-726.4</x:v>
      </x:c>
      <x:c r="AE13" t="n">
        <x: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x:f>
        <x:v>5529.743724407704</x:v>
      </x:c>
      <x:c r="AG13" t="n">
        <x:f>Scenario_Data!T13</x:f>
        <x:v>-54.480000000000004</x:v>
      </x:c>
      <x:c r="AH13" t="n">
        <x:f>2*(SQRT((Inputs!$C$52+(Scenario_Data!B13))^2+Inputs!$C$52^2-2*(Inputs!$C$52+(Scenario_Data!B13))*Inputs!$C$52*COS(SQRT((Scenario_Data!T13)^2+Inputs!$C$6^2)/Inputs!$C$52))*1000)/Inputs!$C$21*1000000</x:f>
        <x:v>2727.649652758524</x:v>
      </x:c>
      <x:c r="AI13" t="n">
        <x:f>Scenario_Data!U13</x:f>
        <x:v>-363.2</x:v>
      </x:c>
      <x:c r="AJ13" t="n">
        <x:f>2*(SQRT((Inputs!$C$52+(Scenario_Data!C13))^2+Inputs!$C$52^2-2*(Inputs!$C$52+(Scenario_Data!C13))*Inputs!$C$52*COS(SQRT((Scenario_Data!U13)^2+Inputs!$C$6^2)/Inputs!$C$52))*1000)/Inputs!$C$21*1000000</x:f>
        <x:v>3486.8865852502836</x:v>
      </x:c>
      <x:c r="AK13" t="n">
        <x:f>Scenario_Data!V13</x:f>
        <x:v>-726.4</x:v>
      </x:c>
      <x:c r="AL13" t="n">
        <x:f>2*(SQRT((Inputs!$C$52+(Scenario_Data!D13))^2+Inputs!$C$52^2-2*(Inputs!$C$52+(Scenario_Data!D13))*Inputs!$C$52*COS(SQRT((Scenario_Data!V13)^2+Inputs!$C$6^2)/Inputs!$C$52))*1000)/Inputs!$C$21*1000000</x:f>
        <x:v>8129.126144290872</x:v>
      </x:c>
      <x:c r="AM13" t="n">
        <x:f>Scenario_Data!W13</x:f>
        <x:v>-726.4</x:v>
      </x:c>
      <x:c r="AN13" t="n">
        <x:f>2*(SQRT((Inputs!$C$52+(Scenario_Data!E13))^2+Inputs!$C$52^2-2*(Inputs!$C$52+(Scenario_Data!E13))*Inputs!$C$52*COS(SQRT((Scenario_Data!W13)^2+Inputs!$C$6^2)/Inputs!$C$52))*1000)/Inputs!$C$21*1000000</x:f>
        <x:v>8119.549246965398</x:v>
      </x:c>
      <x:c r="AP13" t="n">
        <x:f>Scenario_Data!T13</x:f>
        <x:v>-54.480000000000004</x:v>
      </x:c>
      <x:c r="AQ13" t="n">
        <x: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x:f>
        <x:v>2726.3354650184833</x:v>
      </x:c>
      <x:c r="AR13" t="n">
        <x:f>Scenario_Data!U13</x:f>
        <x:v>-363.2</x:v>
      </x:c>
      <x:c r="AS13" t="n">
        <x: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x:f>
        <x:v>3486.6311054490343</x:v>
      </x:c>
      <x:c r="AT13" t="n">
        <x:f>Scenario_Data!V13</x:f>
        <x:v>-726.4</x:v>
      </x:c>
      <x:c r="AU13" t="n">
        <x: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x:f>
        <x:v>8128.795130995124</x:v>
      </x:c>
      <x:c r="AV13" t="n">
        <x:f>Scenario_Data!W13</x:f>
        <x:v>-726.4</x:v>
      </x:c>
      <x:c r="AW13" t="n">
        <x: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x:f>
        <x:v>8119.218745794955</x:v>
      </x:c>
    </x:row>
    <x:row r="14">
      <x:c r="A14" t="n">
        <x:f>Chart_Data!K14</x:f>
        <x:v>-54</x:v>
      </x:c>
      <x:c r="B14" t="n">
        <x:f>Chart_Data!N14-Chart_Data!L14</x:f>
        <x:v>-41.23963182688874</x:v>
      </x:c>
      <x:c r="D14" t="n">
        <x:f>Chart_Data!G14</x:f>
        <x:v>-54</x:v>
      </x:c>
      <x:c r="E14" t="n">
        <x:f>Chart_Data!H14</x:f>
        <x:v>196.39629745562698</x:v>
      </x:c>
      <x:c r="F14" t="n">
        <x:f>Chart_Data!I14</x:f>
        <x:v>196.39629745562698</x:v>
      </x:c>
      <x:c r="G14" t="n">
        <x:f>Chart_Data!J14</x:f>
        <x:v>37.91568406723211</x:v>
      </x:c>
      <x:c r="I14" t="n">
        <x:f>Scenario_Data!A14</x:f>
        <x:v>-0.9</x:v>
      </x:c>
      <x:c r="J14" t="n">
        <x:f>Scenario_Data!H14-(((SQRT((Inputs!$C$52+(Inputs!$H$6))^2+Inputs!$C$52^2-2*(Inputs!$C$52+(Inputs!$H$6))*Inputs!$C$52*COS(SQRT((Scenario_Data!T14)^2+Inputs!$C$6^2)/Inputs!$C$52)))-(Inputs!$H$6))*1000/Inputs!$C$12)</x:f>
        <x:v>-19.538907124212074</x:v>
      </x:c>
      <x:c r="K14" t="n">
        <x:f>Scenario_Data!I14-(((SQRT((Inputs!$C$52+(Inputs!$H$7))^2+Inputs!$C$52^2-2*(Inputs!$C$52+(Inputs!$H$7))*Inputs!$C$52*COS(SQRT((Scenario_Data!U14)^2+Inputs!$C$6^2)/Inputs!$C$52)))-(Inputs!$H$7))*1000/Inputs!$C$12)</x:f>
        <x:v>-81588.94913418307</x:v>
      </x:c>
      <x:c r="L14" t="n">
        <x:f>Scenario_Data!J14-(((SQRT((Inputs!$C$52+(Inputs!$H$8))^2+Inputs!$C$52^2-2*(Inputs!$C$52+(Inputs!$H$8))*Inputs!$C$52*COS(SQRT((Scenario_Data!V14)^2+Inputs!$C$6^2)/Inputs!$C$52)))-(Inputs!$H$8))*1000/Inputs!$C$12)</x:f>
        <x:v>-170240.22471774745</x:v>
      </x:c>
      <x:c r="M14" t="n">
        <x:f>Scenario_Data!K14-(((SQRT((Inputs!$C$52+(Inputs!$H$9))^2+Inputs!$C$52^2-2*(Inputs!$C$52+(Inputs!$H$9))*Inputs!$C$52*COS(SQRT((Scenario_Data!W14)^2+Inputs!$C$6^2)/Inputs!$C$52)))-(Inputs!$H$9))*1000/Inputs!$C$12)</x:f>
        <x:v>-174155.75991096892</x:v>
      </x:c>
      <x:c r="O14" t="n">
        <x:f>Scenario_Data!T14</x:f>
        <x:v>-54</x:v>
      </x:c>
      <x:c r="P14" t="n">
        <x:f>2*(Scenario_Data!B14*1000)/Inputs!$C$21*1000000</x:f>
        <x:v>2690.1277149540565</x:v>
      </x:c>
      <x:c r="Q14" t="n">
        <x:f>Scenario_Data!U14</x:f>
        <x:v>-360</x:v>
      </x:c>
      <x:c r="R14" t="n">
        <x:f>2*(Scenario_Data!C14*1000)/Inputs!$C$21*1000000</x:f>
        <x:v>2205.8593615453797</x:v>
      </x:c>
      <x:c r="S14" t="n">
        <x:f>Scenario_Data!V14</x:f>
        <x:v>-720</x:v>
      </x:c>
      <x:c r="T14" t="n">
        <x:f>2*(Scenario_Data!D14*1000)/Inputs!$C$21*1000000</x:f>
        <x:v>5448.102366871419</x:v>
      </x:c>
      <x:c r="U14" t="n">
        <x:f>Scenario_Data!W14</x:f>
        <x:v>-720</x:v>
      </x:c>
      <x:c r="V14" t="n">
        <x:f>2*(Scenario_Data!E14*1000)/Inputs!$C$21*1000000</x:f>
        <x:v>5435.426931253887</x:v>
      </x:c>
      <x:c r="X14" t="n">
        <x:f>Scenario_Data!T14</x:f>
        <x:v>-54</x:v>
      </x:c>
      <x:c r="Y14" t="n">
        <x: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x:f>
        <x:v>2689.8747687370624</x:v>
      </x:c>
      <x:c r="Z14" t="n">
        <x:f>Scenario_Data!U14</x:f>
        <x:v>-360</x:v>
      </x:c>
      <x:c r="AA14" t="n">
        <x: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x:f>
        <x:v>2205.928237430532</x:v>
      </x:c>
      <x:c r="AB14" t="n">
        <x:f>Scenario_Data!V14</x:f>
        <x:v>-720</x:v>
      </x:c>
      <x:c r="AC14" t="n">
        <x: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x:f>
        <x:v>5448.244174117028</x:v>
      </x:c>
      <x:c r="AD14" t="n">
        <x:f>Scenario_Data!W14</x:f>
        <x:v>-720</x:v>
      </x:c>
      <x:c r="AE14" t="n">
        <x: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x:f>
        <x:v>5435.568738499498</x:v>
      </x:c>
      <x:c r="AG14" t="n">
        <x:f>Scenario_Data!T14</x:f>
        <x:v>-54</x:v>
      </x:c>
      <x:c r="AH14" t="n">
        <x:f>2*(SQRT((Inputs!$C$52+(Scenario_Data!B14))^2+Inputs!$C$52^2-2*(Inputs!$C$52+(Scenario_Data!B14))*Inputs!$C$52*COS(SQRT((Scenario_Data!T14)^2+Inputs!$C$6^2)/Inputs!$C$52))*1000)/Inputs!$C$21*1000000</x:f>
        <x:v>2726.7332943721008</x:v>
      </x:c>
      <x:c r="AI14" t="n">
        <x:f>Scenario_Data!U14</x:f>
        <x:v>-360</x:v>
      </x:c>
      <x:c r="AJ14" t="n">
        <x:f>2*(SQRT((Inputs!$C$52+(Scenario_Data!C14))^2+Inputs!$C$52^2-2*(Inputs!$C$52+(Scenario_Data!C14))*Inputs!$C$52*COS(SQRT((Scenario_Data!U14)^2+Inputs!$C$6^2)/Inputs!$C$52))*1000)/Inputs!$C$21*1000000</x:f>
        <x:v>3443.5731304663896</x:v>
      </x:c>
      <x:c r="AK14" t="n">
        <x:f>Scenario_Data!V14</x:f>
        <x:v>-720</x:v>
      </x:c>
      <x:c r="AL14" t="n">
        <x:f>2*(SQRT((Inputs!$C$52+(Scenario_Data!D14))^2+Inputs!$C$52^2-2*(Inputs!$C$52+(Scenario_Data!D14))*Inputs!$C$52*COS(SQRT((Scenario_Data!V14)^2+Inputs!$C$6^2)/Inputs!$C$52))*1000)/Inputs!$C$21*1000000</x:f>
        <x:v>8015.460751408424</x:v>
      </x:c>
      <x:c r="AM14" t="n">
        <x:f>Scenario_Data!W14</x:f>
        <x:v>-720</x:v>
      </x:c>
      <x:c r="AN14" t="n">
        <x:f>2*(SQRT((Inputs!$C$52+(Scenario_Data!E14))^2+Inputs!$C$52^2-2*(Inputs!$C$52+(Scenario_Data!E14))*Inputs!$C$52*COS(SQRT((Scenario_Data!W14)^2+Inputs!$C$6^2)/Inputs!$C$52))*1000)/Inputs!$C$21*1000000</x:f>
        <x:v>8005.125448461821</x:v>
      </x:c>
      <x:c r="AP14" t="n">
        <x:f>Scenario_Data!T14</x:f>
        <x:v>-54</x:v>
      </x:c>
      <x:c r="AQ14" t="n">
        <x: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x:f>
        <x:v>2725.4452542994177</x:v>
      </x:c>
      <x:c r="AR14" t="n">
        <x:f>Scenario_Data!U14</x:f>
        <x:v>-360</x:v>
      </x:c>
      <x:c r="AS14" t="n">
        <x: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x:f>
        <x:v>3443.2133979979462</x:v>
      </x:c>
      <x:c r="AT14" t="n">
        <x:f>Scenario_Data!V14</x:f>
        <x:v>-720</x:v>
      </x:c>
      <x:c r="AU14" t="n">
        <x: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x:f>
        <x:v>8015.099169643812</x:v>
      </x:c>
      <x:c r="AV14" t="n">
        <x:f>Scenario_Data!W14</x:f>
        <x:v>-720</x:v>
      </x:c>
      <x:c r="AW14" t="n">
        <x: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x:f>
        <x:v>8004.764484602612</x:v>
      </x:c>
    </x:row>
    <x:row r="15">
      <x:c r="A15" t="n">
        <x:f>Chart_Data!K15</x:f>
        <x:v>-53.5</x:v>
      </x:c>
      <x:c r="B15" t="n">
        <x:f>Chart_Data!N15-Chart_Data!L15</x:f>
        <x:v>-52.89202961017506</x:v>
      </x:c>
      <x:c r="D15" t="n">
        <x:f>Chart_Data!G15</x:f>
        <x:v>-53.5</x:v>
      </x:c>
      <x:c r="E15" t="n">
        <x:f>Chart_Data!H15</x:f>
        <x:v>215.04504497494062</x:v>
      </x:c>
      <x:c r="F15" t="n">
        <x:f>Chart_Data!I15</x:f>
        <x:v>215.04504497494062</x:v>
      </x:c>
      <x:c r="G15" t="n">
        <x:f>Chart_Data!J15</x:f>
        <x:v>49.305692333608725</x:v>
      </x:c>
      <x:c r="I15" t="n">
        <x:f>Scenario_Data!A15</x:f>
        <x:v>-0.892</x:v>
      </x:c>
      <x:c r="J15" t="n">
        <x:f>Scenario_Data!H15-(((SQRT((Inputs!$C$52+(Inputs!$H$6))^2+Inputs!$C$52^2-2*(Inputs!$C$52+(Inputs!$H$6))*Inputs!$C$52*COS(SQRT((Scenario_Data!T15)^2+Inputs!$C$6^2)/Inputs!$C$52)))-(Inputs!$H$6))*1000/Inputs!$C$12)</x:f>
        <x:v>-18.922080788589938</x:v>
      </x:c>
      <x:c r="K15" t="n">
        <x:f>Scenario_Data!I15-(((SQRT((Inputs!$C$52+(Inputs!$H$7))^2+Inputs!$C$52^2-2*(Inputs!$C$52+(Inputs!$H$7))*Inputs!$C$52*COS(SQRT((Scenario_Data!U15)^2+Inputs!$C$6^2)/Inputs!$C$52)))-(Inputs!$H$7))*1000/Inputs!$C$12)</x:f>
        <x:v>-80478.7496070101</x:v>
      </x:c>
      <x:c r="L15" t="n">
        <x:f>Scenario_Data!J15-(((SQRT((Inputs!$C$52+(Inputs!$H$8))^2+Inputs!$C$52^2-2*(Inputs!$C$52+(Inputs!$H$8))*Inputs!$C$52*COS(SQRT((Scenario_Data!V15)^2+Inputs!$C$6^2)/Inputs!$C$52)))-(Inputs!$H$8))*1000/Inputs!$C$12)</x:f>
        <x:v>-168431.02288308332</x:v>
      </x:c>
      <x:c r="M15" t="n">
        <x:f>Scenario_Data!K15-(((SQRT((Inputs!$C$52+(Inputs!$H$9))^2+Inputs!$C$52^2-2*(Inputs!$C$52+(Inputs!$H$9))*Inputs!$C$52*COS(SQRT((Scenario_Data!W15)^2+Inputs!$C$6^2)/Inputs!$C$52)))-(Inputs!$H$9))*1000/Inputs!$C$12)</x:f>
        <x:v>-172337.9237806311</x:v>
      </x:c>
      <x:c r="O15" t="n">
        <x:f>Scenario_Data!T15</x:f>
        <x:v>-53.52</x:v>
      </x:c>
      <x:c r="P15" t="n">
        <x:f>2*(Scenario_Data!B15*1000)/Inputs!$C$21*1000000</x:f>
        <x:v>2689.745156964556</x:v>
      </x:c>
      <x:c r="Q15" t="n">
        <x:f>Scenario_Data!U15</x:f>
        <x:v>-356.8</x:v>
      </x:c>
      <x:c r="R15" t="n">
        <x:f>2*(Scenario_Data!C15*1000)/Inputs!$C$21*1000000</x:f>
        <x:v>2170.9509450034266</x:v>
      </x:c>
      <x:c r="S15" t="n">
        <x:f>Scenario_Data!V15</x:f>
        <x:v>-713.6</x:v>
      </x:c>
      <x:c r="T15" t="n">
        <x:f>2*(Scenario_Data!D15*1000)/Inputs!$C$21*1000000</x:f>
        <x:v>5355.810251904337</x:v>
      </x:c>
      <x:c r="U15" t="n">
        <x:f>Scenario_Data!W15</x:f>
        <x:v>-713.6</x:v>
      </x:c>
      <x:c r="V15" t="n">
        <x:f>2*(Scenario_Data!E15*1000)/Inputs!$C$21*1000000</x:f>
        <x:v>5342.178421313054</x:v>
      </x:c>
      <x:c r="X15" t="n">
        <x:f>Scenario_Data!T15</x:f>
        <x:v>-53.52</x:v>
      </x:c>
      <x:c r="Y15" t="n">
        <x: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x:f>
        <x:v>2689.409732962194</x:v>
      </x:c>
      <x:c r="Z15" t="n">
        <x:f>Scenario_Data!U15</x:f>
        <x:v>-356.8</x:v>
      </x:c>
      <x:c r="AA15" t="n">
        <x: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x:f>
        <x:v>2170.5785179125855</x:v>
      </x:c>
      <x:c r="AB15" t="n">
        <x:f>Scenario_Data!V15</x:f>
        <x:v>-713.6</x:v>
      </x:c>
      <x:c r="AC15" t="n">
        <x: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x:f>
        <x:v>5355.753564055641</x:v>
      </x:c>
      <x:c r="AD15" t="n">
        <x:f>Scenario_Data!W15</x:f>
        <x:v>-713.6</x:v>
      </x:c>
      <x:c r="AE15" t="n">
        <x: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x:f>
        <x:v>5342.121733464359</x:v>
      </x:c>
      <x:c r="AG15" t="n">
        <x:f>Scenario_Data!T15</x:f>
        <x:v>-53.52</x:v>
      </x:c>
      <x:c r="AH15" t="n">
        <x:f>2*(SQRT((Inputs!$C$52+(Scenario_Data!B15))^2+Inputs!$C$52^2-2*(Inputs!$C$52+(Scenario_Data!B15))*Inputs!$C$52*COS(SQRT((Scenario_Data!T15)^2+Inputs!$C$6^2)/Inputs!$C$52))*1000)/Inputs!$C$21*1000000</x:f>
        <x:v>2725.824824510964</x:v>
      </x:c>
      <x:c r="AI15" t="n">
        <x:f>Scenario_Data!U15</x:f>
        <x:v>-356.8</x:v>
      </x:c>
      <x:c r="AJ15" t="n">
        <x:f>2*(SQRT((Inputs!$C$52+(Scenario_Data!C15))^2+Inputs!$C$52^2-2*(Inputs!$C$52+(Scenario_Data!C15))*Inputs!$C$52*COS(SQRT((Scenario_Data!U15)^2+Inputs!$C$6^2)/Inputs!$C$52))*1000)/Inputs!$C$21*1000000</x:f>
        <x:v>3400.5558883978983</x:v>
      </x:c>
      <x:c r="AK15" t="n">
        <x:f>Scenario_Data!V15</x:f>
        <x:v>-713.6</x:v>
      </x:c>
      <x:c r="AL15" t="n">
        <x:f>2*(SQRT((Inputs!$C$52+(Scenario_Data!D15))^2+Inputs!$C$52^2-2*(Inputs!$C$52+(Scenario_Data!D15))*Inputs!$C$52*COS(SQRT((Scenario_Data!V15)^2+Inputs!$C$6^2)/Inputs!$C$52))*1000)/Inputs!$C$21*1000000</x:f>
        <x:v>7902.69025957073</x:v>
      </x:c>
      <x:c r="AM15" t="n">
        <x:f>Scenario_Data!W15</x:f>
        <x:v>-713.6</x:v>
      </x:c>
      <x:c r="AN15" t="n">
        <x:f>2*(SQRT((Inputs!$C$52+(Scenario_Data!E15))^2+Inputs!$C$52^2-2*(Inputs!$C$52+(Scenario_Data!E15))*Inputs!$C$52*COS(SQRT((Scenario_Data!W15)^2+Inputs!$C$6^2)/Inputs!$C$52))*1000)/Inputs!$C$21*1000000</x:f>
        <x:v>7891.608688682572</x:v>
      </x:c>
      <x:c r="AP15" t="n">
        <x:f>Scenario_Data!T15</x:f>
        <x:v>-53.52</x:v>
      </x:c>
      <x:c r="AQ15" t="n">
        <x: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x:f>
        <x:v>2724.3586238461326</x:v>
      </x:c>
      <x:c r="AR15" t="n">
        <x:f>Scenario_Data!U15</x:f>
        <x:v>-356.8</x:v>
      </x:c>
      <x:c r="AS15" t="n">
        <x: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x:f>
        <x:v>3399.895538099978</x:v>
      </x:c>
      <x:c r="AT15" t="n">
        <x:f>Scenario_Data!V15</x:f>
        <x:v>-713.6</x:v>
      </x:c>
      <x:c r="AU15" t="n">
        <x: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x:f>
        <x:v>7902.130399222024</x:v>
      </x:c>
      <x:c r="AV15" t="n">
        <x:f>Scenario_Data!W15</x:f>
        <x:v>-713.6</x:v>
      </x:c>
      <x:c r="AW15" t="n">
        <x: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x:f>
        <x:v>7891.049878608124</x:v>
      </x:c>
    </x:row>
    <x:row r="16">
      <x:c r="A16" t="n">
        <x:f>Chart_Data!K16</x:f>
        <x:v>-53</x:v>
      </x:c>
      <x:c r="B16" t="n">
        <x:f>Chart_Data!N16-Chart_Data!L16</x:f>
        <x:v>-58.58124540527393</x:v>
      </x:c>
      <x:c r="D16" t="n">
        <x:f>Chart_Data!G16</x:f>
        <x:v>-53</x:v>
      </x:c>
      <x:c r="E16" t="n">
        <x:f>Chart_Data!H16</x:f>
        <x:v>220.27863667842527</x:v>
      </x:c>
      <x:c r="F16" t="n">
        <x:f>Chart_Data!I16</x:f>
        <x:v>220.27863667842527</x:v>
      </x:c>
      <x:c r="G16" t="n">
        <x:f>Chart_Data!J16</x:f>
        <x:v>54.9618266833629</x:v>
      </x:c>
      <x:c r="I16" t="n">
        <x:f>Scenario_Data!A16</x:f>
        <x:v>-0.883</x:v>
      </x:c>
      <x:c r="J16" t="n">
        <x:f>Scenario_Data!H16-(((SQRT((Inputs!$C$52+(Inputs!$H$6))^2+Inputs!$C$52^2-2*(Inputs!$C$52+(Inputs!$H$6))*Inputs!$C$52*COS(SQRT((Scenario_Data!T16)^2+Inputs!$C$6^2)/Inputs!$C$52)))-(Inputs!$H$6))*1000/Inputs!$C$12)</x:f>
        <x:v>-18.245949870930872</x:v>
      </x:c>
      <x:c r="K16" t="n">
        <x:f>Scenario_Data!I16-(((SQRT((Inputs!$C$52+(Inputs!$H$7))^2+Inputs!$C$52^2-2*(Inputs!$C$52+(Inputs!$H$7))*Inputs!$C$52*COS(SQRT((Scenario_Data!U16)^2+Inputs!$C$6^2)/Inputs!$C$52)))-(Inputs!$H$7))*1000/Inputs!$C$12)</x:f>
        <x:v>-79231.45069310423</x:v>
      </x:c>
      <x:c r="L16" t="n">
        <x:f>Scenario_Data!J16-(((SQRT((Inputs!$C$52+(Inputs!$H$8))^2+Inputs!$C$52^2-2*(Inputs!$C$52+(Inputs!$H$8))*Inputs!$C$52*COS(SQRT((Scenario_Data!V16)^2+Inputs!$C$6^2)/Inputs!$C$52)))-(Inputs!$H$8))*1000/Inputs!$C$12)</x:f>
        <x:v>-166386.80122569614</x:v>
      </x:c>
      <x:c r="M16" t="n">
        <x:f>Scenario_Data!K16-(((SQRT((Inputs!$C$52+(Inputs!$H$9))^2+Inputs!$C$52^2-2*(Inputs!$C$52+(Inputs!$H$9))*Inputs!$C$52*COS(SQRT((Scenario_Data!W16)^2+Inputs!$C$6^2)/Inputs!$C$52)))-(Inputs!$H$9))*1000/Inputs!$C$12)</x:f>
        <x:v>-170283.58230501943</x:v>
      </x:c>
      <x:c r="O16" t="n">
        <x:f>Scenario_Data!T16</x:f>
        <x:v>-52.980000000000004</x:v>
      </x:c>
      <x:c r="P16" t="n">
        <x:f>2*(Scenario_Data!B16*1000)/Inputs!$C$21*1000000</x:f>
        <x:v>2689.3188620508927</x:v>
      </x:c>
      <x:c r="Q16" t="n">
        <x:f>Scenario_Data!U16</x:f>
        <x:v>-353.2</x:v>
      </x:c>
      <x:c r="R16" t="n">
        <x:f>2*(Scenario_Data!C16*1000)/Inputs!$C$21*1000000</x:f>
        <x:v>2132.051534131656</x:v>
      </x:c>
      <x:c r="S16" t="n">
        <x:f>Scenario_Data!V16</x:f>
        <x:v>-706.4</x:v>
      </x:c>
      <x:c r="T16" t="n">
        <x:f>2*(Scenario_Data!D16*1000)/Inputs!$C$21*1000000</x:f>
        <x:v>5252.966603983079</x:v>
      </x:c>
      <x:c r="U16" t="n">
        <x:f>Scenario_Data!W16</x:f>
        <x:v>-706.4</x:v>
      </x:c>
      <x:c r="V16" t="n">
        <x:f>2*(Scenario_Data!E16*1000)/Inputs!$C$21*1000000</x:f>
        <x:v>5238.269036107639</x:v>
      </x:c>
      <x:c r="X16" t="n">
        <x:f>Scenario_Data!T16</x:f>
        <x:v>-52.980000000000004</x:v>
      </x:c>
      <x:c r="Y16" t="n">
        <x: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x:f>
        <x:v>2688.980515660841</x:v>
      </x:c>
      <x:c r="Z16" t="n">
        <x:f>Scenario_Data!U16</x:f>
        <x:v>-353.2</x:v>
      </x:c>
      <x:c r="AA16" t="n">
        <x: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x:f>
        <x:v>2131.7740125261435</x:v>
      </x:c>
      <x:c r="AB16" t="n">
        <x:f>Scenario_Data!V16</x:f>
        <x:v>-706.4</x:v>
      </x:c>
      <x:c r="AC16" t="n">
        <x: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x:f>
        <x:v>5253.145120344409</x:v>
      </x:c>
      <x:c r="AD16" t="n">
        <x:f>Scenario_Data!W16</x:f>
        <x:v>-706.4</x:v>
      </x:c>
      <x:c r="AE16" t="n">
        <x: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x:f>
        <x:v>5238.447552468971</x:v>
      </x:c>
      <x:c r="AG16" t="n">
        <x:f>Scenario_Data!T16</x:f>
        <x:v>-52.980000000000004</x:v>
      </x:c>
      <x:c r="AH16" t="n">
        <x:f>2*(SQRT((Inputs!$C$52+(Scenario_Data!B16))^2+Inputs!$C$52^2-2*(Inputs!$C$52+(Scenario_Data!B16))*Inputs!$C$52*COS(SQRT((Scenario_Data!T16)^2+Inputs!$C$6^2)/Inputs!$C$52))*1000)/Inputs!$C$21*1000000</x:f>
        <x:v>2724.8122322311165</x:v>
      </x:c>
      <x:c r="AI16" t="n">
        <x:f>Scenario_Data!U16</x:f>
        <x:v>-353.2</x:v>
      </x:c>
      <x:c r="AJ16" t="n">
        <x:f>2*(SQRT((Inputs!$C$52+(Scenario_Data!C16))^2+Inputs!$C$52^2-2*(Inputs!$C$52+(Scenario_Data!C16))*Inputs!$C$52*COS(SQRT((Scenario_Data!U16)^2+Inputs!$C$6^2)/Inputs!$C$52))*1000)/Inputs!$C$21*1000000</x:f>
        <x:v>3352.5143841718163</x:v>
      </x:c>
      <x:c r="AK16" t="n">
        <x:f>Scenario_Data!V16</x:f>
        <x:v>-706.4</x:v>
      </x:c>
      <x:c r="AL16" t="n">
        <x:f>2*(SQRT((Inputs!$C$52+(Scenario_Data!D16))^2+Inputs!$C$52^2-2*(Inputs!$C$52+(Scenario_Data!D16))*Inputs!$C$52*COS(SQRT((Scenario_Data!V16)^2+Inputs!$C$6^2)/Inputs!$C$52))*1000)/Inputs!$C$21*1000000</x:f>
        <x:v>7776.8914462931525</x:v>
      </x:c>
      <x:c r="AM16" t="n">
        <x:f>Scenario_Data!W16</x:f>
        <x:v>-706.4</x:v>
      </x:c>
      <x:c r="AN16" t="n">
        <x:f>2*(SQRT((Inputs!$C$52+(Scenario_Data!E16))^2+Inputs!$C$52^2-2*(Inputs!$C$52+(Scenario_Data!E16))*Inputs!$C$52*COS(SQRT((Scenario_Data!W16)^2+Inputs!$C$6^2)/Inputs!$C$52))*1000)/Inputs!$C$21*1000000</x:f>
        <x:v>7764.984900901367</x:v>
      </x:c>
      <x:c r="AP16" t="n">
        <x:f>Scenario_Data!T16</x:f>
        <x:v>-52.980000000000004</x:v>
      </x:c>
      <x:c r="AQ16" t="n">
        <x: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x:f>
        <x:v>2723.262706168718</x:v>
      </x:c>
      <x:c r="AR16" t="n">
        <x:f>Scenario_Data!U16</x:f>
        <x:v>-353.2</x:v>
      </x:c>
      <x:c r="AS16" t="n">
        <x: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x:f>
        <x:v>3351.834258988057</x:v>
      </x:c>
      <x:c r="AT16" t="n">
        <x:f>Scenario_Data!V16</x:f>
        <x:v>-706.4</x:v>
      </x:c>
      <x:c r="AU16" t="n">
        <x: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x:f>
        <x:v>7776.6419921566785</x:v>
      </x:c>
      <x:c r="AV16" t="n">
        <x:f>Scenario_Data!W16</x:f>
        <x:v>-706.4</x:v>
      </x:c>
      <x:c r="AW16" t="n">
        <x: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x:f>
        <x:v>7764.7359630806795</x:v>
      </x:c>
    </x:row>
    <x:row r="17">
      <x:c r="A17" t="n">
        <x:f>Chart_Data!K17</x:f>
        <x:v>-52.5</x:v>
      </x:c>
      <x:c r="B17" t="n">
        <x:f>Chart_Data!N17-Chart_Data!L17</x:f>
        <x:v>-45.612087128365545</x:v>
      </x:c>
      <x:c r="D17" t="n">
        <x:f>Chart_Data!G17</x:f>
        <x:v>-52.5</x:v>
      </x:c>
      <x:c r="E17" t="n">
        <x:f>Chart_Data!H17</x:f>
        <x:v>228.48571186718385</x:v>
      </x:c>
      <x:c r="F17" t="n">
        <x:f>Chart_Data!I17</x:f>
        <x:v>228.48571186718385</x:v>
      </x:c>
      <x:c r="G17" t="n">
        <x:f>Chart_Data!J17</x:f>
        <x:v>41.913539426844665</x:v>
      </x:c>
      <x:c r="I17" t="n">
        <x:f>Scenario_Data!A17</x:f>
        <x:v>-0.875</x:v>
      </x:c>
      <x:c r="J17" t="n">
        <x:f>Scenario_Data!H17-(((SQRT((Inputs!$C$52+(Inputs!$H$6))^2+Inputs!$C$52^2-2*(Inputs!$C$52+(Inputs!$H$6))*Inputs!$C$52*COS(SQRT((Scenario_Data!T17)^2+Inputs!$C$6^2)/Inputs!$C$52)))-(Inputs!$H$6))*1000/Inputs!$C$12)</x:f>
        <x:v>-17.660500113955095</x:v>
      </x:c>
      <x:c r="K17" t="n">
        <x:f>Scenario_Data!I17-(((SQRT((Inputs!$C$52+(Inputs!$H$7))^2+Inputs!$C$52^2-2*(Inputs!$C$52+(Inputs!$H$7))*Inputs!$C$52*COS(SQRT((Scenario_Data!U17)^2+Inputs!$C$6^2)/Inputs!$C$52)))-(Inputs!$H$7))*1000/Inputs!$C$12)</x:f>
        <x:v>-78124.32838336958</x:v>
      </x:c>
      <x:c r="L17" t="n">
        <x:f>Scenario_Data!J17-(((SQRT((Inputs!$C$52+(Inputs!$H$8))^2+Inputs!$C$52^2-2*(Inputs!$C$52+(Inputs!$H$8))*Inputs!$C$52*COS(SQRT((Scenario_Data!V17)^2+Inputs!$C$6^2)/Inputs!$C$52)))-(Inputs!$H$8))*1000/Inputs!$C$12)</x:f>
        <x:v>-164561.98259931064</x:v>
      </x:c>
      <x:c r="M17" t="n">
        <x:f>Scenario_Data!K17-(((SQRT((Inputs!$C$52+(Inputs!$H$9))^2+Inputs!$C$52^2-2*(Inputs!$C$52+(Inputs!$H$9))*Inputs!$C$52*COS(SQRT((Scenario_Data!W17)^2+Inputs!$C$6^2)/Inputs!$C$52)))-(Inputs!$H$9))*1000/Inputs!$C$12)</x:f>
        <x:v>-168449.4008262297</x:v>
      </x:c>
      <x:c r="O17" t="n">
        <x:f>Scenario_Data!T17</x:f>
        <x:v>-52.5</x:v>
      </x:c>
      <x:c r="P17" t="n">
        <x:f>2*(Scenario_Data!B17*1000)/Inputs!$C$21*1000000</x:f>
        <x:v>2688.9435624161033</x:v>
      </x:c>
      <x:c r="Q17" t="n">
        <x:f>Scenario_Data!U17</x:f>
        <x:v>-350</x:v>
      </x:c>
      <x:c r="R17" t="n">
        <x:f>2*(Scenario_Data!C17*1000)/Inputs!$C$21*1000000</x:f>
        <x:v>2097.8054424571283</x:v>
      </x:c>
      <x:c r="S17" t="n">
        <x:f>Scenario_Data!V17</x:f>
        <x:v>-700</x:v>
      </x:c>
      <x:c r="T17" t="n">
        <x:f>2*(Scenario_Data!D17*1000)/Inputs!$C$21*1000000</x:f>
        <x:v>5162.42556709015</x:v>
      </x:c>
      <x:c r="U17" t="n">
        <x:f>Scenario_Data!W17</x:f>
        <x:v>-700</x:v>
      </x:c>
      <x:c r="V17" t="n">
        <x:f>2*(Scenario_Data!E17*1000)/Inputs!$C$21*1000000</x:f>
        <x:v>5146.789750127737</x:v>
      </x:c>
      <x:c r="X17" t="n">
        <x:f>Scenario_Data!T17</x:f>
        <x:v>-52.5</x:v>
      </x:c>
      <x:c r="Y17" t="n">
        <x: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x:f>
        <x:v>2688.663945378994</x:v>
      </x:c>
      <x:c r="Z17" t="n">
        <x:f>Scenario_Data!U17</x:f>
        <x:v>-350</x:v>
      </x:c>
      <x:c r="AA17" t="n">
        <x: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x:f>
        <x:v>2097.9403231136466</x:v>
      </x:c>
      <x:c r="AB17" t="n">
        <x:f>Scenario_Data!V17</x:f>
        <x:v>-700</x:v>
      </x:c>
      <x:c r="AC17" t="n">
        <x: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x:f>
        <x:v>5162.261744423182</x:v>
      </x:c>
      <x:c r="AD17" t="n">
        <x:f>Scenario_Data!W17</x:f>
        <x:v>-700</x:v>
      </x:c>
      <x:c r="AE17" t="n">
        <x: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x:f>
        <x:v>5146.625927460768</x:v>
      </x:c>
      <x:c r="AG17" t="n">
        <x:f>Scenario_Data!T17</x:f>
        <x:v>-52.5</x:v>
      </x:c>
      <x:c r="AH17" t="n">
        <x:f>2*(SQRT((Inputs!$C$52+(Scenario_Data!B17))^2+Inputs!$C$52^2-2*(Inputs!$C$52+(Scenario_Data!B17))*Inputs!$C$52*COS(SQRT((Scenario_Data!T17)^2+Inputs!$C$6^2)/Inputs!$C$52))*1000)/Inputs!$C$21*1000000</x:f>
        <x:v>2723.920544268542</x:v>
      </x:c>
      <x:c r="AI17" t="n">
        <x:f>Scenario_Data!U17</x:f>
        <x:v>-350</x:v>
      </x:c>
      <x:c r="AJ17" t="n">
        <x:f>2*(SQRT((Inputs!$C$52+(Scenario_Data!C17))^2+Inputs!$C$52^2-2*(Inputs!$C$52+(Scenario_Data!C17))*Inputs!$C$52*COS(SQRT((Scenario_Data!U17)^2+Inputs!$C$6^2)/Inputs!$C$52))*1000)/Inputs!$C$21*1000000</x:f>
        <x:v>3310.123444717516</x:v>
      </x:c>
      <x:c r="AK17" t="n">
        <x:f>Scenario_Data!V17</x:f>
        <x:v>-700</x:v>
      </x:c>
      <x:c r="AL17" t="n">
        <x:f>2*(SQRT((Inputs!$C$52+(Scenario_Data!D17))^2+Inputs!$C$52^2-2*(Inputs!$C$52+(Scenario_Data!D17))*Inputs!$C$52*COS(SQRT((Scenario_Data!V17)^2+Inputs!$C$6^2)/Inputs!$C$52))*1000)/Inputs!$C$21*1000000</x:f>
        <x:v>7666.018043289701</x:v>
      </x:c>
      <x:c r="AM17" t="n">
        <x:f>Scenario_Data!W17</x:f>
        <x:v>-700</x:v>
      </x:c>
      <x:c r="AN17" t="n">
        <x:f>2*(SQRT((Inputs!$C$52+(Scenario_Data!E17))^2+Inputs!$C$52^2-2*(Inputs!$C$52+(Scenario_Data!E17))*Inputs!$C$52*COS(SQRT((Scenario_Data!W17)^2+Inputs!$C$6^2)/Inputs!$C$52))*1000)/Inputs!$C$21*1000000</x:f>
        <x:v>7653.39120605297</x:v>
      </x:c>
      <x:c r="AP17" t="n">
        <x:f>Scenario_Data!T17</x:f>
        <x:v>-52.5</x:v>
      </x:c>
      <x:c r="AQ17" t="n">
        <x: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x:f>
        <x:v>2722.4209257280004</x:v>
      </x:c>
      <x:c r="AR17" t="n">
        <x:f>Scenario_Data!U17</x:f>
        <x:v>-350</x:v>
      </x:c>
      <x:c r="AS17" t="n">
        <x: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x:f>
        <x:v>3309.70809101759</x:v>
      </x:c>
      <x:c r="AT17" t="n">
        <x:f>Scenario_Data!V17</x:f>
        <x:v>-700</x:v>
      </x:c>
      <x:c r="AU17" t="n">
        <x: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x:f>
        <x:v>7665.4810009588955</x:v>
      </x:c>
      <x:c r="AV17" t="n">
        <x:f>Scenario_Data!W17</x:f>
        <x:v>-700</x:v>
      </x:c>
      <x:c r="AW17" t="n">
        <x: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x:f>
        <x:v>7652.855371318062</x:v>
      </x:c>
    </x:row>
    <x:row r="18">
      <x:c r="A18" t="n">
        <x:f>Chart_Data!K18</x:f>
        <x:v>-52</x:v>
      </x:c>
      <x:c r="B18" t="n">
        <x:f>Chart_Data!N18-Chart_Data!L18</x:f>
        <x:v>-47.85601796566243</x:v>
      </x:c>
      <x:c r="D18" t="n">
        <x:f>Chart_Data!G18</x:f>
        <x:v>-52</x:v>
      </x:c>
      <x:c r="E18" t="n">
        <x:f>Chart_Data!H18</x:f>
        <x:v>241.24392327938918</x:v>
      </x:c>
      <x:c r="F18" t="n">
        <x:f>Chart_Data!I18</x:f>
        <x:v>241.24392327938918</x:v>
      </x:c>
      <x:c r="G18" t="n">
        <x:f>Chart_Data!J18</x:f>
        <x:v>44.0092440465048</x:v>
      </x:c>
      <x:c r="I18" t="n">
        <x:f>Scenario_Data!A18</x:f>
        <x:v>-0.867</x:v>
      </x:c>
      <x:c r="J18" t="n">
        <x:f>Scenario_Data!H18-(((SQRT((Inputs!$C$52+(Inputs!$H$6))^2+Inputs!$C$52^2-2*(Inputs!$C$52+(Inputs!$H$6))*Inputs!$C$52*COS(SQRT((Scenario_Data!T18)^2+Inputs!$C$6^2)/Inputs!$C$52)))-(Inputs!$H$6))*1000/Inputs!$C$12)</x:f>
        <x:v>-17.089442616799715</x:v>
      </x:c>
      <x:c r="K18" t="n">
        <x:f>Scenario_Data!I18-(((SQRT((Inputs!$C$52+(Inputs!$H$7))^2+Inputs!$C$52^2-2*(Inputs!$C$52+(Inputs!$H$7))*Inputs!$C$52*COS(SQRT((Scenario_Data!U18)^2+Inputs!$C$6^2)/Inputs!$C$52)))-(Inputs!$H$7))*1000/Inputs!$C$12)</x:f>
        <x:v>-77018.79498984448</x:v>
      </x:c>
      <x:c r="L18" t="n">
        <x:f>Scenario_Data!J18-(((SQRT((Inputs!$C$52+(Inputs!$H$8))^2+Inputs!$C$52^2-2*(Inputs!$C$52+(Inputs!$H$8))*Inputs!$C$52*COS(SQRT((Scenario_Data!V18)^2+Inputs!$C$6^2)/Inputs!$C$52)))-(Inputs!$H$8))*1000/Inputs!$C$12)</x:f>
        <x:v>-162730.03298707734</x:v>
      </x:c>
      <x:c r="M18" t="n">
        <x:f>Scenario_Data!K18-(((SQRT((Inputs!$C$52+(Inputs!$H$9))^2+Inputs!$C$52^2-2*(Inputs!$C$52+(Inputs!$H$9))*Inputs!$C$52*COS(SQRT((Scenario_Data!W18)^2+Inputs!$C$6^2)/Inputs!$C$52)))-(Inputs!$H$9))*1000/Inputs!$C$12)</x:f>
        <x:v>-166607.7364499004</x:v>
      </x:c>
      <x:c r="O18" t="n">
        <x:f>Scenario_Data!T18</x:f>
        <x:v>-52.019999999999996</x:v>
      </x:c>
      <x:c r="P18" t="n">
        <x:f>2*(Scenario_Data!B18*1000)/Inputs!$C$21*1000000</x:f>
        <x:v>2688.5716784776487</x:v>
      </x:c>
      <x:c r="Q18" t="n">
        <x:f>Scenario_Data!U18</x:f>
        <x:v>-346.8</x:v>
      </x:c>
      <x:c r="R18" t="n">
        <x:f>2*(Scenario_Data!C18*1000)/Inputs!$C$21*1000000</x:f>
        <x:v>2063.8710330731533</x:v>
      </x:c>
      <x:c r="S18" t="n">
        <x:f>Scenario_Data!V18</x:f>
        <x:v>-693.6</x:v>
      </x:c>
      <x:c r="T18" t="n">
        <x:f>2*(Scenario_Data!D18*1000)/Inputs!$C$21*1000000</x:f>
        <x:v>5072.708566937998</x:v>
      </x:c>
      <x:c r="U18" t="n">
        <x:f>Scenario_Data!W18</x:f>
        <x:v>-693.6</x:v>
      </x:c>
      <x:c r="V18" t="n">
        <x:f>2*(Scenario_Data!E18*1000)/Inputs!$C$21*1000000</x:f>
        <x:v>5056.143040129448</x:v>
      </x:c>
      <x:c r="X18" t="n">
        <x:f>Scenario_Data!T18</x:f>
        <x:v>-52.019999999999996</x:v>
      </x:c>
      <x:c r="Y18" t="n">
        <x: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x:f>
        <x:v>2688.3599201386814</x:v>
      </x:c>
      <x:c r="Z18" t="n">
        <x:f>Scenario_Data!U18</x:f>
        <x:v>-346.8</x:v>
      </x:c>
      <x:c r="AA18" t="n">
        <x: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x:f>
        <x:v>2064.052827462836</x:v>
      </x:c>
      <x:c r="AB18" t="n">
        <x:f>Scenario_Data!V18</x:f>
        <x:v>-693.6</x:v>
      </x:c>
      <x:c r="AC18" t="n">
        <x: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x:f>
        <x:v>5072.4876261424</x:v>
      </x:c>
      <x:c r="AD18" t="n">
        <x:f>Scenario_Data!W18</x:f>
        <x:v>-693.6</x:v>
      </x:c>
      <x:c r="AE18" t="n">
        <x: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x:f>
        <x:v>5055.92209933385</x:v>
      </x:c>
      <x:c r="AG18" t="n">
        <x:f>Scenario_Data!T18</x:f>
        <x:v>-52.019999999999996</x:v>
      </x:c>
      <x:c r="AH18" t="n">
        <x:f>2*(SQRT((Inputs!$C$52+(Scenario_Data!B18))^2+Inputs!$C$52^2-2*(Inputs!$C$52+(Scenario_Data!B18))*Inputs!$C$52*COS(SQRT((Scenario_Data!T18)^2+Inputs!$C$6^2)/Inputs!$C$52))*1000)/Inputs!$C$21*1000000</x:f>
        <x:v>2723.0367624197406</x:v>
      </x:c>
      <x:c r="AI18" t="n">
        <x:f>Scenario_Data!U18</x:f>
        <x:v>-346.8</x:v>
      </x:c>
      <x:c r="AJ18" t="n">
        <x:f>2*(SQRT((Inputs!$C$52+(Scenario_Data!C18))^2+Inputs!$C$52^2-2*(Inputs!$C$52+(Scenario_Data!C18))*Inputs!$C$52*COS(SQRT((Scenario_Data!U18)^2+Inputs!$C$6^2)/Inputs!$C$52))*1000)/Inputs!$C$21*1000000</x:f>
        <x:v>3268.0257165997627</x:v>
      </x:c>
      <x:c r="AK18" t="n">
        <x:f>Scenario_Data!V18</x:f>
        <x:v>-693.6</x:v>
      </x:c>
      <x:c r="AL18" t="n">
        <x:f>2*(SQRT((Inputs!$C$52+(Scenario_Data!D18))^2+Inputs!$C$52^2-2*(Inputs!$C$52+(Scenario_Data!D18))*Inputs!$C$52*COS(SQRT((Scenario_Data!V18)^2+Inputs!$C$6^2)/Inputs!$C$52))*1000)/Inputs!$C$21*1000000</x:f>
        <x:v>7556.035134917943</x:v>
      </x:c>
      <x:c r="AM18" t="n">
        <x:f>Scenario_Data!W18</x:f>
        <x:v>-693.6</x:v>
      </x:c>
      <x:c r="AN18" t="n">
        <x:f>2*(SQRT((Inputs!$C$52+(Scenario_Data!E18))^2+Inputs!$C$52^2-2*(Inputs!$C$52+(Scenario_Data!E18))*Inputs!$C$52*COS(SQRT((Scenario_Data!W18)^2+Inputs!$C$6^2)/Inputs!$C$52))*1000)/Inputs!$C$21*1000000</x:f>
        <x:v>7542.700317284668</x:v>
      </x:c>
      <x:c r="AP18" t="n">
        <x:f>Scenario_Data!T18</x:f>
        <x:v>-52.019999999999996</x:v>
      </x:c>
      <x:c r="AQ18" t="n">
        <x: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x:f>
        <x:v>2721.453798788491</x:v>
      </x:c>
      <x:c r="AR18" t="n">
        <x:f>Scenario_Data!U18</x:f>
        <x:v>-346.8</x:v>
      </x:c>
      <x:c r="AS18" t="n">
        <x: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x:f>
        <x:v>3267.709124542621</x:v>
      </x:c>
      <x:c r="AT18" t="n">
        <x:f>Scenario_Data!V18</x:f>
        <x:v>-693.6</x:v>
      </x:c>
      <x:c r="AU18" t="n">
        <x: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x:f>
        <x:v>7555.439677176813</x:v>
      </x:c>
      <x:c r="AV18" t="n">
        <x:f>Scenario_Data!W18</x:f>
        <x:v>-693.6</x:v>
      </x:c>
      <x:c r="AW18" t="n">
        <x: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x:f>
        <x:v>7542.106308297932</x:v>
      </x:c>
    </x:row>
    <x:row r="19">
      <x:c r="A19" t="n">
        <x:f>Chart_Data!K19</x:f>
        <x:v>-51.5</x:v>
      </x:c>
      <x:c r="B19" t="n">
        <x:f>Chart_Data!N19-Chart_Data!L19</x:f>
        <x:v>-36.597181996407414</x:v>
      </x:c>
      <x:c r="D19" t="n">
        <x:f>Chart_Data!G19</x:f>
        <x:v>-51.5</x:v>
      </x:c>
      <x:c r="E19" t="n">
        <x:f>Chart_Data!H19</x:f>
        <x:v>261.3961473371179</x:v>
      </x:c>
      <x:c r="F19" t="n">
        <x:f>Chart_Data!I19</x:f>
        <x:v>261.3961473371179</x:v>
      </x:c>
      <x:c r="G19" t="n">
        <x:f>Chart_Data!J19</x:f>
        <x:v>32.491619283106324</x:v>
      </x:c>
      <x:c r="I19" t="n">
        <x:f>Scenario_Data!A19</x:f>
        <x:v>-0.858</x:v>
      </x:c>
      <x:c r="J19" t="n">
        <x:f>Scenario_Data!H19-(((SQRT((Inputs!$C$52+(Inputs!$H$6))^2+Inputs!$C$52^2-2*(Inputs!$C$52+(Inputs!$H$6))*Inputs!$C$52*COS(SQRT((Scenario_Data!T19)^2+Inputs!$C$6^2)/Inputs!$C$52)))-(Inputs!$H$6))*1000/Inputs!$C$12)</x:f>
        <x:v>-16.463911639531943</x:v>
      </x:c>
      <x:c r="K19" t="n">
        <x:f>Scenario_Data!I19-(((SQRT((Inputs!$C$52+(Inputs!$H$7))^2+Inputs!$C$52^2-2*(Inputs!$C$52+(Inputs!$H$7))*Inputs!$C$52*COS(SQRT((Scenario_Data!U19)^2+Inputs!$C$6^2)/Inputs!$C$52)))-(Inputs!$H$7))*1000/Inputs!$C$12)</x:f>
        <x:v>-75777.08439083702</x:v>
      </x:c>
      <x:c r="L19" t="n">
        <x:f>Scenario_Data!J19-(((SQRT((Inputs!$C$52+(Inputs!$H$8))^2+Inputs!$C$52^2-2*(Inputs!$C$52+(Inputs!$H$8))*Inputs!$C$52*COS(SQRT((Scenario_Data!V19)^2+Inputs!$C$6^2)/Inputs!$C$52)))-(Inputs!$H$8))*1000/Inputs!$C$12)</x:f>
        <x:v>-160660.7470162979</x:v>
      </x:c>
      <x:c r="M19" t="n">
        <x:f>Scenario_Data!K19-(((SQRT((Inputs!$C$52+(Inputs!$H$9))^2+Inputs!$C$52^2-2*(Inputs!$C$52+(Inputs!$H$9))*Inputs!$C$52*COS(SQRT((Scenario_Data!W19)^2+Inputs!$C$6^2)/Inputs!$C$52)))-(Inputs!$H$9))*1000/Inputs!$C$12)</x:f>
        <x:v>-164527.09337077424</x:v>
      </x:c>
      <x:c r="O19" t="n">
        <x:f>Scenario_Data!T19</x:f>
        <x:v>-51.48</x:v>
      </x:c>
      <x:c r="P19" t="n">
        <x:f>2*(Scenario_Data!B19*1000)/Inputs!$C$21*1000000</x:f>
        <x:v>2688.1573918714125</x:v>
      </x:c>
      <x:c r="Q19" t="n">
        <x:f>Scenario_Data!U19</x:f>
        <x:v>-343.2</x:v>
      </x:c>
      <x:c r="R19" t="n">
        <x:f>2*(Scenario_Data!C19*1000)/Inputs!$C$21*1000000</x:f>
        <x:v>2026.067380254109</x:v>
      </x:c>
      <x:c r="S19" t="n">
        <x:f>Scenario_Data!V19</x:f>
        <x:v>-686.4</x:v>
      </x:c>
      <x:c r="T19" t="n">
        <x:f>2*(Scenario_Data!D19*1000)/Inputs!$C$21*1000000</x:f>
        <x:v>4972.761923183538</x:v>
      </x:c>
      <x:c r="U19" t="n">
        <x:f>Scenario_Data!W19</x:f>
        <x:v>-686.4</x:v>
      </x:c>
      <x:c r="V19" t="n">
        <x:f>2*(Scenario_Data!E19*1000)/Inputs!$C$21*1000000</x:f>
        <x:v>4955.1606798593975</x:v>
      </x:c>
      <x:c r="X19" t="n">
        <x:f>Scenario_Data!T19</x:f>
        <x:v>-51.48</x:v>
      </x:c>
      <x:c r="Y19" t="n">
        <x: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x:f>
        <x:v>2687.8899442216875</x:v>
      </x:c>
      <x:c r="Z19" t="n">
        <x:f>Scenario_Data!U19</x:f>
        <x:v>-343.2</x:v>
      </x:c>
      <x:c r="AA19" t="n">
        <x: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x:f>
        <x:v>2025.8824537713756</x:v>
      </x:c>
      <x:c r="AB19" t="n">
        <x:f>Scenario_Data!V19</x:f>
        <x:v>-686.4</x:v>
      </x:c>
      <x:c r="AC19" t="n">
        <x: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x:f>
        <x:v>4972.64948397899</x:v>
      </x:c>
      <x:c r="AD19" t="n">
        <x:f>Scenario_Data!W19</x:f>
        <x:v>-686.4</x:v>
      </x:c>
      <x:c r="AE19" t="n">
        <x: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x:f>
        <x:v>4955.048240654851</x:v>
      </x:c>
      <x:c r="AG19" t="n">
        <x:f>Scenario_Data!T19</x:f>
        <x:v>-51.48</x:v>
      </x:c>
      <x:c r="AH19" t="n">
        <x:f>2*(SQRT((Inputs!$C$52+(Scenario_Data!B19))^2+Inputs!$C$52^2-2*(Inputs!$C$52+(Scenario_Data!B19))*Inputs!$C$52*COS(SQRT((Scenario_Data!T19)^2+Inputs!$C$6^2)/Inputs!$C$52))*1000)/Inputs!$C$21*1000000</x:f>
        <x:v>2722.0519650158485</x:v>
      </x:c>
      <x:c r="AI19" t="n">
        <x:f>Scenario_Data!U19</x:f>
        <x:v>-343.2</x:v>
      </x:c>
      <x:c r="AJ19" t="n">
        <x:f>2*(SQRT((Inputs!$C$52+(Scenario_Data!C19))^2+Inputs!$C$52^2-2*(Inputs!$C$52+(Scenario_Data!C19))*Inputs!$C$52*COS(SQRT((Scenario_Data!U19)^2+Inputs!$C$6^2)/Inputs!$C$52))*1000)/Inputs!$C$21*1000000</x:f>
        <x:v>3221.015010080671</x:v>
      </x:c>
      <x:c r="AK19" t="n">
        <x:f>Scenario_Data!V19</x:f>
        <x:v>-686.4</x:v>
      </x:c>
      <x:c r="AL19" t="n">
        <x:f>2*(SQRT((Inputs!$C$52+(Scenario_Data!D19))^2+Inputs!$C$52^2-2*(Inputs!$C$52+(Scenario_Data!D19))*Inputs!$C$52*COS(SQRT((Scenario_Data!V19)^2+Inputs!$C$6^2)/Inputs!$C$52))*1000)/Inputs!$C$21*1000000</x:f>
        <x:v>7433.366902852947</x:v>
      </x:c>
      <x:c r="AM19" t="n">
        <x:f>Scenario_Data!W19</x:f>
        <x:v>-686.4</x:v>
      </x:c>
      <x:c r="AN19" t="n">
        <x:f>2*(SQRT((Inputs!$C$52+(Scenario_Data!E19))^2+Inputs!$C$52^2-2*(Inputs!$C$52+(Scenario_Data!E19))*Inputs!$C$52*COS(SQRT((Scenario_Data!W19)^2+Inputs!$C$6^2)/Inputs!$C$52))*1000)/Inputs!$C$21*1000000</x:f>
        <x:v>7419.25039373271</x:v>
      </x:c>
      <x:c r="AP19" t="n">
        <x:f>Scenario_Data!T19</x:f>
        <x:v>-51.48</x:v>
      </x:c>
      <x:c r="AQ19" t="n">
        <x: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x:f>
        <x:v>2720.3789439041557</x:v>
      </x:c>
      <x:c r="AR19" t="n">
        <x:f>Scenario_Data!U19</x:f>
        <x:v>-343.2</x:v>
      </x:c>
      <x:c r="AS19" t="n">
        <x: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x:f>
        <x:v>3220.525348840778</x:v>
      </x:c>
      <x:c r="AT19" t="n">
        <x:f>Scenario_Data!V19</x:f>
        <x:v>-686.4</x:v>
      </x:c>
      <x:c r="AU19" t="n">
        <x: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x:f>
        <x:v>7433.099881007341</x:v>
      </x:c>
      <x:c r="AV19" t="n">
        <x:f>Scenario_Data!W19</x:f>
        <x:v>-686.4</x:v>
      </x:c>
      <x:c r="AW19" t="n">
        <x: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x:f>
        <x:v>7418.984078737651</x:v>
      </x:c>
    </x:row>
    <x:row r="20">
      <x:c r="A20" t="n">
        <x:f>Chart_Data!K20</x:f>
        <x:v>-51</x:v>
      </x:c>
      <x:c r="B20" t="n">
        <x:f>Chart_Data!N20-Chart_Data!L20</x:f>
        <x:v>-43.00623256223966</x:v>
      </x:c>
      <x:c r="D20" t="n">
        <x:f>Chart_Data!G20</x:f>
        <x:v>-51</x:v>
      </x:c>
      <x:c r="E20" t="n">
        <x:f>Chart_Data!H20</x:f>
        <x:v>251.96732827517536</x:v>
      </x:c>
      <x:c r="F20" t="n">
        <x:f>Chart_Data!I20</x:f>
        <x:v>251.96732827517536</x:v>
      </x:c>
      <x:c r="G20" t="n">
        <x:f>Chart_Data!J20</x:f>
        <x:v>39.10881658677256</x:v>
      </x:c>
      <x:c r="I20" t="n">
        <x:f>Scenario_Data!A20</x:f>
        <x:v>-0.85</x:v>
      </x:c>
      <x:c r="J20" t="n">
        <x:f>Scenario_Data!H20-(((SQRT((Inputs!$C$52+(Inputs!$H$6))^2+Inputs!$C$52^2-2*(Inputs!$C$52+(Inputs!$H$6))*Inputs!$C$52*COS(SQRT((Scenario_Data!T20)^2+Inputs!$C$6^2)/Inputs!$C$52)))-(Inputs!$H$6))*1000/Inputs!$C$12)</x:f>
        <x:v>-15.922654129073635</x:v>
      </x:c>
      <x:c r="K20" t="n">
        <x:f>Scenario_Data!I20-(((SQRT((Inputs!$C$52+(Inputs!$H$7))^2+Inputs!$C$52^2-2*(Inputs!$C$52+(Inputs!$H$7))*Inputs!$C$52*COS(SQRT((Scenario_Data!U20)^2+Inputs!$C$6^2)/Inputs!$C$52)))-(Inputs!$H$7))*1000/Inputs!$C$12)</x:f>
        <x:v>-74675.23669418608</x:v>
      </x:c>
      <x:c r="L20" t="n">
        <x:f>Scenario_Data!J20-(((SQRT((Inputs!$C$52+(Inputs!$H$8))^2+Inputs!$C$52^2-2*(Inputs!$C$52+(Inputs!$H$8))*Inputs!$C$52*COS(SQRT((Scenario_Data!V20)^2+Inputs!$C$6^2)/Inputs!$C$52)))-(Inputs!$H$8))*1000/Inputs!$C$12)</x:f>
        <x:v>-158814.13192459266</x:v>
      </x:c>
      <x:c r="M20" t="n">
        <x:f>Scenario_Data!K20-(((SQRT((Inputs!$C$52+(Inputs!$H$9))^2+Inputs!$C$52^2-2*(Inputs!$C$52+(Inputs!$H$9))*Inputs!$C$52*COS(SQRT((Scenario_Data!W20)^2+Inputs!$C$6^2)/Inputs!$C$52)))-(Inputs!$H$9))*1000/Inputs!$C$12)</x:f>
        <x:v>-162669.9960054315</x:v>
      </x:c>
      <x:c r="O20" t="n">
        <x:f>Scenario_Data!T20</x:f>
        <x:v>-51</x:v>
      </x:c>
      <x:c r="P20" t="n">
        <x:f>2*(Scenario_Data!B20*1000)/Inputs!$C$21*1000000</x:f>
        <x:v>2687.7927662876696</x:v>
      </x:c>
      <x:c r="Q20" t="n">
        <x:f>Scenario_Data!U20</x:f>
        <x:v>-340</x:v>
      </x:c>
      <x:c r="R20" t="n">
        <x:f>2*(Scenario_Data!C20*1000)/Inputs!$C$21*1000000</x:f>
        <x:v>1992.7952957375599</x:v>
      </x:c>
      <x:c r="S20" t="n">
        <x:f>Scenario_Data!V20</x:f>
        <x:v>-680</x:v>
      </x:c>
      <x:c r="T20" t="n">
        <x:f>2*(Scenario_Data!D20*1000)/Inputs!$C$21*1000000</x:f>
        <x:v>4884.7960011055375</x:v>
      </x:c>
      <x:c r="U20" t="n">
        <x:f>Scenario_Data!W20</x:f>
        <x:v>-680</x:v>
      </x:c>
      <x:c r="V20" t="n">
        <x:f>2*(Scenario_Data!E20*1000)/Inputs!$C$21*1000000</x:f>
        <x:v>4866.28319382204</x:v>
      </x:c>
      <x:c r="X20" t="n">
        <x:f>Scenario_Data!T20</x:f>
        <x:v>-51</x:v>
      </x:c>
      <x:c r="Y20" t="n">
        <x: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x:f>
        <x:v>2687.531860347289</x:v>
      </x:c>
      <x:c r="Z20" t="n">
        <x:f>Scenario_Data!U20</x:f>
        <x:v>-340</x:v>
      </x:c>
      <x:c r="AA20" t="n">
        <x: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x:f>
        <x:v>1992.3821270692197</x:v>
      </x:c>
      <x:c r="AB20" t="n">
        <x:f>Scenario_Data!V20</x:f>
        <x:v>-680</x:v>
      </x:c>
      <x:c r="AC20" t="n">
        <x: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x:f>
        <x:v>4884.268557637219</x:v>
      </x:c>
      <x:c r="AD20" t="n">
        <x:f>Scenario_Data!W20</x:f>
        <x:v>-680</x:v>
      </x:c>
      <x:c r="AE20" t="n">
        <x: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x:f>
        <x:v>4865.75575035372</x:v>
      </x:c>
      <x:c r="AG20" t="n">
        <x:f>Scenario_Data!T20</x:f>
        <x:v>-51</x:v>
      </x:c>
      <x:c r="AH20" t="n">
        <x:f>2*(SQRT((Inputs!$C$52+(Scenario_Data!B20))^2+Inputs!$C$52^2-2*(Inputs!$C$52+(Scenario_Data!B20))*Inputs!$C$52*COS(SQRT((Scenario_Data!T20)^2+Inputs!$C$6^2)/Inputs!$C$52))*1000)/Inputs!$C$21*1000000</x:f>
        <x:v>2721.1850020092143</x:v>
      </x:c>
      <x:c r="AI20" t="n">
        <x:f>Scenario_Data!U20</x:f>
        <x:v>-340</x:v>
      </x:c>
      <x:c r="AJ20" t="n">
        <x:f>2*(SQRT((Inputs!$C$52+(Scenario_Data!C20))^2+Inputs!$C$52^2-2*(Inputs!$C$52+(Scenario_Data!C20))*Inputs!$C$52*COS(SQRT((Scenario_Data!U20)^2+Inputs!$C$6^2)/Inputs!$C$52))*1000)/Inputs!$C$21*1000000</x:f>
        <x:v>3179.537024764877</x:v>
      </x:c>
      <x:c r="AK20" t="n">
        <x:f>Scenario_Data!V20</x:f>
        <x:v>-680</x:v>
      </x:c>
      <x:c r="AL20" t="n">
        <x:f>2*(SQRT((Inputs!$C$52+(Scenario_Data!D20))^2+Inputs!$C$52^2-2*(Inputs!$C$52+(Scenario_Data!D20))*Inputs!$C$52*COS(SQRT((Scenario_Data!V20)^2+Inputs!$C$6^2)/Inputs!$C$52))*1000)/Inputs!$C$21*1000000</x:f>
        <x:v>7325.2712267935</x:v>
      </x:c>
      <x:c r="AM20" t="n">
        <x:f>Scenario_Data!W20</x:f>
        <x:v>-680</x:v>
      </x:c>
      <x:c r="AN20" t="n">
        <x:f>2*(SQRT((Inputs!$C$52+(Scenario_Data!E20))^2+Inputs!$C$52^2-2*(Inputs!$C$52+(Scenario_Data!E20))*Inputs!$C$52*COS(SQRT((Scenario_Data!W20)^2+Inputs!$C$6^2)/Inputs!$C$52))*1000)/Inputs!$C$21*1000000</x:f>
        <x:v>7310.473087383565</x:v>
      </x:c>
      <x:c r="AP20" t="n">
        <x:f>Scenario_Data!T20</x:f>
        <x:v>-51</x:v>
      </x:c>
      <x:c r="AQ20" t="n">
        <x: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x:f>
        <x:v>2719.530057692372</x:v>
      </x:c>
      <x:c r="AR20" t="n">
        <x:f>Scenario_Data!U20</x:f>
        <x:v>-340</x:v>
      </x:c>
      <x:c r="AS20" t="n">
        <x: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x:f>
        <x:v>3178.9032534055073</x:v>
      </x:c>
      <x:c r="AT20" t="n">
        <x:f>Scenario_Data!V20</x:f>
        <x:v>-680</x:v>
      </x:c>
      <x:c r="AU20" t="n">
        <x: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x:f>
        <x:v>7324.546168355662</x:v>
      </x:c>
      <x:c r="AV20" t="n">
        <x:f>Scenario_Data!W20</x:f>
        <x:v>-680</x:v>
      </x:c>
      <x:c r="AW20" t="n">
        <x: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x:f>
        <x:v>7309.750091969138</x:v>
      </x:c>
    </x:row>
    <x:row r="21">
      <x:c r="A21" t="n">
        <x:f>Chart_Data!K21</x:f>
        <x:v>-50.5</x:v>
      </x:c>
      <x:c r="B21" t="n">
        <x:f>Chart_Data!N21-Chart_Data!L21</x:f>
        <x:v>-51.79967795707989</x:v>
      </x:c>
      <x:c r="D21" t="n">
        <x:f>Chart_Data!G21</x:f>
        <x:v>-50.5</x:v>
      </x:c>
      <x:c r="E21" t="n">
        <x:f>Chart_Data!H21</x:f>
        <x:v>249.7278681272967</x:v>
      </x:c>
      <x:c r="F21" t="n">
        <x:f>Chart_Data!I21</x:f>
        <x:v>249.7278681272967</x:v>
      </x:c>
      <x:c r="G21" t="n">
        <x:f>Chart_Data!J21</x:f>
        <x:v>47.99583170220943</x:v>
      </x:c>
      <x:c r="I21" t="n">
        <x:f>Scenario_Data!A21</x:f>
        <x:v>-0.842</x:v>
      </x:c>
      <x:c r="J21" t="n">
        <x:f>Scenario_Data!H21-(((SQRT((Inputs!$C$52+(Inputs!$H$6))^2+Inputs!$C$52^2-2*(Inputs!$C$52+(Inputs!$H$6))*Inputs!$C$52*COS(SQRT((Scenario_Data!T21)^2+Inputs!$C$6^2)/Inputs!$C$52)))-(Inputs!$H$6))*1000/Inputs!$C$12)</x:f>
        <x:v>-15.39505495210642</x:v>
      </x:c>
      <x:c r="K21" t="n">
        <x:f>Scenario_Data!I21-(((SQRT((Inputs!$C$52+(Inputs!$H$7))^2+Inputs!$C$52^2-2*(Inputs!$C$52+(Inputs!$H$7))*Inputs!$C$52*COS(SQRT((Scenario_Data!U21)^2+Inputs!$C$6^2)/Inputs!$C$52)))-(Inputs!$H$7))*1000/Inputs!$C$12)</x:f>
        <x:v>-73575.27277737434</x:v>
      </x:c>
      <x:c r="L21" t="n">
        <x:f>Scenario_Data!J21-(((SQRT((Inputs!$C$52+(Inputs!$H$8))^2+Inputs!$C$52^2-2*(Inputs!$C$52+(Inputs!$H$8))*Inputs!$C$52*COS(SQRT((Scenario_Data!V21)^2+Inputs!$C$6^2)/Inputs!$C$52)))-(Inputs!$H$8))*1000/Inputs!$C$12)</x:f>
        <x:v>-156960.85443111646</x:v>
      </x:c>
      <x:c r="M21" t="n">
        <x:f>Scenario_Data!K21-(((SQRT((Inputs!$C$52+(Inputs!$H$9))^2+Inputs!$C$52^2-2*(Inputs!$C$52+(Inputs!$H$9))*Inputs!$C$52*COS(SQRT((Scenario_Data!W21)^2+Inputs!$C$6^2)/Inputs!$C$52)))-(Inputs!$H$9))*1000/Inputs!$C$12)</x:f>
        <x:v>-160805.86562780707</x:v>
      </x:c>
      <x:c r="O21" t="n">
        <x:f>Scenario_Data!T21</x:f>
        <x:v>-50.519999999999996</x:v>
      </x:c>
      <x:c r="P21" t="n">
        <x:f>2*(Scenario_Data!B21*1000)/Inputs!$C$21*1000000</x:f>
        <x:v>2687.431556400261</x:v>
      </x:c>
      <x:c r="Q21" t="n">
        <x:f>Scenario_Data!U21</x:f>
        <x:v>-336.8</x:v>
      </x:c>
      <x:c r="R21" t="n">
        <x:f>2*(Scenario_Data!C21*1000)/Inputs!$C$21*1000000</x:f>
        <x:v>1959.8348935115644</x:v>
      </x:c>
      <x:c r="S21" t="n">
        <x:f>Scenario_Data!V21</x:f>
        <x:v>-673.6</x:v>
      </x:c>
      <x:c r="T21" t="n">
        <x:f>2*(Scenario_Data!D21*1000)/Inputs!$C$21*1000000</x:f>
        <x:v>4797.654115768317</x:v>
      </x:c>
      <x:c r="U21" t="n">
        <x:f>Scenario_Data!W21</x:f>
        <x:v>-673.6</x:v>
      </x:c>
      <x:c r="V21" t="n">
        <x:f>2*(Scenario_Data!E21*1000)/Inputs!$C$21*1000000</x:f>
        <x:v>4778.238283766299</x:v>
      </x:c>
      <x:c r="X21" t="n">
        <x:f>Scenario_Data!T21</x:f>
        <x:v>-50.519999999999996</x:v>
      </x:c>
      <x:c r="Y21" t="n">
        <x: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x:f>
        <x:v>2687.2430684507012</x:v>
      </x:c>
      <x:c r="Z21" t="n">
        <x:f>Scenario_Data!U21</x:f>
        <x:v>-336.8</x:v>
      </x:c>
      <x:c r="AA21" t="n">
        <x: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x:f>
        <x:v>1959.478663052429</x:v>
      </x:c>
      <x:c r="AB21" t="n">
        <x:f>Scenario_Data!V21</x:f>
        <x:v>-673.6</x:v>
      </x:c>
      <x:c r="AC21" t="n">
        <x: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x:f>
        <x:v>4797.520252737128</x:v>
      </x:c>
      <x:c r="AD21" t="n">
        <x:f>Scenario_Data!W21</x:f>
        <x:v>-673.6</x:v>
      </x:c>
      <x:c r="AE21" t="n">
        <x: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x:f>
        <x:v>4778.104420735111</x:v>
      </x:c>
      <x:c r="AG21" t="n">
        <x:f>Scenario_Data!T21</x:f>
        <x:v>-50.519999999999996</x:v>
      </x:c>
      <x:c r="AH21" t="n">
        <x:f>2*(SQRT((Inputs!$C$52+(Scenario_Data!B21))^2+Inputs!$C$52^2-2*(Inputs!$C$52+(Scenario_Data!B21))*Inputs!$C$52*COS(SQRT((Scenario_Data!T21)^2+Inputs!$C$6^2)/Inputs!$C$52))*1000)/Inputs!$C$21*1000000</x:f>
        <x:v>2720.3259622967576</x:v>
      </x:c>
      <x:c r="AI21" t="n">
        <x:f>Scenario_Data!U21</x:f>
        <x:v>-336.8</x:v>
      </x:c>
      <x:c r="AJ21" t="n">
        <x:f>2*(SQRT((Inputs!$C$52+(Scenario_Data!C21))^2+Inputs!$C$52^2-2*(Inputs!$C$52+(Scenario_Data!C21))*Inputs!$C$52*COS(SQRT((Scenario_Data!U21)^2+Inputs!$C$6^2)/Inputs!$C$52))*1000)/Inputs!$C$21*1000000</x:f>
        <x:v>3138.34907670858</x:v>
      </x:c>
      <x:c r="AK21" t="n">
        <x:f>Scenario_Data!V21</x:f>
        <x:v>-673.6</x:v>
      </x:c>
      <x:c r="AL21" t="n">
        <x:f>2*(SQRT((Inputs!$C$52+(Scenario_Data!D21))^2+Inputs!$C$52^2-2*(Inputs!$C$52+(Scenario_Data!D21))*Inputs!$C$52*COS(SQRT((Scenario_Data!V21)^2+Inputs!$C$6^2)/Inputs!$C$52))*1000)/Inputs!$C$21*1000000</x:f>
        <x:v>7218.061166458944</x:v>
      </x:c>
      <x:c r="AM21" t="n">
        <x:f>Scenario_Data!W21</x:f>
        <x:v>-673.6</x:v>
      </x:c>
      <x:c r="AN21" t="n">
        <x:f>2*(SQRT((Inputs!$C$52+(Scenario_Data!E21))^2+Inputs!$C$52^2-2*(Inputs!$C$52+(Scenario_Data!E21))*Inputs!$C$52*COS(SQRT((Scenario_Data!W21)^2+Inputs!$C$6^2)/Inputs!$C$52))*1000)/Inputs!$C$21*1000000</x:f>
        <x:v>7202.593886244597</x:v>
      </x:c>
      <x:c r="AP21" t="n">
        <x:f>Scenario_Data!T21</x:f>
        <x:v>-50.519999999999996</x:v>
      </x:c>
      <x:c r="AQ21" t="n">
        <x: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x:f>
        <x:v>2718.6801987581757</x:v>
      </x:c>
      <x:c r="AR21" t="n">
        <x:f>Scenario_Data!U21</x:f>
        <x:v>-336.8</x:v>
      </x:c>
      <x:c r="AS21" t="n">
        <x: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x:f>
        <x:v>3137.627690080583</x:v>
      </x:c>
      <x:c r="AT21" t="n">
        <x:f>Scenario_Data!V21</x:f>
        <x:v>-673.6</x:v>
      </x:c>
      <x:c r="AU21" t="n">
        <x: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x:f>
        <x:v>7217.711125746066</x:v>
      </x:c>
      <x:c r="AV21" t="n">
        <x:f>Scenario_Data!W21</x:f>
        <x:v>-673.6</x:v>
      </x:c>
      <x:c r="AW21" t="n">
        <x: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x:f>
        <x:v>7202.2449127278005</x:v>
      </x:c>
    </x:row>
    <x:row r="22">
      <x:c r="A22" t="n">
        <x:f>Chart_Data!K22</x:f>
        <x:v>-50</x:v>
      </x:c>
      <x:c r="B22" t="n">
        <x:f>Chart_Data!N22-Chart_Data!L22</x:f>
        <x:v>-33.13988446377812</x:v>
      </x:c>
      <x:c r="D22" t="n">
        <x:f>Chart_Data!G22</x:f>
        <x:v>-50</x:v>
      </x:c>
      <x:c r="E22" t="n">
        <x:f>Chart_Data!H22</x:f>
        <x:v>273.71504099052385</x:v>
      </x:c>
      <x:c r="F22" t="n">
        <x:f>Chart_Data!I22</x:f>
        <x:v>273.71504099052385</x:v>
      </x:c>
      <x:c r="G22" t="n">
        <x:f>Chart_Data!J22</x:f>
        <x:v>29.034419664389077</x:v>
      </x:c>
      <x:c r="I22" t="n">
        <x:f>Scenario_Data!A22</x:f>
        <x:v>-0.833</x:v>
      </x:c>
      <x:c r="J22" t="n">
        <x:f>Scenario_Data!H22-(((SQRT((Inputs!$C$52+(Inputs!$H$6))^2+Inputs!$C$52^2-2*(Inputs!$C$52+(Inputs!$H$6))*Inputs!$C$52*COS(SQRT((Scenario_Data!T22)^2+Inputs!$C$6^2)/Inputs!$C$52)))-(Inputs!$H$6))*1000/Inputs!$C$12)</x:f>
        <x:v>-14.817543761564139</x:v>
      </x:c>
      <x:c r="K22" t="n">
        <x:f>Scenario_Data!I22-(((SQRT((Inputs!$C$52+(Inputs!$H$7))^2+Inputs!$C$52^2-2*(Inputs!$C$52+(Inputs!$H$7))*Inputs!$C$52*COS(SQRT((Scenario_Data!U22)^2+Inputs!$C$6^2)/Inputs!$C$52)))-(Inputs!$H$7))*1000/Inputs!$C$12)</x:f>
        <x:v>-72340.18724720042</x:v>
      </x:c>
      <x:c r="L22" t="n">
        <x:f>Scenario_Data!J22-(((SQRT((Inputs!$C$52+(Inputs!$H$8))^2+Inputs!$C$52^2-2*(Inputs!$C$52+(Inputs!$H$8))*Inputs!$C$52*COS(SQRT((Scenario_Data!V22)^2+Inputs!$C$6^2)/Inputs!$C$52)))-(Inputs!$H$8))*1000/Inputs!$C$12)</x:f>
        <x:v>-154868.15200145353</x:v>
      </x:c>
      <x:c r="M22" t="n">
        <x:f>Scenario_Data!K22-(((SQRT((Inputs!$C$52+(Inputs!$H$9))^2+Inputs!$C$52^2-2*(Inputs!$C$52+(Inputs!$H$9))*Inputs!$C$52*COS(SQRT((Scenario_Data!W22)^2+Inputs!$C$6^2)/Inputs!$C$52)))-(Inputs!$H$9))*1000/Inputs!$C$12)</x:f>
        <x:v>-158700.50306586787</x:v>
      </x:c>
      <x:c r="O22" t="n">
        <x:f>Scenario_Data!T22</x:f>
        <x:v>-49.98</x:v>
      </x:c>
      <x:c r="P22" t="n">
        <x:f>2*(Scenario_Data!B22*1000)/Inputs!$C$21*1000000</x:f>
        <x:v>2687.0292781014527</x:v>
      </x:c>
      <x:c r="Q22" t="n">
        <x:f>Scenario_Data!U22</x:f>
        <x:v>-333.2</x:v>
      </x:c>
      <x:c r="R22" t="n">
        <x:f>2*(Scenario_Data!C22*1000)/Inputs!$C$21*1000000</x:f>
        <x:v>1923.1269987452456</x:v>
      </x:c>
      <x:c r="S22" t="n">
        <x:f>Scenario_Data!V22</x:f>
        <x:v>-666.4</x:v>
      </x:c>
      <x:c r="T22" t="n">
        <x:f>2*(Scenario_Data!D22*1000)/Inputs!$C$21*1000000</x:f>
        <x:v>4700.604476180652</x:v>
      </x:c>
      <x:c r="U22" t="n">
        <x:f>Scenario_Data!W22</x:f>
        <x:v>-666.4</x:v>
      </x:c>
      <x:c r="V22" t="n">
        <x:f>2*(Scenario_Data!E22*1000)/Inputs!$C$21*1000000</x:f>
        <x:v>4680.182948431611</x:v>
      </x:c>
      <x:c r="X22" t="n">
        <x:f>Scenario_Data!T22</x:f>
        <x:v>-49.98</x:v>
      </x:c>
      <x:c r="Y22" t="n">
        <x: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x:f>
        <x:v>2686.8370816958704</x:v>
      </x:c>
      <x:c r="Z22" t="n">
        <x:f>Scenario_Data!U22</x:f>
        <x:v>-333.2</x:v>
      </x:c>
      <x:c r="AA22" t="n">
        <x: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x:f>
        <x:v>1922.8302463603984</x:v>
      </x:c>
      <x:c r="AB22" t="n">
        <x:f>Scenario_Data!V22</x:f>
        <x:v>-666.4</x:v>
      </x:c>
      <x:c r="AC22" t="n">
        <x: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x:f>
        <x:v>4700.389166127263</x:v>
      </x:c>
      <x:c r="AD22" t="n">
        <x:f>Scenario_Data!W22</x:f>
        <x:v>-666.4</x:v>
      </x:c>
      <x:c r="AE22" t="n">
        <x: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x:f>
        <x:v>4679.967638378223</x:v>
      </x:c>
      <x:c r="AG22" t="n">
        <x:f>Scenario_Data!T22</x:f>
        <x:v>-49.98</x:v>
      </x:c>
      <x:c r="AH22" t="n">
        <x:f>2*(SQRT((Inputs!$C$52+(Scenario_Data!B22))^2+Inputs!$C$52^2-2*(Inputs!$C$52+(Scenario_Data!B22))*Inputs!$C$52*COS(SQRT((Scenario_Data!T22)^2+Inputs!$C$6^2)/Inputs!$C$52))*1000)/Inputs!$C$21*1000000</x:f>
        <x:v>2719.3690201677696</x:v>
      </x:c>
      <x:c r="AI22" t="n">
        <x:f>Scenario_Data!U22</x:f>
        <x:v>-333.2</x:v>
      </x:c>
      <x:c r="AJ22" t="n">
        <x:f>2*(SQRT((Inputs!$C$52+(Scenario_Data!C22))^2+Inputs!$C$52^2-2*(Inputs!$C$52+(Scenario_Data!C22))*Inputs!$C$52*COS(SQRT((Scenario_Data!U22)^2+Inputs!$C$6^2)/Inputs!$C$52))*1000)/Inputs!$C$21*1000000</x:f>
        <x:v>3092.3580081209293</x:v>
      </x:c>
      <x:c r="AK22" t="n">
        <x:f>Scenario_Data!V22</x:f>
        <x:v>-666.4</x:v>
      </x:c>
      <x:c r="AL22" t="n">
        <x:f>2*(SQRT((Inputs!$C$52+(Scenario_Data!D22))^2+Inputs!$C$52^2-2*(Inputs!$C$52+(Scenario_Data!D22))*Inputs!$C$52*COS(SQRT((Scenario_Data!V22)^2+Inputs!$C$6^2)/Inputs!$C$52))*1000)/Inputs!$C$21*1000000</x:f>
        <x:v>7098.506357692575</x:v>
      </x:c>
      <x:c r="AM22" t="n">
        <x:f>Scenario_Data!W22</x:f>
        <x:v>-666.4</x:v>
      </x:c>
      <x:c r="AN22" t="n">
        <x:f>2*(SQRT((Inputs!$C$52+(Scenario_Data!E22))^2+Inputs!$C$52^2-2*(Inputs!$C$52+(Scenario_Data!E22))*Inputs!$C$52*COS(SQRT((Scenario_Data!W22)^2+Inputs!$C$6^2)/Inputs!$C$52))*1000)/Inputs!$C$21*1000000</x:f>
        <x:v>7082.301294774013</x:v>
      </x:c>
      <x:c r="AP22" t="n">
        <x:f>Scenario_Data!T22</x:f>
        <x:v>-49.98</x:v>
      </x:c>
      <x:c r="AQ22" t="n">
        <x: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x:f>
        <x:v>2717.6974345549215</x:v>
      </x:c>
      <x:c r="AR22" t="n">
        <x:f>Scenario_Data!U22</x:f>
        <x:v>-333.2</x:v>
      </x:c>
      <x:c r="AS22" t="n">
        <x: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x:f>
        <x:v>3091.684937172292</x:v>
      </x:c>
      <x:c r="AT22" t="n">
        <x:f>Scenario_Data!V22</x:f>
        <x:v>-666.4</x:v>
      </x:c>
      <x:c r="AU22" t="n">
        <x: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x:f>
        <x:v>7098.019488341909</x:v>
      </x:c>
      <x:c r="AV22" t="n">
        <x:f>Scenario_Data!W22</x:f>
        <x:v>-666.4</x:v>
      </x:c>
      <x:c r="AW22" t="n">
        <x: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x:f>
        <x:v>7081.816025654208</x:v>
      </x:c>
    </x:row>
    <x:row r="23">
      <x:c r="A23" t="n">
        <x:f>Chart_Data!K23</x:f>
        <x:v>-49.5</x:v>
      </x:c>
      <x:c r="B23" t="n">
        <x:f>Chart_Data!N23-Chart_Data!L23</x:f>
        <x:v>-55.72800260958991</x:v>
      </x:c>
      <x:c r="D23" t="n">
        <x:f>Chart_Data!G23</x:f>
        <x:v>-49.5</x:v>
      </x:c>
      <x:c r="E23" t="n">
        <x:f>Chart_Data!H23</x:f>
        <x:v>258.91748425644914</x:v>
      </x:c>
      <x:c r="F23" t="n">
        <x:f>Chart_Data!I23</x:f>
        <x:v>258.91748425644914</x:v>
      </x:c>
      <x:c r="G23" t="n">
        <x:f>Chart_Data!J23</x:f>
        <x:v>51.90461728837901</x:v>
      </x:c>
      <x:c r="I23" t="n">
        <x:f>Scenario_Data!A23</x:f>
        <x:v>-0.825</x:v>
      </x:c>
      <x:c r="J23" t="n">
        <x:f>Scenario_Data!H23-(((SQRT((Inputs!$C$52+(Inputs!$H$6))^2+Inputs!$C$52^2-2*(Inputs!$C$52+(Inputs!$H$6))*Inputs!$C$52*COS(SQRT((Scenario_Data!T23)^2+Inputs!$C$6^2)/Inputs!$C$52)))-(Inputs!$H$6))*1000/Inputs!$C$12)</x:f>
        <x:v>-14.318202220481453</x:v>
      </x:c>
      <x:c r="K23" t="n">
        <x:f>Scenario_Data!I23-(((SQRT((Inputs!$C$52+(Inputs!$H$7))^2+Inputs!$C$52^2-2*(Inputs!$C$52+(Inputs!$H$7))*Inputs!$C$52*COS(SQRT((Scenario_Data!U23)^2+Inputs!$C$6^2)/Inputs!$C$52)))-(Inputs!$H$7))*1000/Inputs!$C$12)</x:f>
        <x:v>-71244.55426280205</x:v>
      </x:c>
      <x:c r="L23" t="n">
        <x:f>Scenario_Data!J23-(((SQRT((Inputs!$C$52+(Inputs!$H$8))^2+Inputs!$C$52^2-2*(Inputs!$C$52+(Inputs!$H$8))*Inputs!$C$52*COS(SQRT((Scenario_Data!V23)^2+Inputs!$C$6^2)/Inputs!$C$52)))-(Inputs!$H$8))*1000/Inputs!$C$12)</x:f>
        <x:v>-153001.25134490427</x:v>
      </x:c>
      <x:c r="M23" t="n">
        <x:f>Scenario_Data!K23-(((SQRT((Inputs!$C$52+(Inputs!$H$9))^2+Inputs!$C$52^2-2*(Inputs!$C$52+(Inputs!$H$9))*Inputs!$C$52*COS(SQRT((Scenario_Data!W23)^2+Inputs!$C$6^2)/Inputs!$C$52)))-(Inputs!$H$9))*1000/Inputs!$C$12)</x:f>
        <x:v>-156821.9415170548</x:v>
      </x:c>
      <x:c r="O23" t="n">
        <x:f>Scenario_Data!T23</x:f>
        <x:v>-49.5</x:v>
      </x:c>
      <x:c r="P23" t="n">
        <x:f>2*(Scenario_Data!B23*1000)/Inputs!$C$21*1000000</x:f>
        <x:v>2686.6753265687557</x:v>
      </x:c>
      <x:c r="Q23" t="n">
        <x:f>Scenario_Data!U23</x:f>
        <x:v>-330</x:v>
      </x:c>
      <x:c r="R23" t="n">
        <x:f>2*(Scenario_Data!C23*1000)/Inputs!$C$21*1000000</x:f>
        <x:v>1890.8289213866744</x:v>
      </x:c>
      <x:c r="S23" t="n">
        <x:f>Scenario_Data!V23</x:f>
        <x:v>-660</x:v>
      </x:c>
      <x:c r="T23" t="n">
        <x:f>2*(Scenario_Data!D23*1000)/Inputs!$C$21*1000000</x:f>
        <x:v>4615.213668917581</x:v>
      </x:c>
      <x:c r="U23" t="n">
        <x:f>Scenario_Data!W23</x:f>
        <x:v>-660</x:v>
      </x:c>
      <x:c r="V23" t="n">
        <x:f>2*(Scenario_Data!E23*1000)/Inputs!$C$21*1000000</x:f>
        <x:v>4593.907262336798</x:v>
      </x:c>
      <x:c r="X23" t="n">
        <x:f>Scenario_Data!T23</x:f>
        <x:v>-49.5</x:v>
      </x:c>
      <x:c r="Y23" t="n">
        <x: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x:f>
        <x:v>2686.329056234708</x:v>
      </x:c>
      <x:c r="Z23" t="n">
        <x:f>Scenario_Data!U23</x:f>
        <x:v>-330</x:v>
      </x:c>
      <x:c r="AA23" t="n">
        <x: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x:f>
        <x:v>1890.6642418919669</x:v>
      </x:c>
      <x:c r="AB23" t="n">
        <x:f>Scenario_Data!V23</x:f>
        <x:v>-660</x:v>
      </x:c>
      <x:c r="AC23" t="n">
        <x: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x:f>
        <x:v>4614.846299685641</x:v>
      </x:c>
      <x:c r="AD23" t="n">
        <x:f>Scenario_Data!W23</x:f>
        <x:v>-660</x:v>
      </x:c>
      <x:c r="AE23" t="n">
        <x: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x:f>
        <x:v>4593.5398931048585</x:v>
      </x:c>
      <x:c r="AG23" t="n">
        <x:f>Scenario_Data!T23</x:f>
        <x:v>-49.5</x:v>
      </x:c>
      <x:c r="AH23" t="n">
        <x:f>2*(SQRT((Inputs!$C$52+(Scenario_Data!B23))^2+Inputs!$C$52^2-2*(Inputs!$C$52+(Scenario_Data!B23))*Inputs!$C$52*COS(SQRT((Scenario_Data!T23)^2+Inputs!$C$6^2)/Inputs!$C$52))*1000)/Inputs!$C$21*1000000</x:f>
        <x:v>2718.5268353664997</x:v>
      </x:c>
      <x:c r="AI23" t="n">
        <x:f>Scenario_Data!U23</x:f>
        <x:v>-330</x:v>
      </x:c>
      <x:c r="AJ23" t="n">
        <x:f>2*(SQRT((Inputs!$C$52+(Scenario_Data!C23))^2+Inputs!$C$52^2-2*(Inputs!$C$52+(Scenario_Data!C23))*Inputs!$C$52*COS(SQRT((Scenario_Data!U23)^2+Inputs!$C$6^2)/Inputs!$C$52))*1000)/Inputs!$C$21*1000000</x:f>
        <x:v>3051.7828688525797</x:v>
      </x:c>
      <x:c r="AK23" t="n">
        <x:f>Scenario_Data!V23</x:f>
        <x:v>-660</x:v>
      </x:c>
      <x:c r="AL23" t="n">
        <x:f>2*(SQRT((Inputs!$C$52+(Scenario_Data!D23))^2+Inputs!$C$52^2-2*(Inputs!$C$52+(Scenario_Data!D23))*Inputs!$C$52*COS(SQRT((Scenario_Data!V23)^2+Inputs!$C$6^2)/Inputs!$C$52))*1000)/Inputs!$C$21*1000000</x:f>
        <x:v>6993.172626647848</x:v>
      </x:c>
      <x:c r="AM23" t="n">
        <x:f>Scenario_Data!W23</x:f>
        <x:v>-660</x:v>
      </x:c>
      <x:c r="AN23" t="n">
        <x:f>2*(SQRT((Inputs!$C$52+(Scenario_Data!E23))^2+Inputs!$C$52^2-2*(Inputs!$C$52+(Scenario_Data!E23))*Inputs!$C$52*COS(SQRT((Scenario_Data!W23)^2+Inputs!$C$6^2)/Inputs!$C$52))*1000)/Inputs!$C$21*1000000</x:f>
        <x:v>6976.325155041407</x:v>
      </x:c>
      <x:c r="AP23" t="n">
        <x:f>Scenario_Data!T23</x:f>
        <x:v>-49.5</x:v>
      </x:c>
      <x:c r="AQ23" t="n">
        <x: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x:f>
        <x:v>2716.8250307204657</x:v>
      </x:c>
      <x:c r="AR23" t="n">
        <x:f>Scenario_Data!U23</x:f>
        <x:v>-330</x:v>
      </x:c>
      <x:c r="AS23" t="n">
        <x: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x:f>
        <x:v>3051.4674905866605</x:v>
      </x:c>
      <x:c r="AT23" t="n">
        <x:f>Scenario_Data!V23</x:f>
        <x:v>-660</x:v>
      </x:c>
      <x:c r="AU23" t="n">
        <x: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x:f>
        <x:v>6992.6479613045</x:v>
      </x:c>
      <x:c r="AV23" t="n">
        <x:f>Scenario_Data!W23</x:f>
        <x:v>-660</x:v>
      </x:c>
      <x:c r="AW23" t="n">
        <x: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x:f>
        <x:v>6975.80232907405</x:v>
      </x:c>
    </x:row>
    <x:row r="24">
      <x:c r="A24" t="n">
        <x:f>Chart_Data!K24</x:f>
        <x:v>-49</x:v>
      </x:c>
      <x:c r="B24" t="n">
        <x:f>Chart_Data!N24-Chart_Data!L24</x:f>
        <x:v>-43.55059818787615</x:v>
      </x:c>
      <x:c r="D24" t="n">
        <x:f>Chart_Data!G24</x:f>
        <x:v>-49</x:v>
      </x:c>
      <x:c r="E24" t="n">
        <x:f>Chart_Data!H24</x:f>
        <x:v>268.7927966209557</x:v>
      </x:c>
      <x:c r="F24" t="n">
        <x:f>Chart_Data!I24</x:f>
        <x:v>268.7927966209557</x:v>
      </x:c>
      <x:c r="G24" t="n">
        <x:f>Chart_Data!J24</x:f>
        <x:v>39.64300304421553</x:v>
      </x:c>
      <x:c r="I24" t="n">
        <x:f>Scenario_Data!A24</x:f>
        <x:v>-0.817</x:v>
      </x:c>
      <x:c r="J24" t="n">
        <x:f>Scenario_Data!H24-(((SQRT((Inputs!$C$52+(Inputs!$H$6))^2+Inputs!$C$52^2-2*(Inputs!$C$52+(Inputs!$H$6))*Inputs!$C$52*COS(SQRT((Scenario_Data!T24)^2+Inputs!$C$6^2)/Inputs!$C$52)))-(Inputs!$H$6))*1000/Inputs!$C$12)</x:f>
        <x:v>-13.831801402375277</x:v>
      </x:c>
      <x:c r="K24" t="n">
        <x:f>Scenario_Data!I24-(((SQRT((Inputs!$C$52+(Inputs!$H$7))^2+Inputs!$C$52^2-2*(Inputs!$C$52+(Inputs!$H$7))*Inputs!$C$52*COS(SQRT((Scenario_Data!U24)^2+Inputs!$C$6^2)/Inputs!$C$52)))-(Inputs!$H$7))*1000/Inputs!$C$12)</x:f>
        <x:v>-70151.11767949266</x:v>
      </x:c>
      <x:c r="L24" t="n">
        <x:f>Scenario_Data!J24-(((SQRT((Inputs!$C$52+(Inputs!$H$8))^2+Inputs!$C$52^2-2*(Inputs!$C$52+(Inputs!$H$8))*Inputs!$C$52*COS(SQRT((Scenario_Data!V24)^2+Inputs!$C$6^2)/Inputs!$C$52)))-(Inputs!$H$8))*1000/Inputs!$C$12)</x:f>
        <x:v>-151128.20153368788</x:v>
      </x:c>
      <x:c r="M24" t="n">
        <x:f>Scenario_Data!K24-(((SQRT((Inputs!$C$52+(Inputs!$H$9))^2+Inputs!$C$52^2-2*(Inputs!$C$52+(Inputs!$H$9))*Inputs!$C$52*COS(SQRT((Scenario_Data!W24)^2+Inputs!$C$6^2)/Inputs!$C$52)))-(Inputs!$H$9))*1000/Inputs!$C$12)</x:f>
        <x:v>-154936.84079418762</x:v>
      </x:c>
      <x:c r="O24" t="n">
        <x:f>Scenario_Data!T24</x:f>
        <x:v>-49.019999999999996</x:v>
      </x:c>
      <x:c r="P24" t="n">
        <x:f>2*(Scenario_Data!B24*1000)/Inputs!$C$21*1000000</x:f>
        <x:v>2686.324790732394</x:v>
      </x:c>
      <x:c r="Q24" t="n">
        <x:f>Scenario_Data!U24</x:f>
        <x:v>-326.79999999999995</x:v>
      </x:c>
      <x:c r="R24" t="n">
        <x:f>2*(Scenario_Data!C24*1000)/Inputs!$C$21*1000000</x:f>
        <x:v>1858.8425263186568</x:v>
      </x:c>
      <x:c r="S24" t="n">
        <x:f>Scenario_Data!V24</x:f>
        <x:v>-653.5999999999999</x:v>
      </x:c>
      <x:c r="T24" t="n">
        <x:f>2*(Scenario_Data!D24*1000)/Inputs!$C$21*1000000</x:f>
        <x:v>4530.646898395288</x:v>
      </x:c>
      <x:c r="U24" t="n">
        <x:f>Scenario_Data!W24</x:f>
        <x:v>-653.5999999999999</x:v>
      </x:c>
      <x:c r="V24" t="n">
        <x:f>2*(Scenario_Data!E24*1000)/Inputs!$C$21*1000000</x:f>
        <x:v>4508.464152223602</x:v>
      </x:c>
      <x:c r="X24" t="n">
        <x:f>Scenario_Data!T24</x:f>
        <x:v>-49.019999999999996</x:v>
      </x:c>
      <x:c r="Y24" t="n">
        <x: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x:f>
        <x:v>2685.975086049943</x:v>
      </x:c>
      <x:c r="Z24" t="n">
        <x:f>Scenario_Data!U24</x:f>
        <x:v>-326.79999999999995</x:v>
      </x:c>
      <x:c r="AA24" t="n">
        <x: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x:f>
        <x:v>1858.6153385407672</x:v>
      </x:c>
      <x:c r="AB24" t="n">
        <x:f>Scenario_Data!V24</x:f>
        <x:v>-653.5999999999999</x:v>
      </x:c>
      <x:c r="AC24" t="n">
        <x: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x:f>
        <x:v>4530.509339233609</x:v>
      </x:c>
      <x:c r="AD24" t="n">
        <x:f>Scenario_Data!W24</x:f>
        <x:v>-653.5999999999999</x:v>
      </x:c>
      <x:c r="AE24" t="n">
        <x: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x:f>
        <x:v>4508.326593061924</x:v>
      </x:c>
      <x:c r="AG24" t="n">
        <x:f>Scenario_Data!T24</x:f>
        <x:v>-49.019999999999996</x:v>
      </x:c>
      <x:c r="AH24" t="n">
        <x:f>2*(SQRT((Inputs!$C$52+(Scenario_Data!B24))^2+Inputs!$C$52^2-2*(Inputs!$C$52+(Scenario_Data!B24))*Inputs!$C$52*COS(SQRT((Scenario_Data!T24)^2+Inputs!$C$6^2)/Inputs!$C$52))*1000)/Inputs!$C$21*1000000</x:f>
        <x:v>2717.692590624826</x:v>
      </x:c>
      <x:c r="AI24" t="n">
        <x:f>Scenario_Data!U24</x:f>
        <x:v>-326.79999999999995</x:v>
      </x:c>
      <x:c r="AJ24" t="n">
        <x:f>2*(SQRT((Inputs!$C$52+(Scenario_Data!C24))^2+Inputs!$C$52^2-2*(Inputs!$C$52+(Scenario_Data!C24))*Inputs!$C$52*COS(SQRT((Scenario_Data!U24)^2+Inputs!$C$6^2)/Inputs!$C$52))*1000)/Inputs!$C$21*1000000</x:f>
        <x:v>3011.4944133564245</x:v>
      </x:c>
      <x:c r="AK24" t="n">
        <x:f>Scenario_Data!V24</x:f>
        <x:v>-653.5999999999999</x:v>
      </x:c>
      <x:c r="AL24" t="n">
        <x:f>2*(SQRT((Inputs!$C$52+(Scenario_Data!D24))^2+Inputs!$C$52^2-2*(Inputs!$C$52+(Scenario_Data!D24))*Inputs!$C$52*COS(SQRT((Scenario_Data!V24)^2+Inputs!$C$6^2)/Inputs!$C$52))*1000)/Inputs!$C$21*1000000</x:f>
        <x:v>6888.7191192634255</x:v>
      </x:c>
      <x:c r="AM24" t="n">
        <x:f>Scenario_Data!W24</x:f>
        <x:v>-653.5999999999999</x:v>
      </x:c>
      <x:c r="AN24" t="n">
        <x:f>2*(SQRT((Inputs!$C$52+(Scenario_Data!E24))^2+Inputs!$C$52^2-2*(Inputs!$C$52+(Scenario_Data!E24))*Inputs!$C$52*COS(SQRT((Scenario_Data!W24)^2+Inputs!$C$6^2)/Inputs!$C$52))*1000)/Inputs!$C$21*1000000</x:f>
        <x:v>6871.241909686075</x:v>
      </x:c>
      <x:c r="AP24" t="n">
        <x:f>Scenario_Data!T24</x:f>
        <x:v>-49.019999999999996</x:v>
      </x:c>
      <x:c r="AQ24" t="n">
        <x: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x:f>
        <x:v>2716.0170983071607</x:v>
      </x:c>
      <x:c r="AR24" t="n">
        <x:f>Scenario_Data!U24</x:f>
        <x:v>-326.79999999999995</x:v>
      </x:c>
      <x:c r="AS24" t="n">
        <x: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x:f>
        <x:v>3011.205038375484</x:v>
      </x:c>
      <x:c r="AT24" t="n">
        <x:f>Scenario_Data!V24</x:f>
        <x:v>-653.5999999999999</x:v>
      </x:c>
      <x:c r="AU24" t="n">
        <x: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x:f>
        <x:v>6888.445538379483</x:v>
      </x:c>
      <x:c r="AV24" t="n">
        <x:f>Scenario_Data!W24</x:f>
        <x:v>-653.5999999999999</x:v>
      </x:c>
      <x:c r="AW24" t="n">
        <x: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x:f>
        <x:v>6870.9693497228955</x:v>
      </x:c>
    </x:row>
    <x:row r="25">
      <x:c r="A25" t="n">
        <x:f>Chart_Data!K25</x:f>
        <x:v>-48.5</x:v>
      </x:c>
      <x:c r="B25" t="n">
        <x:f>Chart_Data!N25-Chart_Data!L25</x:f>
        <x:v>-44.12840969174627</x:v>
      </x:c>
      <x:c r="D25" t="n">
        <x:f>Chart_Data!G25</x:f>
        <x:v>-48.5</x:v>
      </x:c>
      <x:c r="E25" t="n">
        <x:f>Chart_Data!H25</x:f>
        <x:v>265.4824606971943</x:v>
      </x:c>
      <x:c r="F25" t="n">
        <x:f>Chart_Data!I25</x:f>
        <x:v>265.4824606971943</x:v>
      </x:c>
      <x:c r="G25" t="n">
        <x:f>Chart_Data!J25</x:f>
        <x:v>40.329360187280464</x:v>
      </x:c>
      <x:c r="I25" t="n">
        <x:f>Scenario_Data!A25</x:f>
        <x:v>-0.808</x:v>
      </x:c>
      <x:c r="J25" t="n">
        <x:f>Scenario_Data!H25-(((SQRT((Inputs!$C$52+(Inputs!$H$6))^2+Inputs!$C$52^2-2*(Inputs!$C$52+(Inputs!$H$6))*Inputs!$C$52*COS(SQRT((Scenario_Data!T25)^2+Inputs!$C$6^2)/Inputs!$C$52)))-(Inputs!$H$6))*1000/Inputs!$C$12)</x:f>
        <x:v>-13.299787208880844</x:v>
      </x:c>
      <x:c r="K25" t="n">
        <x:f>Scenario_Data!I25-(((SQRT((Inputs!$C$52+(Inputs!$H$7))^2+Inputs!$C$52^2-2*(Inputs!$C$52+(Inputs!$H$7))*Inputs!$C$52*COS(SQRT((Scenario_Data!U25)^2+Inputs!$C$6^2)/Inputs!$C$52)))-(Inputs!$H$7))*1000/Inputs!$C$12)</x:f>
        <x:v>-68923.75640485117</x:v>
      </x:c>
      <x:c r="L25" t="n">
        <x:f>Scenario_Data!J25-(((SQRT((Inputs!$C$52+(Inputs!$H$8))^2+Inputs!$C$52^2-2*(Inputs!$C$52+(Inputs!$H$8))*Inputs!$C$52*COS(SQRT((Scenario_Data!V25)^2+Inputs!$C$6^2)/Inputs!$C$52)))-(Inputs!$H$8))*1000/Inputs!$C$12)</x:f>
        <x:v>-149013.88756056636</x:v>
      </x:c>
      <x:c r="M25" t="n">
        <x:f>Scenario_Data!K25-(((SQRT((Inputs!$C$52+(Inputs!$H$9))^2+Inputs!$C$52^2-2*(Inputs!$C$52+(Inputs!$H$9))*Inputs!$C$52*COS(SQRT((Scenario_Data!W25)^2+Inputs!$C$6^2)/Inputs!$C$52)))-(Inputs!$H$9))*1000/Inputs!$C$12)</x:f>
        <x:v>-152808.49543699686</x:v>
      </x:c>
      <x:c r="O25" t="n">
        <x:f>Scenario_Data!T25</x:f>
        <x:v>-48.480000000000004</x:v>
      </x:c>
      <x:c r="P25" t="n">
        <x:f>2*(Scenario_Data!B25*1000)/Inputs!$C$21*1000000</x:f>
        <x:v>2685.9345207410115</x:v>
      </x:c>
      <x:c r="Q25" t="n">
        <x:f>Scenario_Data!U25</x:f>
        <x:v>-323.20000000000005</x:v>
      </x:c>
      <x:c r="R25" t="n">
        <x:f>2*(Scenario_Data!C25*1000)/Inputs!$C$21*1000000</x:f>
        <x:v>1823.2303896050653</x:v>
      </x:c>
      <x:c r="S25" t="n">
        <x:f>Scenario_Data!V25</x:f>
        <x:v>-646.4000000000001</x:v>
      </x:c>
      <x:c r="T25" t="n">
        <x:f>2*(Scenario_Data!D25*1000)/Inputs!$C$21*1000000</x:f>
        <x:v>4436.494262974422</x:v>
      </x:c>
      <x:c r="U25" t="n">
        <x:f>Scenario_Data!W25</x:f>
        <x:v>-646.4000000000001</x:v>
      </x:c>
      <x:c r="V25" t="n">
        <x:f>2*(Scenario_Data!E25*1000)/Inputs!$C$21*1000000</x:f>
        <x:v>4413.3358418242815</x:v>
      </x:c>
      <x:c r="X25" t="n">
        <x:f>Scenario_Data!T25</x:f>
        <x:v>-48.480000000000004</x:v>
      </x:c>
      <x:c r="Y25" t="n">
        <x: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x:f>
        <x:v>2685.6117027895602</x:v>
      </x:c>
      <x:c r="Z25" t="n">
        <x:f>Scenario_Data!U25</x:f>
        <x:v>-323.20000000000005</x:v>
      </x:c>
      <x:c r="AA25" t="n">
        <x: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x:f>
        <x:v>1822.724543620418</x:v>
      </x:c>
      <x:c r="AB25" t="n">
        <x:f>Scenario_Data!V25</x:f>
        <x:v>-646.4000000000001</x:v>
      </x:c>
      <x:c r="AC25" t="n">
        <x: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x:f>
        <x:v>4436.086416176702</x:v>
      </x:c>
      <x:c r="AD25" t="n">
        <x:f>Scenario_Data!W25</x:f>
        <x:v>-646.4000000000001</x:v>
      </x:c>
      <x:c r="AE25" t="n">
        <x: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x:f>
        <x:v>4412.927995026562</x:v>
      </x:c>
      <x:c r="AG25" t="n">
        <x:f>Scenario_Data!T25</x:f>
        <x:v>-48.480000000000004</x:v>
      </x:c>
      <x:c r="AH25" t="n">
        <x:f>2*(SQRT((Inputs!$C$52+(Scenario_Data!B25))^2+Inputs!$C$52^2-2*(Inputs!$C$52+(Scenario_Data!B25))*Inputs!$C$52*COS(SQRT((Scenario_Data!T25)^2+Inputs!$C$6^2)/Inputs!$C$52))*1000)/Inputs!$C$21*1000000</x:f>
        <x:v>2716.763562710639</x:v>
      </x:c>
      <x:c r="AI25" t="n">
        <x:f>Scenario_Data!U25</x:f>
        <x:v>-323.20000000000005</x:v>
      </x:c>
      <x:c r="AJ25" t="n">
        <x:f>2*(SQRT((Inputs!$C$52+(Scenario_Data!C25))^2+Inputs!$C$52^2-2*(Inputs!$C$52+(Scenario_Data!C25))*Inputs!$C$52*COS(SQRT((Scenario_Data!U25)^2+Inputs!$C$6^2)/Inputs!$C$52))*1000)/Inputs!$C$21*1000000</x:f>
        <x:v>2966.5111922476426</x:v>
      </x:c>
      <x:c r="AK25" t="n">
        <x:f>Scenario_Data!V25</x:f>
        <x:v>-646.4000000000001</x:v>
      </x:c>
      <x:c r="AL25" t="n">
        <x:f>2*(SQRT((Inputs!$C$52+(Scenario_Data!D25))^2+Inputs!$C$52^2-2*(Inputs!$C$52+(Scenario_Data!D25))*Inputs!$C$52*COS(SQRT((Scenario_Data!V25)^2+Inputs!$C$6^2)/Inputs!$C$52))*1000)/Inputs!$C$21*1000000</x:f>
        <x:v>6772.258771364358</x:v>
      </x:c>
      <x:c r="AM25" t="n">
        <x:f>Scenario_Data!W25</x:f>
        <x:v>-646.4000000000001</x:v>
      </x:c>
      <x:c r="AN25" t="n">
        <x:f>2*(SQRT((Inputs!$C$52+(Scenario_Data!E25))^2+Inputs!$C$52^2-2*(Inputs!$C$52+(Scenario_Data!E25))*Inputs!$C$52*COS(SQRT((Scenario_Data!W25)^2+Inputs!$C$6^2)/Inputs!$C$52))*1000)/Inputs!$C$21*1000000</x:f>
        <x:v>6754.08832481869</x:v>
      </x:c>
      <x:c r="AP25" t="n">
        <x:f>Scenario_Data!T25</x:f>
        <x:v>-48.480000000000004</x:v>
      </x:c>
      <x:c r="AQ25" t="n">
        <x: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x:f>
        <x:v>2715.0613483936577</x:v>
      </x:c>
      <x:c r="AR25" t="n">
        <x:f>Scenario_Data!U25</x:f>
        <x:v>-323.20000000000005</x:v>
      </x:c>
      <x:c r="AS25" t="n">
        <x: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x:f>
        <x:v>2965.891539195201</x:v>
      </x:c>
      <x:c r="AT25" t="n">
        <x:f>Scenario_Data!V25</x:f>
        <x:v>-646.4000000000001</x:v>
      </x:c>
      <x:c r="AU25" t="n">
        <x: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x:f>
        <x:v>6771.789850814738</x:v>
      </x:c>
      <x:c r="AV25" t="n">
        <x:f>Scenario_Data!W25</x:f>
        <x:v>-646.4000000000001</x:v>
      </x:c>
      <x:c r="AW25" t="n">
        <x: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x:f>
        <x:v>6753.621278144666</x:v>
      </x:c>
    </x:row>
    <x:row r="26">
      <x:c r="A26" t="n">
        <x:f>Chart_Data!K26</x:f>
        <x:v>-48</x:v>
      </x:c>
      <x:c r="B26" t="n">
        <x:f>Chart_Data!N26-Chart_Data!L26</x:f>
        <x:v>-59.24933487502835</x:v>
      </x:c>
      <x:c r="D26" t="n">
        <x:f>Chart_Data!G26</x:f>
        <x:v>-48</x:v>
      </x:c>
      <x:c r="E26" t="n">
        <x:f>Chart_Data!H26</x:f>
        <x:v>253.6370227527636</x:v>
      </x:c>
      <x:c r="F26" t="n">
        <x:f>Chart_Data!I26</x:f>
        <x:v>253.6370227527636</x:v>
      </x:c>
      <x:c r="G26" t="n">
        <x:f>Chart_Data!J26</x:f>
        <x:v>55.67705400563339</x:v>
      </x:c>
      <x:c r="I26" t="n">
        <x:f>Scenario_Data!A26</x:f>
        <x:v>-0.8</x:v>
      </x:c>
      <x:c r="J26" t="n">
        <x:f>Scenario_Data!H26-(((SQRT((Inputs!$C$52+(Inputs!$H$6))^2+Inputs!$C$52^2-2*(Inputs!$C$52+(Inputs!$H$6))*Inputs!$C$52*COS(SQRT((Scenario_Data!T26)^2+Inputs!$C$6^2)/Inputs!$C$52)))-(Inputs!$H$6))*1000/Inputs!$C$12)</x:f>
        <x:v>-12.84013677697476</x:v>
      </x:c>
      <x:c r="K26" t="n">
        <x:f>Scenario_Data!I26-(((SQRT((Inputs!$C$52+(Inputs!$H$7))^2+Inputs!$C$52^2-2*(Inputs!$C$52+(Inputs!$H$7))*Inputs!$C$52*COS(SQRT((Scenario_Data!U26)^2+Inputs!$C$6^2)/Inputs!$C$52)))-(Inputs!$H$7))*1000/Inputs!$C$12)</x:f>
        <x:v>-67835.33471918713</x:v>
      </x:c>
      <x:c r="L26" t="n">
        <x:f>Scenario_Data!J26-(((SQRT((Inputs!$C$52+(Inputs!$H$8))^2+Inputs!$C$52^2-2*(Inputs!$C$52+(Inputs!$H$8))*Inputs!$C$52*COS(SQRT((Scenario_Data!V26)^2+Inputs!$C$6^2)/Inputs!$C$52)))-(Inputs!$H$8))*1000/Inputs!$C$12)</x:f>
        <x:v>-147128.35590287362</x:v>
      </x:c>
      <x:c r="M26" t="n">
        <x:f>Scenario_Data!K26-(((SQRT((Inputs!$C$52+(Inputs!$H$9))^2+Inputs!$C$52^2-2*(Inputs!$C$52+(Inputs!$H$9))*Inputs!$C$52*COS(SQRT((Scenario_Data!W26)^2+Inputs!$C$6^2)/Inputs!$C$52)))-(Inputs!$H$9))*1000/Inputs!$C$12)</x:f>
        <x:v>-150910.062898851</x:v>
      </x:c>
      <x:c r="O26" t="n">
        <x:f>Scenario_Data!T26</x:f>
        <x:v>-48</x:v>
      </x:c>
      <x:c r="P26" t="n">
        <x:f>2*(Scenario_Data!B26*1000)/Inputs!$C$21*1000000</x:f>
        <x:v>2685.591243259362</x:v>
      </x:c>
      <x:c r="Q26" t="n">
        <x:f>Scenario_Data!U26</x:f>
        <x:v>-320</x:v>
      </x:c>
      <x:c r="R26" t="n">
        <x:f>2*(Scenario_Data!C26*1000)/Inputs!$C$21*1000000</x:f>
        <x:v>1791.9063194044727</x:v>
      </x:c>
      <x:c r="S26" t="n">
        <x:f>Scenario_Data!V26</x:f>
        <x:v>-640</x:v>
      </x:c>
      <x:c r="T26" t="n">
        <x:f>2*(Scenario_Data!D26*1000)/Inputs!$C$21*1000000</x:f>
        <x:v>4353.678570526281</x:v>
      </x:c>
      <x:c r="U26" t="n">
        <x:f>Scenario_Data!W26</x:f>
        <x:v>-640</x:v>
      </x:c>
      <x:c r="V26" t="n">
        <x:f>2*(Scenario_Data!E26*1000)/Inputs!$C$21*1000000</x:f>
        <x:v>4329.661955672014</x:v>
      </x:c>
      <x:c r="X26" t="n">
        <x:f>Scenario_Data!T26</x:f>
        <x:v>-48</x:v>
      </x:c>
      <x:c r="Y26" t="n">
        <x: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x:f>
        <x:v>2685.2198059365082</x:v>
      </x:c>
      <x:c r="Z26" t="n">
        <x:f>Scenario_Data!U26</x:f>
        <x:v>-320</x:v>
      </x:c>
      <x:c r="AA26" t="n">
        <x: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x:f>
        <x:v>1791.3103173149907</x:v>
      </x:c>
      <x:c r="AB26" t="n">
        <x:f>Scenario_Data!V26</x:f>
        <x:v>-640</x:v>
      </x:c>
      <x:c r="AC26" t="n">
        <x: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x:f>
        <x:v>4353.3618800404865</x:v>
      </x:c>
      <x:c r="AD26" t="n">
        <x:f>Scenario_Data!W26</x:f>
        <x:v>-640</x:v>
      </x:c>
      <x:c r="AE26" t="n">
        <x: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x:f>
        <x:v>4329.345265186219</x:v>
      </x:c>
      <x:c r="AG26" t="n">
        <x:f>Scenario_Data!T26</x:f>
        <x:v>-48</x:v>
      </x:c>
      <x:c r="AH26" t="n">
        <x:f>2*(SQRT((Inputs!$C$52+(Scenario_Data!B26))^2+Inputs!$C$52^2-2*(Inputs!$C$52+(Scenario_Data!B26))*Inputs!$C$52*COS(SQRT((Scenario_Data!T26)^2+Inputs!$C$6^2)/Inputs!$C$52))*1000)/Inputs!$C$21*1000000</x:f>
        <x:v>2715.9462080599938</x:v>
      </x:c>
      <x:c r="AI26" t="n">
        <x:f>Scenario_Data!U26</x:f>
        <x:v>-320</x:v>
      </x:c>
      <x:c r="AJ26" t="n">
        <x:f>2*(SQRT((Inputs!$C$52+(Scenario_Data!C26))^2+Inputs!$C$52^2-2*(Inputs!$C$52+(Scenario_Data!C26))*Inputs!$C$52*COS(SQRT((Scenario_Data!U26)^2+Inputs!$C$6^2)/Inputs!$C$52))*1000)/Inputs!$C$21*1000000</x:f>
        <x:v>2926.8282235073743</x:v>
      </x:c>
      <x:c r="AK26" t="n">
        <x:f>Scenario_Data!V26</x:f>
        <x:v>-640</x:v>
      </x:c>
      <x:c r="AL26" t="n">
        <x:f>2*(SQRT((Inputs!$C$52+(Scenario_Data!D26))^2+Inputs!$C$52^2-2*(Inputs!$C$52+(Scenario_Data!D26))*Inputs!$C$52*COS(SQRT((Scenario_Data!V26)^2+Inputs!$C$6^2)/Inputs!$C$52))*1000)/Inputs!$C$21*1000000</x:f>
        <x:v>6669.6695538641015</x:v>
      </x:c>
      <x:c r="AM26" t="n">
        <x:f>Scenario_Data!W26</x:f>
        <x:v>-640</x:v>
      </x:c>
      <x:c r="AN26" t="n">
        <x:f>2*(SQRT((Inputs!$C$52+(Scenario_Data!E26))^2+Inputs!$C$52^2-2*(Inputs!$C$52+(Scenario_Data!E26))*Inputs!$C$52*COS(SQRT((Scenario_Data!W26)^2+Inputs!$C$6^2)/Inputs!$C$52))*1000)/Inputs!$C$21*1000000</x:f>
        <x:v>6650.89648885563</x:v>
      </x:c>
      <x:c r="AP26" t="n">
        <x:f>Scenario_Data!T26</x:f>
        <x:v>-48</x:v>
      </x:c>
      <x:c r="AQ26" t="n">
        <x: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x:f>
        <x:v>2714.2779556726477</x:v>
      </x:c>
      <x:c r="AR26" t="n">
        <x:f>Scenario_Data!U26</x:f>
        <x:v>-320</x:v>
      </x:c>
      <x:c r="AS26" t="n">
        <x: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x:f>
        <x:v>2926.020997254117</x:v>
      </x:c>
      <x:c r="AT26" t="n">
        <x:f>Scenario_Data!V26</x:f>
        <x:v>-640</x:v>
      </x:c>
      <x:c r="AU26" t="n">
        <x: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x:f>
        <x:v>6669.242000062811</x:v>
      </x:c>
      <x:c r="AV26" t="n">
        <x:f>Scenario_Data!W26</x:f>
        <x:v>-640</x:v>
      </x:c>
      <x:c r="AW26" t="n">
        <x: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x:f>
        <x:v>6650.47074761406</x:v>
      </x:c>
    </x:row>
    <x:row r="27">
      <x:c r="A27" t="n">
        <x:f>Chart_Data!K27</x:f>
        <x:v>-47.5</x:v>
      </x:c>
      <x:c r="B27" t="n">
        <x:f>Chart_Data!N27-Chart_Data!L27</x:f>
        <x:v>-57.61708752131386</x:v>
      </x:c>
      <x:c r="D27" t="n">
        <x:f>Chart_Data!G27</x:f>
        <x:v>-47.5</x:v>
      </x:c>
      <x:c r="E27" t="n">
        <x:f>Chart_Data!H27</x:f>
        <x:v>262.7548434853875</x:v>
      </x:c>
      <x:c r="F27" t="n">
        <x:f>Chart_Data!I27</x:f>
        <x:v>262.7548434853875</x:v>
      </x:c>
      <x:c r="G27" t="n">
        <x:f>Chart_Data!J27</x:f>
        <x:v>53.974959185609514</x:v>
      </x:c>
      <x:c r="I27" t="n">
        <x:f>Scenario_Data!A27</x:f>
        <x:v>-0.792</x:v>
      </x:c>
      <x:c r="J27" t="n">
        <x:f>Scenario_Data!H27-(((SQRT((Inputs!$C$52+(Inputs!$H$6))^2+Inputs!$C$52^2-2*(Inputs!$C$52+(Inputs!$H$6))*Inputs!$C$52*COS(SQRT((Scenario_Data!T27)^2+Inputs!$C$6^2)/Inputs!$C$52)))-(Inputs!$H$6))*1000/Inputs!$C$12)</x:f>
        <x:v>-12.392726180069985</x:v>
      </x:c>
      <x:c r="K27" t="n">
        <x:f>Scenario_Data!I27-(((SQRT((Inputs!$C$52+(Inputs!$H$7))^2+Inputs!$C$52^2-2*(Inputs!$C$52+(Inputs!$H$7))*Inputs!$C$52*COS(SQRT((Scenario_Data!U27)^2+Inputs!$C$6^2)/Inputs!$C$52)))-(Inputs!$H$7))*1000/Inputs!$C$12)</x:f>
        <x:v>-66749.44075526144</x:v>
      </x:c>
      <x:c r="L27" t="n">
        <x:f>Scenario_Data!J27-(((SQRT((Inputs!$C$52+(Inputs!$H$8))^2+Inputs!$C$52^2-2*(Inputs!$C$52+(Inputs!$H$8))*Inputs!$C$52*COS(SQRT((Scenario_Data!V27)^2+Inputs!$C$6^2)/Inputs!$C$52)))-(Inputs!$H$8))*1000/Inputs!$C$12)</x:f>
        <x:v>-145237.23692226937</x:v>
      </x:c>
      <x:c r="M27" t="n">
        <x:f>Scenario_Data!K27-(((SQRT((Inputs!$C$52+(Inputs!$H$9))^2+Inputs!$C$52^2-2*(Inputs!$C$52+(Inputs!$H$9))*Inputs!$C$52*COS(SQRT((Scenario_Data!W27)^2+Inputs!$C$6^2)/Inputs!$C$52)))-(Inputs!$H$9))*1000/Inputs!$C$12)</x:f>
        <x:v>-149005.63294747777</x:v>
      </x:c>
      <x:c r="O27" t="n">
        <x:f>Scenario_Data!T27</x:f>
        <x:v>-47.52</x:v>
      </x:c>
      <x:c r="P27" t="n">
        <x:f>2*(Scenario_Data!B27*1000)/Inputs!$C$21*1000000</x:f>
        <x:v>2685.251381474046</x:v>
      </x:c>
      <x:c r="Q27" t="n">
        <x:f>Scenario_Data!U27</x:f>
        <x:v>-316.8</x:v>
      </x:c>
      <x:c r="R27" t="n">
        <x:f>2*(Scenario_Data!C27*1000)/Inputs!$C$21*1000000</x:f>
        <x:v>1760.8939314944344</x:v>
      </x:c>
      <x:c r="S27" t="n">
        <x:f>Scenario_Data!V27</x:f>
        <x:v>-633.6</x:v>
      </x:c>
      <x:c r="T27" t="n">
        <x:f>2*(Scenario_Data!D27*1000)/Inputs!$C$21*1000000</x:f>
        <x:v>4271.686914818919</x:v>
      </x:c>
      <x:c r="U27" t="n">
        <x:f>Scenario_Data!W27</x:f>
        <x:v>-633.6</x:v>
      </x:c>
      <x:c r="V27" t="n">
        <x:f>2*(Scenario_Data!E27*1000)/Inputs!$C$21*1000000</x:f>
        <x:v>4246.820645501362</x:v>
      </x:c>
      <x:c r="X27" t="n">
        <x:f>Scenario_Data!T27</x:f>
        <x:v>-47.52</x:v>
      </x:c>
      <x:c r="Y27" t="n">
        <x: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x:f>
        <x:v>2684.9493444150958</x:v>
      </x:c>
      <x:c r="Z27" t="n">
        <x:f>Scenario_Data!U27</x:f>
        <x:v>-316.8</x:v>
      </x:c>
      <x:c r="AA27" t="n">
        <x: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x:f>
        <x:v>1760.4310673656025</x:v>
      </x:c>
      <x:c r="AB27" t="n">
        <x:f>Scenario_Data!V27</x:f>
        <x:v>-633.6</x:v>
      </x:c>
      <x:c r="AC27" t="n">
        <x: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x:f>
        <x:v>4271.599231277331</x:v>
      </x:c>
      <x:c r="AD27" t="n">
        <x:f>Scenario_Data!W27</x:f>
        <x:v>-633.6</x:v>
      </x:c>
      <x:c r="AE27" t="n">
        <x: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x:f>
        <x:v>4246.732961959774</x:v>
      </x:c>
      <x:c r="AG27" t="n">
        <x:f>Scenario_Data!T27</x:f>
        <x:v>-47.52</x:v>
      </x:c>
      <x:c r="AH27" t="n">
        <x:f>2*(SQRT((Inputs!$C$52+(Scenario_Data!B27))^2+Inputs!$C$52^2-2*(Inputs!$C$52+(Scenario_Data!B27))*Inputs!$C$52*COS(SQRT((Scenario_Data!T27)^2+Inputs!$C$6^2)/Inputs!$C$52))*1000)/Inputs!$C$21*1000000</x:f>
        <x:v>2715.1368098124726</x:v>
      </x:c>
      <x:c r="AI27" t="n">
        <x:f>Scenario_Data!U27</x:f>
        <x:v>-316.8</x:v>
      </x:c>
      <x:c r="AJ27" t="n">
        <x:f>2*(SQRT((Inputs!$C$52+(Scenario_Data!C27))^2+Inputs!$C$52^2-2*(Inputs!$C$52+(Scenario_Data!C27))*Inputs!$C$52*COS(SQRT((Scenario_Data!U27)^2+Inputs!$C$6^2)/Inputs!$C$52))*1000)/Inputs!$C$21*1000000</x:f>
        <x:v>2887.428399392069</x:v>
      </x:c>
      <x:c r="AK27" t="n">
        <x:f>Scenario_Data!V27</x:f>
        <x:v>-633.6</x:v>
      </x:c>
      <x:c r="AL27" t="n">
        <x:f>2*(SQRT((Inputs!$C$52+(Scenario_Data!D27))^2+Inputs!$C$52^2-2*(Inputs!$C$52+(Scenario_Data!D27))*Inputs!$C$52*COS(SQRT((Scenario_Data!V27)^2+Inputs!$C$6^2)/Inputs!$C$52))*1000)/Inputs!$C$21*1000000</x:f>
        <x:v>6567.954610839783</x:v>
      </x:c>
      <x:c r="AM27" t="n">
        <x:f>Scenario_Data!W27</x:f>
        <x:v>-633.6</x:v>
      </x:c>
      <x:c r="AN27" t="n">
        <x:f>2*(SQRT((Inputs!$C$52+(Scenario_Data!E27))^2+Inputs!$C$52^2-2*(Inputs!$C$52+(Scenario_Data!E27))*Inputs!$C$52*COS(SQRT((Scenario_Data!W27)^2+Inputs!$C$6^2)/Inputs!$C$52))*1000)/Inputs!$C$21*1000000</x:f>
        <x:v>6548.591781107728</x:v>
      </x:c>
      <x:c r="AP27" t="n">
        <x:f>Scenario_Data!T27</x:f>
        <x:v>-47.52</x:v>
      </x:c>
      <x:c r="AQ27" t="n">
        <x: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x:f>
        <x:v>2713.5291977559514</x:v>
      </x:c>
      <x:c r="AR27" t="n">
        <x:f>Scenario_Data!U27</x:f>
        <x:v>-316.8</x:v>
      </x:c>
      <x:c r="AS27" t="n">
        <x: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x:f>
        <x:v>2886.8217574751084</x:v>
      </x:c>
      <x:c r="AT27" t="n">
        <x:f>Scenario_Data!V27</x:f>
        <x:v>-633.6</x:v>
      </x:c>
      <x:c r="AU27" t="n">
        <x: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x:f>
        <x:v>6567.617122187415</x:v>
      </x:c>
      <x:c r="AV27" t="n">
        <x:f>Scenario_Data!W27</x:f>
        <x:v>-633.6</x:v>
      </x:c>
      <x:c r="AW27" t="n">
        <x: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x:f>
        <x:v>6548.25580809364</x:v>
      </x:c>
    </x:row>
    <x:row r="28">
      <x:c r="A28" t="n">
        <x:f>Chart_Data!K28</x:f>
        <x:v>-47</x:v>
      </x:c>
      <x:c r="B28" t="n">
        <x:f>Chart_Data!N28-Chart_Data!L28</x:f>
        <x:v>-64.67682483300021</x:v>
      </x:c>
      <x:c r="D28" t="n">
        <x:f>Chart_Data!G28</x:f>
        <x:v>-47</x:v>
      </x:c>
      <x:c r="E28" t="n">
        <x:f>Chart_Data!H28</x:f>
        <x:v>253.91481019774176</x:v>
      </x:c>
      <x:c r="F28" t="n">
        <x:f>Chart_Data!I28</x:f>
        <x:v>253.91481019774176</x:v>
      </x:c>
      <x:c r="G28" t="n">
        <x:f>Chart_Data!J28</x:f>
        <x:v>61.213442747759345</x:v>
      </x:c>
      <x:c r="I28" t="n">
        <x:f>Scenario_Data!A28</x:f>
        <x:v>-0.783</x:v>
      </x:c>
      <x:c r="J28" t="n">
        <x:f>Scenario_Data!H28-(((SQRT((Inputs!$C$52+(Inputs!$H$6))^2+Inputs!$C$52^2-2*(Inputs!$C$52+(Inputs!$H$6))*Inputs!$C$52*COS(SQRT((Scenario_Data!T28)^2+Inputs!$C$6^2)/Inputs!$C$52)))-(Inputs!$H$6))*1000/Inputs!$C$12)</x:f>
        <x:v>-11.903744966717568</x:v>
      </x:c>
      <x:c r="K28" t="n">
        <x:f>Scenario_Data!I28-(((SQRT((Inputs!$C$52+(Inputs!$H$7))^2+Inputs!$C$52^2-2*(Inputs!$C$52+(Inputs!$H$7))*Inputs!$C$52*COS(SQRT((Scenario_Data!U28)^2+Inputs!$C$6^2)/Inputs!$C$52)))-(Inputs!$H$7))*1000/Inputs!$C$12)</x:f>
        <x:v>-65530.96866610383</x:v>
      </x:c>
      <x:c r="L28" t="n">
        <x:f>Scenario_Data!J28-(((SQRT((Inputs!$C$52+(Inputs!$H$8))^2+Inputs!$C$52^2-2*(Inputs!$C$52+(Inputs!$H$8))*Inputs!$C$52*COS(SQRT((Scenario_Data!V28)^2+Inputs!$C$6^2)/Inputs!$C$52)))-(Inputs!$H$8))*1000/Inputs!$C$12)</x:f>
        <x:v>-143103.2871715021</x:v>
      </x:c>
      <x:c r="M28" t="n">
        <x:f>Scenario_Data!K28-(((SQRT((Inputs!$C$52+(Inputs!$H$9))^2+Inputs!$C$52^2-2*(Inputs!$C$52+(Inputs!$H$9))*Inputs!$C$52*COS(SQRT((Scenario_Data!W28)^2+Inputs!$C$6^2)/Inputs!$C$52)))-(Inputs!$H$9))*1000/Inputs!$C$12)</x:f>
        <x:v>-146856.21000814714</x:v>
      </x:c>
      <x:c r="O28" t="n">
        <x:f>Scenario_Data!T28</x:f>
        <x:v>-46.980000000000004</x:v>
      </x:c>
      <x:c r="P28" t="n">
        <x:f>2*(Scenario_Data!B28*1000)/Inputs!$C$21*1000000</x:f>
        <x:v>2684.873119790092</x:v>
      </x:c>
      <x:c r="Q28" t="n">
        <x:f>Scenario_Data!U28</x:f>
        <x:v>-313.20000000000005</x:v>
      </x:c>
      <x:c r="R28" t="n">
        <x:f>2*(Scenario_Data!C28*1000)/Inputs!$C$21*1000000</x:f>
        <x:v>1726.3775528335677</x:v>
      </x:c>
      <x:c r="S28" t="n">
        <x:f>Scenario_Data!V28</x:f>
        <x:v>-626.4000000000001</x:v>
      </x:c>
      <x:c r="T28" t="n">
        <x:f>2*(Scenario_Data!D28*1000)/Inputs!$C$21*1000000</x:f>
        <x:v>4180.431283564847</x:v>
      </x:c>
      <x:c r="U28" t="n">
        <x:f>Scenario_Data!W28</x:f>
        <x:v>-626.4000000000001</x:v>
      </x:c>
      <x:c r="V28" t="n">
        <x:f>2*(Scenario_Data!E28*1000)/Inputs!$C$21*1000000</x:f>
        <x:v>4154.619360037404</x:v>
      </x:c>
      <x:c r="X28" t="n">
        <x:f>Scenario_Data!T28</x:f>
        <x:v>-46.980000000000004</x:v>
      </x:c>
      <x:c r="Y28" t="n">
        <x: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x:f>
        <x:v>2684.621726220223</x:v>
      </x:c>
      <x:c r="Z28" t="n">
        <x:f>Scenario_Data!U28</x:f>
        <x:v>-313.20000000000005</x:v>
      </x:c>
      <x:c r="AA28" t="n">
        <x: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x:f>
        <x:v>1726.234115716435</x:v>
      </x:c>
      <x:c r="AB28" t="n">
        <x:f>Scenario_Data!V28</x:f>
        <x:v>-626.4000000000001</x:v>
      </x:c>
      <x:c r="AC28" t="n">
        <x: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x:f>
        <x:v>4179.935267849889</x:v>
      </x:c>
      <x:c r="AD28" t="n">
        <x:f>Scenario_Data!W28</x:f>
        <x:v>-626.4000000000001</x:v>
      </x:c>
      <x:c r="AE28" t="n">
        <x: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x:f>
        <x:v>4154.1233443224455</x:v>
      </x:c>
      <x:c r="AG28" t="n">
        <x:f>Scenario_Data!T28</x:f>
        <x:v>-46.980000000000004</x:v>
      </x:c>
      <x:c r="AH28" t="n">
        <x:f>2*(SQRT((Inputs!$C$52+(Scenario_Data!B28))^2+Inputs!$C$52^2-2*(Inputs!$C$52+(Scenario_Data!B28))*Inputs!$C$52*COS(SQRT((Scenario_Data!T28)^2+Inputs!$C$6^2)/Inputs!$C$52))*1000)/Inputs!$C$21*1000000</x:f>
        <x:v>2714.235753570058</x:v>
      </x:c>
      <x:c r="AI28" t="n">
        <x:f>Scenario_Data!U28</x:f>
        <x:v>-313.20000000000005</x:v>
      </x:c>
      <x:c r="AJ28" t="n">
        <x:f>2*(SQRT((Inputs!$C$52+(Scenario_Data!C28))^2+Inputs!$C$52^2-2*(Inputs!$C$52+(Scenario_Data!C28))*Inputs!$C$52*COS(SQRT((Scenario_Data!U28)^2+Inputs!$C$6^2)/Inputs!$C$52))*1000)/Inputs!$C$21*1000000</x:f>
        <x:v>2843.440582690011</x:v>
      </x:c>
      <x:c r="AK28" t="n">
        <x:f>Scenario_Data!V28</x:f>
        <x:v>-626.4000000000001</x:v>
      </x:c>
      <x:c r="AL28" t="n">
        <x:f>2*(SQRT((Inputs!$C$52+(Scenario_Data!D28))^2+Inputs!$C$52^2-2*(Inputs!$C$52+(Scenario_Data!D28))*Inputs!$C$52*COS(SQRT((Scenario_Data!V28)^2+Inputs!$C$6^2)/Inputs!$C$52))*1000)/Inputs!$C$21*1000000</x:f>
        <x:v>6454.567802288767</x:v>
      </x:c>
      <x:c r="AM28" t="n">
        <x:f>Scenario_Data!W28</x:f>
        <x:v>-626.4000000000001</x:v>
      </x:c>
      <x:c r="AN28" t="n">
        <x:f>2*(SQRT((Inputs!$C$52+(Scenario_Data!E28))^2+Inputs!$C$52^2-2*(Inputs!$C$52+(Scenario_Data!E28))*Inputs!$C$52*COS(SQRT((Scenario_Data!W28)^2+Inputs!$C$6^2)/Inputs!$C$52))*1000)/Inputs!$C$21*1000000</x:f>
        <x:v>6434.556924518235</x:v>
      </x:c>
      <x:c r="AP28" t="n">
        <x:f>Scenario_Data!T28</x:f>
        <x:v>-46.980000000000004</x:v>
      </x:c>
      <x:c r="AQ28" t="n">
        <x: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x:f>
        <x:v>2712.5601656074723</x:v>
      </x:c>
      <x:c r="AR28" t="n">
        <x:f>Scenario_Data!U28</x:f>
        <x:v>-313.20000000000005</x:v>
      </x:c>
      <x:c r="AS28" t="n">
        <x: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x:f>
        <x:v>2843.1030562454516</x:v>
      </x:c>
      <x:c r="AT28" t="n">
        <x:f>Scenario_Data!V28</x:f>
        <x:v>-626.4000000000001</x:v>
      </x:c>
      <x:c r="AU28" t="n">
        <x: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x:f>
        <x:v>6453.946736401601</x:v>
      </x:c>
      <x:c r="AV28" t="n">
        <x:f>Scenario_Data!W28</x:f>
        <x:v>-626.4000000000001</x:v>
      </x:c>
      <x:c r="AW28" t="n">
        <x: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x:f>
        <x:v>6433.938830803955</x:v>
      </x:c>
    </x:row>
    <x:row r="29">
      <x:c r="A29" t="n">
        <x:f>Chart_Data!K29</x:f>
        <x:v>-46.5</x:v>
      </x:c>
      <x:c r="B29" t="n">
        <x:f>Chart_Data!N29-Chart_Data!L29</x:f>
        <x:v>-60.9353736942775</x:v>
      </x:c>
      <x:c r="D29" t="n">
        <x:f>Chart_Data!G29</x:f>
        <x:v>-46.5</x:v>
      </x:c>
      <x:c r="E29" t="n">
        <x:f>Chart_Data!H29</x:f>
        <x:v>253.748238320312</x:v>
      </x:c>
      <x:c r="F29" t="n">
        <x:f>Chart_Data!I29</x:f>
        <x:v>253.748238320312</x:v>
      </x:c>
      <x:c r="G29" t="n">
        <x:f>Chart_Data!J29</x:f>
        <x:v>57.529820703344</x:v>
      </x:c>
      <x:c r="I29" t="n">
        <x:f>Scenario_Data!A29</x:f>
        <x:v>-0.775</x:v>
      </x:c>
      <x:c r="J29" t="n">
        <x:f>Scenario_Data!H29-(((SQRT((Inputs!$C$52+(Inputs!$H$6))^2+Inputs!$C$52^2-2*(Inputs!$C$52+(Inputs!$H$6))*Inputs!$C$52*COS(SQRT((Scenario_Data!T29)^2+Inputs!$C$6^2)/Inputs!$C$52)))-(Inputs!$H$6))*1000/Inputs!$C$12)</x:f>
        <x:v>-11.481613456182458</x:v>
      </x:c>
      <x:c r="K29" t="n">
        <x:f>Scenario_Data!I29-(((SQRT((Inputs!$C$52+(Inputs!$H$7))^2+Inputs!$C$52^2-2*(Inputs!$C$52+(Inputs!$H$7))*Inputs!$C$52*COS(SQRT((Scenario_Data!U29)^2+Inputs!$C$6^2)/Inputs!$C$52)))-(Inputs!$H$7))*1000/Inputs!$C$12)</x:f>
        <x:v>-64450.81432177829</x:v>
      </x:c>
      <x:c r="L29" t="n">
        <x:f>Scenario_Data!J29-(((SQRT((Inputs!$C$52+(Inputs!$H$8))^2+Inputs!$C$52^2-2*(Inputs!$C$52+(Inputs!$H$8))*Inputs!$C$52*COS(SQRT((Scenario_Data!V29)^2+Inputs!$C$6^2)/Inputs!$C$52)))-(Inputs!$H$8))*1000/Inputs!$C$12)</x:f>
        <x:v>-141200.9353430962</x:v>
      </x:c>
      <x:c r="M29" t="n">
        <x:f>Scenario_Data!K29-(((SQRT((Inputs!$C$52+(Inputs!$H$9))^2+Inputs!$C$52^2-2*(Inputs!$C$52+(Inputs!$H$9))*Inputs!$C$52*COS(SQRT((Scenario_Data!W29)^2+Inputs!$C$6^2)/Inputs!$C$52)))-(Inputs!$H$9))*1000/Inputs!$C$12)</x:f>
        <x:v>-144939.65393967155</x:v>
      </x:c>
      <x:c r="O29" t="n">
        <x:f>Scenario_Data!T29</x:f>
        <x:v>-46.5</x:v>
      </x:c>
      <x:c r="P29" t="n">
        <x:f>2*(Scenario_Data!B29*1000)/Inputs!$C$21*1000000</x:f>
        <x:v>2684.540516359488</x:v>
      </x:c>
      <x:c r="Q29" t="n">
        <x:f>Scenario_Data!U29</x:f>
        <x:v>-310</x:v>
      </x:c>
      <x:c r="R29" t="n">
        <x:f>2*(Scenario_Data!C29*1000)/Inputs!$C$21*1000000</x:f>
        <x:v>1696.0274897909542</x:v>
      </x:c>
      <x:c r="S29" t="n">
        <x:f>Scenario_Data!V29</x:f>
        <x:v>-620</x:v>
      </x:c>
      <x:c r="T29" t="n">
        <x:f>2*(Scenario_Data!D29*1000)/Inputs!$C$21*1000000</x:f>
        <x:v>4100.190705931635</x:v>
      </x:c>
      <x:c r="U29" t="n">
        <x:f>Scenario_Data!W29</x:f>
        <x:v>-620</x:v>
      </x:c>
      <x:c r="V29" t="n">
        <x:f>2*(Scenario_Data!E29*1000)/Inputs!$C$21*1000000</x:f>
        <x:v>4073.547273827683</x:v>
      </x:c>
      <x:c r="X29" t="n">
        <x:f>Scenario_Data!T29</x:f>
        <x:v>-46.5</x:v>
      </x:c>
      <x:c r="Y29" t="n">
        <x: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x:f>
        <x:v>2684.1567187076917</x:v>
      </x:c>
      <x:c r="Z29" t="n">
        <x:f>Scenario_Data!U29</x:f>
        <x:v>-310</x:v>
      </x:c>
      <x:c r="AA29" t="n">
        <x: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x:f>
        <x:v>1695.8586735261722</x:v>
      </x:c>
      <x:c r="AB29" t="n">
        <x:f>Scenario_Data!V29</x:f>
        <x:v>-620</x:v>
      </x:c>
      <x:c r="AC29" t="n">
        <x: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x:f>
        <x:v>4099.965897790397</x:v>
      </x:c>
      <x:c r="AD29" t="n">
        <x:f>Scenario_Data!W29</x:f>
        <x:v>-620</x:v>
      </x:c>
      <x:c r="AE29" t="n">
        <x: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x:f>
        <x:v>4073.322465686445</x:v>
      </x:c>
      <x:c r="AG29" t="n">
        <x:f>Scenario_Data!T29</x:f>
        <x:v>-46.5</x:v>
      </x:c>
      <x:c r="AH29" t="n">
        <x:f>2*(SQRT((Inputs!$C$52+(Scenario_Data!B29))^2+Inputs!$C$52^2-2*(Inputs!$C$52+(Scenario_Data!B29))*Inputs!$C$52*COS(SQRT((Scenario_Data!T29)^2+Inputs!$C$6^2)/Inputs!$C$52))*1000)/Inputs!$C$21*1000000</x:f>
        <x:v>2713.4432796899005</x:v>
      </x:c>
      <x:c r="AI29" t="n">
        <x:f>Scenario_Data!U29</x:f>
        <x:v>-310</x:v>
      </x:c>
      <x:c r="AJ29" t="n">
        <x:f>2*(SQRT((Inputs!$C$52+(Scenario_Data!C29))^2+Inputs!$C$52^2-2*(Inputs!$C$52+(Scenario_Data!C29))*Inputs!$C$52*COS(SQRT((Scenario_Data!U29)^2+Inputs!$C$6^2)/Inputs!$C$52))*1000)/Inputs!$C$21*1000000</x:f>
        <x:v>2804.638522662561</x:v>
      </x:c>
      <x:c r="AK29" t="n">
        <x:f>Scenario_Data!V29</x:f>
        <x:v>-620</x:v>
      </x:c>
      <x:c r="AL29" t="n">
        <x:f>2*(SQRT((Inputs!$C$52+(Scenario_Data!D29))^2+Inputs!$C$52^2-2*(Inputs!$C$52+(Scenario_Data!D29))*Inputs!$C$52*COS(SQRT((Scenario_Data!V29)^2+Inputs!$C$6^2)/Inputs!$C$52))*1000)/Inputs!$C$21*1000000</x:f>
        <x:v>6354.703876330992</x:v>
      </x:c>
      <x:c r="AM29" t="n">
        <x:f>Scenario_Data!W29</x:f>
        <x:v>-620</x:v>
      </x:c>
      <x:c r="AN29" t="n">
        <x:f>2*(SQRT((Inputs!$C$52+(Scenario_Data!E29))^2+Inputs!$C$52^2-2*(Inputs!$C$52+(Scenario_Data!E29))*Inputs!$C$52*COS(SQRT((Scenario_Data!W29)^2+Inputs!$C$6^2)/Inputs!$C$52))*1000)/Inputs!$C$21*1000000</x:f>
        <x:v>6334.130742726853</x:v>
      </x:c>
      <x:c r="AP29" t="n">
        <x:f>Scenario_Data!T29</x:f>
        <x:v>-46.5</x:v>
      </x:c>
      <x:c r="AQ29" t="n">
        <x: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x:f>
        <x:v>2711.773173063473</x:v>
      </x:c>
      <x:c r="AR29" t="n">
        <x:f>Scenario_Data!U29</x:f>
        <x:v>-310</x:v>
      </x:c>
      <x:c r="AS29" t="n">
        <x: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x:f>
        <x:v>2804.324806344102</x:v>
      </x:c>
      <x:c r="AT29" t="n">
        <x:f>Scenario_Data!V29</x:f>
        <x:v>-620</x:v>
      </x:c>
      <x:c r="AU29" t="n">
        <x: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x:f>
        <x:v>6354.148628359924</x:v>
      </x:c>
      <x:c r="AV29" t="n">
        <x:f>Scenario_Data!W29</x:f>
        <x:v>-620</x:v>
      </x:c>
      <x:c r="AW29" t="n">
        <x: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x:f>
        <x:v>6333.578302346319</x:v>
      </x:c>
    </x:row>
    <x:row r="30">
      <x:c r="A30" t="n">
        <x:f>Chart_Data!K30</x:f>
        <x:v>-46</x:v>
      </x:c>
      <x:c r="B30" t="n">
        <x:f>Chart_Data!N30-Chart_Data!L30</x:f>
        <x:v>-52.674234164719905</x:v>
      </x:c>
      <x:c r="D30" t="n">
        <x:f>Chart_Data!G30</x:f>
        <x:v>-46</x:v>
      </x:c>
      <x:c r="E30" t="n">
        <x:f>Chart_Data!H30</x:f>
        <x:v>237.40469511010875</x:v>
      </x:c>
      <x:c r="F30" t="n">
        <x:f>Chart_Data!I30</x:f>
        <x:v>237.40469511010875</x:v>
      </x:c>
      <x:c r="G30" t="n">
        <x:f>Chart_Data!J30</x:f>
        <x:v>49.53962065283257</x:v>
      </x:c>
      <x:c r="I30" t="n">
        <x:f>Scenario_Data!A30</x:f>
        <x:v>-0.767</x:v>
      </x:c>
      <x:c r="J30" t="n">
        <x:f>Scenario_Data!H30-(((SQRT((Inputs!$C$52+(Inputs!$H$6))^2+Inputs!$C$52^2-2*(Inputs!$C$52+(Inputs!$H$6))*Inputs!$C$52*COS(SQRT((Scenario_Data!T30)^2+Inputs!$C$6^2)/Inputs!$C$52)))-(Inputs!$H$6))*1000/Inputs!$C$12)</x:f>
        <x:v>-11.071038001998204</x:v>
      </x:c>
      <x:c r="K30" t="n">
        <x:f>Scenario_Data!I30-(((SQRT((Inputs!$C$52+(Inputs!$H$7))^2+Inputs!$C$52^2-2*(Inputs!$C$52+(Inputs!$H$7))*Inputs!$C$52*COS(SQRT((Scenario_Data!U30)^2+Inputs!$C$6^2)/Inputs!$C$52)))-(Inputs!$H$7))*1000/Inputs!$C$12)</x:f>
        <x:v>-63373.53868446994</x:v>
      </x:c>
      <x:c r="L30" t="n">
        <x:f>Scenario_Data!J30-(((SQRT((Inputs!$C$52+(Inputs!$H$8))^2+Inputs!$C$52^2-2*(Inputs!$C$52+(Inputs!$H$8))*Inputs!$C$52*COS(SQRT((Scenario_Data!V30)^2+Inputs!$C$6^2)/Inputs!$C$52)))-(Inputs!$H$8))*1000/Inputs!$C$12)</x:f>
        <x:v>-139293.61086167698</x:v>
      </x:c>
      <x:c r="M30" t="n">
        <x:f>Scenario_Data!K30-(((SQRT((Inputs!$C$52+(Inputs!$H$9))^2+Inputs!$C$52^2-2*(Inputs!$C$52+(Inputs!$H$9))*Inputs!$C$52*COS(SQRT((Scenario_Data!W30)^2+Inputs!$C$6^2)/Inputs!$C$52)))-(Inputs!$H$9))*1000/Inputs!$C$12)</x:f>
        <x:v>-143017.69446274094</x:v>
      </x:c>
      <x:c r="O30" t="n">
        <x:f>Scenario_Data!T30</x:f>
        <x:v>-46.02</x:v>
      </x:c>
      <x:c r="P30" t="n">
        <x:f>2*(Scenario_Data!B30*1000)/Inputs!$C$21*1000000</x:f>
        <x:v>2684.211328625219</x:v>
      </x:c>
      <x:c r="Q30" t="n">
        <x:f>Scenario_Data!U30</x:f>
        <x:v>-306.8</x:v>
      </x:c>
      <x:c r="R30" t="n">
        <x:f>2*(Scenario_Data!C30*1000)/Inputs!$C$21*1000000</x:f>
        <x:v>1665.989109038894</x:v>
      </x:c>
      <x:c r="S30" t="n">
        <x:f>Scenario_Data!V30</x:f>
        <x:v>-613.6</x:v>
      </x:c>
      <x:c r="T30" t="n">
        <x:f>2*(Scenario_Data!D30*1000)/Inputs!$C$21*1000000</x:f>
        <x:v>4020.774165039202</x:v>
      </x:c>
      <x:c r="U30" t="n">
        <x:f>Scenario_Data!W30</x:f>
        <x:v>-613.6</x:v>
      </x:c>
      <x:c r="V30" t="n">
        <x:f>2*(Scenario_Data!E30*1000)/Inputs!$C$21*1000000</x:f>
        <x:v>3993.3077635995774</x:v>
      </x:c>
      <x:c r="X30" t="n">
        <x:f>Scenario_Data!T30</x:f>
        <x:v>-46.02</x:v>
      </x:c>
      <x:c r="Y30" t="n">
        <x: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x:f>
        <x:v>2683.845136650238</x:v>
      </x:c>
      <x:c r="Z30" t="n">
        <x:f>Scenario_Data!U30</x:f>
        <x:v>-306.8</x:v>
      </x:c>
      <x:c r="AA30" t="n">
        <x: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x:f>
        <x:v>1665.8212925006906</x:v>
      </x:c>
      <x:c r="AB30" t="n">
        <x:f>Scenario_Data!V30</x:f>
        <x:v>-613.6</x:v>
      </x:c>
      <x:c r="AC30" t="n">
        <x: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x:f>
        <x:v>4020.642850016848</x:v>
      </x:c>
      <x:c r="AD30" t="n">
        <x:f>Scenario_Data!W30</x:f>
        <x:v>-613.6</x:v>
      </x:c>
      <x:c r="AE30" t="n">
        <x: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x:f>
        <x:v>3993.1764485772233</x:v>
      </x:c>
      <x:c r="AG30" t="n">
        <x:f>Scenario_Data!T30</x:f>
        <x:v>-46.02</x:v>
      </x:c>
      <x:c r="AH30" t="n">
        <x:f>2*(SQRT((Inputs!$C$52+(Scenario_Data!B30))^2+Inputs!$C$52^2-2*(Inputs!$C$52+(Scenario_Data!B30))*Inputs!$C$52*COS(SQRT((Scenario_Data!T30)^2+Inputs!$C$6^2)/Inputs!$C$52))*1000)/Inputs!$C$21*1000000</x:f>
        <x:v>2712.658778127942</x:v>
      </x:c>
      <x:c r="AI30" t="n">
        <x:f>Scenario_Data!U30</x:f>
        <x:v>-306.8</x:v>
      </x:c>
      <x:c r="AJ30" t="n">
        <x:f>2*(SQRT((Inputs!$C$52+(Scenario_Data!C30))^2+Inputs!$C$52^2-2*(Inputs!$C$52+(Scenario_Data!C30))*Inputs!$C$52*COS(SQRT((Scenario_Data!U30)^2+Inputs!$C$6^2)/Inputs!$C$52))*1000)/Inputs!$C$21*1000000</x:f>
        <x:v>2766.1158768793084</x:v>
      </x:c>
      <x:c r="AK30" t="n">
        <x:f>Scenario_Data!V30</x:f>
        <x:v>-613.6</x:v>
      </x:c>
      <x:c r="AL30" t="n">
        <x:f>2*(SQRT((Inputs!$C$52+(Scenario_Data!D30))^2+Inputs!$C$52^2-2*(Inputs!$C$52+(Scenario_Data!D30))*Inputs!$C$52*COS(SQRT((Scenario_Data!V30)^2+Inputs!$C$6^2)/Inputs!$C$52))*1000)/Inputs!$C$21*1000000</x:f>
        <x:v>6255.7076711632635</x:v>
      </x:c>
      <x:c r="AM30" t="n">
        <x:f>Scenario_Data!W30</x:f>
        <x:v>-613.6</x:v>
      </x:c>
      <x:c r="AN30" t="n">
        <x:f>2*(SQRT((Inputs!$C$52+(Scenario_Data!E30))^2+Inputs!$C$52^2-2*(Inputs!$C$52+(Scenario_Data!E30))*Inputs!$C$52*COS(SQRT((Scenario_Data!W30)^2+Inputs!$C$6^2)/Inputs!$C$52))*1000)/Inputs!$C$21*1000000</x:f>
        <x:v>6234.585318473166</x:v>
      </x:c>
      <x:c r="AP30" t="n">
        <x:f>Scenario_Data!T30</x:f>
        <x:v>-46.02</x:v>
      </x:c>
      <x:c r="AQ30" t="n">
        <x: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x:f>
        <x:v>2711.160999256946</x:v>
      </x:c>
      <x:c r="AR30" t="n">
        <x:f>Scenario_Data!U30</x:f>
        <x:v>-306.8</x:v>
      </x:c>
      <x:c r="AS30" t="n">
        <x: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x:f>
        <x:v>2765.6399481746153</x:v>
      </x:c>
      <x:c r="AT30" t="n">
        <x:f>Scenario_Data!V30</x:f>
        <x:v>-613.6</x:v>
      </x:c>
      <x:c r="AU30" t="n">
        <x: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x:f>
        <x:v>6255.366172336804</x:v>
      </x:c>
      <x:c r="AV30" t="n">
        <x:f>Scenario_Data!W30</x:f>
        <x:v>-613.6</x:v>
      </x:c>
      <x:c r="AW30" t="n">
        <x: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x:f>
        <x:v>6234.24564203876</x:v>
      </x:c>
    </x:row>
    <x:row r="31">
      <x:c r="A31" t="n">
        <x:f>Chart_Data!K31</x:f>
        <x:v>-45.5</x:v>
      </x:c>
      <x:c r="B31" t="n">
        <x:f>Chart_Data!N31-Chart_Data!L31</x:f>
        <x:v>-39.87080279850994</x:v>
      </x:c>
      <x:c r="D31" t="n">
        <x:f>Chart_Data!G31</x:f>
        <x:v>-45.5</x:v>
      </x:c>
      <x:c r="E31" t="n">
        <x:f>Chart_Data!H31</x:f>
        <x:v>230.03534200748854</x:v>
      </x:c>
      <x:c r="F31" t="n">
        <x:f>Chart_Data!I31</x:f>
        <x:v>230.03534200748854</x:v>
      </x:c>
      <x:c r="G31" t="n">
        <x:f>Chart_Data!J31</x:f>
        <x:v>36.8829185081177</x:v>
      </x:c>
      <x:c r="I31" t="n">
        <x:f>Scenario_Data!A31</x:f>
        <x:v>-0.758</x:v>
      </x:c>
      <x:c r="J31" t="n">
        <x:f>Scenario_Data!H31-(((SQRT((Inputs!$C$52+(Inputs!$H$6))^2+Inputs!$C$52^2-2*(Inputs!$C$52+(Inputs!$H$6))*Inputs!$C$52*COS(SQRT((Scenario_Data!T31)^2+Inputs!$C$6^2)/Inputs!$C$52)))-(Inputs!$H$6))*1000/Inputs!$C$12)</x:f>
        <x:v>-10.622685923482095</x:v>
      </x:c>
      <x:c r="K31" t="n">
        <x:f>Scenario_Data!I31-(((SQRT((Inputs!$C$52+(Inputs!$H$7))^2+Inputs!$C$52^2-2*(Inputs!$C$52+(Inputs!$H$7))*Inputs!$C$52*COS(SQRT((Scenario_Data!U31)^2+Inputs!$C$6^2)/Inputs!$C$52)))-(Inputs!$H$7))*1000/Inputs!$C$12)</x:f>
        <x:v>-62165.189846866764</x:v>
      </x:c>
      <x:c r="L31" t="n">
        <x:f>Scenario_Data!J31-(((SQRT((Inputs!$C$52+(Inputs!$H$8))^2+Inputs!$C$52^2-2*(Inputs!$C$52+(Inputs!$H$8))*Inputs!$C$52*COS(SQRT((Scenario_Data!V31)^2+Inputs!$C$6^2)/Inputs!$C$52)))-(Inputs!$H$8))*1000/Inputs!$C$12)</x:f>
        <x:v>-137142.1869054523</x:v>
      </x:c>
      <x:c r="M31" t="n">
        <x:f>Scenario_Data!K31-(((SQRT((Inputs!$C$52+(Inputs!$H$9))^2+Inputs!$C$52^2-2*(Inputs!$C$52+(Inputs!$H$9))*Inputs!$C$52*COS(SQRT((Scenario_Data!W31)^2+Inputs!$C$6^2)/Inputs!$C$52)))-(Inputs!$H$9))*1000/Inputs!$C$12)</x:f>
        <x:v>-140849.2828749542</x:v>
      </x:c>
      <x:c r="O31" t="n">
        <x:f>Scenario_Data!T31</x:f>
        <x:v>-45.480000000000004</x:v>
      </x:c>
      <x:c r="P31" t="n">
        <x:f>2*(Scenario_Data!B31*1000)/Inputs!$C$21*1000000</x:f>
        <x:v>2683.8450752486906</x:v>
      </x:c>
      <x:c r="Q31" t="n">
        <x:f>Scenario_Data!U31</x:f>
        <x:v>-303.2</x:v>
      </x:c>
      <x:c r="R31" t="n">
        <x:f>2*(Scenario_Data!C31*1000)/Inputs!$C$21*1000000</x:f>
        <x:v>1632.568488430753</x:v>
      </x:c>
      <x:c r="S31" t="n">
        <x:f>Scenario_Data!V31</x:f>
        <x:v>-606.4</x:v>
      </x:c>
      <x:c r="T31" t="n">
        <x:f>2*(Scenario_Data!D31*1000)/Inputs!$C$21*1000000</x:f>
        <x:v>3932.415537951925</x:v>
      </x:c>
      <x:c r="U31" t="n">
        <x:f>Scenario_Data!W31</x:f>
        <x:v>-606.4</x:v>
      </x:c>
      <x:c r="V31" t="n">
        <x:f>2*(Scenario_Data!E31*1000)/Inputs!$C$21*1000000</x:f>
        <x:v>3904.0335030709807</x:v>
      </x:c>
      <x:c r="X31" t="n">
        <x:f>Scenario_Data!T31</x:f>
        <x:v>-45.480000000000004</x:v>
      </x:c>
      <x:c r="Y31" t="n">
        <x: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x:f>
        <x:v>2683.5136176627734</x:v>
      </x:c>
      <x:c r="Z31" t="n">
        <x:f>Scenario_Data!U31</x:f>
        <x:v>-303.2</x:v>
      </x:c>
      <x:c r="AA31" t="n">
        <x: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x:f>
        <x:v>1632.376799481638</x:v>
      </x:c>
      <x:c r="AB31" t="n">
        <x:f>Scenario_Data!V31</x:f>
        <x:v>-606.4</x:v>
      </x:c>
      <x:c r="AC31" t="n">
        <x: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x:f>
        <x:v>3932.122421247776</x:v>
      </x:c>
      <x:c r="AD31" t="n">
        <x:f>Scenario_Data!W31</x:f>
        <x:v>-606.4</x:v>
      </x:c>
      <x:c r="AE31" t="n">
        <x: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x:f>
        <x:v>3903.7403863668314</x:v>
      </x:c>
      <x:c r="AG31" t="n">
        <x:f>Scenario_Data!T31</x:f>
        <x:v>-45.480000000000004</x:v>
      </x:c>
      <x:c r="AH31" t="n">
        <x:f>2*(SQRT((Inputs!$C$52+(Scenario_Data!B31))^2+Inputs!$C$52^2-2*(Inputs!$C$52+(Scenario_Data!B31))*Inputs!$C$52*COS(SQRT((Scenario_Data!T31)^2+Inputs!$C$6^2)/Inputs!$C$52))*1000)/Inputs!$C$21*1000000</x:f>
        <x:v>2711.7857495077187</x:v>
      </x:c>
      <x:c r="AI31" t="n">
        <x:f>Scenario_Data!U31</x:f>
        <x:v>-303.2</x:v>
      </x:c>
      <x:c r="AJ31" t="n">
        <x:f>2*(SQRT((Inputs!$C$52+(Scenario_Data!C31))^2+Inputs!$C$52^2-2*(Inputs!$C$52+(Scenario_Data!C31))*Inputs!$C$52*COS(SQRT((Scenario_Data!U31)^2+Inputs!$C$6^2)/Inputs!$C$52))*1000)/Inputs!$C$21*1000000</x:f>
        <x:v>2723.110349333624</x:v>
      </x:c>
      <x:c r="AK31" t="n">
        <x:f>Scenario_Data!V31</x:f>
        <x:v>-606.4</x:v>
      </x:c>
      <x:c r="AL31" t="n">
        <x:f>2*(SQRT((Inputs!$C$52+(Scenario_Data!D31))^2+Inputs!$C$52^2-2*(Inputs!$C$52+(Scenario_Data!D31))*Inputs!$C$52*COS(SQRT((Scenario_Data!V31)^2+Inputs!$C$6^2)/Inputs!$C$52))*1000)/Inputs!$C$21*1000000</x:f>
        <x:v>6145.371354766009</x:v>
      </x:c>
      <x:c r="AM31" t="n">
        <x:f>Scenario_Data!W31</x:f>
        <x:v>-606.4</x:v>
      </x:c>
      <x:c r="AN31" t="n">
        <x:f>2*(SQRT((Inputs!$C$52+(Scenario_Data!E31))^2+Inputs!$C$52^2-2*(Inputs!$C$52+(Scenario_Data!E31))*Inputs!$C$52*COS(SQRT((Scenario_Data!W31)^2+Inputs!$C$6^2)/Inputs!$C$52))*1000)/Inputs!$C$21*1000000</x:f>
        <x:v>6123.646786047526</x:v>
      </x:c>
      <x:c r="AP31" t="n">
        <x:f>Scenario_Data!T31</x:f>
        <x:v>-45.480000000000004</x:v>
      </x:c>
      <x:c r="AQ31" t="n">
        <x: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x:f>
        <x:v>2710.338289310354</x:v>
      </x:c>
      <x:c r="AR31" t="n">
        <x:f>Scenario_Data!U31</x:f>
        <x:v>-303.2</x:v>
      </x:c>
      <x:c r="AS31" t="n">
        <x: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x:f>
        <x:v>2722.530866002271</x:v>
      </x:c>
      <x:c r="AT31" t="n">
        <x:f>Scenario_Data!V31</x:f>
        <x:v>-606.4</x:v>
      </x:c>
      <x:c r="AU31" t="n">
        <x: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x:f>
        <x:v>6144.635133313041</x:v>
      </x:c>
      <x:c r="AV31" t="n">
        <x:f>Scenario_Data!W31</x:f>
        <x:v>-606.4</x:v>
      </x:c>
      <x:c r="AW31" t="n">
        <x: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x:f>
        <x:v>6122.914735787475</x:v>
      </x:c>
    </x:row>
    <x:row r="32">
      <x:c r="A32" t="n">
        <x:f>Chart_Data!K32</x:f>
        <x:v>-45</x:v>
      </x:c>
      <x:c r="B32" t="n">
        <x:f>Chart_Data!N32-Chart_Data!L32</x:f>
        <x:v>-49.267020374654436</x:v>
      </x:c>
      <x:c r="D32" t="n">
        <x:f>Chart_Data!G32</x:f>
        <x:v>-45</x:v>
      </x:c>
      <x:c r="E32" t="n">
        <x:f>Chart_Data!H32</x:f>
        <x:v>208.8220272535724</x:v>
      </x:c>
      <x:c r="F32" t="n">
        <x:f>Chart_Data!I32</x:f>
        <x:v>208.8220272535724</x:v>
      </x:c>
      <x:c r="G32" t="n">
        <x:f>Chart_Data!J32</x:f>
        <x:v>46.59917835352822</x:v>
      </x:c>
      <x:c r="I32" t="n">
        <x:f>Scenario_Data!A32</x:f>
        <x:v>-0.75</x:v>
      </x:c>
      <x:c r="J32" t="n">
        <x:f>Scenario_Data!H32-(((SQRT((Inputs!$C$52+(Inputs!$H$6))^2+Inputs!$C$52^2-2*(Inputs!$C$52+(Inputs!$H$6))*Inputs!$C$52*COS(SQRT((Scenario_Data!T32)^2+Inputs!$C$6^2)/Inputs!$C$52)))-(Inputs!$H$6))*1000/Inputs!$C$12)</x:f>
        <x:v>-10.235955038383963</x:v>
      </x:c>
      <x:c r="K32" t="n">
        <x:f>Scenario_Data!I32-(((SQRT((Inputs!$C$52+(Inputs!$H$7))^2+Inputs!$C$52^2-2*(Inputs!$C$52+(Inputs!$H$7))*Inputs!$C$52*COS(SQRT((Scenario_Data!U32)^2+Inputs!$C$6^2)/Inputs!$C$52)))-(Inputs!$H$7))*1000/Inputs!$C$12)</x:f>
        <x:v>-61094.421380709784</x:v>
      </x:c>
      <x:c r="L32" t="n">
        <x:f>Scenario_Data!J32-(((SQRT((Inputs!$C$52+(Inputs!$H$8))^2+Inputs!$C$52^2-2*(Inputs!$C$52+(Inputs!$H$8))*Inputs!$C$52*COS(SQRT((Scenario_Data!V32)^2+Inputs!$C$6^2)/Inputs!$C$52)))-(Inputs!$H$8))*1000/Inputs!$C$12)</x:f>
        <x:v>-135224.99566257387</x:v>
      </x:c>
      <x:c r="M32" t="n">
        <x:f>Scenario_Data!K32-(((SQRT((Inputs!$C$52+(Inputs!$H$9))^2+Inputs!$C$52^2-2*(Inputs!$C$52+(Inputs!$H$9))*Inputs!$C$52*COS(SQRT((Scenario_Data!W32)^2+Inputs!$C$6^2)/Inputs!$C$52)))-(Inputs!$H$9))*1000/Inputs!$C$12)</x:f>
        <x:v>-138916.5188951826</x:v>
      </x:c>
      <x:c r="O32" t="n">
        <x:f>Scenario_Data!T32</x:f>
        <x:v>-45</x:v>
      </x:c>
      <x:c r="P32" t="n">
        <x:f>2*(Scenario_Data!B32*1000)/Inputs!$C$21*1000000</x:f>
        <x:v>2683.5231458691333</x:v>
      </x:c>
      <x:c r="Q32" t="n">
        <x:f>Scenario_Data!U32</x:f>
        <x:v>-300</x:v>
      </x:c>
      <x:c r="R32" t="n">
        <x:f>2*(Scenario_Data!C32*1000)/Inputs!$C$21*1000000</x:f>
        <x:v>1603.1924325461182</x:v>
      </x:c>
      <x:c r="S32" t="n">
        <x:f>Scenario_Data!V32</x:f>
        <x:v>-600</x:v>
      </x:c>
      <x:c r="T32" t="n">
        <x:f>2*(Scenario_Data!D32*1000)/Inputs!$C$21*1000000</x:f>
        <x:v>3854.7500751336447</x:v>
      </x:c>
      <x:c r="U32" t="n">
        <x:f>Scenario_Data!W32</x:f>
        <x:v>-600</x:v>
      </x:c>
      <x:c r="V32" t="n">
        <x:f>2*(Scenario_Data!E32*1000)/Inputs!$C$21*1000000</x:f>
        <x:v>3825.5632168038064</x:v>
      </x:c>
      <x:c r="X32" t="n">
        <x:f>Scenario_Data!T32</x:f>
        <x:v>-45</x:v>
      </x:c>
      <x:c r="Y32" t="n">
        <x: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x:f>
        <x:v>2683.212269613844</x:v>
      </x:c>
      <x:c r="Z32" t="n">
        <x:f>Scenario_Data!U32</x:f>
        <x:v>-300</x:v>
      </x:c>
      <x:c r="AA32" t="n">
        <x: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x:f>
        <x:v>1602.8094295360397</x:v>
      </x:c>
      <x:c r="AB32" t="n">
        <x:f>Scenario_Data!V32</x:f>
        <x:v>-600</x:v>
      </x:c>
      <x:c r="AC32" t="n">
        <x: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x:f>
        <x:v>3854.83280751004</x:v>
      </x:c>
      <x:c r="AD32" t="n">
        <x:f>Scenario_Data!W32</x:f>
        <x:v>-600</x:v>
      </x:c>
      <x:c r="AE32" t="n">
        <x: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x:f>
        <x:v>3825.645949180202</x:v>
      </x:c>
      <x:c r="AG32" t="n">
        <x:f>Scenario_Data!T32</x:f>
        <x:v>-45</x:v>
      </x:c>
      <x:c r="AH32" t="n">
        <x:f>2*(SQRT((Inputs!$C$52+(Scenario_Data!B32))^2+Inputs!$C$52^2-2*(Inputs!$C$52+(Scenario_Data!B32))*Inputs!$C$52*COS(SQRT((Scenario_Data!T32)^2+Inputs!$C$6^2)/Inputs!$C$52))*1000)/Inputs!$C$21*1000000</x:f>
        <x:v>2711.018205671868</x:v>
      </x:c>
      <x:c r="AI32" t="n">
        <x:f>Scenario_Data!U32</x:f>
        <x:v>-300</x:v>
      </x:c>
      <x:c r="AJ32" t="n">
        <x:f>2*(SQRT((Inputs!$C$52+(Scenario_Data!C32))^2+Inputs!$C$52^2-2*(Inputs!$C$52+(Scenario_Data!C32))*Inputs!$C$52*COS(SQRT((Scenario_Data!U32)^2+Inputs!$C$6^2)/Inputs!$C$52))*1000)/Inputs!$C$21*1000000</x:f>
        <x:v>2685.177333423242</x:v>
      </x:c>
      <x:c r="AK32" t="n">
        <x:f>Scenario_Data!V32</x:f>
        <x:v>-600</x:v>
      </x:c>
      <x:c r="AL32" t="n">
        <x:f>2*(SQRT((Inputs!$C$52+(Scenario_Data!D32))^2+Inputs!$C$52^2-2*(Inputs!$C$52+(Scenario_Data!D32))*Inputs!$C$52*COS(SQRT((Scenario_Data!V32)^2+Inputs!$C$6^2)/Inputs!$C$52))*1000)/Inputs!$C$21*1000000</x:f>
        <x:v>6048.211556044975</x:v>
      </x:c>
      <x:c r="AM32" t="n">
        <x:f>Scenario_Data!W32</x:f>
        <x:v>-600</x:v>
      </x:c>
      <x:c r="AN32" t="n">
        <x:f>2*(SQRT((Inputs!$C$52+(Scenario_Data!E32))^2+Inputs!$C$52^2-2*(Inputs!$C$52+(Scenario_Data!E32))*Inputs!$C$52*COS(SQRT((Scenario_Data!W32)^2+Inputs!$C$6^2)/Inputs!$C$52))*1000)/Inputs!$C$21*1000000</x:f>
        <x:v>6025.965664177064</x:v>
      </x:c>
      <x:c r="AP32" t="n">
        <x:f>Scenario_Data!T32</x:f>
        <x:v>-45</x:v>
      </x:c>
      <x:c r="AQ32" t="n">
        <x: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x:f>
        <x:v>2709.6428929865006</x:v>
      </x:c>
      <x:c r="AR32" t="n">
        <x:f>Scenario_Data!U32</x:f>
        <x:v>-300</x:v>
      </x:c>
      <x:c r="AS32" t="n">
        <x: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x:f>
        <x:v>2684.585268981876</x:v>
      </x:c>
      <x:c r="AT32" t="n">
        <x:f>Scenario_Data!V32</x:f>
        <x:v>-600</x:v>
      </x:c>
      <x:c r="AU32" t="n">
        <x: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x:f>
        <x:v>6047.970949157087</x:v>
      </x:c>
      <x:c r="AV32" t="n">
        <x:f>Scenario_Data!W32</x:f>
        <x:v>-600</x:v>
      </x:c>
      <x:c r="AW32" t="n">
        <x: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x:f>
        <x:v>6025.726492848604</x:v>
      </x:c>
    </x:row>
    <x:row r="33">
      <x:c r="A33" t="n">
        <x:f>Chart_Data!K33</x:f>
        <x:v>-44.5</x:v>
      </x:c>
      <x:c r="B33" t="n">
        <x:f>Chart_Data!N33-Chart_Data!L33</x:f>
        <x:v>-30.449261480925486</x:v>
      </x:c>
      <x:c r="D33" t="n">
        <x:f>Chart_Data!G33</x:f>
        <x:v>-44.5</x:v>
      </x:c>
      <x:c r="E33" t="n">
        <x:f>Chart_Data!H33</x:f>
        <x:v>201.66422960156285</x:v>
      </x:c>
      <x:c r="F33" t="n">
        <x:f>Chart_Data!I33</x:f>
        <x:v>201.66422960156285</x:v>
      </x:c>
      <x:c r="G33" t="n">
        <x:f>Chart_Data!J33</x:f>
        <x:v>27.91531821493412</x:v>
      </x:c>
      <x:c r="I33" t="n">
        <x:f>Scenario_Data!A33</x:f>
        <x:v>-0.742</x:v>
      </x:c>
      <x:c r="J33" t="n">
        <x:f>Scenario_Data!H33-(((SQRT((Inputs!$C$52+(Inputs!$H$6))^2+Inputs!$C$52^2-2*(Inputs!$C$52+(Inputs!$H$6))*Inputs!$C$52*COS(SQRT((Scenario_Data!T33)^2+Inputs!$C$6^2)/Inputs!$C$52)))-(Inputs!$H$6))*1000/Inputs!$C$12)</x:f>
        <x:v>-9.86011393674653</x:v>
      </x:c>
      <x:c r="K33" t="n">
        <x:f>Scenario_Data!I33-(((SQRT((Inputs!$C$52+(Inputs!$H$7))^2+Inputs!$C$52^2-2*(Inputs!$C$52+(Inputs!$H$7))*Inputs!$C$52*COS(SQRT((Scenario_Data!U33)^2+Inputs!$C$6^2)/Inputs!$C$52)))-(Inputs!$H$7))*1000/Inputs!$C$12)</x:f>
        <x:v>-60026.90325623649</x:v>
      </x:c>
      <x:c r="L33" t="n">
        <x:f>Scenario_Data!J33-(((SQRT((Inputs!$C$52+(Inputs!$H$8))^2+Inputs!$C$52^2-2*(Inputs!$C$52+(Inputs!$H$8))*Inputs!$C$52*COS(SQRT((Scenario_Data!V33)^2+Inputs!$C$6^2)/Inputs!$C$52)))-(Inputs!$H$8))*1000/Inputs!$C$12)</x:f>
        <x:v>-133303.50387707393</x:v>
      </x:c>
      <x:c r="M33" t="n">
        <x:f>Scenario_Data!K33-(((SQRT((Inputs!$C$52+(Inputs!$H$9))^2+Inputs!$C$52^2-2*(Inputs!$C$52+(Inputs!$H$9))*Inputs!$C$52*COS(SQRT((Scenario_Data!W33)^2+Inputs!$C$6^2)/Inputs!$C$52)))-(Inputs!$H$9))*1000/Inputs!$C$12)</x:f>
        <x:v>-136979.00244933416</x:v>
      </x:c>
      <x:c r="O33" t="n">
        <x:f>Scenario_Data!T33</x:f>
        <x:v>-44.519999999999996</x:v>
      </x:c>
      <x:c r="P33" t="n">
        <x:f>2*(Scenario_Data!B33*1000)/Inputs!$C$21*1000000</x:f>
        <x:v>2683.20463218591</x:v>
      </x:c>
      <x:c r="Q33" t="n">
        <x:f>Scenario_Data!U33</x:f>
        <x:v>-296.8</x:v>
      </x:c>
      <x:c r="R33" t="n">
        <x:f>2*(Scenario_Data!C33*1000)/Inputs!$C$21*1000000</x:f>
        <x:v>1574.1280589520366</x:v>
      </x:c>
      <x:c r="S33" t="n">
        <x:f>Scenario_Data!V33</x:f>
        <x:v>-593.6</x:v>
      </x:c>
      <x:c r="T33" t="n">
        <x:f>2*(Scenario_Data!D33*1000)/Inputs!$C$21*1000000</x:f>
        <x:v>3777.908649056141</x:v>
      </x:c>
      <x:c r="U33" t="n">
        <x:f>Scenario_Data!W33</x:f>
        <x:v>-593.6</x:v>
      </x:c>
      <x:c r="V33" t="n">
        <x:f>2*(Scenario_Data!E33*1000)/Inputs!$C$21*1000000</x:f>
        <x:v>3747.925506518246</x:v>
      </x:c>
      <x:c r="X33" t="n">
        <x:f>Scenario_Data!T33</x:f>
        <x:v>-44.519999999999996</x:v>
      </x:c>
      <x:c r="Y33" t="n">
        <x: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x:f>
        <x:v>2682.9899653906477</x:v>
      </x:c>
      <x:c r="Z33" t="n">
        <x:f>Scenario_Data!U33</x:f>
        <x:v>-296.8</x:v>
      </x:c>
      <x:c r="AA33" t="n">
        <x: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x:f>
        <x:v>1573.7599919685726</x:v>
      </x:c>
      <x:c r="AB33" t="n">
        <x:f>Scenario_Data!V33</x:f>
        <x:v>-593.6</x:v>
      </x:c>
      <x:c r="AC33" t="n">
        <x: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x:f>
        <x:v>3777.7390062611753</x:v>
      </x:c>
      <x:c r="AD33" t="n">
        <x:f>Scenario_Data!W33</x:f>
        <x:v>-593.6</x:v>
      </x:c>
      <x:c r="AE33" t="n">
        <x: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x:f>
        <x:v>3747.7558637232805</x:v>
      </x:c>
      <x:c r="AG33" t="n">
        <x:f>Scenario_Data!T33</x:f>
        <x:v>-44.519999999999996</x:v>
      </x:c>
      <x:c r="AH33" t="n">
        <x:f>2*(SQRT((Inputs!$C$52+(Scenario_Data!B33))^2+Inputs!$C$52^2-2*(Inputs!$C$52+(Scenario_Data!B33))*Inputs!$C$52*COS(SQRT((Scenario_Data!T33)^2+Inputs!$C$6^2)/Inputs!$C$52))*1000)/Inputs!$C$21*1000000</x:f>
        <x:v>2710.258649634195</x:v>
      </x:c>
      <x:c r="AI33" t="n">
        <x:f>Scenario_Data!U33</x:f>
        <x:v>-296.8</x:v>
      </x:c>
      <x:c r="AJ33" t="n">
        <x:f>2*(SQRT((Inputs!$C$52+(Scenario_Data!C33))^2+Inputs!$C$52^2-2*(Inputs!$C$52+(Scenario_Data!C33))*Inputs!$C$52*COS(SQRT((Scenario_Data!U33)^2+Inputs!$C$6^2)/Inputs!$C$52))*1000)/Inputs!$C$21*1000000</x:f>
        <x:v>2647.519805513155</x:v>
      </x:c>
      <x:c r="AK33" t="n">
        <x:f>Scenario_Data!V33</x:f>
        <x:v>-593.6</x:v>
      </x:c>
      <x:c r="AL33" t="n">
        <x:f>2*(SQRT((Inputs!$C$52+(Scenario_Data!D33))^2+Inputs!$C$52^2-2*(Inputs!$C$52+(Scenario_Data!D33))*Inputs!$C$52*COS(SQRT((Scenario_Data!V33)^2+Inputs!$C$6^2)/Inputs!$C$52))*1000)/Inputs!$C$21*1000000</x:f>
        <x:v>5951.912269047644</x:v>
      </x:c>
      <x:c r="AM33" t="n">
        <x:f>Scenario_Data!W33</x:f>
        <x:v>-593.6</x:v>
      </x:c>
      <x:c r="AN33" t="n">
        <x:f>2*(SQRT((Inputs!$C$52+(Scenario_Data!E33))^2+Inputs!$C$52^2-2*(Inputs!$C$52+(Scenario_Data!E33))*Inputs!$C$52*COS(SQRT((Scenario_Data!W33)^2+Inputs!$C$6^2)/Inputs!$C$52))*1000)/Inputs!$C$21*1000000</x:f>
        <x:v>5929.158271486265</x:v>
      </x:c>
      <x:c r="AP33" t="n">
        <x:f>Scenario_Data!T33</x:f>
        <x:v>-44.519999999999996</x:v>
      </x:c>
      <x:c r="AQ33" t="n">
        <x: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x:f>
        <x:v>2708.85476109416</x:v>
      </x:c>
      <x:c r="AR33" t="n">
        <x:f>Scenario_Data!U33</x:f>
        <x:v>-296.8</x:v>
      </x:c>
      <x:c r="AS33" t="n">
        <x: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x:f>
        <x:v>2647.0848704043838</x:v>
      </x:c>
      <x:c r="AT33" t="n">
        <x:f>Scenario_Data!V33</x:f>
        <x:v>-593.6</x:v>
      </x:c>
      <x:c r="AU33" t="n">
        <x: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x:f>
        <x:v>5951.39951323184</x:v>
      </x:c>
      <x:c r="AV33" t="n">
        <x:f>Scenario_Data!W33</x:f>
        <x:v>-593.6</x:v>
      </x:c>
      <x:c r="AW33" t="n">
        <x: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x:f>
        <x:v>5928.648736328782</x:v>
      </x:c>
    </x:row>
    <x:row r="34">
      <x:c r="A34" t="n">
        <x:f>Chart_Data!K34</x:f>
        <x:v>-44</x:v>
      </x:c>
      <x:c r="B34" t="n">
        <x:f>Chart_Data!N34-Chart_Data!L34</x:f>
        <x:v>-21.29823305713009</x:v>
      </x:c>
      <x:c r="D34" t="n">
        <x:f>Chart_Data!G34</x:f>
        <x:v>-44</x:v>
      </x:c>
      <x:c r="E34" t="n">
        <x:f>Chart_Data!H34</x:f>
        <x:v>200.11672258234324</x:v>
      </x:c>
      <x:c r="F34" t="n">
        <x:f>Chart_Data!I34</x:f>
        <x:v>200.11672258234324</x:v>
      </x:c>
      <x:c r="G34" t="n">
        <x:f>Chart_Data!J34</x:f>
        <x:v>18.82539201019003</x:v>
      </x:c>
      <x:c r="I34" t="n">
        <x:f>Scenario_Data!A34</x:f>
        <x:v>-0.733</x:v>
      </x:c>
      <x:c r="J34" t="n">
        <x:f>Scenario_Data!H34-(((SQRT((Inputs!$C$52+(Inputs!$H$6))^2+Inputs!$C$52^2-2*(Inputs!$C$52+(Inputs!$H$6))*Inputs!$C$52*COS(SQRT((Scenario_Data!T34)^2+Inputs!$C$6^2)/Inputs!$C$52)))-(Inputs!$H$6))*1000/Inputs!$C$12)</x:f>
        <x:v>-9.45004867322723</x:v>
      </x:c>
      <x:c r="K34" t="n">
        <x:f>Scenario_Data!I34-(((SQRT((Inputs!$C$52+(Inputs!$H$7))^2+Inputs!$C$52^2-2*(Inputs!$C$52+(Inputs!$H$7))*Inputs!$C$52*COS(SQRT((Scenario_Data!U34)^2+Inputs!$C$6^2)/Inputs!$C$52)))-(Inputs!$H$7))*1000/Inputs!$C$12)</x:f>
        <x:v>-58829.98433378036</x:v>
      </x:c>
      <x:c r="L34" t="n">
        <x:f>Scenario_Data!J34-(((SQRT((Inputs!$C$52+(Inputs!$H$8))^2+Inputs!$C$52^2-2*(Inputs!$C$52+(Inputs!$H$8))*Inputs!$C$52*COS(SQRT((Scenario_Data!V34)^2+Inputs!$C$6^2)/Inputs!$C$52)))-(Inputs!$H$8))*1000/Inputs!$C$12)</x:f>
        <x:v>-131136.96927609117</x:v>
      </x:c>
      <x:c r="M34" t="n">
        <x:f>Scenario_Data!K34-(((SQRT((Inputs!$C$52+(Inputs!$H$9))^2+Inputs!$C$52^2-2*(Inputs!$C$52+(Inputs!$H$9))*Inputs!$C$52*COS(SQRT((Scenario_Data!W34)^2+Inputs!$C$6^2)/Inputs!$C$52)))-(Inputs!$H$9))*1000/Inputs!$C$12)</x:f>
        <x:v>-134793.89137103801</x:v>
      </x:c>
      <x:c r="O34" t="n">
        <x:f>Scenario_Data!T34</x:f>
        <x:v>-43.980000000000004</x:v>
      </x:c>
      <x:c r="P34" t="n">
        <x:f>2*(Scenario_Data!B34*1000)/Inputs!$C$21*1000000</x:f>
        <x:v>2682.85038711681</x:v>
      </x:c>
      <x:c r="Q34" t="n">
        <x:f>Scenario_Data!U34</x:f>
        <x:v>-293.2</x:v>
      </x:c>
      <x:c r="R34" t="n">
        <x:f>2*(Scenario_Data!C34*1000)/Inputs!$C$21*1000000</x:f>
        <x:v>1541.8031963966218</x:v>
      </x:c>
      <x:c r="S34" t="n">
        <x:f>Scenario_Data!V34</x:f>
        <x:v>-586.4</x:v>
      </x:c>
      <x:c r="T34" t="n">
        <x:f>2*(Scenario_Data!D34*1000)/Inputs!$C$21*1000000</x:f>
        <x:v>3692.447026135661</x:v>
      </x:c>
      <x:c r="U34" t="n">
        <x:f>Scenario_Data!W34</x:f>
        <x:v>-586.4</x:v>
      </x:c>
      <x:c r="V34" t="n">
        <x:f>2*(Scenario_Data!E34*1000)/Inputs!$C$21*1000000</x:f>
        <x:v>3661.5782709250147</x:v>
      </x:c>
      <x:c r="X34" t="n">
        <x:f>Scenario_Data!T34</x:f>
        <x:v>-43.980000000000004</x:v>
      </x:c>
      <x:c r="Y34" t="n">
        <x: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x:f>
        <x:v>2682.6790087524896</x:v>
      </x:c>
      <x:c r="Z34" t="n">
        <x:f>Scenario_Data!U34</x:f>
        <x:v>-293.2</x:v>
      </x:c>
      <x:c r="AA34" t="n">
        <x: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x:f>
        <x:v>1541.9632012793968</x:v>
      </x:c>
      <x:c r="AB34" t="n">
        <x:f>Scenario_Data!V34</x:f>
        <x:v>-586.4</x:v>
      </x:c>
      <x:c r="AC34" t="n">
        <x: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x:f>
        <x:v>3692.4898473144344</x:v>
      </x:c>
      <x:c r="AD34" t="n">
        <x:f>Scenario_Data!W34</x:f>
        <x:v>-586.4</x:v>
      </x:c>
      <x:c r="AE34" t="n">
        <x: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x:f>
        <x:v>3661.621092103788</x:v>
      </x:c>
      <x:c r="AG34" t="n">
        <x:f>Scenario_Data!T34</x:f>
        <x:v>-43.980000000000004</x:v>
      </x:c>
      <x:c r="AH34" t="n">
        <x:f>2*(SQRT((Inputs!$C$52+(Scenario_Data!B34))^2+Inputs!$C$52^2-2*(Inputs!$C$52+(Scenario_Data!B34))*Inputs!$C$52*COS(SQRT((Scenario_Data!T34)^2+Inputs!$C$6^2)/Inputs!$C$52))*1000)/Inputs!$C$21*1000000</x:f>
        <x:v>2709.41370305717</x:v>
      </x:c>
      <x:c r="AI34" t="n">
        <x:f>Scenario_Data!U34</x:f>
        <x:v>-293.2</x:v>
      </x:c>
      <x:c r="AJ34" t="n">
        <x:f>2*(SQRT((Inputs!$C$52+(Scenario_Data!C34))^2+Inputs!$C$52^2-2*(Inputs!$C$52+(Scenario_Data!C34))*Inputs!$C$52*COS(SQRT((Scenario_Data!U34)^2+Inputs!$C$6^2)/Inputs!$C$52))*1000)/Inputs!$C$21*1000000</x:f>
        <x:v>2605.4827634648645</x:v>
      </x:c>
      <x:c r="AK34" t="n">
        <x:f>Scenario_Data!V34</x:f>
        <x:v>-586.4</x:v>
      </x:c>
      <x:c r="AL34" t="n">
        <x:f>2*(SQRT((Inputs!$C$52+(Scenario_Data!D34))^2+Inputs!$C$52^2-2*(Inputs!$C$52+(Scenario_Data!D34))*Inputs!$C$52*COS(SQRT((Scenario_Data!V34)^2+Inputs!$C$6^2)/Inputs!$C$52))*1000)/Inputs!$C$21*1000000</x:f>
        <x:v>5844.601093061466</x:v>
      </x:c>
      <x:c r="AM34" t="n">
        <x:f>Scenario_Data!W34</x:f>
        <x:v>-586.4</x:v>
      </x:c>
      <x:c r="AN34" t="n">
        <x:f>2*(SQRT((Inputs!$C$52+(Scenario_Data!E34))^2+Inputs!$C$52^2-2*(Inputs!$C$52+(Scenario_Data!E34))*Inputs!$C$52*COS(SQRT((Scenario_Data!W34)^2+Inputs!$C$6^2)/Inputs!$C$52))*1000)/Inputs!$C$21*1000000</x:f>
        <x:v>5821.291346397364</x:v>
      </x:c>
      <x:c r="AP34" t="n">
        <x:f>Scenario_Data!T34</x:f>
        <x:v>-43.980000000000004</x:v>
      </x:c>
      <x:c r="AQ34" t="n">
        <x: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x:f>
        <x:v>2708.046309396769</x:v>
      </x:c>
      <x:c r="AR34" t="n">
        <x:f>Scenario_Data!U34</x:f>
        <x:v>-293.2</x:v>
      </x:c>
      <x:c r="AS34" t="n">
        <x: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x:f>
        <x:v>2605.1463027637274</x:v>
      </x:c>
      <x:c r="AT34" t="n">
        <x:f>Scenario_Data!V34</x:f>
        <x:v>-586.4</x:v>
      </x:c>
      <x:c r="AU34" t="n">
        <x: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x:f>
        <x:v>5844.072163861854</x:v>
      </x:c>
      <x:c r="AV34" t="n">
        <x:f>Scenario_Data!W34</x:f>
        <x:v>-586.4</x:v>
      </x:c>
      <x:c r="AW34" t="n">
        <x: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x:f>
        <x:v>5820.765933364904</x:v>
      </x:c>
    </x:row>
    <x:row r="35">
      <x:c r="A35" t="n">
        <x:f>Chart_Data!K35</x:f>
        <x:v>-43.5</x:v>
      </x:c>
      <x:c r="B35" t="n">
        <x:f>Chart_Data!N35-Chart_Data!L35</x:f>
        <x:v>-25.11690437512837</x:v>
      </x:c>
      <x:c r="D35" t="n">
        <x:f>Chart_Data!G35</x:f>
        <x:v>-43.5</x:v>
      </x:c>
      <x:c r="E35" t="n">
        <x:f>Chart_Data!H35</x:f>
        <x:v>210.8483953416035</x:v>
      </x:c>
      <x:c r="F35" t="n">
        <x:f>Chart_Data!I35</x:f>
        <x:v>210.8483953416035</x:v>
      </x:c>
      <x:c r="G35" t="n">
        <x:f>Chart_Data!J35</x:f>
        <x:v>22.55480739682735</x:v>
      </x:c>
      <x:c r="I35" t="n">
        <x:f>Scenario_Data!A35</x:f>
        <x:v>-0.725</x:v>
      </x:c>
      <x:c r="J35" t="n">
        <x:f>Scenario_Data!H35-(((SQRT((Inputs!$C$52+(Inputs!$H$6))^2+Inputs!$C$52^2-2*(Inputs!$C$52+(Inputs!$H$6))*Inputs!$C$52*COS(SQRT((Scenario_Data!T35)^2+Inputs!$C$6^2)/Inputs!$C$52)))-(Inputs!$H$6))*1000/Inputs!$C$12)</x:f>
        <x:v>-9.096655219469085</x:v>
      </x:c>
      <x:c r="K35" t="n">
        <x:f>Scenario_Data!I35-(((SQRT((Inputs!$C$52+(Inputs!$H$7))^2+Inputs!$C$52^2-2*(Inputs!$C$52+(Inputs!$H$7))*Inputs!$C$52*COS(SQRT((Scenario_Data!U35)^2+Inputs!$C$6^2)/Inputs!$C$52)))-(Inputs!$H$7))*1000/Inputs!$C$12)</x:f>
        <x:v>-57769.785871170316</x:v>
      </x:c>
      <x:c r="L35" t="n">
        <x:f>Scenario_Data!J35-(((SQRT((Inputs!$C$52+(Inputs!$H$8))^2+Inputs!$C$52^2-2*(Inputs!$C$52+(Inputs!$H$8))*Inputs!$C$52*COS(SQRT((Scenario_Data!V35)^2+Inputs!$C$6^2)/Inputs!$C$52)))-(Inputs!$H$8))*1000/Inputs!$C$12)</x:f>
        <x:v>-129207.10406628711</x:v>
      </x:c>
      <x:c r="M35" t="n">
        <x:f>Scenario_Data!K35-(((SQRT((Inputs!$C$52+(Inputs!$H$9))^2+Inputs!$C$52^2-2*(Inputs!$C$52+(Inputs!$H$9))*Inputs!$C$52*COS(SQRT((Scenario_Data!W35)^2+Inputs!$C$6^2)/Inputs!$C$52)))-(Inputs!$H$9))*1000/Inputs!$C$12)</x:f>
        <x:v>-132847.0183380536</x:v>
      </x:c>
      <x:c r="O35" t="n">
        <x:f>Scenario_Data!T35</x:f>
        <x:v>-43.5</x:v>
      </x:c>
      <x:c r="P35" t="n">
        <x:f>2*(Scenario_Data!B35*1000)/Inputs!$C$21*1000000</x:f>
        <x:v>2682.539131788299</x:v>
      </x:c>
      <x:c r="Q35" t="n">
        <x:f>Scenario_Data!U35</x:f>
        <x:v>-290</x:v>
      </x:c>
      <x:c r="R35" t="n">
        <x:f>2*(Scenario_Data!C35*1000)/Inputs!$C$21*1000000</x:f>
        <x:v>1513.401147669966</x:v>
      </x:c>
      <x:c r="S35" t="n">
        <x:f>Scenario_Data!V35</x:f>
        <x:v>-580</x:v>
      </x:c>
      <x:c r="T35" t="n">
        <x:f>2*(Scenario_Data!D35*1000)/Inputs!$C$21*1000000</x:f>
        <x:v>3617.3566781323107</x:v>
      </x:c>
      <x:c r="U35" t="n">
        <x:f>Scenario_Data!W35</x:f>
        <x:v>-580</x:v>
      </x:c>
      <x:c r="V35" t="n">
        <x:f>2*(Scenario_Data!E35*1000)/Inputs!$C$21*1000000</x:f>
        <x:v>3585.709784600385</x:v>
      </x:c>
      <x:c r="X35" t="n">
        <x:f>Scenario_Data!T35</x:f>
        <x:v>-43.5</x:v>
      </x:c>
      <x:c r="Y35" t="n">
        <x: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x:f>
        <x:v>2682.3886623098647</x:v>
      </x:c>
      <x:c r="Z35" t="n">
        <x:f>Scenario_Data!U35</x:f>
        <x:v>-290</x:v>
      </x:c>
      <x:c r="AA35" t="n">
        <x: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x:f>
        <x:v>1513.653103462361</x:v>
      </x:c>
      <x:c r="AB35" t="n">
        <x:f>Scenario_Data!V35</x:f>
        <x:v>-580</x:v>
      </x:c>
      <x:c r="AC35" t="n">
        <x: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x:f>
        <x:v>3617.6794807622778</x:v>
      </x:c>
      <x:c r="AD35" t="n">
        <x:f>Scenario_Data!W35</x:f>
        <x:v>-580</x:v>
      </x:c>
      <x:c r="AE35" t="n">
        <x: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x:f>
        <x:v>3586.032587230352</x:v>
      </x:c>
      <x:c r="AG35" t="n">
        <x:f>Scenario_Data!T35</x:f>
        <x:v>-43.5</x:v>
      </x:c>
      <x:c r="AH35" t="n">
        <x:f>2*(SQRT((Inputs!$C$52+(Scenario_Data!B35))^2+Inputs!$C$52^2-2*(Inputs!$C$52+(Scenario_Data!B35))*Inputs!$C$52*COS(SQRT((Scenario_Data!T35)^2+Inputs!$C$6^2)/Inputs!$C$52))*1000)/Inputs!$C$21*1000000</x:f>
        <x:v>2708.6711371730257</x:v>
      </x:c>
      <x:c r="AI35" t="n">
        <x:f>Scenario_Data!U35</x:f>
        <x:v>-290</x:v>
      </x:c>
      <x:c r="AJ35" t="n">
        <x:f>2*(SQRT((Inputs!$C$52+(Scenario_Data!C35))^2+Inputs!$C$52^2-2*(Inputs!$C$52+(Scenario_Data!C35))*Inputs!$C$52*COS(SQRT((Scenario_Data!U35)^2+Inputs!$C$6^2)/Inputs!$C$52))*1000)/Inputs!$C$21*1000000</x:f>
        <x:v>2568.4063111009086</x:v>
      </x:c>
      <x:c r="AK35" t="n">
        <x:f>Scenario_Data!V35</x:f>
        <x:v>-580</x:v>
      </x:c>
      <x:c r="AL35" t="n">
        <x:f>2*(SQRT((Inputs!$C$52+(Scenario_Data!D35))^2+Inputs!$C$52^2-2*(Inputs!$C$52+(Scenario_Data!D35))*Inputs!$C$52*COS(SQRT((Scenario_Data!V35)^2+Inputs!$C$6^2)/Inputs!$C$52))*1000)/Inputs!$C$21*1000000</x:f>
        <x:v>5750.1221522344285</x:v>
      </x:c>
      <x:c r="AM35" t="n">
        <x:f>Scenario_Data!W35</x:f>
        <x:v>-580</x:v>
      </x:c>
      <x:c r="AN35" t="n">
        <x:f>2*(SQRT((Inputs!$C$52+(Scenario_Data!E35))^2+Inputs!$C$52^2-2*(Inputs!$C$52+(Scenario_Data!E35))*Inputs!$C$52*COS(SQRT((Scenario_Data!W35)^2+Inputs!$C$6^2)/Inputs!$C$52))*1000)/Inputs!$C$21*1000000</x:f>
        <x:v>5726.332575075653</x:v>
      </x:c>
      <x:c r="AP35" t="n">
        <x:f>Scenario_Data!T35</x:f>
        <x:v>-43.5</x:v>
      </x:c>
      <x:c r="AQ35" t="n">
        <x: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x:f>
        <x:v>2707.2816005599116</x:v>
      </x:c>
      <x:c r="AR35" t="n">
        <x:f>Scenario_Data!U35</x:f>
        <x:v>-290</x:v>
      </x:c>
      <x:c r="AS35" t="n">
        <x: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x:f>
        <x:v>2568.019958311417</x:v>
      </x:c>
      <x:c r="AT35" t="n">
        <x:f>Scenario_Data!V35</x:f>
        <x:v>-580</x:v>
      </x:c>
      <x:c r="AU35" t="n">
        <x: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x:f>
        <x:v>5749.953698963689</x:v>
      </x:c>
      <x:c r="AV35" t="n">
        <x:f>Scenario_Data!W35</x:f>
        <x:v>-580</x:v>
      </x:c>
      <x:c r="AW35" t="n">
        <x: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x:f>
        <x:v>5726.165298383326</x:v>
      </x:c>
    </x:row>
    <x:row r="36">
      <x:c r="A36" t="n">
        <x:f>Chart_Data!K36</x:f>
        <x:v>-43</x:v>
      </x:c>
      <x:c r="B36" t="n">
        <x:f>Chart_Data!N36-Chart_Data!L36</x:f>
        <x:v>-5.851868406506469</x:v>
      </x:c>
      <x:c r="D36" t="n">
        <x:f>Chart_Data!G36</x:f>
        <x:v>-43</x:v>
      </x:c>
      <x:c r="E36" t="n">
        <x:f>Chart_Data!H36</x:f>
        <x:v>180.5581841932563</x:v>
      </x:c>
      <x:c r="F36" t="n">
        <x:f>Chart_Data!I36</x:f>
        <x:v>180.5581841932563</x:v>
      </x:c>
      <x:c r="G36" t="n">
        <x:f>Chart_Data!J36</x:f>
        <x:v>3.69479063881065</x:v>
      </x:c>
      <x:c r="I36" t="n">
        <x:f>Scenario_Data!A36</x:f>
        <x:v>-0.717</x:v>
      </x:c>
      <x:c r="J36" t="n">
        <x:f>Scenario_Data!H36-(((SQRT((Inputs!$C$52+(Inputs!$H$6))^2+Inputs!$C$52^2-2*(Inputs!$C$52+(Inputs!$H$6))*Inputs!$C$52*COS(SQRT((Scenario_Data!T36)^2+Inputs!$C$6^2)/Inputs!$C$52)))-(Inputs!$H$6))*1000/Inputs!$C$12)</x:f>
        <x:v>-8.753503156986426</x:v>
      </x:c>
      <x:c r="K36" t="n">
        <x:f>Scenario_Data!I36-(((SQRT((Inputs!$C$52+(Inputs!$H$7))^2+Inputs!$C$52^2-2*(Inputs!$C$52+(Inputs!$H$7))*Inputs!$C$52*COS(SQRT((Scenario_Data!U36)^2+Inputs!$C$6^2)/Inputs!$C$52)))-(Inputs!$H$7))*1000/Inputs!$C$12)</x:f>
        <x:v>-56713.23103390145</x:v>
      </x:c>
      <x:c r="L36" t="n">
        <x:f>Scenario_Data!J36-(((SQRT((Inputs!$C$52+(Inputs!$H$8))^2+Inputs!$C$52^2-2*(Inputs!$C$52+(Inputs!$H$8))*Inputs!$C$52*COS(SQRT((Scenario_Data!V36)^2+Inputs!$C$6^2)/Inputs!$C$52)))-(Inputs!$H$8))*1000/Inputs!$C$12)</x:f>
        <x:v>-127273.6728305979</x:v>
      </x:c>
      <x:c r="M36" t="n">
        <x:f>Scenario_Data!K36-(((SQRT((Inputs!$C$52+(Inputs!$H$9))^2+Inputs!$C$52^2-2*(Inputs!$C$52+(Inputs!$H$9))*Inputs!$C$52*COS(SQRT((Scenario_Data!W36)^2+Inputs!$C$6^2)/Inputs!$C$52)))-(Inputs!$H$9))*1000/Inputs!$C$12)</x:f>
        <x:v>-130896.10580357295</x:v>
      </x:c>
      <x:c r="O36" t="n">
        <x:f>Scenario_Data!T36</x:f>
        <x:v>-43.019999999999996</x:v>
      </x:c>
      <x:c r="P36" t="n">
        <x:f>2*(Scenario_Data!B36*1000)/Inputs!$C$21*1000000</x:f>
        <x:v>2682.231292156122</x:v>
      </x:c>
      <x:c r="Q36" t="n">
        <x:f>Scenario_Data!U36</x:f>
        <x:v>-286.79999999999995</x:v>
      </x:c>
      <x:c r="R36" t="n">
        <x:f>2*(Scenario_Data!C36*1000)/Inputs!$C$21*1000000</x:f>
        <x:v>1485.3107812338621</x:v>
      </x:c>
      <x:c r="S36" t="n">
        <x:f>Scenario_Data!V36</x:f>
        <x:v>-573.5999999999999</x:v>
      </x:c>
      <x:c r="T36" t="n">
        <x:f>2*(Scenario_Data!D36*1000)/Inputs!$C$21*1000000</x:f>
        <x:v>3543.0903668697347</x:v>
      </x:c>
      <x:c r="U36" t="n">
        <x:f>Scenario_Data!W36</x:f>
        <x:v>-573.5999999999999</x:v>
      </x:c>
      <x:c r="V36" t="n">
        <x:f>2*(Scenario_Data!E36*1000)/Inputs!$C$21*1000000</x:f>
        <x:v>3510.67387425737</x:v>
      </x:c>
      <x:c r="X36" t="n">
        <x:f>Scenario_Data!T36</x:f>
        <x:v>-43.019999999999996</x:v>
      </x:c>
      <x:c r="Y36" t="n">
        <x: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x:f>
        <x:v>2682.203202076833</x:v>
      </x:c>
      <x:c r="Z36" t="n">
        <x:f>Scenario_Data!U36</x:f>
        <x:v>-286.79999999999995</x:v>
      </x:c>
      <x:c r="AA36" t="n">
        <x: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x:f>
        <x:v>1485.0967429511395</x:v>
      </x:c>
      <x:c r="AB36" t="n">
        <x:f>Scenario_Data!V36</x:f>
        <x:v>-573.5999999999999</x:v>
      </x:c>
      <x:c r="AC36" t="n">
        <x: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x:f>
        <x:v>3542.9615560105917</x:v>
      </x:c>
      <x:c r="AD36" t="n">
        <x:f>Scenario_Data!W36</x:f>
        <x:v>-573.5999999999999</x:v>
      </x:c>
      <x:c r="AE36" t="n">
        <x: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x:f>
        <x:v>3510.545063398227</x:v>
      </x:c>
      <x:c r="AG36" t="n">
        <x:f>Scenario_Data!T36</x:f>
        <x:v>-43.019999999999996</x:v>
      </x:c>
      <x:c r="AH36" t="n">
        <x:f>2*(SQRT((Inputs!$C$52+(Scenario_Data!B36))^2+Inputs!$C$52^2-2*(Inputs!$C$52+(Scenario_Data!B36))*Inputs!$C$52*COS(SQRT((Scenario_Data!T36)^2+Inputs!$C$6^2)/Inputs!$C$52))*1000)/Inputs!$C$21*1000000</x:f>
        <x:v>2707.9365741255974</x:v>
      </x:c>
      <x:c r="AI36" t="n">
        <x:f>Scenario_Data!U36</x:f>
        <x:v>-286.79999999999995</x:v>
      </x:c>
      <x:c r="AJ36" t="n">
        <x:f>2*(SQRT((Inputs!$C$52+(Scenario_Data!C36))^2+Inputs!$C$52^2-2*(Inputs!$C$52+(Scenario_Data!C36))*Inputs!$C$52*COS(SQRT((Scenario_Data!U36)^2+Inputs!$C$6^2)/Inputs!$C$52))*1000)/Inputs!$C$21*1000000</x:f>
        <x:v>2531.601221281773</x:v>
      </x:c>
      <x:c r="AK36" t="n">
        <x:f>Scenario_Data!V36</x:f>
        <x:v>-573.5999999999999</x:v>
      </x:c>
      <x:c r="AL36" t="n">
        <x:f>2*(SQRT((Inputs!$C$52+(Scenario_Data!D36))^2+Inputs!$C$52^2-2*(Inputs!$C$52+(Scenario_Data!D36))*Inputs!$C$52*COS(SQRT((Scenario_Data!V36)^2+Inputs!$C$6^2)/Inputs!$C$52))*1000)/Inputs!$C$21*1000000</x:f>
        <x:v>5656.495804293952</x:v>
      </x:c>
      <x:c r="AM36" t="n">
        <x:f>Scenario_Data!W36</x:f>
        <x:v>-573.5999999999999</x:v>
      </x:c>
      <x:c r="AN36" t="n">
        <x:f>2*(SQRT((Inputs!$C$52+(Scenario_Data!E36))^2+Inputs!$C$52^2-2*(Inputs!$C$52+(Scenario_Data!E36))*Inputs!$C$52*COS(SQRT((Scenario_Data!W36)^2+Inputs!$C$6^2)/Inputs!$C$52))*1000)/Inputs!$C$21*1000000</x:f>
        <x:v>5632.239789639228</x:v>
      </x:c>
      <x:c r="AP36" t="n">
        <x:f>Scenario_Data!T36</x:f>
        <x:v>-43.019999999999996</x:v>
      </x:c>
      <x:c r="AQ36" t="n">
        <x: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x:f>
        <x:v>2706.6595368359267</x:v>
      </x:c>
      <x:c r="AR36" t="n">
        <x:f>Scenario_Data!U36</x:f>
        <x:v>-286.79999999999995</x:v>
      </x:c>
      <x:c r="AS36" t="n">
        <x: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x:f>
        <x:v>2531.067100407615</x:v>
      </x:c>
      <x:c r="AT36" t="n">
        <x:f>Scenario_Data!V36</x:f>
        <x:v>-573.5999999999999</x:v>
      </x:c>
      <x:c r="AU36" t="n">
        <x: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x:f>
        <x:v>5655.904045000844</x:v>
      </x:c>
      <x:c r="AV36" t="n">
        <x:f>Scenario_Data!W36</x:f>
        <x:v>-573.5999999999999</x:v>
      </x:c>
      <x:c r="AW36" t="n">
        <x: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x:f>
        <x:v>5631.65237257585</x:v>
      </x:c>
    </x:row>
    <x:row r="37">
      <x:c r="A37" t="n">
        <x:f>Chart_Data!K37</x:f>
        <x:v>-42.5</x:v>
      </x:c>
      <x:c r="B37" t="n">
        <x:f>Chart_Data!N37-Chart_Data!L37</x:f>
        <x:v>-11.611992984345875</x:v>
      </x:c>
      <x:c r="D37" t="n">
        <x:f>Chart_Data!G37</x:f>
        <x:v>-42.5</x:v>
      </x:c>
      <x:c r="E37" t="n">
        <x:f>Chart_Data!H37</x:f>
        <x:v>181.7291755177202</x:v>
      </x:c>
      <x:c r="F37" t="n">
        <x:f>Chart_Data!I37</x:f>
        <x:v>181.7291755177202</x:v>
      </x:c>
      <x:c r="G37" t="n">
        <x:f>Chart_Data!J37</x:f>
        <x:v>9.477549494288523</x:v>
      </x:c>
      <x:c r="I37" t="n">
        <x:f>Scenario_Data!A37</x:f>
        <x:v>-0.708</x:v>
      </x:c>
      <x:c r="J37" t="n">
        <x:f>Scenario_Data!H37-(((SQRT((Inputs!$C$52+(Inputs!$H$6))^2+Inputs!$C$52^2-2*(Inputs!$C$52+(Inputs!$H$6))*Inputs!$C$52*COS(SQRT((Scenario_Data!T37)^2+Inputs!$C$6^2)/Inputs!$C$52)))-(Inputs!$H$6))*1000/Inputs!$C$12)</x:f>
        <x:v>-8.379445258978194</x:v>
      </x:c>
      <x:c r="K37" t="n">
        <x:f>Scenario_Data!I37-(((SQRT((Inputs!$C$52+(Inputs!$H$7))^2+Inputs!$C$52^2-2*(Inputs!$C$52+(Inputs!$H$7))*Inputs!$C$52*COS(SQRT((Scenario_Data!U37)^2+Inputs!$C$6^2)/Inputs!$C$52)))-(Inputs!$H$7))*1000/Inputs!$C$12)</x:f>
        <x:v>-55529.124801208105</x:v>
      </x:c>
      <x:c r="L37" t="n">
        <x:f>Scenario_Data!J37-(((SQRT((Inputs!$C$52+(Inputs!$H$8))^2+Inputs!$C$52^2-2*(Inputs!$C$52+(Inputs!$H$8))*Inputs!$C$52*COS(SQRT((Scenario_Data!V37)^2+Inputs!$C$6^2)/Inputs!$C$52)))-(Inputs!$H$8))*1000/Inputs!$C$12)</x:f>
        <x:v>-125094.61059367191</x:v>
      </x:c>
      <x:c r="M37" t="n">
        <x:f>Scenario_Data!K37-(((SQRT((Inputs!$C$52+(Inputs!$H$9))^2+Inputs!$C$52^2-2*(Inputs!$C$52+(Inputs!$H$9))*Inputs!$C$52*COS(SQRT((Scenario_Data!W37)^2+Inputs!$C$6^2)/Inputs!$C$52)))-(Inputs!$H$9))*1000/Inputs!$C$12)</x:f>
        <x:v>-128696.80249462565</x:v>
      </x:c>
      <x:c r="O37" t="n">
        <x:f>Scenario_Data!T37</x:f>
        <x:v>-42.48</x:v>
      </x:c>
      <x:c r="P37" t="n">
        <x:f>2*(Scenario_Data!B37*1000)/Inputs!$C$21*1000000</x:f>
        <x:v>2681.8890553944493</x:v>
      </x:c>
      <x:c r="Q37" t="n">
        <x:f>Scenario_Data!U37</x:f>
        <x:v>-283.2</x:v>
      </x:c>
      <x:c r="R37" t="n">
        <x:f>2*(Scenario_Data!C37*1000)/Inputs!$C$21*1000000</x:f>
        <x:v>1454.0816767311737</x:v>
      </x:c>
      <x:c r="S37" t="n">
        <x:f>Scenario_Data!V37</x:f>
        <x:v>-566.4</x:v>
      </x:c>
      <x:c r="T37" t="n">
        <x:f>2*(Scenario_Data!D37*1000)/Inputs!$C$21*1000000</x:f>
        <x:v>3460.525748116051</x:v>
      </x:c>
      <x:c r="U37" t="n">
        <x:f>Scenario_Data!W37</x:f>
        <x:v>-566.4</x:v>
      </x:c>
      <x:c r="V37" t="n">
        <x:f>2*(Scenario_Data!E37*1000)/Inputs!$C$21*1000000</x:f>
        <x:v>3427.2536635995016</x:v>
      </x:c>
      <x:c r="X37" t="n">
        <x:f>Scenario_Data!T37</x:f>
        <x:v>-42.48</x:v>
      </x:c>
      <x:c r="Y37" t="n">
        <x: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x:f>
        <x:v>2681.7900212837867</x:v>
      </x:c>
      <x:c r="Z37" t="n">
        <x:f>Scenario_Data!U37</x:f>
        <x:v>-283.2</x:v>
      </x:c>
      <x:c r="AA37" t="n">
        <x: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x:f>
        <x:v>1453.6204263071954</x:v>
      </x:c>
      <x:c r="AB37" t="n">
        <x:f>Scenario_Data!V37</x:f>
        <x:v>-566.4</x:v>
      </x:c>
      <x:c r="AC37" t="n">
        <x: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x:f>
        <x:v>3460.5582527761903</x:v>
      </x:c>
      <x:c r="AD37" t="n">
        <x:f>Scenario_Data!W37</x:f>
        <x:v>-566.4</x:v>
      </x:c>
      <x:c r="AE37" t="n">
        <x: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x:f>
        <x:v>3427.2861682596404</x:v>
      </x:c>
      <x:c r="AG37" t="n">
        <x:f>Scenario_Data!T37</x:f>
        <x:v>-42.48</x:v>
      </x:c>
      <x:c r="AH37" t="n">
        <x:f>2*(SQRT((Inputs!$C$52+(Scenario_Data!B37))^2+Inputs!$C$52^2-2*(Inputs!$C$52+(Scenario_Data!B37))*Inputs!$C$52*COS(SQRT((Scenario_Data!T37)^2+Inputs!$C$6^2)/Inputs!$C$52))*1000)/Inputs!$C$21*1000000</x:f>
        <x:v>2707.119762460756</x:v>
      </x:c>
      <x:c r="AI37" t="n">
        <x:f>Scenario_Data!U37</x:f>
        <x:v>-283.2</x:v>
      </x:c>
      <x:c r="AJ37" t="n">
        <x:f>2*(SQRT((Inputs!$C$52+(Scenario_Data!C37))^2+Inputs!$C$52^2-2*(Inputs!$C$52+(Scenario_Data!C37))*Inputs!$C$52*COS(SQRT((Scenario_Data!U37)^2+Inputs!$C$6^2)/Inputs!$C$52))*1000)/Inputs!$C$21*1000000</x:f>
        <x:v>2490.518160948682</x:v>
      </x:c>
      <x:c r="AK37" t="n">
        <x:f>Scenario_Data!V37</x:f>
        <x:v>-566.4</x:v>
      </x:c>
      <x:c r="AL37" t="n">
        <x:f>2*(SQRT((Inputs!$C$52+(Scenario_Data!D37))^2+Inputs!$C$52^2-2*(Inputs!$C$52+(Scenario_Data!D37))*Inputs!$C$52*COS(SQRT((Scenario_Data!V37)^2+Inputs!$C$6^2)/Inputs!$C$52))*1000)/Inputs!$C$21*1000000</x:f>
        <x:v>5552.181921221136</x:v>
      </x:c>
      <x:c r="AM37" t="n">
        <x:f>Scenario_Data!W37</x:f>
        <x:v>-566.4</x:v>
      </x:c>
      <x:c r="AN37" t="n">
        <x:f>2*(SQRT((Inputs!$C$52+(Scenario_Data!E37))^2+Inputs!$C$52^2-2*(Inputs!$C$52+(Scenario_Data!E37))*Inputs!$C$52*COS(SQRT((Scenario_Data!W37)^2+Inputs!$C$6^2)/Inputs!$C$52))*1000)/Inputs!$C$21*1000000</x:f>
        <x:v>5527.417241051008</x:v>
      </x:c>
      <x:c r="AP37" t="n">
        <x:f>Scenario_Data!T37</x:f>
        <x:v>-42.48</x:v>
      </x:c>
      <x:c r="AQ37" t="n">
        <x: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x:f>
        <x:v>2705.8693463886</x:v>
      </x:c>
      <x:c r="AR37" t="n">
        <x:f>Scenario_Data!U37</x:f>
        <x:v>-283.2</x:v>
      </x:c>
      <x:c r="AS37" t="n">
        <x: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x:f>
        <x:v>2489.887481598469</x:v>
      </x:c>
      <x:c r="AT37" t="n">
        <x:f>Scenario_Data!V37</x:f>
        <x:v>-566.4</x:v>
      </x:c>
      <x:c r="AU37" t="n">
        <x: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x:f>
        <x:v>5551.850758749343</x:v>
      </x:c>
      <x:c r="AV37" t="n">
        <x:f>Scenario_Data!W37</x:f>
        <x:v>-566.4</x:v>
      </x:c>
      <x:c r="AW37" t="n">
        <x: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x:f>
        <x:v>5527.088644171126</x:v>
      </x:c>
    </x:row>
    <x:row r="38">
      <x:c r="A38" t="n">
        <x:f>Chart_Data!K38</x:f>
        <x:v>-42</x:v>
      </x:c>
      <x:c r="B38" t="n">
        <x:f>Chart_Data!N38-Chart_Data!L38</x:f>
        <x:v>6.72131524330652</x:v>
      </x:c>
      <x:c r="D38" t="n">
        <x:f>Chart_Data!G38</x:f>
        <x:v>-42</x:v>
      </x:c>
      <x:c r="E38" t="n">
        <x:f>Chart_Data!H38</x:f>
        <x:v>170.62817299697477</x:v>
      </x:c>
      <x:c r="F38" t="n">
        <x:f>Chart_Data!I38</x:f>
        <x:v>170.62817299697477</x:v>
      </x:c>
      <x:c r="G38" t="n">
        <x:f>Chart_Data!J38</x:f>
        <x:v>-8.691303525994272</x:v>
      </x:c>
      <x:c r="I38" t="n">
        <x:f>Scenario_Data!A38</x:f>
        <x:v>-0.7</x:v>
      </x:c>
      <x:c r="J38" t="n">
        <x:f>Scenario_Data!H38-(((SQRT((Inputs!$C$52+(Inputs!$H$6))^2+Inputs!$C$52^2-2*(Inputs!$C$52+(Inputs!$H$6))*Inputs!$C$52*COS(SQRT((Scenario_Data!T38)^2+Inputs!$C$6^2)/Inputs!$C$52)))-(Inputs!$H$6))*1000/Inputs!$C$12)</x:f>
        <x:v>-8.057382321536807</x:v>
      </x:c>
      <x:c r="K38" t="n">
        <x:f>Scenario_Data!I38-(((SQRT((Inputs!$C$52+(Inputs!$H$7))^2+Inputs!$C$52^2-2*(Inputs!$C$52+(Inputs!$H$7))*Inputs!$C$52*COS(SQRT((Scenario_Data!U38)^2+Inputs!$C$6^2)/Inputs!$C$52)))-(Inputs!$H$7))*1000/Inputs!$C$12)</x:f>
        <x:v>-54480.74919119819</x:v>
      </x:c>
      <x:c r="L38" t="n">
        <x:f>Scenario_Data!J38-(((SQRT((Inputs!$C$52+(Inputs!$H$8))^2+Inputs!$C$52^2-2*(Inputs!$C$52+(Inputs!$H$8))*Inputs!$C$52*COS(SQRT((Scenario_Data!V38)^2+Inputs!$C$6^2)/Inputs!$C$52)))-(Inputs!$H$8))*1000/Inputs!$C$12)</x:f>
        <x:v>-123154.43747008915</x:v>
      </x:c>
      <x:c r="M38" t="n">
        <x:f>Scenario_Data!K38-(((SQRT((Inputs!$C$52+(Inputs!$H$9))^2+Inputs!$C$52^2-2*(Inputs!$C$52+(Inputs!$H$9))*Inputs!$C$52*COS(SQRT((Scenario_Data!W38)^2+Inputs!$C$6^2)/Inputs!$C$52)))-(Inputs!$H$9))*1000/Inputs!$C$12)</x:f>
        <x:v>-126738.11882360443</x:v>
      </x:c>
      <x:c r="O38" t="n">
        <x:f>Scenario_Data!T38</x:f>
        <x:v>-42</x:v>
      </x:c>
      <x:c r="P38" t="n">
        <x:f>2*(Scenario_Data!B38*1000)/Inputs!$C$21*1000000</x:f>
        <x:v>2681.588474116984</x:v>
      </x:c>
      <x:c r="Q38" t="n">
        <x:f>Scenario_Data!U38</x:f>
        <x:v>-280</x:v>
      </x:c>
      <x:c r="R38" t="n">
        <x:f>2*(Scenario_Data!C38*1000)/Inputs!$C$21*1000000</x:f>
        <x:v>1426.6536351624961</x:v>
      </x:c>
      <x:c r="S38" t="n">
        <x:f>Scenario_Data!V38</x:f>
        <x:v>-560</x:v>
      </x:c>
      <x:c r="T38" t="n">
        <x:f>2*(Scenario_Data!D38*1000)/Inputs!$C$21*1000000</x:f>
        <x:v>3388.01051492763</x:v>
      </x:c>
      <x:c r="U38" t="n">
        <x:f>Scenario_Data!W38</x:f>
        <x:v>-560</x:v>
      </x:c>
      <x:c r="V38" t="n">
        <x:f>2*(Scenario_Data!E38*1000)/Inputs!$C$21*1000000</x:f>
        <x:v>3353.9869772174184</x:v>
      </x:c>
      <x:c r="X38" t="n">
        <x:f>Scenario_Data!T38</x:f>
        <x:v>-42</x:v>
      </x:c>
      <x:c r="Y38" t="n">
        <x: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x:f>
        <x:v>2681.646456252919</x:v>
      </x:c>
      <x:c r="Z38" t="n">
        <x:f>Scenario_Data!U38</x:f>
        <x:v>-280</x:v>
      </x:c>
      <x:c r="AA38" t="n">
        <x: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x:f>
        <x:v>1426.4451757847892</x:v>
      </x:c>
      <x:c r="AB38" t="n">
        <x:f>Scenario_Data!V38</x:f>
        <x:v>-560</x:v>
      </x:c>
      <x:c r="AC38" t="n">
        <x: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x:f>
        <x:v>3387.9425003472197</x:v>
      </x:c>
      <x:c r="AD38" t="n">
        <x:f>Scenario_Data!W38</x:f>
        <x:v>-560</x:v>
      </x:c>
      <x:c r="AE38" t="n">
        <x: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x:f>
        <x:v>3353.9189626370085</x:v>
      </x:c>
      <x:c r="AG38" t="n">
        <x:f>Scenario_Data!T38</x:f>
        <x:v>-42</x:v>
      </x:c>
      <x:c r="AH38" t="n">
        <x:f>2*(SQRT((Inputs!$C$52+(Scenario_Data!B38))^2+Inputs!$C$52^2-2*(Inputs!$C$52+(Scenario_Data!B38))*Inputs!$C$52*COS(SQRT((Scenario_Data!T38)^2+Inputs!$C$6^2)/Inputs!$C$52))*1000)/Inputs!$C$21*1000000</x:f>
        <x:v>2706.402221049479</x:v>
      </x:c>
      <x:c r="AI38" t="n">
        <x:f>Scenario_Data!U38</x:f>
        <x:v>-280</x:v>
      </x:c>
      <x:c r="AJ38" t="n">
        <x:f>2*(SQRT((Inputs!$C$52+(Scenario_Data!C38))^2+Inputs!$C$52^2-2*(Inputs!$C$52+(Scenario_Data!C38))*Inputs!$C$52*COS(SQRT((Scenario_Data!U38)^2+Inputs!$C$6^2)/Inputs!$C$52))*1000)/Inputs!$C$21*1000000</x:f>
        <x:v>2454.285166823356</x:v>
      </x:c>
      <x:c r="AK38" t="n">
        <x:f>Scenario_Data!V38</x:f>
        <x:v>-560</x:v>
      </x:c>
      <x:c r="AL38" t="n">
        <x:f>2*(SQRT((Inputs!$C$52+(Scenario_Data!D38))^2+Inputs!$C$52^2-2*(Inputs!$C$52+(Scenario_Data!D38))*Inputs!$C$52*COS(SQRT((Scenario_Data!V38)^2+Inputs!$C$6^2)/Inputs!$C$52))*1000)/Inputs!$C$21*1000000</x:f>
        <x:v>5460.3582902555545</x:v>
      </x:c>
      <x:c r="AM38" t="n">
        <x:f>Scenario_Data!W38</x:f>
        <x:v>-560</x:v>
      </x:c>
      <x:c r="AN38" t="n">
        <x:f>2*(SQRT((Inputs!$C$52+(Scenario_Data!E38))^2+Inputs!$C$52^2-2*(Inputs!$C$52+(Scenario_Data!E38))*Inputs!$C$52*COS(SQRT((Scenario_Data!W38)^2+Inputs!$C$6^2)/Inputs!$C$52))*1000)/Inputs!$C$21*1000000</x:f>
        <x:v>5435.1558124688245</x:v>
      </x:c>
      <x:c r="AP38" t="n">
        <x:f>Scenario_Data!T38</x:f>
        <x:v>-42</x:v>
      </x:c>
      <x:c r="AQ38" t="n">
        <x: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x:f>
        <x:v>2705.27705475384</x:v>
      </x:c>
      <x:c r="AR38" t="n">
        <x:f>Scenario_Data!U38</x:f>
        <x:v>-280</x:v>
      </x:c>
      <x:c r="AS38" t="n">
        <x: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x:f>
        <x:v>2453.7296576050267</x:v>
      </x:c>
      <x:c r="AT38" t="n">
        <x:f>Scenario_Data!V38</x:f>
        <x:v>-560</x:v>
      </x:c>
      <x:c r="AU38" t="n">
        <x: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x:f>
        <x:v>5459.997895455708</x:v>
      </x:c>
      <x:c r="AV38" t="n">
        <x:f>Scenario_Data!W38</x:f>
        <x:v>-560</x:v>
      </x:c>
      <x:c r="AW38" t="n">
        <x: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x:f>
        <x:v>5434.79834663666</x:v>
      </x:c>
    </x:row>
    <x:row r="39">
      <x:c r="A39" t="n">
        <x:f>Chart_Data!K39</x:f>
        <x:v>-41.5</x:v>
      </x:c>
      <x:c r="B39" t="n">
        <x:f>Chart_Data!N39-Chart_Data!L39</x:f>
        <x:v>13.84761035039432</x:v>
      </x:c>
      <x:c r="D39" t="n">
        <x:f>Chart_Data!G39</x:f>
        <x:v>-41.5</x:v>
      </x:c>
      <x:c r="E39" t="n">
        <x:f>Chart_Data!H39</x:f>
        <x:v>171.38557913735212</x:v>
      </x:c>
      <x:c r="F39" t="n">
        <x:f>Chart_Data!I39</x:f>
        <x:v>171.38557913735212</x:v>
      </x:c>
      <x:c r="G39" t="n">
        <x:f>Chart_Data!J39</x:f>
        <x:v>-15.792555414769886</x:v>
      </x:c>
      <x:c r="I39" t="n">
        <x:f>Scenario_Data!A39</x:f>
        <x:v>-0.692</x:v>
      </x:c>
      <x:c r="J39" t="n">
        <x:f>Scenario_Data!H39-(((SQRT((Inputs!$C$52+(Inputs!$H$6))^2+Inputs!$C$52^2-2*(Inputs!$C$52+(Inputs!$H$6))*Inputs!$C$52*COS(SQRT((Scenario_Data!T39)^2+Inputs!$C$6^2)/Inputs!$C$52)))-(Inputs!$H$6))*1000/Inputs!$C$12)</x:f>
        <x:v>-7.744930637363723</x:v>
      </x:c>
      <x:c r="K39" t="n">
        <x:f>Scenario_Data!I39-(((SQRT((Inputs!$C$52+(Inputs!$H$7))^2+Inputs!$C$52^2-2*(Inputs!$C$52+(Inputs!$H$7))*Inputs!$C$52*COS(SQRT((Scenario_Data!U39)^2+Inputs!$C$6^2)/Inputs!$C$52)))-(Inputs!$H$7))*1000/Inputs!$C$12)</x:f>
        <x:v>-53436.43314820457</x:v>
      </x:c>
      <x:c r="L39" t="n">
        <x:f>Scenario_Data!J39-(((SQRT((Inputs!$C$52+(Inputs!$H$8))^2+Inputs!$C$52^2-2*(Inputs!$C$52+(Inputs!$H$8))*Inputs!$C$52*COS(SQRT((Scenario_Data!V39)^2+Inputs!$C$6^2)/Inputs!$C$52)))-(Inputs!$H$8))*1000/Inputs!$C$12)</x:f>
        <x:v>-121211.50058427514</x:v>
      </x:c>
      <x:c r="M39" t="n">
        <x:f>Scenario_Data!K39-(((SQRT((Inputs!$C$52+(Inputs!$H$9))^2+Inputs!$C$52^2-2*(Inputs!$C$52+(Inputs!$H$9))*Inputs!$C$52*COS(SQRT((Scenario_Data!W39)^2+Inputs!$C$6^2)/Inputs!$C$52)))-(Inputs!$H$9))*1000/Inputs!$C$12)</x:f>
        <x:v>-124776.17612891932</x:v>
      </x:c>
      <x:c r="O39" t="n">
        <x:f>Scenario_Data!T39</x:f>
        <x:v>-41.519999999999996</x:v>
      </x:c>
      <x:c r="P39" t="n">
        <x:f>2*(Scenario_Data!B39*1000)/Inputs!$C$21*1000000</x:f>
        <x:v>2681.2913085358537</x:v>
      </x:c>
      <x:c r="Q39" t="n">
        <x:f>Scenario_Data!U39</x:f>
        <x:v>-276.79999999999995</x:v>
      </x:c>
      <x:c r="R39" t="n">
        <x:f>2*(Scenario_Data!C39*1000)/Inputs!$C$21*1000000</x:f>
        <x:v>1399.5372758843714</x:v>
      </x:c>
      <x:c r="S39" t="n">
        <x:f>Scenario_Data!V39</x:f>
        <x:v>-553.5999999999999</x:v>
      </x:c>
      <x:c r="T39" t="n">
        <x:f>2*(Scenario_Data!D39*1000)/Inputs!$C$21*1000000</x:f>
        <x:v>3316.319318479985</x:v>
      </x:c>
      <x:c r="U39" t="n">
        <x:f>Scenario_Data!W39</x:f>
        <x:v>-553.5999999999999</x:v>
      </x:c>
      <x:c r="V39" t="n">
        <x:f>2*(Scenario_Data!E39*1000)/Inputs!$C$21*1000000</x:f>
        <x:v>3281.552866816948</x:v>
      </x:c>
      <x:c r="X39" t="n">
        <x:f>Scenario_Data!T39</x:f>
        <x:v>-41.519999999999996</x:v>
      </x:c>
      <x:c r="Y39" t="n">
        <x: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x:f>
        <x:v>2681.401843892318</x:v>
      </x:c>
      <x:c r="Z39" t="n">
        <x:f>Scenario_Data!U39</x:f>
        <x:v>-276.79999999999995</x:v>
      </x:c>
      <x:c r="AA39" t="n">
        <x: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x:f>
        <x:v>1399.6223178847788</x:v>
      </x:c>
      <x:c r="AB39" t="n">
        <x:f>Scenario_Data!V39</x:f>
        <x:v>-553.5999999999999</x:v>
      </x:c>
      <x:c r="AC39" t="n">
        <x: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x:f>
        <x:v>3315.7545835019173</x:v>
      </x:c>
      <x:c r="AD39" t="n">
        <x:f>Scenario_Data!W39</x:f>
        <x:v>-553.5999999999999</x:v>
      </x:c>
      <x:c r="AE39" t="n">
        <x: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x:f>
        <x:v>3280.9881318388802</x:v>
      </x:c>
      <x:c r="AG39" t="n">
        <x:f>Scenario_Data!T39</x:f>
        <x:v>-41.519999999999996</x:v>
      </x:c>
      <x:c r="AH39" t="n">
        <x:f>2*(SQRT((Inputs!$C$52+(Scenario_Data!B39))^2+Inputs!$C$52^2-2*(Inputs!$C$52+(Scenario_Data!B39))*Inputs!$C$52*COS(SQRT((Scenario_Data!T39)^2+Inputs!$C$6^2)/Inputs!$C$52))*1000)/Inputs!$C$21*1000000</x:f>
        <x:v>2705.692697065748</x:v>
      </x:c>
      <x:c r="AI39" t="n">
        <x:f>Scenario_Data!U39</x:f>
        <x:v>-276.79999999999995</x:v>
      </x:c>
      <x:c r="AJ39" t="n">
        <x:f>2*(SQRT((Inputs!$C$52+(Scenario_Data!C39))^2+Inputs!$C$52^2-2*(Inputs!$C$52+(Scenario_Data!C39))*Inputs!$C$52*COS(SQRT((Scenario_Data!U39)^2+Inputs!$C$6^2)/Inputs!$C$52))*1000)/Inputs!$C$21*1000000</x:f>
        <x:v>2418.3192089337513</x:v>
      </x:c>
      <x:c r="AK39" t="n">
        <x:f>Scenario_Data!V39</x:f>
        <x:v>-553.5999999999999</x:v>
      </x:c>
      <x:c r="AL39" t="n">
        <x:f>2*(SQRT((Inputs!$C$52+(Scenario_Data!D39))^2+Inputs!$C$52^2-2*(Inputs!$C$52+(Scenario_Data!D39))*Inputs!$C$52*COS(SQRT((Scenario_Data!V39)^2+Inputs!$C$6^2)/Inputs!$C$52))*1000)/Inputs!$C$21*1000000</x:f>
        <x:v>5369.3785657395565</x:v>
      </x:c>
      <x:c r="AM39" t="n">
        <x:f>Scenario_Data!W39</x:f>
        <x:v>-553.5999999999999</x:v>
      </x:c>
      <x:c r="AN39" t="n">
        <x:f>2*(SQRT((Inputs!$C$52+(Scenario_Data!E39))^2+Inputs!$C$52^2-2*(Inputs!$C$52+(Scenario_Data!E39))*Inputs!$C$52*COS(SQRT((Scenario_Data!W39)^2+Inputs!$C$6^2)/Inputs!$C$52))*1000)/Inputs!$C$21*1000000</x:f>
        <x:v>5343.751850152343</x:v>
      </x:c>
      <x:c r="AP39" t="n">
        <x:f>Scenario_Data!T39</x:f>
        <x:v>-41.519999999999996</x:v>
      </x:c>
      <x:c r="AQ39" t="n">
        <x: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x:f>
        <x:v>2704.569325361173</x:v>
      </x:c>
      <x:c r="AR39" t="n">
        <x:f>Scenario_Data!U39</x:f>
        <x:v>-276.79999999999995</x:v>
      </x:c>
      <x:c r="AS39" t="n">
        <x: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x:f>
        <x:v>2417.9520871285163</x:v>
      </x:c>
      <x:c r="AT39" t="n">
        <x:f>Scenario_Data!V39</x:f>
        <x:v>-553.5999999999999</x:v>
      </x:c>
      <x:c r="AU39" t="n">
        <x: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x:f>
        <x:v>5368.7858670736305</x:v>
      </x:c>
      <x:c r="AV39" t="n">
        <x:f>Scenario_Data!W39</x:f>
        <x:v>-553.5999999999999</x:v>
      </x:c>
      <x:c r="AW39" t="n">
        <x: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x:f>
        <x:v>5343.164202862709</x:v>
      </x:c>
    </x:row>
    <x:row r="40">
      <x:c r="A40" t="n">
        <x:f>Chart_Data!K40</x:f>
        <x:v>-41</x:v>
      </x:c>
      <x:c r="B40" t="n">
        <x:f>Chart_Data!N40-Chart_Data!L40</x:f>
        <x:v>15.915812814890273</x:v>
      </x:c>
      <x:c r="D40" t="n">
        <x:f>Chart_Data!G40</x:f>
        <x:v>-41</x:v>
      </x:c>
      <x:c r="E40" t="n">
        <x:f>Chart_Data!H40</x:f>
        <x:v>176.66624192778235</x:v>
      </x:c>
      <x:c r="F40" t="n">
        <x:f>Chart_Data!I40</x:f>
        <x:v>176.66624192778235</x:v>
      </x:c>
      <x:c r="G40" t="n">
        <x:f>Chart_Data!J40</x:f>
        <x:v>-17.886266996681616</x:v>
      </x:c>
      <x:c r="I40" t="n">
        <x:f>Scenario_Data!A40</x:f>
        <x:v>-0.683</x:v>
      </x:c>
      <x:c r="J40" t="n">
        <x:f>Scenario_Data!H40-(((SQRT((Inputs!$C$52+(Inputs!$H$6))^2+Inputs!$C$52^2-2*(Inputs!$C$52+(Inputs!$H$6))*Inputs!$C$52*COS(SQRT((Scenario_Data!T40)^2+Inputs!$C$6^2)/Inputs!$C$52)))-(Inputs!$H$6))*1000/Inputs!$C$12)</x:f>
        <x:v>-7.404664824446172</x:v>
      </x:c>
      <x:c r="K40" t="n">
        <x:f>Scenario_Data!I40-(((SQRT((Inputs!$C$52+(Inputs!$H$7))^2+Inputs!$C$52^2-2*(Inputs!$C$52+(Inputs!$H$7))*Inputs!$C$52*COS(SQRT((Scenario_Data!U40)^2+Inputs!$C$6^2)/Inputs!$C$52)))-(Inputs!$H$7))*1000/Inputs!$C$12)</x:f>
        <x:v>-52266.60203742246</x:v>
      </x:c>
      <x:c r="L40" t="n">
        <x:f>Scenario_Data!J40-(((SQRT((Inputs!$C$52+(Inputs!$H$8))^2+Inputs!$C$52^2-2*(Inputs!$C$52+(Inputs!$H$8))*Inputs!$C$52*COS(SQRT((Scenario_Data!V40)^2+Inputs!$C$6^2)/Inputs!$C$52)))-(Inputs!$H$8))*1000/Inputs!$C$12)</x:f>
        <x:v>-119022.73194468833</x:v>
      </x:c>
      <x:c r="M40" t="n">
        <x:f>Scenario_Data!K40-(((SQRT((Inputs!$C$52+(Inputs!$H$9))^2+Inputs!$C$52^2-2*(Inputs!$C$52+(Inputs!$H$9))*Inputs!$C$52*COS(SQRT((Scenario_Data!W40)^2+Inputs!$C$6^2)/Inputs!$C$52)))-(Inputs!$H$9))*1000/Inputs!$C$12)</x:f>
        <x:v>-122565.42525707473</x:v>
      </x:c>
      <x:c r="O40" t="n">
        <x:f>Scenario_Data!T40</x:f>
        <x:v>-40.980000000000004</x:v>
      </x:c>
      <x:c r="P40" t="n">
        <x:f>2*(Scenario_Data!B40*1000)/Inputs!$C$21*1000000</x:f>
        <x:v>2680.9610800816076</x:v>
      </x:c>
      <x:c r="Q40" t="n">
        <x:f>Scenario_Data!U40</x:f>
        <x:v>-273.20000000000005</x:v>
      </x:c>
      <x:c r="R40" t="n">
        <x:f>2*(Scenario_Data!C40*1000)/Inputs!$C$21*1000000</x:f>
        <x:v>1369.4039294344093</x:v>
      </x:c>
      <x:c r="S40" t="n">
        <x:f>Scenario_Data!V40</x:f>
        <x:v>-546.4000000000001</x:v>
      </x:c>
      <x:c r="T40" t="n">
        <x:f>2*(Scenario_Data!D40*1000)/Inputs!$C$21*1000000</x:f>
        <x:v>3236.6517038930992</x:v>
      </x:c>
      <x:c r="U40" t="n">
        <x:f>Scenario_Data!W40</x:f>
        <x:v>-546.4000000000001</x:v>
      </x:c>
      <x:c r="V40" t="n">
        <x:f>2*(Scenario_Data!E40*1000)/Inputs!$C$21*1000000</x:f>
        <x:v>3201.059681094447</x:v>
      </x:c>
      <x:c r="X40" t="n">
        <x:f>Scenario_Data!T40</x:f>
        <x:v>-40.980000000000004</x:v>
      </x:c>
      <x:c r="Y40" t="n">
        <x: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x:f>
        <x:v>2681.004627160038</x:v>
      </x:c>
      <x:c r="Z40" t="n">
        <x:f>Scenario_Data!U40</x:f>
        <x:v>-273.20000000000005</x:v>
      </x:c>
      <x:c r="AA40" t="n">
        <x: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x:f>
        <x:v>1369.53463092272</x:v>
      </x:c>
      <x:c r="AB40" t="n">
        <x:f>Scenario_Data!V40</x:f>
        <x:v>-546.4000000000001</x:v>
      </x:c>
      <x:c r="AC40" t="n">
        <x: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x:f>
        <x:v>3236.461382160853</x:v>
      </x:c>
      <x:c r="AD40" t="n">
        <x:f>Scenario_Data!W40</x:f>
        <x:v>-546.4000000000001</x:v>
      </x:c>
      <x:c r="AE40" t="n">
        <x: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x:f>
        <x:v>3200.8693593622015</x:v>
      </x:c>
      <x:c r="AG40" t="n">
        <x:f>Scenario_Data!T40</x:f>
        <x:v>-40.980000000000004</x:v>
      </x:c>
      <x:c r="AH40" t="n">
        <x:f>2*(SQRT((Inputs!$C$52+(Scenario_Data!B40))^2+Inputs!$C$52^2-2*(Inputs!$C$52+(Scenario_Data!B40))*Inputs!$C$52*COS(SQRT((Scenario_Data!T40)^2+Inputs!$C$6^2)/Inputs!$C$52))*1000)/Inputs!$C$21*1000000</x:f>
        <x:v>2704.9040716081277</x:v>
      </x:c>
      <x:c r="AI40" t="n">
        <x:f>Scenario_Data!U40</x:f>
        <x:v>-273.20000000000005</x:v>
      </x:c>
      <x:c r="AJ40" t="n">
        <x:f>2*(SQRT((Inputs!$C$52+(Scenario_Data!C40))^2+Inputs!$C$52^2-2*(Inputs!$C$52+(Scenario_Data!C40))*Inputs!$C$52*COS(SQRT((Scenario_Data!U40)^2+Inputs!$C$6^2)/Inputs!$C$52))*1000)/Inputs!$C$21*1000000</x:f>
        <x:v>2378.1749207105045</x:v>
      </x:c>
      <x:c r="AK40" t="n">
        <x:f>Scenario_Data!V40</x:f>
        <x:v>-546.4000000000001</x:v>
      </x:c>
      <x:c r="AL40" t="n">
        <x:f>2*(SQRT((Inputs!$C$52+(Scenario_Data!D40))^2+Inputs!$C$52^2-2*(Inputs!$C$52+(Scenario_Data!D40))*Inputs!$C$52*COS(SQRT((Scenario_Data!V40)^2+Inputs!$C$6^2)/Inputs!$C$52))*1000)/Inputs!$C$21*1000000</x:f>
        <x:v>5268.031429047745</x:v>
      </x:c>
      <x:c r="AM40" t="n">
        <x:f>Scenario_Data!W40</x:f>
        <x:v>-546.4000000000001</x:v>
      </x:c>
      <x:c r="AN40" t="n">
        <x:f>2*(SQRT((Inputs!$C$52+(Scenario_Data!E40))^2+Inputs!$C$52^2-2*(Inputs!$C$52+(Scenario_Data!E40))*Inputs!$C$52*COS(SQRT((Scenario_Data!W40)^2+Inputs!$C$6^2)/Inputs!$C$52))*1000)/Inputs!$C$21*1000000</x:f>
        <x:v>5241.943717406506</x:v>
      </x:c>
      <x:c r="AP40" t="n">
        <x:f>Scenario_Data!T40</x:f>
        <x:v>-40.980000000000004</x:v>
      </x:c>
      <x:c r="AQ40" t="n">
        <x: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x:f>
        <x:v>2703.6905678073786</x:v>
      </x:c>
      <x:c r="AR40" t="n">
        <x:f>Scenario_Data!U40</x:f>
        <x:v>-273.20000000000005</x:v>
      </x:c>
      <x:c r="AS40" t="n">
        <x: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x:f>
        <x:v>2377.718715826389</x:v>
      </x:c>
      <x:c r="AT40" t="n">
        <x:f>Scenario_Data!V40</x:f>
        <x:v>-546.4000000000001</x:v>
      </x:c>
      <x:c r="AU40" t="n">
        <x: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x:f>
        <x:v>5267.622993940169</x:v>
      </x:c>
      <x:c r="AV40" t="n">
        <x:f>Scenario_Data!W40</x:f>
        <x:v>-546.4000000000001</x:v>
      </x:c>
      <x:c r="AW40" t="n">
        <x: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x:f>
        <x:v>5241.538951238175</x:v>
      </x:c>
    </x:row>
    <x:row r="41">
      <x:c r="A41" t="n">
        <x:f>Chart_Data!K41</x:f>
        <x:v>-40.5</x:v>
      </x:c>
      <x:c r="B41" t="n">
        <x:f>Chart_Data!N41-Chart_Data!L41</x:f>
        <x:v>12.946690285592126</x:v>
      </x:c>
      <x:c r="D41" t="n">
        <x:f>Chart_Data!G41</x:f>
        <x:v>-40.5</x:v>
      </x:c>
      <x:c r="E41" t="n">
        <x:f>Chart_Data!H41</x:f>
        <x:v>191.24651788731785</x:v>
      </x:c>
      <x:c r="F41" t="n">
        <x:f>Chart_Data!I41</x:f>
        <x:v>191.24651788731785</x:v>
      </x:c>
      <x:c r="G41" t="n">
        <x:f>Chart_Data!J41</x:f>
        <x:v>-15.042977474303433</x:v>
      </x:c>
      <x:c r="I41" t="n">
        <x:f>Scenario_Data!A41</x:f>
        <x:v>-0.675</x:v>
      </x:c>
      <x:c r="J41" t="n">
        <x:f>Scenario_Data!H41-(((SQRT((Inputs!$C$52+(Inputs!$H$6))^2+Inputs!$C$52^2-2*(Inputs!$C$52+(Inputs!$H$6))*Inputs!$C$52*COS(SQRT((Scenario_Data!T41)^2+Inputs!$C$6^2)/Inputs!$C$52)))-(Inputs!$H$6))*1000/Inputs!$C$12)</x:f>
        <x:v>-7.111982920109767</x:v>
      </x:c>
      <x:c r="K41" t="n">
        <x:f>Scenario_Data!I41-(((SQRT((Inputs!$C$52+(Inputs!$H$7))^2+Inputs!$C$52^2-2*(Inputs!$C$52+(Inputs!$H$7))*Inputs!$C$52*COS(SQRT((Scenario_Data!U41)^2+Inputs!$C$6^2)/Inputs!$C$52)))-(Inputs!$H$7))*1000/Inputs!$C$12)</x:f>
        <x:v>-51231.374010913656</x:v>
      </x:c>
      <x:c r="L41" t="n">
        <x:f>Scenario_Data!J41-(((SQRT((Inputs!$C$52+(Inputs!$H$8))^2+Inputs!$C$52^2-2*(Inputs!$C$52+(Inputs!$H$8))*Inputs!$C$52*COS(SQRT((Scenario_Data!V41)^2+Inputs!$C$6^2)/Inputs!$C$52)))-(Inputs!$H$8))*1000/Inputs!$C$12)</x:f>
        <x:v>-117074.83465957025</x:v>
      </x:c>
      <x:c r="M41" t="n">
        <x:f>Scenario_Data!K41-(((SQRT((Inputs!$C$52+(Inputs!$H$9))^2+Inputs!$C$52^2-2*(Inputs!$C$52+(Inputs!$H$9))*Inputs!$C$52*COS(SQRT((Scenario_Data!W41)^2+Inputs!$C$6^2)/Inputs!$C$52)))-(Inputs!$H$9))*1000/Inputs!$C$12)</x:f>
        <x:v>-120597.44652148281</x:v>
      </x:c>
      <x:c r="O41" t="n">
        <x:f>Scenario_Data!T41</x:f>
        <x:v>-40.5</x:v>
      </x:c>
      <x:c r="P41" t="n">
        <x:f>2*(Scenario_Data!B41*1000)/Inputs!$C$21*1000000</x:f>
        <x:v>2680.671172855189</x:v>
      </x:c>
      <x:c r="Q41" t="n">
        <x:f>Scenario_Data!U41</x:f>
        <x:v>-270</x:v>
      </x:c>
      <x:c r="R41" t="n">
        <x:f>2*(Scenario_Data!C41*1000)/Inputs!$C$21*1000000</x:f>
        <x:v>1342.9498950237103</x:v>
      </x:c>
      <x:c r="S41" t="n">
        <x:f>Scenario_Data!V41</x:f>
        <x:v>-540</x:v>
      </x:c>
      <x:c r="T41" t="n">
        <x:f>2*(Scenario_Data!D41*1000)/Inputs!$C$21*1000000</x:f>
        <x:v>3166.7115855196066</x:v>
      </x:c>
      <x:c r="U41" t="n">
        <x:f>Scenario_Data!W41</x:f>
        <x:v>-540</x:v>
      </x:c>
      <x:c r="V41" t="n">
        <x:f>2*(Scenario_Data!E41*1000)/Inputs!$C$21*1000000</x:f>
        <x:v>3130.3947946549083</x:v>
      </x:c>
      <x:c r="X41" t="n">
        <x:f>Scenario_Data!T41</x:f>
        <x:v>-40.5</x:v>
      </x:c>
      <x:c r="Y41" t="n">
        <x: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x:f>
        <x:v>2680.7715287985948</x:v>
      </x:c>
      <x:c r="Z41" t="n">
        <x:f>Scenario_Data!U41</x:f>
        <x:v>-270</x:v>
      </x:c>
      <x:c r="AA41" t="n">
        <x: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x:f>
        <x:v>1342.8567868048142</x:v>
      </x:c>
      <x:c r="AB41" t="n">
        <x:f>Scenario_Data!V41</x:f>
        <x:v>-540</x:v>
      </x:c>
      <x:c r="AC41" t="n">
        <x: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x:f>
        <x:v>3166.259400612072</x:v>
      </x:c>
      <x:c r="AD41" t="n">
        <x:f>Scenario_Data!W41</x:f>
        <x:v>-540</x:v>
      </x:c>
      <x:c r="AE41" t="n">
        <x: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x:f>
        <x:v>3129.9426097473734</x:v>
      </x:c>
      <x:c r="AG41" t="n">
        <x:f>Scenario_Data!T41</x:f>
        <x:v>-40.5</x:v>
      </x:c>
      <x:c r="AH41" t="n">
        <x:f>2*(SQRT((Inputs!$C$52+(Scenario_Data!B41))^2+Inputs!$C$52^2-2*(Inputs!$C$52+(Scenario_Data!B41))*Inputs!$C$52*COS(SQRT((Scenario_Data!T41)^2+Inputs!$C$6^2)/Inputs!$C$52))*1000)/Inputs!$C$21*1000000</x:f>
        <x:v>2704.2115997852675</x:v>
      </x:c>
      <x:c r="AI41" t="n">
        <x:f>Scenario_Data!U41</x:f>
        <x:v>-270</x:v>
      </x:c>
      <x:c r="AJ41" t="n">
        <x:f>2*(SQRT((Inputs!$C$52+(Scenario_Data!C41))^2+Inputs!$C$52^2-2*(Inputs!$C$52+(Scenario_Data!C41))*Inputs!$C$52*COS(SQRT((Scenario_Data!U41)^2+Inputs!$C$6^2)/Inputs!$C$52))*1000)/Inputs!$C$21*1000000</x:f>
        <x:v>2342.7716518918514</x:v>
      </x:c>
      <x:c r="AK41" t="n">
        <x:f>Scenario_Data!V41</x:f>
        <x:v>-540</x:v>
      </x:c>
      <x:c r="AL41" t="n">
        <x:f>2*(SQRT((Inputs!$C$52+(Scenario_Data!D41))^2+Inputs!$C$52^2-2*(Inputs!$C$52+(Scenario_Data!D41))*Inputs!$C$52*COS(SQRT((Scenario_Data!V41)^2+Inputs!$C$6^2)/Inputs!$C$52))*1000)/Inputs!$C$21*1000000</x:f>
        <x:v>5178.835096993912</x:v>
      </x:c>
      <x:c r="AM41" t="n">
        <x:f>Scenario_Data!W41</x:f>
        <x:v>-540</x:v>
      </x:c>
      <x:c r="AN41" t="n">
        <x:f>2*(SQRT((Inputs!$C$52+(Scenario_Data!E41))^2+Inputs!$C$52^2-2*(Inputs!$C$52+(Scenario_Data!E41))*Inputs!$C$52*COS(SQRT((Scenario_Data!W41)^2+Inputs!$C$6^2)/Inputs!$C$52))*1000)/Inputs!$C$21*1000000</x:f>
        <x:v>5152.352129116699</x:v>
      </x:c>
      <x:c r="AP41" t="n">
        <x:f>Scenario_Data!T41</x:f>
        <x:v>-40.5</x:v>
      </x:c>
      <x:c r="AQ41" t="n">
        <x: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x:f>
        <x:v>2702.9497252740853</x:v>
      </x:c>
      <x:c r="AR41" t="n">
        <x:f>Scenario_Data!U41</x:f>
        <x:v>-270</x:v>
      </x:c>
      <x:c r="AS41" t="n">
        <x: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x:f>
        <x:v>2342.268846897384</x:v>
      </x:c>
      <x:c r="AT41" t="n">
        <x:f>Scenario_Data!V41</x:f>
        <x:v>-540</x:v>
      </x:c>
      <x:c r="AU41" t="n">
        <x: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x:f>
        <x:v>5178.40985077925</x:v>
      </x:c>
      <x:c r="AV41" t="n">
        <x:f>Scenario_Data!W41</x:f>
        <x:v>-540</x:v>
      </x:c>
      <x:c r="AW41" t="n">
        <x: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x:f>
        <x:v>5151.930884437782</x:v>
      </x:c>
    </x:row>
    <x:row r="42">
      <x:c r="A42" t="n">
        <x:f>Chart_Data!K42</x:f>
        <x:v>-40</x:v>
      </x:c>
      <x:c r="B42" t="n">
        <x:f>Chart_Data!N42-Chart_Data!L42</x:f>
        <x:v>29.102694376098867</x:v>
      </x:c>
      <x:c r="D42" t="n">
        <x:f>Chart_Data!G42</x:f>
        <x:v>-40</x:v>
      </x:c>
      <x:c r="E42" t="n">
        <x:f>Chart_Data!H42</x:f>
        <x:v>197.66557297497732</x:v>
      </x:c>
      <x:c r="F42" t="n">
        <x:f>Chart_Data!I42</x:f>
        <x:v>197.66557297497732</x:v>
      </x:c>
      <x:c r="G42" t="n">
        <x:f>Chart_Data!J42</x:f>
        <x:v>-31.231711064274894</x:v>
      </x:c>
      <x:c r="I42" t="n">
        <x:f>Scenario_Data!A42</x:f>
        <x:v>-0.667</x:v>
      </x:c>
      <x:c r="J42" t="n">
        <x:f>Scenario_Data!H42-(((SQRT((Inputs!$C$52+(Inputs!$H$6))^2+Inputs!$C$52^2-2*(Inputs!$C$52+(Inputs!$H$6))*Inputs!$C$52*COS(SQRT((Scenario_Data!T42)^2+Inputs!$C$6^2)/Inputs!$C$52)))-(Inputs!$H$6))*1000/Inputs!$C$12)</x:f>
        <x:v>-6.828300748499714</x:v>
      </x:c>
      <x:c r="K42" t="n">
        <x:f>Scenario_Data!I42-(((SQRT((Inputs!$C$52+(Inputs!$H$7))^2+Inputs!$C$52^2-2*(Inputs!$C$52+(Inputs!$H$7))*Inputs!$C$52*COS(SQRT((Scenario_Data!U42)^2+Inputs!$C$6^2)/Inputs!$C$52)))-(Inputs!$H$7))*1000/Inputs!$C$12)</x:f>
        <x:v>-50200.64516336976</x:v>
      </x:c>
      <x:c r="L42" t="n">
        <x:f>Scenario_Data!J42-(((SQRT((Inputs!$C$52+(Inputs!$H$8))^2+Inputs!$C$52^2-2*(Inputs!$C$52+(Inputs!$H$8))*Inputs!$C$52*COS(SQRT((Scenario_Data!V42)^2+Inputs!$C$6^2)/Inputs!$C$52)))-(Inputs!$H$8))*1000/Inputs!$C$12)</x:f>
        <x:v>-115125.04934461683</x:v>
      </x:c>
      <x:c r="M42" t="n">
        <x:f>Scenario_Data!K42-(((SQRT((Inputs!$C$52+(Inputs!$H$9))^2+Inputs!$C$52^2-2*(Inputs!$C$52+(Inputs!$H$9))*Inputs!$C$52*COS(SQRT((Scenario_Data!W42)^2+Inputs!$C$6^2)/Inputs!$C$52)))-(Inputs!$H$9))*1000/Inputs!$C$12)</x:f>
        <x:v>-118627.06266188383</x:v>
      </x:c>
      <x:c r="O42" t="n">
        <x:f>Scenario_Data!T42</x:f>
        <x:v>-40.02</x:v>
      </x:c>
      <x:c r="P42" t="n">
        <x:f>2*(Scenario_Data!B42*1000)/Inputs!$C$21*1000000</x:f>
        <x:v>2680.3846813251052</x:v>
      </x:c>
      <x:c r="Q42" t="n">
        <x:f>Scenario_Data!U42</x:f>
        <x:v>-266.8</x:v>
      </x:c>
      <x:c r="R42" t="n">
        <x:f>2*(Scenario_Data!C42*1000)/Inputs!$C$21*1000000</x:f>
        <x:v>1316.8075429035646</x:v>
      </x:c>
      <x:c r="S42" t="n">
        <x:f>Scenario_Data!V42</x:f>
        <x:v>-533.6</x:v>
      </x:c>
      <x:c r="T42" t="n">
        <x:f>2*(Scenario_Data!D42*1000)/Inputs!$C$21*1000000</x:f>
        <x:v>3097.5955038868924</x:v>
      </x:c>
      <x:c r="U42" t="n">
        <x:f>Scenario_Data!W42</x:f>
        <x:v>-533.6</x:v>
      </x:c>
      <x:c r="V42" t="n">
        <x:f>2*(Scenario_Data!E42*1000)/Inputs!$C$21*1000000</x:f>
        <x:v>3060.5624841969843</x:v>
      </x:c>
      <x:c r="X42" t="n">
        <x:f>Scenario_Data!T42</x:f>
        <x:v>-40.02</x:v>
      </x:c>
      <x:c r="Y42" t="n">
        <x: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x:f>
        <x:v>2680.6232576705215</x:v>
      </x:c>
      <x:c r="Z42" t="n">
        <x:f>Scenario_Data!U42</x:f>
        <x:v>-266.8</x:v>
      </x:c>
      <x:c r="AA42" t="n">
        <x: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x:f>
        <x:v>1316.381263410234</x:v>
      </x:c>
      <x:c r="AB42" t="n">
        <x:f>Scenario_Data!V42</x:f>
        <x:v>-533.6</x:v>
      </x:c>
      <x:c r="AC42" t="n">
        <x: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x:f>
        <x:v>3096.909291927256</x:v>
      </x:c>
      <x:c r="AD42" t="n">
        <x:f>Scenario_Data!W42</x:f>
        <x:v>-533.6</x:v>
      </x:c>
      <x:c r="AE42" t="n">
        <x: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x:f>
        <x:v>3059.8762722373476</x:v>
      </x:c>
      <x:c r="AG42" t="n">
        <x:f>Scenario_Data!T42</x:f>
        <x:v>-40.02</x:v>
      </x:c>
      <x:c r="AH42" t="n">
        <x:f>2*(SQRT((Inputs!$C$52+(Scenario_Data!B42))^2+Inputs!$C$52^2-2*(Inputs!$C$52+(Scenario_Data!B42))*Inputs!$C$52*COS(SQRT((Scenario_Data!T42)^2+Inputs!$C$6^2)/Inputs!$C$52))*1000)/Inputs!$C$21*1000000</x:f>
        <x:v>2703.527159526966</x:v>
      </x:c>
      <x:c r="AI42" t="n">
        <x:f>Scenario_Data!U42</x:f>
        <x:v>-266.8</x:v>
      </x:c>
      <x:c r="AJ42" t="n">
        <x:f>2*(SQRT((Inputs!$C$52+(Scenario_Data!C42))^2+Inputs!$C$52^2-2*(Inputs!$C$52+(Scenario_Data!C42))*Inputs!$C$52*COS(SQRT((Scenario_Data!U42)^2+Inputs!$C$6^2)/Inputs!$C$52))*1000)/Inputs!$C$21*1000000</x:f>
        <x:v>2307.6308927499517</x:v>
      </x:c>
      <x:c r="AK42" t="n">
        <x:f>Scenario_Data!V42</x:f>
        <x:v>-533.6</x:v>
      </x:c>
      <x:c r="AL42" t="n">
        <x:f>2*(SQRT((Inputs!$C$52+(Scenario_Data!D42))^2+Inputs!$C$52^2-2*(Inputs!$C$52+(Scenario_Data!D42))*Inputs!$C$52*COS(SQRT((Scenario_Data!V42)^2+Inputs!$C$6^2)/Inputs!$C$52))*1000)/Inputs!$C$21*1000000</x:f>
        <x:v>5090.473156276304</x:v>
      </x:c>
      <x:c r="AM42" t="n">
        <x:f>Scenario_Data!W42</x:f>
        <x:v>-533.6</x:v>
      </x:c>
      <x:c r="AN42" t="n">
        <x:f>2*(SQRT((Inputs!$C$52+(Scenario_Data!E42))^2+Inputs!$C$52^2-2*(Inputs!$C$52+(Scenario_Data!E42))*Inputs!$C$52*COS(SQRT((Scenario_Data!W42)^2+Inputs!$C$6^2)/Inputs!$C$52))*1000)/Inputs!$C$21*1000000</x:f>
        <x:v>5063.608645679319</x:v>
      </x:c>
      <x:c r="AP42" t="n">
        <x:f>Scenario_Data!T42</x:f>
        <x:v>-40.02</x:v>
      </x:c>
      <x:c r="AQ42" t="n">
        <x: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x:f>
        <x:v>2702.342639134389</x:v>
      </x:c>
      <x:c r="AR42" t="n">
        <x:f>Scenario_Data!U42</x:f>
        <x:v>-266.8</x:v>
      </x:c>
      <x:c r="AS42" t="n">
        <x: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x:f>
        <x:v>2306.9945829969192</x:v>
      </x:c>
      <x:c r="AT42" t="n">
        <x:f>Scenario_Data!V42</x:f>
        <x:v>-533.6</x:v>
      </x:c>
      <x:c r="AU42" t="n">
        <x: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x:f>
        <x:v>5089.837376029708</x:v>
      </x:c>
      <x:c r="AV42" t="n">
        <x:f>Scenario_Data!W42</x:f>
        <x:v>-533.6</x:v>
      </x:c>
      <x:c r="AW42" t="n">
        <x: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x:f>
        <x:v>5062.979131012552</x:v>
      </x:c>
    </x:row>
    <x:row r="43">
      <x:c r="A43" t="n">
        <x:f>Chart_Data!K43</x:f>
        <x:v>-39.5</x:v>
      </x:c>
      <x:c r="B43" t="n">
        <x:f>Chart_Data!N43-Chart_Data!L43</x:f>
        <x:v>31.11424964805272</x:v>
      </x:c>
      <x:c r="D43" t="n">
        <x:f>Chart_Data!G43</x:f>
        <x:v>-39.5</x:v>
      </x:c>
      <x:c r="E43" t="n">
        <x:f>Chart_Data!H43</x:f>
        <x:v>200.98178735327417</x:v>
      </x:c>
      <x:c r="F43" t="n">
        <x:f>Chart_Data!I43</x:f>
        <x:v>200.98178735327417</x:v>
      </x:c>
      <x:c r="G43" t="n">
        <x:f>Chart_Data!J43</x:f>
        <x:v>-33.241151326098546</x:v>
      </x:c>
      <x:c r="I43" t="n">
        <x:f>Scenario_Data!A43</x:f>
        <x:v>-0.658</x:v>
      </x:c>
      <x:c r="J43" t="n">
        <x:f>Scenario_Data!H43-(((SQRT((Inputs!$C$52+(Inputs!$H$6))^2+Inputs!$C$52^2-2*(Inputs!$C$52+(Inputs!$H$6))*Inputs!$C$52*COS(SQRT((Scenario_Data!T43)^2+Inputs!$C$6^2)/Inputs!$C$52)))-(Inputs!$H$6))*1000/Inputs!$C$12)</x:f>
        <x:v>-6.51967719021377</x:v>
      </x:c>
      <x:c r="K43" t="n">
        <x:f>Scenario_Data!I43-(((SQRT((Inputs!$C$52+(Inputs!$H$7))^2+Inputs!$C$52^2-2*(Inputs!$C$52+(Inputs!$H$7))*Inputs!$C$52*COS(SQRT((Scenario_Data!U43)^2+Inputs!$C$6^2)/Inputs!$C$52)))-(Inputs!$H$7))*1000/Inputs!$C$12)</x:f>
        <x:v>-49046.63482196539</x:v>
      </x:c>
      <x:c r="L43" t="n">
        <x:f>Scenario_Data!J43-(((SQRT((Inputs!$C$52+(Inputs!$H$8))^2+Inputs!$C$52^2-2*(Inputs!$C$52+(Inputs!$H$8))*Inputs!$C$52*COS(SQRT((Scenario_Data!V43)^2+Inputs!$C$6^2)/Inputs!$C$52)))-(Inputs!$H$8))*1000/Inputs!$C$12)</x:f>
        <x:v>-112929.65387596696</x:v>
      </x:c>
      <x:c r="M43" t="n">
        <x:f>Scenario_Data!K43-(((SQRT((Inputs!$C$52+(Inputs!$H$9))^2+Inputs!$C$52^2-2*(Inputs!$C$52+(Inputs!$H$9))*Inputs!$C$52*COS(SQRT((Scenario_Data!W43)^2+Inputs!$C$6^2)/Inputs!$C$52)))-(Inputs!$H$9))*1000/Inputs!$C$12)</x:f>
        <x:v>-116407.86707581821</x:v>
      </x:c>
      <x:c r="O43" t="n">
        <x:f>Scenario_Data!T43</x:f>
        <x:v>-39.480000000000004</x:v>
      </x:c>
      <x:c r="P43" t="n">
        <x:f>2*(Scenario_Data!B43*1000)/Inputs!$C$21*1000000</x:f>
        <x:v>2680.0664611782863</x:v>
      </x:c>
      <x:c r="Q43" t="n">
        <x:f>Scenario_Data!U43</x:f>
        <x:v>-263.20000000000005</x:v>
      </x:c>
      <x:c r="R43" t="n">
        <x:f>2*(Scenario_Data!C43*1000)/Inputs!$C$21*1000000</x:f>
        <x:v>1287.7699545063276</x:v>
      </x:c>
      <x:c r="S43" t="n">
        <x:f>Scenario_Data!V43</x:f>
        <x:v>-526.4000000000001</x:v>
      </x:c>
      <x:c r="T43" t="n">
        <x:f>2*(Scenario_Data!D43*1000)/Inputs!$C$21*1000000</x:f>
        <x:v>3020.824893466801</x:v>
      </x:c>
      <x:c r="U43" t="n">
        <x:f>Scenario_Data!W43</x:f>
        <x:v>-526.4000000000001</x:v>
      </x:c>
      <x:c r="V43" t="n">
        <x:f>2*(Scenario_Data!E43*1000)/Inputs!$C$21*1000000</x:f>
        <x:v>2982.9963234098454</x:v>
      </x:c>
      <x:c r="X43" t="n">
        <x:f>Scenario_Data!T43</x:f>
        <x:v>-39.480000000000004</x:v>
      </x:c>
      <x:c r="Y43" t="n">
        <x: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x:f>
        <x:v>2680.3194831047786</x:v>
      </x:c>
      <x:c r="Z43" t="n">
        <x:f>Scenario_Data!U43</x:f>
        <x:v>-263.20000000000005</x:v>
      </x:c>
      <x:c r="AA43" t="n">
        <x: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x:f>
        <x:v>1287.3992463636328</x:v>
      </x:c>
      <x:c r="AB43" t="n">
        <x:f>Scenario_Data!V43</x:f>
        <x:v>-526.4000000000001</x:v>
      </x:c>
      <x:c r="AC43" t="n">
        <x: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x:f>
        <x:v>3020.7723219878835</x:v>
      </x:c>
      <x:c r="AD43" t="n">
        <x:f>Scenario_Data!W43</x:f>
        <x:v>-526.4000000000001</x:v>
      </x:c>
      <x:c r="AE43" t="n">
        <x: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x:f>
        <x:v>2982.9437519309276</x:v>
      </x:c>
      <x:c r="AG43" t="n">
        <x:f>Scenario_Data!T43</x:f>
        <x:v>-39.480000000000004</x:v>
      </x:c>
      <x:c r="AH43" t="n">
        <x:f>2*(SQRT((Inputs!$C$52+(Scenario_Data!B43))^2+Inputs!$C$52^2-2*(Inputs!$C$52+(Scenario_Data!B43))*Inputs!$C$52*COS(SQRT((Scenario_Data!T43)^2+Inputs!$C$6^2)/Inputs!$C$52))*1000)/Inputs!$C$21*1000000</x:f>
        <x:v>2702.766769976195</x:v>
      </x:c>
      <x:c r="AI43" t="n">
        <x:f>Scenario_Data!U43</x:f>
        <x:v>-263.20000000000005</x:v>
      </x:c>
      <x:c r="AJ43" t="n">
        <x:f>2*(SQRT((Inputs!$C$52+(Scenario_Data!C43))^2+Inputs!$C$52^2-2*(Inputs!$C$52+(Scenario_Data!C43))*Inputs!$C$52*COS(SQRT((Scenario_Data!U43)^2+Inputs!$C$6^2)/Inputs!$C$52))*1000)/Inputs!$C$21*1000000</x:f>
        <x:v>2268.409463423141</x:v>
      </x:c>
      <x:c r="AK43" t="n">
        <x:f>Scenario_Data!V43</x:f>
        <x:v>-526.4000000000001</x:v>
      </x:c>
      <x:c r="AL43" t="n">
        <x:f>2*(SQRT((Inputs!$C$52+(Scenario_Data!D43))^2+Inputs!$C$52^2-2*(Inputs!$C$52+(Scenario_Data!D43))*Inputs!$C$52*COS(SQRT((Scenario_Data!V43)^2+Inputs!$C$6^2)/Inputs!$C$52))*1000)/Inputs!$C$21*1000000</x:f>
        <x:v>4992.059305723048</x:v>
      </x:c>
      <x:c r="AM43" t="n">
        <x:f>Scenario_Data!W43</x:f>
        <x:v>-526.4000000000001</x:v>
      </x:c>
      <x:c r="AN43" t="n">
        <x:f>2*(SQRT((Inputs!$C$52+(Scenario_Data!E43))^2+Inputs!$C$52^2-2*(Inputs!$C$52+(Scenario_Data!E43))*Inputs!$C$52*COS(SQRT((Scenario_Data!W43)^2+Inputs!$C$6^2)/Inputs!$C$52))*1000)/Inputs!$C$21*1000000</x:f>
        <x:v>4964.782008157169</x:v>
      </x:c>
      <x:c r="AP43" t="n">
        <x:f>Scenario_Data!T43</x:f>
        <x:v>-39.480000000000004</x:v>
      </x:c>
      <x:c r="AQ43" t="n">
        <x: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x:f>
        <x:v>2701.587502760221</x:v>
      </x:c>
      <x:c r="AR43" t="n">
        <x:f>Scenario_Data!U43</x:f>
        <x:v>-263.20000000000005</x:v>
      </x:c>
      <x:c r="AS43" t="n">
        <x: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x:f>
        <x:v>2267.7158327632287</x:v>
      </x:c>
      <x:c r="AT43" t="n">
        <x:f>Scenario_Data!V43</x:f>
        <x:v>-526.4000000000001</x:v>
      </x:c>
      <x:c r="AU43" t="n">
        <x: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x:f>
        <x:v>4991.755684834359</x:v>
      </x:c>
      <x:c r="AV43" t="n">
        <x:f>Scenario_Data!W43</x:f>
        <x:v>-526.4000000000001</x:v>
      </x:c>
      <x:c r="AW43" t="n">
        <x: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x:f>
        <x:v>4964.4815363744</x:v>
      </x:c>
    </x:row>
    <x:row r="44">
      <x:c r="A44" t="n">
        <x:f>Chart_Data!K44</x:f>
        <x:v>-39</x:v>
      </x:c>
      <x:c r="B44" t="n">
        <x:f>Chart_Data!N44-Chart_Data!L44</x:f>
        <x:v>30.101673250917116</x:v>
      </x:c>
      <x:c r="D44" t="n">
        <x:f>Chart_Data!G44</x:f>
        <x:v>-39</x:v>
      </x:c>
      <x:c r="E44" t="n">
        <x:f>Chart_Data!H44</x:f>
        <x:v>184.54420924136062</x:v>
      </x:c>
      <x:c r="F44" t="n">
        <x:f>Chart_Data!I44</x:f>
        <x:v>184.54420924136062</x:v>
      </x:c>
      <x:c r="G44" t="n">
        <x:f>Chart_Data!J44</x:f>
        <x:v>-32.02020136507765</x:v>
      </x:c>
      <x:c r="I44" t="n">
        <x:f>Scenario_Data!A44</x:f>
        <x:v>-0.65</x:v>
      </x:c>
      <x:c r="J44" t="n">
        <x:f>Scenario_Data!H44-(((SQRT((Inputs!$C$52+(Inputs!$H$6))^2+Inputs!$C$52^2-2*(Inputs!$C$52+(Inputs!$H$6))*Inputs!$C$52*COS(SQRT((Scenario_Data!T44)^2+Inputs!$C$6^2)/Inputs!$C$52)))-(Inputs!$H$6))*1000/Inputs!$C$12)</x:f>
        <x:v>-6.254485391421895</x:v>
      </x:c>
      <x:c r="K44" t="n">
        <x:f>Scenario_Data!I44-(((SQRT((Inputs!$C$52+(Inputs!$H$7))^2+Inputs!$C$52^2-2*(Inputs!$C$52+(Inputs!$H$7))*Inputs!$C$52*COS(SQRT((Scenario_Data!U44)^2+Inputs!$C$6^2)/Inputs!$C$52)))-(Inputs!$H$7))*1000/Inputs!$C$12)</x:f>
        <x:v>-48025.954152811115</x:v>
      </x:c>
      <x:c r="L44" t="n">
        <x:f>Scenario_Data!J44-(((SQRT((Inputs!$C$52+(Inputs!$H$8))^2+Inputs!$C$52^2-2*(Inputs!$C$52+(Inputs!$H$8))*Inputs!$C$52*COS(SQRT((Scenario_Data!V44)^2+Inputs!$C$6^2)/Inputs!$C$52)))-(Inputs!$H$8))*1000/Inputs!$C$12)</x:f>
        <x:v>-110976.85216755129</x:v>
      </x:c>
      <x:c r="M44" t="n">
        <x:f>Scenario_Data!K44-(((SQRT((Inputs!$C$52+(Inputs!$H$9))^2+Inputs!$C$52^2-2*(Inputs!$C$52+(Inputs!$H$9))*Inputs!$C$52*COS(SQRT((Scenario_Data!W44)^2+Inputs!$C$6^2)/Inputs!$C$52)))-(Inputs!$H$9))*1000/Inputs!$C$12)</x:f>
        <x:v>-114433.34492030981</x:v>
      </x:c>
      <x:c r="O44" t="n">
        <x:f>Scenario_Data!T44</x:f>
        <x:v>-39</x:v>
      </x:c>
      <x:c r="P44" t="n">
        <x:f>2*(Scenario_Data!B44*1000)/Inputs!$C$21*1000000</x:f>
        <x:v>2679.7872280029137</x:v>
      </x:c>
      <x:c r="Q44" t="n">
        <x:f>Scenario_Data!U44</x:f>
        <x:v>-260</x:v>
      </x:c>
      <x:c r="R44" t="n">
        <x:f>2*(Scenario_Data!C44*1000)/Inputs!$C$21*1000000</x:f>
        <x:v>1262.2899272536067</x:v>
      </x:c>
      <x:c r="S44" t="n">
        <x:f>Scenario_Data!V44</x:f>
        <x:v>-520</x:v>
      </x:c>
      <x:c r="T44" t="n">
        <x:f>2*(Scenario_Data!D44*1000)/Inputs!$C$21*1000000</x:f>
        <x:v>2953.459889908238</x:v>
      </x:c>
      <x:c r="U44" t="n">
        <x:f>Scenario_Data!W44</x:f>
        <x:v>-520</x:v>
      </x:c>
      <x:c r="V44" t="n">
        <x:f>2*(Scenario_Data!E44*1000)/Inputs!$C$21*1000000</x:f>
        <x:v>2914.9332369128515</x:v>
      </x:c>
      <x:c r="X44" t="n">
        <x:f>Scenario_Data!T44</x:f>
        <x:v>-39</x:v>
      </x:c>
      <x:c r="Y44" t="n">
        <x: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x:f>
        <x:v>2680.000843792842</x:v>
      </x:c>
      <x:c r="Z44" t="n">
        <x:f>Scenario_Data!U44</x:f>
        <x:v>-260</x:v>
      </x:c>
      <x:c r="AA44" t="n">
        <x: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x:f>
        <x:v>1262.192249150471</x:v>
      </x:c>
      <x:c r="AB44" t="n">
        <x:f>Scenario_Data!V44</x:f>
        <x:v>-520</x:v>
      </x:c>
      <x:c r="AC44" t="n">
        <x: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x:f>
        <x:v>2953.0454000908217</x:v>
      </x:c>
      <x:c r="AD44" t="n">
        <x:f>Scenario_Data!W44</x:f>
        <x:v>-520</x:v>
      </x:c>
      <x:c r="AE44" t="n">
        <x: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x:f>
        <x:v>2914.518747095435</x:v>
      </x:c>
      <x:c r="AG44" t="n">
        <x:f>Scenario_Data!T44</x:f>
        <x:v>-39</x:v>
      </x:c>
      <x:c r="AH44" t="n">
        <x:f>2*(SQRT((Inputs!$C$52+(Scenario_Data!B44))^2+Inputs!$C$52^2-2*(Inputs!$C$52+(Scenario_Data!B44))*Inputs!$C$52*COS(SQRT((Scenario_Data!T44)^2+Inputs!$C$6^2)/Inputs!$C$52))*1000)/Inputs!$C$21*1000000</x:f>
        <x:v>2702.0994114328023</x:v>
      </x:c>
      <x:c r="AI44" t="n">
        <x:f>Scenario_Data!U44</x:f>
        <x:v>-260</x:v>
      </x:c>
      <x:c r="AJ44" t="n">
        <x:f>2*(SQRT((Inputs!$C$52+(Scenario_Data!C44))^2+Inputs!$C$52^2-2*(Inputs!$C$52+(Scenario_Data!C44))*Inputs!$C$52*COS(SQRT((Scenario_Data!U44)^2+Inputs!$C$6^2)/Inputs!$C$52))*1000)/Inputs!$C$21*1000000</x:f>
        <x:v>2233.821564177517</x:v>
      </x:c>
      <x:c r="AK44" t="n">
        <x:f>Scenario_Data!V44</x:f>
        <x:v>-520</x:v>
      </x:c>
      <x:c r="AL44" t="n">
        <x:f>2*(SQRT((Inputs!$C$52+(Scenario_Data!D44))^2+Inputs!$C$52^2-2*(Inputs!$C$52+(Scenario_Data!D44))*Inputs!$C$52*COS(SQRT((Scenario_Data!V44)^2+Inputs!$C$6^2)/Inputs!$C$52))*1000)/Inputs!$C$21*1000000</x:f>
        <x:v>4905.459604666784</x:v>
      </x:c>
      <x:c r="AM44" t="n">
        <x:f>Scenario_Data!W44</x:f>
        <x:v>-520</x:v>
      </x:c>
      <x:c r="AN44" t="n">
        <x:f>2*(SQRT((Inputs!$C$52+(Scenario_Data!E44))^2+Inputs!$C$52^2-2*(Inputs!$C$52+(Scenario_Data!E44))*Inputs!$C$52*COS(SQRT((Scenario_Data!W44)^2+Inputs!$C$6^2)/Inputs!$C$52))*1000)/Inputs!$C$21*1000000</x:f>
        <x:v>4877.830054285296</x:v>
      </x:c>
      <x:c r="AP44" t="n">
        <x:f>Scenario_Data!T44</x:f>
        <x:v>-39</x:v>
      </x:c>
      <x:c r="AQ44" t="n">
        <x: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x:f>
        <x:v>2700.8810640310994</x:v>
      </x:c>
      <x:c r="AR44" t="n">
        <x:f>Scenario_Data!U44</x:f>
        <x:v>-260</x:v>
      </x:c>
      <x:c r="AS44" t="n">
        <x: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x:f>
        <x:v>2233.2466648870986</x:v>
      </x:c>
      <x:c r="AT44" t="n">
        <x:f>Scenario_Data!V44</x:f>
        <x:v>-520</x:v>
      </x:c>
      <x:c r="AU44" t="n">
        <x: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x:f>
        <x:v>4904.952222315528</x:v>
      </x:c>
      <x:c r="AV44" t="n">
        <x:f>Scenario_Data!W44</x:f>
        <x:v>-520</x:v>
      </x:c>
      <x:c r="AW44" t="n">
        <x: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x:f>
        <x:v>4877.328179359549</x:v>
      </x:c>
    </x:row>
    <x:row r="45">
      <x:c r="A45" t="n">
        <x:f>Chart_Data!K45</x:f>
        <x:v>-38.5</x:v>
      </x:c>
      <x:c r="B45" t="n">
        <x:f>Chart_Data!N45-Chart_Data!L45</x:f>
        <x:v>32.133994706628584</x:v>
      </x:c>
      <x:c r="D45" t="n">
        <x:f>Chart_Data!G45</x:f>
        <x:v>-38.5</x:v>
      </x:c>
      <x:c r="E45" t="n">
        <x:f>Chart_Data!H45</x:f>
        <x:v>211.63430992610967</x:v>
      </x:c>
      <x:c r="F45" t="n">
        <x:f>Chart_Data!I45</x:f>
        <x:v>211.63430992610967</x:v>
      </x:c>
      <x:c r="G45" t="n">
        <x:f>Chart_Data!J45</x:f>
        <x:v>-34.295384147954024</x:v>
      </x:c>
      <x:c r="I45" t="n">
        <x:f>Scenario_Data!A45</x:f>
        <x:v>-0.642</x:v>
      </x:c>
      <x:c r="J45" t="n">
        <x:f>Scenario_Data!H45-(((SQRT((Inputs!$C$52+(Inputs!$H$6))^2+Inputs!$C$52^2-2*(Inputs!$C$52+(Inputs!$H$6))*Inputs!$C$52*COS(SQRT((Scenario_Data!T45)^2+Inputs!$C$6^2)/Inputs!$C$52)))-(Inputs!$H$6))*1000/Inputs!$C$12)</x:f>
        <x:v>-5.997700776976217</x:v>
      </x:c>
      <x:c r="K45" t="n">
        <x:f>Scenario_Data!I45-(((SQRT((Inputs!$C$52+(Inputs!$H$7))^2+Inputs!$C$52^2-2*(Inputs!$C$52+(Inputs!$H$7))*Inputs!$C$52*COS(SQRT((Scenario_Data!U45)^2+Inputs!$C$6^2)/Inputs!$C$52)))-(Inputs!$H$7))*1000/Inputs!$C$12)</x:f>
        <x:v>-47010.236953450076</x:v>
      </x:c>
      <x:c r="L45" t="n">
        <x:f>Scenario_Data!J45-(((SQRT((Inputs!$C$52+(Inputs!$H$8))^2+Inputs!$C$52^2-2*(Inputs!$C$52+(Inputs!$H$8))*Inputs!$C$52*COS(SQRT((Scenario_Data!V45)^2+Inputs!$C$6^2)/Inputs!$C$52)))-(Inputs!$H$8))*1000/Inputs!$C$12)</x:f>
        <x:v>-109023.11773384287</x:v>
      </x:c>
      <x:c r="M45" t="n">
        <x:f>Scenario_Data!K45-(((SQRT((Inputs!$C$52+(Inputs!$H$9))^2+Inputs!$C$52^2-2*(Inputs!$C$52+(Inputs!$H$9))*Inputs!$C$52*COS(SQRT((Scenario_Data!W45)^2+Inputs!$C$6^2)/Inputs!$C$52)))-(Inputs!$H$9))*1000/Inputs!$C$12)</x:f>
        <x:v>-112457.35129337231</x:v>
      </x:c>
      <x:c r="O45" t="n">
        <x:f>Scenario_Data!T45</x:f>
        <x:v>-38.519999999999996</x:v>
      </x:c>
      <x:c r="P45" t="n">
        <x:f>2*(Scenario_Data!B45*1000)/Inputs!$C$21*1000000</x:f>
        <x:v>2679.5114105238763</x:v>
      </x:c>
      <x:c r="Q45" t="n">
        <x:f>Scenario_Data!U45</x:f>
        <x:v>-256.8</x:v>
      </x:c>
      <x:c r="R45" t="n">
        <x:f>2*(Scenario_Data!C45*1000)/Inputs!$C$21*1000000</x:f>
        <x:v>1237.1215822914398</x:v>
      </x:c>
      <x:c r="S45" t="n">
        <x:f>Scenario_Data!V45</x:f>
        <x:v>-513.6</x:v>
      </x:c>
      <x:c r="T45" t="n">
        <x:f>2*(Scenario_Data!D45*1000)/Inputs!$C$21*1000000</x:f>
        <x:v>2886.9189230904535</x:v>
      </x:c>
      <x:c r="U45" t="n">
        <x:f>Scenario_Data!W45</x:f>
        <x:v>-513.6</x:v>
      </x:c>
      <x:c r="V45" t="n">
        <x:f>2*(Scenario_Data!E45*1000)/Inputs!$C$21*1000000</x:f>
        <x:v>2847.7027263974737</x:v>
      </x:c>
      <x:c r="X45" t="n">
        <x:f>Scenario_Data!T45</x:f>
        <x:v>-38.519999999999996</x:v>
      </x:c>
      <x:c r="Y45" t="n">
        <x: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x:f>
        <x:v>2679.7722655199436</x:v>
      </x:c>
      <x:c r="Z45" t="n">
        <x:f>Scenario_Data!U45</x:f>
        <x:v>-256.8</x:v>
      </x:c>
      <x:c r="AA45" t="n">
        <x: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x:f>
        <x:v>1237.2988669437996</x:v>
      </x:c>
      <x:c r="AB45" t="n">
        <x:f>Scenario_Data!V45</x:f>
        <x:v>-513.6</x:v>
      </x:c>
      <x:c r="AC45" t="n">
        <x: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x:f>
        <x:v>2886.8093182607818</x:v>
      </x:c>
      <x:c r="AD45" t="n">
        <x:f>Scenario_Data!W45</x:f>
        <x:v>-513.6</x:v>
      </x:c>
      <x:c r="AE45" t="n">
        <x: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x:f>
        <x:v>2847.5931215678015</x:v>
      </x:c>
      <x:c r="AG45" t="n">
        <x:f>Scenario_Data!T45</x:f>
        <x:v>-38.519999999999996</x:v>
      </x:c>
      <x:c r="AH45" t="n">
        <x:f>2*(SQRT((Inputs!$C$52+(Scenario_Data!B45))^2+Inputs!$C$52^2-2*(Inputs!$C$52+(Scenario_Data!B45))*Inputs!$C$52*COS(SQRT((Scenario_Data!T45)^2+Inputs!$C$6^2)/Inputs!$C$52))*1000)/Inputs!$C$21*1000000</x:f>
        <x:v>2701.440098131209</x:v>
      </x:c>
      <x:c r="AI45" t="n">
        <x:f>Scenario_Data!U45</x:f>
        <x:v>-256.8</x:v>
      </x:c>
      <x:c r="AJ45" t="n">
        <x:f>2*(SQRT((Inputs!$C$52+(Scenario_Data!C45))^2+Inputs!$C$52^2-2*(Inputs!$C$52+(Scenario_Data!C45))*Inputs!$C$52*COS(SQRT((Scenario_Data!U45)^2+Inputs!$C$6^2)/Inputs!$C$52))*1000)/Inputs!$C$21*1000000</x:f>
        <x:v>2199.4914513372773</x:v>
      </x:c>
      <x:c r="AK45" t="n">
        <x:f>Scenario_Data!V45</x:f>
        <x:v>-513.6</x:v>
      </x:c>
      <x:c r="AL45" t="n">
        <x:f>2*(SQRT((Inputs!$C$52+(Scenario_Data!D45))^2+Inputs!$C$52^2-2*(Inputs!$C$52+(Scenario_Data!D45))*Inputs!$C$52*COS(SQRT((Scenario_Data!V45)^2+Inputs!$C$6^2)/Inputs!$C$52))*1000)/Inputs!$C$21*1000000</x:f>
        <x:v>4819.683887182145</x:v>
      </x:c>
      <x:c r="AM45" t="n">
        <x:f>Scenario_Data!W45</x:f>
        <x:v>-513.6</x:v>
      </x:c>
      <x:c r="AN45" t="n">
        <x:f>2*(SQRT((Inputs!$C$52+(Scenario_Data!E45))^2+Inputs!$C$52^2-2*(Inputs!$C$52+(Scenario_Data!E45))*Inputs!$C$52*COS(SQRT((Scenario_Data!W45)^2+Inputs!$C$6^2)/Inputs!$C$52))*1000)/Inputs!$C$21*1000000</x:f>
        <x:v>4791.715932694854</x:v>
      </x:c>
      <x:c r="AP45" t="n">
        <x:f>Scenario_Data!T45</x:f>
        <x:v>-38.519999999999996</x:v>
      </x:c>
      <x:c r="AQ45" t="n">
        <x: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x:f>
        <x:v>2700.0703913209777</x:v>
      </x:c>
      <x:c r="AR45" t="n">
        <x:f>Scenario_Data!U45</x:f>
        <x:v>-256.8</x:v>
      </x:c>
      <x:c r="AS45" t="n">
        <x: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x:f>
        <x:v>2199.1466378667237</x:v>
      </x:c>
      <x:c r="AT45" t="n">
        <x:f>Scenario_Data!V45</x:f>
        <x:v>-513.6</x:v>
      </x:c>
      <x:c r="AU45" t="n">
        <x: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x:f>
        <x:v>4819.191173047067</x:v>
      </x:c>
      <x:c r="AV45" t="n">
        <x:f>Scenario_Data!W45</x:f>
        <x:v>-513.6</x:v>
      </x:c>
      <x:c r="AW45" t="n">
        <x: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x:f>
        <x:v>4791.228813085901</x:v>
      </x:c>
    </x:row>
    <x:row r="46">
      <x:c r="A46" t="n">
        <x:f>Chart_Data!K46</x:f>
        <x:v>-38</x:v>
      </x:c>
      <x:c r="B46" t="n">
        <x:f>Chart_Data!N46-Chart_Data!L46</x:f>
        <x:v>19.12172334847037</x:v>
      </x:c>
      <x:c r="D46" t="n">
        <x:f>Chart_Data!G46</x:f>
        <x:v>-38</x:v>
      </x:c>
      <x:c r="E46" t="n">
        <x:f>Chart_Data!H46</x:f>
        <x:v>202.93658014849487</x:v>
      </x:c>
      <x:c r="F46" t="n">
        <x:f>Chart_Data!I46</x:f>
        <x:v>202.93658014849487</x:v>
      </x:c>
      <x:c r="G46" t="n">
        <x:f>Chart_Data!J46</x:f>
        <x:v>-21.15737906152213</x:v>
      </x:c>
      <x:c r="I46" t="n">
        <x:f>Scenario_Data!A46</x:f>
        <x:v>-0.633</x:v>
      </x:c>
      <x:c r="J46" t="n">
        <x:f>Scenario_Data!H46-(((SQRT((Inputs!$C$52+(Inputs!$H$6))^2+Inputs!$C$52^2-2*(Inputs!$C$52+(Inputs!$H$6))*Inputs!$C$52*COS(SQRT((Scenario_Data!T46)^2+Inputs!$C$6^2)/Inputs!$C$52)))-(Inputs!$H$6))*1000/Inputs!$C$12)</x:f>
        <x:v>-5.718636339065142</x:v>
      </x:c>
      <x:c r="K46" t="n">
        <x:f>Scenario_Data!I46-(((SQRT((Inputs!$C$52+(Inputs!$H$7))^2+Inputs!$C$52^2-2*(Inputs!$C$52+(Inputs!$H$7))*Inputs!$C$52*COS(SQRT((Scenario_Data!U46)^2+Inputs!$C$6^2)/Inputs!$C$52)))-(Inputs!$H$7))*1000/Inputs!$C$12)</x:f>
        <x:v>-45873.67978905515</x:v>
      </x:c>
      <x:c r="L46" t="n">
        <x:f>Scenario_Data!J46-(((SQRT((Inputs!$C$52+(Inputs!$H$8))^2+Inputs!$C$52^2-2*(Inputs!$C$52+(Inputs!$H$8))*Inputs!$C$52*COS(SQRT((Scenario_Data!V46)^2+Inputs!$C$6^2)/Inputs!$C$52)))-(Inputs!$H$8))*1000/Inputs!$C$12)</x:f>
        <x:v>-106824.4548063117</x:v>
      </x:c>
      <x:c r="M46" t="n">
        <x:f>Scenario_Data!K46-(((SQRT((Inputs!$C$52+(Inputs!$H$9))^2+Inputs!$C$52^2-2*(Inputs!$C$52+(Inputs!$H$9))*Inputs!$C$52*COS(SQRT((Scenario_Data!W46)^2+Inputs!$C$6^2)/Inputs!$C$52)))-(Inputs!$H$9))*1000/Inputs!$C$12)</x:f>
        <x:v>-110232.99428005796</x:v>
      </x:c>
      <x:c r="O46" t="n">
        <x:f>Scenario_Data!T46</x:f>
        <x:v>-37.980000000000004</x:v>
      </x:c>
      <x:c r="P46" t="n">
        <x:f>2*(Scenario_Data!B46*1000)/Inputs!$C$21*1000000</x:f>
        <x:v>2679.205198684485</x:v>
      </x:c>
      <x:c r="Q46" t="n">
        <x:f>Scenario_Data!U46</x:f>
        <x:v>-253.2</x:v>
      </x:c>
      <x:c r="R46" t="n">
        <x:f>2*(Scenario_Data!C46*1000)/Inputs!$C$21*1000000</x:f>
        <x:v>1209.1797519469287</x:v>
      </x:c>
      <x:c r="S46" t="n">
        <x:f>Scenario_Data!V46</x:f>
        <x:v>-506.4</x:v>
      </x:c>
      <x:c r="T46" t="n">
        <x:f>2*(Scenario_Data!D46*1000)/Inputs!$C$21*1000000</x:f>
        <x:v>2813.045316837157</x:v>
      </x:c>
      <x:c r="U46" t="n">
        <x:f>Scenario_Data!W46</x:f>
        <x:v>-506.4</x:v>
      </x:c>
      <x:c r="V46" t="n">
        <x:f>2*(Scenario_Data!E46*1000)/Inputs!$C$21*1000000</x:f>
        <x:v>2773.063590545697</x:v>
      </x:c>
      <x:c r="X46" t="n">
        <x:f>Scenario_Data!T46</x:f>
        <x:v>-37.980000000000004</x:v>
      </x:c>
      <x:c r="Y46" t="n">
        <x: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x:f>
        <x:v>2679.480044723954</x:v>
      </x:c>
      <x:c r="Z46" t="n">
        <x:f>Scenario_Data!U46</x:f>
        <x:v>-253.2</x:v>
      </x:c>
      <x:c r="AA46" t="n">
        <x: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x:f>
        <x:v>1209.275771725714</x:v>
      </x:c>
      <x:c r="AB46" t="n">
        <x:f>Scenario_Data!V46</x:f>
        <x:v>-506.4</x:v>
      </x:c>
      <x:c r="AC46" t="n">
        <x: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x:f>
        <x:v>2813.212575155435</x:v>
      </x:c>
      <x:c r="AD46" t="n">
        <x:f>Scenario_Data!W46</x:f>
        <x:v>-506.4</x:v>
      </x:c>
      <x:c r="AE46" t="n">
        <x: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x:f>
        <x:v>2773.230848863975</x:v>
      </x:c>
      <x:c r="AG46" t="n">
        <x:f>Scenario_Data!T46</x:f>
        <x:v>-37.980000000000004</x:v>
      </x:c>
      <x:c r="AH46" t="n">
        <x:f>2*(SQRT((Inputs!$C$52+(Scenario_Data!B46))^2+Inputs!$C$52^2-2*(Inputs!$C$52+(Scenario_Data!B46))*Inputs!$C$52*COS(SQRT((Scenario_Data!T46)^2+Inputs!$C$6^2)/Inputs!$C$52))*1000)/Inputs!$C$21*1000000</x:f>
        <x:v>2700.7079925706203</x:v>
      </x:c>
      <x:c r="AI46" t="n">
        <x:f>Scenario_Data!U46</x:f>
        <x:v>-253.2</x:v>
      </x:c>
      <x:c r="AJ46" t="n">
        <x:f>2*(SQRT((Inputs!$C$52+(Scenario_Data!C46))^2+Inputs!$C$52^2-2*(Inputs!$C$52+(Scenario_Data!C46))*Inputs!$C$52*COS(SQRT((Scenario_Data!U46)^2+Inputs!$C$6^2)/Inputs!$C$52))*1000)/Inputs!$C$21*1000000</x:f>
        <x:v>2161.1762766414804</x:v>
      </x:c>
      <x:c r="AK46" t="n">
        <x:f>Scenario_Data!V46</x:f>
        <x:v>-506.4</x:v>
      </x:c>
      <x:c r="AL46" t="n">
        <x:f>2*(SQRT((Inputs!$C$52+(Scenario_Data!D46))^2+Inputs!$C$52^2-2*(Inputs!$C$52+(Scenario_Data!D46))*Inputs!$C$52*COS(SQRT((Scenario_Data!V46)^2+Inputs!$C$6^2)/Inputs!$C$52))*1000)/Inputs!$C$21*1000000</x:f>
        <x:v>4724.166723978402</x:v>
      </x:c>
      <x:c r="AM46" t="n">
        <x:f>Scenario_Data!W46</x:f>
        <x:v>-506.4</x:v>
      </x:c>
      <x:c r="AN46" t="n">
        <x:f>2*(SQRT((Inputs!$C$52+(Scenario_Data!E46))^2+Inputs!$C$52^2-2*(Inputs!$C$52+(Scenario_Data!E46))*Inputs!$C$52*COS(SQRT((Scenario_Data!W46)^2+Inputs!$C$6^2)/Inputs!$C$52))*1000)/Inputs!$C$21*1000000</x:f>
        <x:v>4695.834666007484</x:v>
      </x:c>
      <x:c r="AP46" t="n">
        <x:f>Scenario_Data!T46</x:f>
        <x:v>-37.980000000000004</x:v>
      </x:c>
      <x:c r="AQ46" t="n">
        <x: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x:f>
        <x:v>2699.2430908261645</x:v>
      </x:c>
      <x:c r="AR46" t="n">
        <x:f>Scenario_Data!U46</x:f>
        <x:v>-253.2</x:v>
      </x:c>
      <x:c r="AS46" t="n">
        <x: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x:f>
        <x:v>2160.851579664378</x:v>
      </x:c>
      <x:c r="AT46" t="n">
        <x:f>Scenario_Data!V46</x:f>
        <x:v>-506.4</x:v>
      </x:c>
      <x:c r="AU46" t="n">
        <x: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x:f>
        <x:v>4723.98050134968</x:v>
      </x:c>
      <x:c r="AV46" t="n">
        <x:f>Scenario_Data!W46</x:f>
        <x:v>-506.4</x:v>
      </x:c>
      <x:c r="AW46" t="n">
        <x: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x:f>
        <x:v>4695.650666460148</x:v>
      </x:c>
    </x:row>
    <x:row r="47">
      <x:c r="A47" t="n">
        <x:f>Chart_Data!K47</x:f>
        <x:v>-37.5</x:v>
      </x:c>
      <x:c r="B47" t="n">
        <x:f>Chart_Data!N47-Chart_Data!L47</x:f>
        <x:v>16.33682565185896</x:v>
      </x:c>
      <x:c r="D47" t="n">
        <x:f>Chart_Data!G47</x:f>
        <x:v>-37.5</x:v>
      </x:c>
      <x:c r="E47" t="n">
        <x:f>Chart_Data!H47</x:f>
        <x:v>239.1871485288169</x:v>
      </x:c>
      <x:c r="F47" t="n">
        <x:f>Chart_Data!I47</x:f>
        <x:v>239.1871485288169</x:v>
      </x:c>
      <x:c r="G47" t="n">
        <x:f>Chart_Data!J47</x:f>
        <x:v>-18.69341167436205</x:v>
      </x:c>
      <x:c r="I47" t="n">
        <x:f>Scenario_Data!A47</x:f>
        <x:v>-0.625</x:v>
      </x:c>
      <x:c r="J47" t="n">
        <x:f>Scenario_Data!H47-(((SQRT((Inputs!$C$52+(Inputs!$H$6))^2+Inputs!$C$52^2-2*(Inputs!$C$52+(Inputs!$H$6))*Inputs!$C$52*COS(SQRT((Scenario_Data!T47)^2+Inputs!$C$6^2)/Inputs!$C$52)))-(Inputs!$H$6))*1000/Inputs!$C$12)</x:f>
        <x:v>-5.479103372775171</x:v>
      </x:c>
      <x:c r="K47" t="n">
        <x:f>Scenario_Data!I47-(((SQRT((Inputs!$C$52+(Inputs!$H$7))^2+Inputs!$C$52^2-2*(Inputs!$C$52+(Inputs!$H$7))*Inputs!$C$52*COS(SQRT((Scenario_Data!U47)^2+Inputs!$C$6^2)/Inputs!$C$52)))-(Inputs!$H$7))*1000/Inputs!$C$12)</x:f>
        <x:v>-44869.024435891464</x:v>
      </x:c>
      <x:c r="L47" t="n">
        <x:f>Scenario_Data!J47-(((SQRT((Inputs!$C$52+(Inputs!$H$8))^2+Inputs!$C$52^2-2*(Inputs!$C$52+(Inputs!$H$8))*Inputs!$C$52*COS(SQRT((Scenario_Data!V47)^2+Inputs!$C$6^2)/Inputs!$C$52)))-(Inputs!$H$8))*1000/Inputs!$C$12)</x:f>
        <x:v>-104869.82387216578</x:v>
      </x:c>
      <x:c r="M47" t="n">
        <x:f>Scenario_Data!K47-(((SQRT((Inputs!$C$52+(Inputs!$H$9))^2+Inputs!$C$52^2-2*(Inputs!$C$52+(Inputs!$H$9))*Inputs!$C$52*COS(SQRT((Scenario_Data!W47)^2+Inputs!$C$6^2)/Inputs!$C$52)))-(Inputs!$H$9))*1000/Inputs!$C$12)</x:f>
        <x:v>-108254.93665267841</x:v>
      </x:c>
      <x:c r="O47" t="n">
        <x:f>Scenario_Data!T47</x:f>
        <x:v>-37.5</x:v>
      </x:c>
      <x:c r="P47" t="n">
        <x:f>2*(Scenario_Data!B47*1000)/Inputs!$C$21*1000000</x:f>
        <x:v>2678.9366395601587</x:v>
      </x:c>
      <x:c r="Q47" t="n">
        <x:f>Scenario_Data!U47</x:f>
        <x:v>-250</x:v>
      </x:c>
      <x:c r="R47" t="n">
        <x:f>2*(Scenario_Data!C47*1000)/Inputs!$C$21*1000000</x:f>
        <x:v>1184.6737318521868</x:v>
      </x:c>
      <x:c r="S47" t="n">
        <x:f>Scenario_Data!V47</x:f>
        <x:v>-500</x:v>
      </x:c>
      <x:c r="T47" t="n">
        <x:f>2*(Scenario_Data!D47*1000)/Inputs!$C$21*1000000</x:f>
        <x:v>2748.2554280935246</x:v>
      </x:c>
      <x:c r="U47" t="n">
        <x:f>Scenario_Data!W47</x:f>
        <x:v>-500</x:v>
      </x:c>
      <x:c r="V47" t="n">
        <x:f>2*(Scenario_Data!E47*1000)/Inputs!$C$21*1000000</x:f>
        <x:v>2707.6023039912498</x:v>
      </x:c>
      <x:c r="X47" t="n">
        <x:f>Scenario_Data!T47</x:f>
        <x:v>-37.5</x:v>
      </x:c>
      <x:c r="Y47" t="n">
        <x: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x:f>
        <x:v>2679.061348579185</x:v>
      </x:c>
      <x:c r="Z47" t="n">
        <x:f>Scenario_Data!U47</x:f>
        <x:v>-250</x:v>
      </x:c>
      <x:c r="AA47" t="n">
        <x: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x:f>
        <x:v>1184.3076782731637</x:v>
      </x:c>
      <x:c r="AB47" t="n">
        <x:f>Scenario_Data!V47</x:f>
        <x:v>-500</x:v>
      </x:c>
      <x:c r="AC47" t="n">
        <x: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x:f>
        <x:v>2747.97840059239</x:v>
      </x:c>
      <x:c r="AD47" t="n">
        <x:f>Scenario_Data!W47</x:f>
        <x:v>-500</x:v>
      </x:c>
      <x:c r="AE47" t="n">
        <x: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x:f>
        <x:v>2707.325276490115</x:v>
      </x:c>
      <x:c r="AG47" t="n">
        <x:f>Scenario_Data!T47</x:f>
        <x:v>-37.5</x:v>
      </x:c>
      <x:c r="AH47" t="n">
        <x:f>2*(SQRT((Inputs!$C$52+(Scenario_Data!B47))^2+Inputs!$C$52^2-2*(Inputs!$C$52+(Scenario_Data!B47))*Inputs!$C$52*COS(SQRT((Scenario_Data!T47)^2+Inputs!$C$6^2)/Inputs!$C$52))*1000)/Inputs!$C$21*1000000</x:f>
        <x:v>2700.065789554835</x:v>
      </x:c>
      <x:c r="AI47" t="n">
        <x:f>Scenario_Data!U47</x:f>
        <x:v>-250</x:v>
      </x:c>
      <x:c r="AJ47" t="n">
        <x:f>2*(SQRT((Inputs!$C$52+(Scenario_Data!C47))^2+Inputs!$C$52^2-2*(Inputs!$C$52+(Scenario_Data!C47))*Inputs!$C$52*COS(SQRT((Scenario_Data!U47)^2+Inputs!$C$6^2)/Inputs!$C$52))*1000)/Inputs!$C$21*1000000</x:f>
        <x:v>2127.3887833117165</x:v>
      </x:c>
      <x:c r="AK47" t="n">
        <x:f>Scenario_Data!V47</x:f>
        <x:v>-500</x:v>
      </x:c>
      <x:c r="AL47" t="n">
        <x:f>2*(SQRT((Inputs!$C$52+(Scenario_Data!D47))^2+Inputs!$C$52^2-2*(Inputs!$C$52+(Scenario_Data!D47))*Inputs!$C$52*COS(SQRT((Scenario_Data!V47)^2+Inputs!$C$6^2)/Inputs!$C$52))*1000)/Inputs!$C$21*1000000</x:f>
        <x:v>4640.130126474501</x:v>
      </x:c>
      <x:c r="AM47" t="n">
        <x:f>Scenario_Data!W47</x:f>
        <x:v>-500</x:v>
      </x:c>
      <x:c r="AN47" t="n">
        <x:f>2*(SQRT((Inputs!$C$52+(Scenario_Data!E47))^2+Inputs!$C$52^2-2*(Inputs!$C$52+(Scenario_Data!E47))*Inputs!$C$52*COS(SQRT((Scenario_Data!W47)^2+Inputs!$C$6^2)/Inputs!$C$52))*1000)/Inputs!$C$21*1000000</x:f>
        <x:v>4611.489216623593</x:v>
      </x:c>
      <x:c r="AP47" t="n">
        <x:f>Scenario_Data!T47</x:f>
        <x:v>-37.5</x:v>
      </x:c>
      <x:c r="AQ47" t="n">
        <x: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x:f>
        <x:v>2698.4858261088816</x:v>
      </x:c>
      <x:c r="AR47" t="n">
        <x:f>Scenario_Data!U47</x:f>
        <x:v>-250</x:v>
      </x:c>
      <x:c r="AS47" t="n">
        <x: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x:f>
        <x:v>2126.7530364399495</x:v>
      </x:c>
      <x:c r="AT47" t="n">
        <x:f>Scenario_Data!V47</x:f>
        <x:v>-500</x:v>
      </x:c>
      <x:c r="AU47" t="n">
        <x: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x:f>
        <x:v>4639.4759832506</x:v>
      </x:c>
      <x:c r="AV47" t="n">
        <x:f>Scenario_Data!W47</x:f>
        <x:v>-500</x:v>
      </x:c>
      <x:c r="AW47" t="n">
        <x: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x:f>
        <x:v>4610.84324098783</x:v>
      </x:c>
    </x:row>
    <x:row r="48">
      <x:c r="A48" t="n">
        <x:f>Chart_Data!K48</x:f>
        <x:v>-37</x:v>
      </x:c>
      <x:c r="B48" t="n">
        <x:f>Chart_Data!N48-Chart_Data!L48</x:f>
        <x:v>23.552479750778133</x:v>
      </x:c>
      <x:c r="D48" t="n">
        <x:f>Chart_Data!G48</x:f>
        <x:v>-37</x:v>
      </x:c>
      <x:c r="E48" t="n">
        <x:f>Chart_Data!H48</x:f>
        <x:v>236.18872035541293</x:v>
      </x:c>
      <x:c r="F48" t="n">
        <x:f>Chart_Data!I48</x:f>
        <x:v>236.18872035541293</x:v>
      </x:c>
      <x:c r="G48" t="n">
        <x:f>Chart_Data!J48</x:f>
        <x:v>-25.83766278531854</x:v>
      </x:c>
      <x:c r="I48" t="n">
        <x:f>Scenario_Data!A48</x:f>
        <x:v>-0.617</x:v>
      </x:c>
      <x:c r="J48" t="n">
        <x:f>Scenario_Data!H48-(((SQRT((Inputs!$C$52+(Inputs!$H$6))^2+Inputs!$C$52^2-2*(Inputs!$C$52+(Inputs!$H$6))*Inputs!$C$52*COS(SQRT((Scenario_Data!T48)^2+Inputs!$C$6^2)/Inputs!$C$52)))-(Inputs!$H$6))*1000/Inputs!$C$12)</x:f>
        <x:v>-5.247404357237883</x:v>
      </x:c>
      <x:c r="K48" t="n">
        <x:f>Scenario_Data!I48-(((SQRT((Inputs!$C$52+(Inputs!$H$7))^2+Inputs!$C$52^2-2*(Inputs!$C$52+(Inputs!$H$7))*Inputs!$C$52*COS(SQRT((Scenario_Data!U48)^2+Inputs!$C$6^2)/Inputs!$C$52)))-(Inputs!$H$7))*1000/Inputs!$C$12)</x:f>
        <x:v>-43869.822519638255</x:v>
      </x:c>
      <x:c r="L48" t="n">
        <x:f>Scenario_Data!J48-(((SQRT((Inputs!$C$52+(Inputs!$H$8))^2+Inputs!$C$52^2-2*(Inputs!$C$52+(Inputs!$H$8))*Inputs!$C$52*COS(SQRT((Scenario_Data!V48)^2+Inputs!$C$6^2)/Inputs!$C$52)))-(Inputs!$H$8))*1000/Inputs!$C$12)</x:f>
        <x:v>-102915.30156679498</x:v>
      </x:c>
      <x:c r="M48" t="n">
        <x:f>Scenario_Data!K48-(((SQRT((Inputs!$C$52+(Inputs!$H$9))^2+Inputs!$C$52^2-2*(Inputs!$C$52+(Inputs!$H$9))*Inputs!$C$52*COS(SQRT((Scenario_Data!W48)^2+Inputs!$C$6^2)/Inputs!$C$52)))-(Inputs!$H$9))*1000/Inputs!$C$12)</x:f>
        <x:v>-106276.4277099809</x:v>
      </x:c>
      <x:c r="O48" t="n">
        <x:f>Scenario_Data!T48</x:f>
        <x:v>-37.019999999999996</x:v>
      </x:c>
      <x:c r="P48" t="n">
        <x:f>2*(Scenario_Data!B48*1000)/Inputs!$C$21*1000000</x:f>
        <x:v>2678.6714961321677</x:v>
      </x:c>
      <x:c r="Q48" t="n">
        <x:f>Scenario_Data!U48</x:f>
        <x:v>-246.8</x:v>
      </x:c>
      <x:c r="R48" t="n">
        <x:f>2*(Scenario_Data!C48*1000)/Inputs!$C$21*1000000</x:f>
        <x:v>1160.4793940479983</x:v>
      </x:c>
      <x:c r="S48" t="n">
        <x:f>Scenario_Data!V48</x:f>
        <x:v>-493.6</x:v>
      </x:c>
      <x:c r="T48" t="n">
        <x:f>2*(Scenario_Data!D48*1000)/Inputs!$C$21*1000000</x:f>
        <x:v>2684.2895760906704</x:v>
      </x:c>
      <x:c r="U48" t="n">
        <x:f>Scenario_Data!W48</x:f>
        <x:v>-493.6</x:v>
      </x:c>
      <x:c r="V48" t="n">
        <x:f>2*(Scenario_Data!E48*1000)/Inputs!$C$21*1000000</x:f>
        <x:v>2642.9735934184177</x:v>
      </x:c>
      <x:c r="X48" t="n">
        <x:f>Scenario_Data!T48</x:f>
        <x:v>-37.019999999999996</x:v>
      </x:c>
      <x:c r="Y48" t="n">
        <x: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x:f>
        <x:v>2678.852471688513</x:v>
      </x:c>
      <x:c r="Z48" t="n">
        <x:f>Scenario_Data!U48</x:f>
        <x:v>-246.8</x:v>
      </x:c>
      <x:c r="AA48" t="n">
        <x: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x:f>
        <x:v>1160.1745172754654</x:v>
      </x:c>
      <x:c r="AB48" t="n">
        <x:f>Scenario_Data!V48</x:f>
        <x:v>-493.6</x:v>
      </x:c>
      <x:c r="AC48" t="n">
        <x: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x:f>
        <x:v>2684.529948367152</x:v>
      </x:c>
      <x:c r="AD48" t="n">
        <x:f>Scenario_Data!W48</x:f>
        <x:v>-493.6</x:v>
      </x:c>
      <x:c r="AE48" t="n">
        <x: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x:f>
        <x:v>2643.2139656948993</x:v>
      </x:c>
      <x:c r="AG48" t="n">
        <x:f>Scenario_Data!T48</x:f>
        <x:v>-37.019999999999996</x:v>
      </x:c>
      <x:c r="AH48" t="n">
        <x:f>2*(SQRT((Inputs!$C$52+(Scenario_Data!B48))^2+Inputs!$C$52^2-2*(Inputs!$C$52+(Scenario_Data!B48))*Inputs!$C$52*COS(SQRT((Scenario_Data!T48)^2+Inputs!$C$6^2)/Inputs!$C$52))*1000)/Inputs!$C$21*1000000</x:f>
        <x:v>2699.43164499259</x:v>
      </x:c>
      <x:c r="AI48" t="n">
        <x:f>Scenario_Data!U48</x:f>
        <x:v>-246.8</x:v>
      </x:c>
      <x:c r="AJ48" t="n">
        <x:f>2*(SQRT((Inputs!$C$52+(Scenario_Data!C48))^2+Inputs!$C$52^2-2*(Inputs!$C$52+(Scenario_Data!C48))*Inputs!$C$52*COS(SQRT((Scenario_Data!U48)^2+Inputs!$C$6^2)/Inputs!$C$52))*1000)/Inputs!$C$21*1000000</x:f>
        <x:v>2093.8541637603007</x:v>
      </x:c>
      <x:c r="AK48" t="n">
        <x:f>Scenario_Data!V48</x:f>
        <x:v>-493.6</x:v>
      </x:c>
      <x:c r="AL48" t="n">
        <x:f>2*(SQRT((Inputs!$C$52+(Scenario_Data!D48))^2+Inputs!$C$52^2-2*(Inputs!$C$52+(Scenario_Data!D48))*Inputs!$C$52*COS(SQRT((Scenario_Data!V48)^2+Inputs!$C$6^2)/Inputs!$C$52))*1000)/Inputs!$C$21*1000000</x:f>
        <x:v>4556.9061458124115</x:v>
      </x:c>
      <x:c r="AM48" t="n">
        <x:f>Scenario_Data!W48</x:f>
        <x:v>-493.6</x:v>
      </x:c>
      <x:c r="AN48" t="n">
        <x:f>2*(SQRT((Inputs!$C$52+(Scenario_Data!E48))^2+Inputs!$C$52^2-2*(Inputs!$C$52+(Scenario_Data!E48))*Inputs!$C$52*COS(SQRT((Scenario_Data!W48)^2+Inputs!$C$6^2)/Inputs!$C$52))*1000)/Inputs!$C$21*1000000</x:f>
        <x:v>4527.970342892097</x:v>
      </x:c>
      <x:c r="AP48" t="n">
        <x:f>Scenario_Data!T48</x:f>
        <x:v>-37.019999999999996</x:v>
      </x:c>
      <x:c r="AQ48" t="n">
        <x: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x:f>
        <x:v>2697.912683127855</x:v>
      </x:c>
      <x:c r="AR48" t="n">
        <x:f>Scenario_Data!U48</x:f>
        <x:v>-246.8</x:v>
      </x:c>
      <x:c r="AS48" t="n">
        <x: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x:f>
        <x:v>2093.169629426536</x:v>
      </x:c>
      <x:c r="AT48" t="n">
        <x:f>Scenario_Data!V48</x:f>
        <x:v>-493.6</x:v>
      </x:c>
      <x:c r="AU48" t="n">
        <x: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x:f>
        <x:v>4556.60858333567</x:v>
      </x:c>
      <x:c r="AV48" t="n">
        <x:f>Scenario_Data!W48</x:f>
        <x:v>-493.6</x:v>
      </x:c>
      <x:c r="AW48" t="n">
        <x: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x:f>
        <x:v>4527.676662769074</x:v>
      </x:c>
    </x:row>
    <x:row r="49">
      <x:c r="A49" t="n">
        <x:f>Chart_Data!K49</x:f>
        <x:v>-36.5</x:v>
      </x:c>
      <x:c r="B49" t="n">
        <x:f>Chart_Data!N49-Chart_Data!L49</x:f>
        <x:v>19.03166123894414</x:v>
      </x:c>
      <x:c r="D49" t="n">
        <x:f>Chart_Data!G49</x:f>
        <x:v>-36.5</x:v>
      </x:c>
      <x:c r="E49" t="n">
        <x:f>Chart_Data!H49</x:f>
        <x:v>264.8535608975177</x:v>
      </x:c>
      <x:c r="F49" t="n">
        <x:f>Chart_Data!I49</x:f>
        <x:v>264.8535608975177</x:v>
      </x:c>
      <x:c r="G49" t="n">
        <x:f>Chart_Data!J49</x:f>
        <x:v>-21.548035323184823</x:v>
      </x:c>
      <x:c r="I49" t="n">
        <x:f>Scenario_Data!A49</x:f>
        <x:v>-0.608</x:v>
      </x:c>
      <x:c r="J49" t="n">
        <x:f>Scenario_Data!H49-(((SQRT((Inputs!$C$52+(Inputs!$H$6))^2+Inputs!$C$52^2-2*(Inputs!$C$52+(Inputs!$H$6))*Inputs!$C$52*COS(SQRT((Scenario_Data!T49)^2+Inputs!$C$6^2)/Inputs!$C$52)))-(Inputs!$H$6))*1000/Inputs!$C$12)</x:f>
        <x:v>-4.995883813084447</x:v>
      </x:c>
      <x:c r="K49" t="n">
        <x:f>Scenario_Data!I49-(((SQRT((Inputs!$C$52+(Inputs!$H$7))^2+Inputs!$C$52^2-2*(Inputs!$C$52+(Inputs!$H$7))*Inputs!$C$52*COS(SQRT((Scenario_Data!U49)^2+Inputs!$C$6^2)/Inputs!$C$52)))-(Inputs!$H$7))*1000/Inputs!$C$12)</x:f>
        <x:v>-42752.44120550476</x:v>
      </x:c>
      <x:c r="L49" t="n">
        <x:f>Scenario_Data!J49-(((SQRT((Inputs!$C$52+(Inputs!$H$8))^2+Inputs!$C$52^2-2*(Inputs!$C$52+(Inputs!$H$8))*Inputs!$C$52*COS(SQRT((Scenario_Data!V49)^2+Inputs!$C$6^2)/Inputs!$C$52)))-(Inputs!$H$8))*1000/Inputs!$C$12)</x:f>
        <x:v>-100717.03311684405</x:v>
      </x:c>
      <x:c r="M49" t="n">
        <x:f>Scenario_Data!K49-(((SQRT((Inputs!$C$52+(Inputs!$H$9))^2+Inputs!$C$52^2-2*(Inputs!$C$52+(Inputs!$H$9))*Inputs!$C$52*COS(SQRT((Scenario_Data!W49)^2+Inputs!$C$6^2)/Inputs!$C$52)))-(Inputs!$H$9))*1000/Inputs!$C$12)</x:f>
        <x:v>-104050.49672552577</x:v>
      </x:c>
      <x:c r="O49" t="n">
        <x:f>Scenario_Data!T49</x:f>
        <x:v>-36.480000000000004</x:v>
      </x:c>
      <x:c r="P49" t="n">
        <x:f>2*(Scenario_Data!B49*1000)/Inputs!$C$21*1000000</x:f>
        <x:v>2678.377292600203</x:v>
      </x:c>
      <x:c r="Q49" t="n">
        <x:f>Scenario_Data!U49</x:f>
        <x:v>-243.2</x:v>
      </x:c>
      <x:c r="R49" t="n">
        <x:f>2*(Scenario_Data!C49*1000)/Inputs!$C$21*1000000</x:f>
        <x:v>1133.633321756213</x:v>
      </x:c>
      <x:c r="S49" t="n">
        <x:f>Scenario_Data!V49</x:f>
        <x:v>-486.4</x:v>
      </x:c>
      <x:c r="T49" t="n">
        <x:f>2*(Scenario_Data!D49*1000)/Inputs!$C$21*1000000</x:f>
        <x:v>2613.312974004169</x:v>
      </x:c>
      <x:c r="U49" t="n">
        <x:f>Scenario_Data!W49</x:f>
        <x:v>-486.4</x:v>
      </x:c>
      <x:c r="V49" t="n">
        <x:f>2*(Scenario_Data!E49*1000)/Inputs!$C$21*1000000</x:f>
        <x:v>2571.2614825020046</x:v>
      </x:c>
      <x:c r="X49" t="n">
        <x:f>Scenario_Data!T49</x:f>
        <x:v>-36.480000000000004</x:v>
      </x:c>
      <x:c r="Y49" t="n">
        <x: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x:f>
        <x:v>2678.5467573407996</x:v>
      </x:c>
      <x:c r="Z49" t="n">
        <x:f>Scenario_Data!U49</x:f>
        <x:v>-243.2</x:v>
      </x:c>
      <x:c r="AA49" t="n">
        <x: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x:f>
        <x:v>1133.8318204369273</x:v>
      </x:c>
      <x:c r="AB49" t="n">
        <x:f>Scenario_Data!V49</x:f>
        <x:v>-486.4</x:v>
      </x:c>
      <x:c r="AC49" t="n">
        <x: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x:f>
        <x:v>2613.1887828674326</x:v>
      </x:c>
      <x:c r="AD49" t="n">
        <x:f>Scenario_Data!W49</x:f>
        <x:v>-486.4</x:v>
      </x:c>
      <x:c r="AE49" t="n">
        <x: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x:f>
        <x:v>2571.137291365268</x:v>
      </x:c>
      <x:c r="AG49" t="n">
        <x:f>Scenario_Data!T49</x:f>
        <x:v>-36.480000000000004</x:v>
      </x:c>
      <x:c r="AH49" t="n">
        <x:f>2*(SQRT((Inputs!$C$52+(Scenario_Data!B49))^2+Inputs!$C$52^2-2*(Inputs!$C$52+(Scenario_Data!B49))*Inputs!$C$52*COS(SQRT((Scenario_Data!T49)^2+Inputs!$C$6^2)/Inputs!$C$52))*1000)/Inputs!$C$21*1000000</x:f>
        <x:v>2698.7278698689106</x:v>
      </x:c>
      <x:c r="AI49" t="n">
        <x:f>Scenario_Data!U49</x:f>
        <x:v>-243.2</x:v>
      </x:c>
      <x:c r="AJ49" t="n">
        <x:f>2*(SQRT((Inputs!$C$52+(Scenario_Data!C49))^2+Inputs!$C$52^2-2*(Inputs!$C$52+(Scenario_Data!C49))*Inputs!$C$52*COS(SQRT((Scenario_Data!U49)^2+Inputs!$C$6^2)/Inputs!$C$52))*1000)/Inputs!$C$21*1000000</x:f>
        <x:v>2056.427974395935</x:v>
      </x:c>
      <x:c r="AK49" t="n">
        <x:f>Scenario_Data!V49</x:f>
        <x:v>-486.4</x:v>
      </x:c>
      <x:c r="AL49" t="n">
        <x:f>2*(SQRT((Inputs!$C$52+(Scenario_Data!D49))^2+Inputs!$C$52^2-2*(Inputs!$C$52+(Scenario_Data!D49))*Inputs!$C$52*COS(SQRT((Scenario_Data!V49)^2+Inputs!$C$6^2)/Inputs!$C$52))*1000)/Inputs!$C$21*1000000</x:f>
        <x:v>4464.245699599919</x:v>
      </x:c>
      <x:c r="AM49" t="n">
        <x:f>Scenario_Data!W49</x:f>
        <x:v>-486.4</x:v>
      </x:c>
      <x:c r="AN49" t="n">
        <x:f>2*(SQRT((Inputs!$C$52+(Scenario_Data!E49))^2+Inputs!$C$52^2-2*(Inputs!$C$52+(Scenario_Data!E49))*Inputs!$C$52*COS(SQRT((Scenario_Data!W49)^2+Inputs!$C$6^2)/Inputs!$C$52))*1000)/Inputs!$C$21*1000000</x:f>
        <x:v>4434.994862669753</x:v>
      </x:c>
      <x:c r="AP49" t="n">
        <x:f>Scenario_Data!T49</x:f>
        <x:v>-36.480000000000004</x:v>
      </x:c>
      <x:c r="AQ49" t="n">
        <x: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x:f>
        <x:v>2697.0681163678028</x:v>
      </x:c>
      <x:c r="AR49" t="n">
        <x:f>Scenario_Data!U49</x:f>
        <x:v>-243.2</x:v>
      </x:c>
      <x:c r="AS49" t="n">
        <x: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x:f>
        <x:v>2056.0497159682136</x:v>
      </x:c>
      <x:c r="AT49" t="n">
        <x:f>Scenario_Data!V49</x:f>
        <x:v>-486.4</x:v>
      </x:c>
      <x:c r="AU49" t="n">
        <x: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x:f>
        <x:v>4463.78426007426</x:v>
      </x:c>
      <x:c r="AV49" t="n">
        <x:f>Scenario_Data!W49</x:f>
        <x:v>-486.4</x:v>
      </x:c>
      <x:c r="AW49" t="n">
        <x: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x:f>
        <x:v>4434.539750557736</x:v>
      </x:c>
    </x:row>
    <x:row r="50">
      <x:c r="A50" t="n">
        <x:f>Chart_Data!K50</x:f>
        <x:v>-36</x:v>
      </x:c>
      <x:c r="B50" t="n">
        <x:f>Chart_Data!N50-Chart_Data!L50</x:f>
        <x:v>-0.2623218193104435</x:v>
      </x:c>
      <x:c r="D50" t="n">
        <x:f>Chart_Data!G50</x:f>
        <x:v>-36</x:v>
      </x:c>
      <x:c r="E50" t="n">
        <x:f>Chart_Data!H50</x:f>
        <x:v>273.24610443212225</x:v>
      </x:c>
      <x:c r="F50" t="n">
        <x:f>Chart_Data!I50</x:f>
        <x:v>273.24610443212225</x:v>
      </x:c>
      <x:c r="G50" t="n">
        <x:f>Chart_Data!J50</x:f>
        <x:v>-2.286662206392558</x:v>
      </x:c>
      <x:c r="I50" t="n">
        <x:f>Scenario_Data!A50</x:f>
        <x:v>-0.6</x:v>
      </x:c>
      <x:c r="J50" t="n">
        <x:f>Scenario_Data!H50-(((SQRT((Inputs!$C$52+(Inputs!$H$6))^2+Inputs!$C$52^2-2*(Inputs!$C$52+(Inputs!$H$6))*Inputs!$C$52*COS(SQRT((Scenario_Data!T50)^2+Inputs!$C$6^2)/Inputs!$C$52)))-(Inputs!$H$6))*1000/Inputs!$C$12)</x:f>
        <x:v>-4.780239127223922</x:v>
      </x:c>
      <x:c r="K50" t="n">
        <x:f>Scenario_Data!I50-(((SQRT((Inputs!$C$52+(Inputs!$H$7))^2+Inputs!$C$52^2-2*(Inputs!$C$52+(Inputs!$H$7))*Inputs!$C$52*COS(SQRT((Scenario_Data!U50)^2+Inputs!$C$6^2)/Inputs!$C$52)))-(Inputs!$H$7))*1000/Inputs!$C$12)</x:f>
        <x:v>-41765.370410184376</x:v>
      </x:c>
      <x:c r="L50" t="n">
        <x:f>Scenario_Data!J50-(((SQRT((Inputs!$C$52+(Inputs!$H$8))^2+Inputs!$C$52^2-2*(Inputs!$C$52+(Inputs!$H$8))*Inputs!$C$52*COS(SQRT((Scenario_Data!V50)^2+Inputs!$C$6^2)/Inputs!$C$52)))-(Inputs!$H$8))*1000/Inputs!$C$12)</x:f>
        <x:v>-98763.92423983713</x:v>
      </x:c>
      <x:c r="M50" t="n">
        <x:f>Scenario_Data!K50-(((SQRT((Inputs!$C$52+(Inputs!$H$9))^2+Inputs!$C$52^2-2*(Inputs!$C$52+(Inputs!$H$9))*Inputs!$C$52*COS(SQRT((Scenario_Data!W50)^2+Inputs!$C$6^2)/Inputs!$C$52)))-(Inputs!$H$9))*1000/Inputs!$C$12)</x:f>
        <x:v>-102072.18940950758</x:v>
      </x:c>
      <x:c r="O50" t="n">
        <x:f>Scenario_Data!T50</x:f>
        <x:v>-36</x:v>
      </x:c>
      <x:c r="P50" t="n">
        <x:f>2*(Scenario_Data!B50*1000)/Inputs!$C$21*1000000</x:f>
        <x:v>2678.119407526923</x:v>
      </x:c>
      <x:c r="Q50" t="n">
        <x:f>Scenario_Data!U50</x:f>
        <x:v>-240</x:v>
      </x:c>
      <x:c r="R50" t="n">
        <x:f>2*(Scenario_Data!C50*1000)/Inputs!$C$21*1000000</x:f>
        <x:v>1110.1013088194502</x:v>
      </x:c>
      <x:c r="S50" t="n">
        <x:f>Scenario_Data!V50</x:f>
        <x:v>-480</x:v>
      </x:c>
      <x:c r="T50" t="n">
        <x:f>2*(Scenario_Data!D50*1000)/Inputs!$C$21*1000000</x:f>
        <x:v>2551.098200075467</x:v>
      </x:c>
      <x:c r="U50" t="n">
        <x:f>Scenario_Data!W50</x:f>
        <x:v>-480</x:v>
      </x:c>
      <x:c r="V50" t="n">
        <x:f>2*(Scenario_Data!E50*1000)/Inputs!$C$21*1000000</x:f>
        <x:v>2508.4019958901035</x:v>
      </x:c>
      <x:c r="X50" t="n">
        <x:f>Scenario_Data!T50</x:f>
        <x:v>-36</x:v>
      </x:c>
      <x:c r="Y50" t="n">
        <x: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x:f>
        <x:v>2678.134662495121</x:v>
      </x:c>
      <x:c r="Z50" t="n">
        <x:f>Scenario_Data!U50</x:f>
        <x:v>-240</x:v>
      </x:c>
      <x:c r="AA50" t="n">
        <x: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x:f>
        <x:v>1110.4114575267997</x:v>
      </x:c>
      <x:c r="AB50" t="n">
        <x:f>Scenario_Data!V50</x:f>
        <x:v>-480</x:v>
      </x:c>
      <x:c r="AC50" t="n">
        <x: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x:f>
        <x:v>2550.8882906400845</x:v>
      </x:c>
      <x:c r="AD50" t="n">
        <x:f>Scenario_Data!W50</x:f>
        <x:v>-480</x:v>
      </x:c>
      <x:c r="AE50" t="n">
        <x: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x:f>
        <x:v>2508.192086454721</x:v>
      </x:c>
      <x:c r="AG50" t="n">
        <x:f>Scenario_Data!T50</x:f>
        <x:v>-36</x:v>
      </x:c>
      <x:c r="AH50" t="n">
        <x:f>2*(SQRT((Inputs!$C$52+(Scenario_Data!B50))^2+Inputs!$C$52^2-2*(Inputs!$C$52+(Scenario_Data!B50))*Inputs!$C$52*COS(SQRT((Scenario_Data!T50)^2+Inputs!$C$6^2)/Inputs!$C$52))*1000)/Inputs!$C$21*1000000</x:f>
        <x:v>2698.110863168117</x:v>
      </x:c>
      <x:c r="AI50" t="n">
        <x:f>Scenario_Data!U50</x:f>
        <x:v>-240</x:v>
      </x:c>
      <x:c r="AJ50" t="n">
        <x:f>2*(SQRT((Inputs!$C$52+(Scenario_Data!C50))^2+Inputs!$C$52^2-2*(Inputs!$C$52+(Scenario_Data!C50))*Inputs!$C$52*COS(SQRT((Scenario_Data!U50)^2+Inputs!$C$6^2)/Inputs!$C$52))*1000)/Inputs!$C$21*1000000</x:f>
        <x:v>2023.4253433638573</x:v>
      </x:c>
      <x:c r="AK50" t="n">
        <x:f>Scenario_Data!V50</x:f>
        <x:v>-480</x:v>
      </x:c>
      <x:c r="AL50" t="n">
        <x:f>2*(SQRT((Inputs!$C$52+(Scenario_Data!D50))^2+Inputs!$C$52^2-2*(Inputs!$C$52+(Scenario_Data!D50))*Inputs!$C$52*COS(SQRT((Scenario_Data!V50)^2+Inputs!$C$6^2)/Inputs!$C$52))*1000)/Inputs!$C$21*1000000</x:f>
        <x:v>4382.735609610576</x:v>
      </x:c>
      <x:c r="AM50" t="n">
        <x:f>Scenario_Data!W50</x:f>
        <x:v>-480</x:v>
      </x:c>
      <x:c r="AN50" t="n">
        <x:f>2*(SQRT((Inputs!$C$52+(Scenario_Data!E50))^2+Inputs!$C$52^2-2*(Inputs!$C$52+(Scenario_Data!E50))*Inputs!$C$52*COS(SQRT((Scenario_Data!W50)^2+Inputs!$C$6^2)/Inputs!$C$52))*1000)/Inputs!$C$21*1000000</x:f>
        <x:v>4353.219632675859</x:v>
      </x:c>
      <x:c r="AP50" t="n">
        <x:f>Scenario_Data!T50</x:f>
        <x:v>-36</x:v>
      </x:c>
      <x:c r="AQ50" t="n">
        <x: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x:f>
        <x:v>2696.3049663672955</x:v>
      </x:c>
      <x:c r="AR50" t="n">
        <x:f>Scenario_Data!U50</x:f>
        <x:v>-240</x:v>
      </x:c>
      <x:c r="AS50" t="n">
        <x: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x:f>
        <x:v>2023.202170567554</x:v>
      </x:c>
      <x:c r="AT50" t="n">
        <x:f>Scenario_Data!V50</x:f>
        <x:v>-480</x:v>
      </x:c>
      <x:c r="AU50" t="n">
        <x: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x:f>
        <x:v>4382.161216077137</x:v>
      </x:c>
      <x:c r="AV50" t="n">
        <x:f>Scenario_Data!W50</x:f>
        <x:v>-480</x:v>
      </x:c>
      <x:c r="AW50" t="n">
        <x: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x:f>
        <x:v>4352.65346960581</x:v>
      </x:c>
    </x:row>
    <x:row r="51">
      <x:c r="A51" t="n">
        <x:f>Chart_Data!K51</x:f>
        <x:v>-35.5</x:v>
      </x:c>
      <x:c r="B51" t="n">
        <x:f>Chart_Data!N51-Chart_Data!L51</x:f>
        <x:v>-1.9757328740745947</x:v>
      </x:c>
      <x:c r="D51" t="n">
        <x:f>Chart_Data!G51</x:f>
        <x:v>-35.5</x:v>
      </x:c>
      <x:c r="E51" t="n">
        <x:f>Chart_Data!H51</x:f>
        <x:v>284.9525044867838</x:v>
      </x:c>
      <x:c r="F51" t="n">
        <x:f>Chart_Data!I51</x:f>
        <x:v>284.9525044867838</x:v>
      </x:c>
      <x:c r="G51" t="n">
        <x:f>Chart_Data!J51</x:f>
        <x:v>-0.6339718611461809</x:v>
      </x:c>
      <x:c r="I51" t="n">
        <x:f>Scenario_Data!A51</x:f>
        <x:v>-0.592</x:v>
      </x:c>
      <x:c r="J51" t="n">
        <x:f>Scenario_Data!H51-(((SQRT((Inputs!$C$52+(Inputs!$H$6))^2+Inputs!$C$52^2-2*(Inputs!$C$52+(Inputs!$H$6))*Inputs!$C$52*COS(SQRT((Scenario_Data!T51)^2+Inputs!$C$6^2)/Inputs!$C$52)))-(Inputs!$H$6))*1000/Inputs!$C$12)</x:f>
        <x:v>-4.571874809995052</x:v>
      </x:c>
      <x:c r="K51" t="n">
        <x:f>Scenario_Data!I51-(((SQRT((Inputs!$C$52+(Inputs!$H$7))^2+Inputs!$C$52^2-2*(Inputs!$C$52+(Inputs!$H$7))*Inputs!$C$52*COS(SQRT((Scenario_Data!U51)^2+Inputs!$C$6^2)/Inputs!$C$52)))-(Inputs!$H$7))*1000/Inputs!$C$12)</x:f>
        <x:v>-40784.26967339727</x:v>
      </x:c>
      <x:c r="L51" t="n">
        <x:f>Scenario_Data!J51-(((SQRT((Inputs!$C$52+(Inputs!$H$8))^2+Inputs!$C$52^2-2*(Inputs!$C$52+(Inputs!$H$8))*Inputs!$C$52*COS(SQRT((Scenario_Data!V51)^2+Inputs!$C$6^2)/Inputs!$C$52)))-(Inputs!$H$8))*1000/Inputs!$C$12)</x:f>
        <x:v>-96812.05822906003</x:v>
      </x:c>
      <x:c r="M51" t="n">
        <x:f>Scenario_Data!K51-(((SQRT((Inputs!$C$52+(Inputs!$H$9))^2+Inputs!$C$52^2-2*(Inputs!$C$52+(Inputs!$H$9))*Inputs!$C$52*COS(SQRT((Scenario_Data!W51)^2+Inputs!$C$6^2)/Inputs!$C$52)))-(Inputs!$H$9))*1000/Inputs!$C$12)</x:f>
        <x:v>-100094.54459469678</x:v>
      </x:c>
      <x:c r="O51" t="n">
        <x:f>Scenario_Data!T51</x:f>
        <x:v>-35.519999999999996</x:v>
      </x:c>
      <x:c r="P51" t="n">
        <x:f>2*(Scenario_Data!B51*1000)/Inputs!$C$21*1000000</x:f>
        <x:v>2677.8649381499786</x:v>
      </x:c>
      <x:c r="Q51" t="n">
        <x:f>Scenario_Data!U51</x:f>
        <x:v>-236.79999999999998</x:v>
      </x:c>
      <x:c r="R51" t="n">
        <x:f>2*(Scenario_Data!C51*1000)/Inputs!$C$21*1000000</x:f>
        <x:v>1086.88097817324</x:v>
      </x:c>
      <x:c r="S51" t="n">
        <x:f>Scenario_Data!V51</x:f>
        <x:v>-473.59999999999997</x:v>
      </x:c>
      <x:c r="T51" t="n">
        <x:f>2*(Scenario_Data!D51*1000)/Inputs!$C$21*1000000</x:f>
        <x:v>2489.7074628875416</x:v>
      </x:c>
      <x:c r="U51" t="n">
        <x:f>Scenario_Data!W51</x:f>
        <x:v>-473.59999999999997</x:v>
      </x:c>
      <x:c r="V51" t="n">
        <x:f>2*(Scenario_Data!E51*1000)/Inputs!$C$21*1000000</x:f>
        <x:v>2446.3750852598164</x:v>
      </x:c>
      <x:c r="X51" t="n">
        <x:f>Scenario_Data!T51</x:f>
        <x:v>-35.519999999999996</x:v>
      </x:c>
      <x:c r="Y51" t="n">
        <x: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x:f>
        <x:v>2677.8312038609492</x:v>
      </x:c>
      <x:c r="Z51" t="n">
        <x:f>Scenario_Data!U51</x:f>
        <x:v>-236.79999999999998</x:v>
      </x:c>
      <x:c r="AA51" t="n">
        <x: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x:f>
        <x:v>1086.8427303999088</x:v>
      </x:c>
      <x:c r="AB51" t="n">
        <x:f>Scenario_Data!V51</x:f>
        <x:v>-473.59999999999997</x:v>
      </x:c>
      <x:c r="AC51" t="n">
        <x: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x:f>
        <x:v>2489.739262947348</x:v>
      </x:c>
      <x:c r="AD51" t="n">
        <x:f>Scenario_Data!W51</x:f>
        <x:v>-473.59999999999997</x:v>
      </x:c>
      <x:c r="AE51" t="n">
        <x: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x:f>
        <x:v>2446.4068853196227</x:v>
      </x:c>
      <x:c r="AG51" t="n">
        <x:f>Scenario_Data!T51</x:f>
        <x:v>-35.519999999999996</x:v>
      </x:c>
      <x:c r="AH51" t="n">
        <x:f>2*(SQRT((Inputs!$C$52+(Scenario_Data!B51))^2+Inputs!$C$52^2-2*(Inputs!$C$52+(Scenario_Data!B51))*Inputs!$C$52*COS(SQRT((Scenario_Data!T51)^2+Inputs!$C$6^2)/Inputs!$C$52))*1000)/Inputs!$C$21*1000000</x:f>
        <x:v>2697.5019276614603</x:v>
      </x:c>
      <x:c r="AI51" t="n">
        <x:f>Scenario_Data!U51</x:f>
        <x:v>-236.79999999999998</x:v>
      </x:c>
      <x:c r="AJ51" t="n">
        <x:f>2*(SQRT((Inputs!$C$52+(Scenario_Data!C51))^2+Inputs!$C$52^2-2*(Inputs!$C$52+(Scenario_Data!C51))*Inputs!$C$52*COS(SQRT((Scenario_Data!U51)^2+Inputs!$C$6^2)/Inputs!$C$52))*1000)/Inputs!$C$21*1000000</x:f>
        <x:v>1990.6704964522148</x:v>
      </x:c>
      <x:c r="AK51" t="n">
        <x:f>Scenario_Data!V51</x:f>
        <x:v>-473.59999999999997</x:v>
      </x:c>
      <x:c r="AL51" t="n">
        <x:f>2*(SQRT((Inputs!$C$52+(Scenario_Data!D51))^2+Inputs!$C$52^2-2*(Inputs!$C$52+(Scenario_Data!D51))*Inputs!$C$52*COS(SQRT((Scenario_Data!V51)^2+Inputs!$C$6^2)/Inputs!$C$52))*1000)/Inputs!$C$21*1000000</x:f>
        <x:v>4302.025742951585</x:v>
      </x:c>
      <x:c r="AM51" t="n">
        <x:f>Scenario_Data!W51</x:f>
        <x:v>-473.59999999999997</x:v>
      </x:c>
      <x:c r="AN51" t="n">
        <x:f>2*(SQRT((Inputs!$C$52+(Scenario_Data!E51))^2+Inputs!$C$52^2-2*(Inputs!$C$52+(Scenario_Data!E51))*Inputs!$C$52*COS(SQRT((Scenario_Data!W51)^2+Inputs!$C$6^2)/Inputs!$C$52))*1000)/Inputs!$C$21*1000000</x:f>
        <x:v>4272.2586618025425</x:v>
      </x:c>
      <x:c r="AP51" t="n">
        <x:f>Scenario_Data!T51</x:f>
        <x:v>-35.519999999999996</x:v>
      </x:c>
      <x:c r="AQ51" t="n">
        <x: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x:f>
        <x:v>2695.6592976495863</x:v>
      </x:c>
      <x:c r="AR51" t="n">
        <x:f>Scenario_Data!U51</x:f>
        <x:v>-236.79999999999998</x:v>
      </x:c>
      <x:c r="AS51" t="n">
        <x: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x:f>
        <x:v>1990.4033581092428</x:v>
      </x:c>
      <x:c r="AT51" t="n">
        <x:f>Scenario_Data!V51</x:f>
        <x:v>-473.59999999999997</x:v>
      </x:c>
      <x:c r="AU51" t="n">
        <x: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x:f>
        <x:v>4301.685868120516</x:v>
      </x:c>
      <x:c r="AV51" t="n">
        <x:f>Scenario_Data!W51</x:f>
        <x:v>-473.59999999999997</x:v>
      </x:c>
      <x:c r="AW51" t="n">
        <x: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x:f>
        <x:v>4271.923873594473</x:v>
      </x:c>
    </x:row>
    <x:row r="52">
      <x:c r="A52" t="n">
        <x:f>Chart_Data!K52</x:f>
        <x:v>-35</x:v>
      </x:c>
      <x:c r="B52" t="n">
        <x:f>Chart_Data!N52-Chart_Data!L52</x:f>
        <x:v>7.184875005217862</x:v>
      </x:c>
      <x:c r="D52" t="n">
        <x:f>Chart_Data!G52</x:f>
        <x:v>-35</x:v>
      </x:c>
      <x:c r="E52" t="n">
        <x:f>Chart_Data!H52</x:f>
        <x:v>280.71344003946786</x:v>
      </x:c>
      <x:c r="F52" t="n">
        <x:f>Chart_Data!I52</x:f>
        <x:v>280.71344003946786</x:v>
      </x:c>
      <x:c r="G52" t="n">
        <x:f>Chart_Data!J52</x:f>
        <x:v>-9.708529731781153</x:v>
      </x:c>
      <x:c r="I52" t="n">
        <x:f>Scenario_Data!A52</x:f>
        <x:v>-0.583</x:v>
      </x:c>
      <x:c r="J52" t="n">
        <x:f>Scenario_Data!H52-(((SQRT((Inputs!$C$52+(Inputs!$H$6))^2+Inputs!$C$52^2-2*(Inputs!$C$52+(Inputs!$H$6))*Inputs!$C$52*COS(SQRT((Scenario_Data!T52)^2+Inputs!$C$6^2)/Inputs!$C$52)))-(Inputs!$H$6))*1000/Inputs!$C$12)</x:f>
        <x:v>-4.3459520128728855</x:v>
      </x:c>
      <x:c r="K52" t="n">
        <x:f>Scenario_Data!I52-(((SQRT((Inputs!$C$52+(Inputs!$H$7))^2+Inputs!$C$52^2-2*(Inputs!$C$52+(Inputs!$H$7))*Inputs!$C$52*COS(SQRT((Scenario_Data!U52)^2+Inputs!$C$6^2)/Inputs!$C$52)))-(Inputs!$H$7))*1000/Inputs!$C$12)</x:f>
        <x:v>-39687.88058628065</x:v>
      </x:c>
      <x:c r="L52" t="n">
        <x:f>Scenario_Data!J52-(((SQRT((Inputs!$C$52+(Inputs!$H$8))^2+Inputs!$C$52^2-2*(Inputs!$C$52+(Inputs!$H$8))*Inputs!$C$52*COS(SQRT((Scenario_Data!V52)^2+Inputs!$C$6^2)/Inputs!$C$52)))-(Inputs!$H$8))*1000/Inputs!$C$12)</x:f>
        <x:v>-94618.1727807392</x:v>
      </x:c>
      <x:c r="M52" t="n">
        <x:f>Scenario_Data!K52-(((SQRT((Inputs!$C$52+(Inputs!$H$9))^2+Inputs!$C$52^2-2*(Inputs!$C$52+(Inputs!$H$9))*Inputs!$C$52*COS(SQRT((Scenario_Data!W52)^2+Inputs!$C$6^2)/Inputs!$C$52)))-(Inputs!$H$9))*1000/Inputs!$C$12)</x:f>
        <x:v>-97870.95642178808</x:v>
      </x:c>
      <x:c r="O52" t="n">
        <x:f>Scenario_Data!T52</x:f>
        <x:v>-34.98</x:v>
      </x:c>
      <x:c r="P52" t="n">
        <x:f>2*(Scenario_Data!B52*1000)/Inputs!$C$21*1000000</x:f>
        <x:v>2677.582742925441</x:v>
      </x:c>
      <x:c r="Q52" t="n">
        <x:f>Scenario_Data!U52</x:f>
        <x:v>-233.2</x:v>
      </x:c>
      <x:c r="R52" t="n">
        <x:f>2*(Scenario_Data!C52*1000)/Inputs!$C$21*1000000</x:f>
        <x:v>1061.1306639341806</x:v>
      </x:c>
      <x:c r="S52" t="n">
        <x:f>Scenario_Data!V52</x:f>
        <x:v>-466.4</x:v>
      </x:c>
      <x:c r="T52" t="n">
        <x:f>2*(Scenario_Data!D52*1000)/Inputs!$C$21*1000000</x:f>
        <x:v>2421.627864967837</x:v>
      </x:c>
      <x:c r="U52" t="n">
        <x:f>Scenario_Data!W52</x:f>
        <x:v>-466.4</x:v>
      </x:c>
      <x:c r="V52" t="n">
        <x:f>2*(Scenario_Data!E52*1000)/Inputs!$C$21*1000000</x:f>
        <x:v>2377.5899992787677</x:v>
      </x:c>
      <x:c r="X52" t="n">
        <x:f>Scenario_Data!T52</x:f>
        <x:v>-34.98</x:v>
      </x:c>
      <x:c r="Y52" t="n">
        <x: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x:f>
        <x:v>2677.591373027257</x:v>
      </x:c>
      <x:c r="Z52" t="n">
        <x:f>Scenario_Data!U52</x:f>
        <x:v>-233.2</x:v>
      </x:c>
      <x:c r="AA52" t="n">
        <x: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x:f>
        <x:v>1061.12543171678</x:v>
      </x:c>
      <x:c r="AB52" t="n">
        <x:f>Scenario_Data!V52</x:f>
        <x:v>-466.4</x:v>
      </x:c>
      <x:c r="AC52" t="n">
        <x: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x:f>
        <x:v>2421.203933680219</x:v>
      </x:c>
      <x:c r="AD52" t="n">
        <x:f>Scenario_Data!W52</x:f>
        <x:v>-466.4</x:v>
      </x:c>
      <x:c r="AE52" t="n">
        <x: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x:f>
        <x:v>2377.1660679911497</x:v>
      </x:c>
      <x:c r="AG52" t="n">
        <x:f>Scenario_Data!T52</x:f>
        <x:v>-34.98</x:v>
      </x:c>
      <x:c r="AH52" t="n">
        <x:f>2*(SQRT((Inputs!$C$52+(Scenario_Data!B52))^2+Inputs!$C$52^2-2*(Inputs!$C$52+(Scenario_Data!B52))*Inputs!$C$52*COS(SQRT((Scenario_Data!T52)^2+Inputs!$C$6^2)/Inputs!$C$52))*1000)/Inputs!$C$21*1000000</x:f>
        <x:v>2696.8265277651735</x:v>
      </x:c>
      <x:c r="AI52" t="n">
        <x:f>Scenario_Data!U52</x:f>
        <x:v>-233.2</x:v>
      </x:c>
      <x:c r="AJ52" t="n">
        <x:f>2*(SQRT((Inputs!$C$52+(Scenario_Data!C52))^2+Inputs!$C$52^2-2*(Inputs!$C$52+(Scenario_Data!C52))*Inputs!$C$52*COS(SQRT((Scenario_Data!U52)^2+Inputs!$C$6^2)/Inputs!$C$52))*1000)/Inputs!$C$21*1000000</x:f>
        <x:v>1954.1154016181265</x:v>
      </x:c>
      <x:c r="AK52" t="n">
        <x:f>Scenario_Data!V52</x:f>
        <x:v>-466.4</x:v>
      </x:c>
      <x:c r="AL52" t="n">
        <x:f>2*(SQRT((Inputs!$C$52+(Scenario_Data!D52))^2+Inputs!$C$52^2-2*(Inputs!$C$52+(Scenario_Data!D52))*Inputs!$C$52*COS(SQRT((Scenario_Data!V52)^2+Inputs!$C$6^2)/Inputs!$C$52))*1000)/Inputs!$C$21*1000000</x:f>
        <x:v>4212.178433547609</x:v>
      </x:c>
      <x:c r="AM52" t="n">
        <x:f>Scenario_Data!W52</x:f>
        <x:v>-466.4</x:v>
      </x:c>
      <x:c r="AN52" t="n">
        <x:f>2*(SQRT((Inputs!$C$52+(Scenario_Data!E52))^2+Inputs!$C$52^2-2*(Inputs!$C$52+(Scenario_Data!E52))*Inputs!$C$52*COS(SQRT((Scenario_Data!W52)^2+Inputs!$C$6^2)/Inputs!$C$52))*1000)/Inputs!$C$21*1000000</x:f>
        <x:v>4182.145657173544</x:v>
      </x:c>
      <x:c r="AP52" t="n">
        <x:f>Scenario_Data!T52</x:f>
        <x:v>-34.98</x:v>
      </x:c>
      <x:c r="AQ52" t="n">
        <x: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x:f>
        <x:v>2694.899956964054</x:v>
      </x:c>
      <x:c r="AR52" t="n">
        <x:f>Scenario_Data!U52</x:f>
        <x:v>-233.2</x:v>
      </x:c>
      <x:c r="AS52" t="n">
        <x: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x:f>
        <x:v>1953.6477907064188</x:v>
      </x:c>
      <x:c r="AT52" t="n">
        <x:f>Scenario_Data!V52</x:f>
        <x:v>-466.4</x:v>
      </x:c>
      <x:c r="AU52" t="n">
        <x: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x:f>
        <x:v>4211.604469769382</x:v>
      </x:c>
      <x:c r="AV52" t="n">
        <x:f>Scenario_Data!W52</x:f>
        <x:v>-466.4</x:v>
      </x:c>
      <x:c r="AW52" t="n">
        <x: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x:f>
        <x:v>4181.580717076413</x:v>
      </x:c>
    </x:row>
    <x:row r="53">
      <x:c r="A53" t="n">
        <x:f>Chart_Data!K53</x:f>
        <x:v>-34.5</x:v>
      </x:c>
      <x:c r="B53" t="n">
        <x:f>Chart_Data!N53-Chart_Data!L53</x:f>
        <x:v>7.068156756665303</x:v>
      </x:c>
      <x:c r="D53" t="n">
        <x:f>Chart_Data!G53</x:f>
        <x:v>-34.5</x:v>
      </x:c>
      <x:c r="E53" t="n">
        <x:f>Chart_Data!H53</x:f>
        <x:v>316.314878049505</x:v>
      </x:c>
      <x:c r="F53" t="n">
        <x:f>Chart_Data!I53</x:f>
        <x:v>316.314878049505</x:v>
      </x:c>
      <x:c r="G53" t="n">
        <x:f>Chart_Data!J53</x:f>
        <x:v>-9.85965082687293</x:v>
      </x:c>
      <x:c r="I53" t="n">
        <x:f>Scenario_Data!A53</x:f>
        <x:v>-0.575</x:v>
      </x:c>
      <x:c r="J53" t="n">
        <x:f>Scenario_Data!H53-(((SQRT((Inputs!$C$52+(Inputs!$H$6))^2+Inputs!$C$52^2-2*(Inputs!$C$52+(Inputs!$H$6))*Inputs!$C$52*COS(SQRT((Scenario_Data!T53)^2+Inputs!$C$6^2)/Inputs!$C$52)))-(Inputs!$H$6))*1000/Inputs!$C$12)</x:f>
        <x:v>-4.152486814658005</x:v>
      </x:c>
      <x:c r="K53" t="n">
        <x:f>Scenario_Data!I53-(((SQRT((Inputs!$C$52+(Inputs!$H$7))^2+Inputs!$C$52^2-2*(Inputs!$C$52+(Inputs!$H$7))*Inputs!$C$52*COS(SQRT((Scenario_Data!U53)^2+Inputs!$C$6^2)/Inputs!$C$52)))-(Inputs!$H$7))*1000/Inputs!$C$12)</x:f>
        <x:v>-38720.03790348412</x:v>
      </x:c>
      <x:c r="L53" t="n">
        <x:f>Scenario_Data!J53-(((SQRT((Inputs!$C$52+(Inputs!$H$8))^2+Inputs!$C$52^2-2*(Inputs!$C$52+(Inputs!$H$8))*Inputs!$C$52*COS(SQRT((Scenario_Data!V53)^2+Inputs!$C$6^2)/Inputs!$C$52)))-(Inputs!$H$8))*1000/Inputs!$C$12)</x:f>
        <x:v>-92670.23504071141</x:v>
      </x:c>
      <x:c r="M53" t="n">
        <x:f>Scenario_Data!K53-(((SQRT((Inputs!$C$52+(Inputs!$H$9))^2+Inputs!$C$52^2-2*(Inputs!$C$52+(Inputs!$H$9))*Inputs!$C$52*COS(SQRT((Scenario_Data!W53)^2+Inputs!$C$6^2)/Inputs!$C$52)))-(Inputs!$H$9))*1000/Inputs!$C$12)</x:f>
        <x:v>-95895.98581265062</x:v>
      </x:c>
      <x:c r="O53" t="n">
        <x:f>Scenario_Data!T53</x:f>
        <x:v>-34.5</x:v>
      </x:c>
      <x:c r="P53" t="n">
        <x:f>2*(Scenario_Data!B53*1000)/Inputs!$C$21*1000000</x:f>
        <x:v>2677.3355319032075</x:v>
      </x:c>
      <x:c r="Q53" t="n">
        <x:f>Scenario_Data!U53</x:f>
        <x:v>-229.99999999999997</x:v>
      </x:c>
      <x:c r="R53" t="n">
        <x:f>2*(Scenario_Data!C53*1000)/Inputs!$C$21*1000000</x:f>
        <x:v>1038.572658155396</x:v>
      </x:c>
      <x:c r="S53" t="n">
        <x:f>Scenario_Data!V53</x:f>
        <x:v>-459.99999999999994</x:v>
      </x:c>
      <x:c r="T53" t="n">
        <x:f>2*(Scenario_Data!D53*1000)/Inputs!$C$21*1000000</x:f>
        <x:v>2361.988205854064</x:v>
      </x:c>
      <x:c r="U53" t="n">
        <x:f>Scenario_Data!W53</x:f>
        <x:v>-459.99999999999994</x:v>
      </x:c>
      <x:c r="V53" t="n">
        <x:f>2*(Scenario_Data!E53*1000)/Inputs!$C$21*1000000</x:f>
        <x:v>2317.3323126094115</x:v>
      </x:c>
      <x:c r="X53" t="n">
        <x:f>Scenario_Data!T53</x:f>
        <x:v>-34.5</x:v>
      </x:c>
      <x:c r="Y53" t="n">
        <x: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x:f>
        <x:v>2677.4013084133485</x:v>
      </x:c>
      <x:c r="Z53" t="n">
        <x:f>Scenario_Data!U53</x:f>
        <x:v>-229.99999999999997</x:v>
      </x:c>
      <x:c r="AA53" t="n">
        <x: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x:f>
        <x:v>1038.5909879836213</x:v>
      </x:c>
      <x:c r="AB53" t="n">
        <x:f>Scenario_Data!V53</x:f>
        <x:v>-459.99999999999994</x:v>
      </x:c>
      <x:c r="AC53" t="n">
        <x: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x:f>
        <x:v>2361.7787973155064</x:v>
      </x:c>
      <x:c r="AD53" t="n">
        <x:f>Scenario_Data!W53</x:f>
        <x:v>-459.99999999999994</x:v>
      </x:c>
      <x:c r="AE53" t="n">
        <x: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x:f>
        <x:v>2317.1229040708536</x:v>
      </x:c>
      <x:c r="AG53" t="n">
        <x:f>Scenario_Data!T53</x:f>
        <x:v>-34.5</x:v>
      </x:c>
      <x:c r="AH53" t="n">
        <x:f>2*(SQRT((Inputs!$C$52+(Scenario_Data!B53))^2+Inputs!$C$52^2-2*(Inputs!$C$52+(Scenario_Data!B53))*Inputs!$C$52*COS(SQRT((Scenario_Data!T53)^2+Inputs!$C$6^2)/Inputs!$C$52))*1000)/Inputs!$C$21*1000000</x:f>
        <x:v>2696.234756688648</x:v>
      </x:c>
      <x:c r="AI53" t="n">
        <x:f>Scenario_Data!U53</x:f>
        <x:v>-229.99999999999997</x:v>
      </x:c>
      <x:c r="AJ53" t="n">
        <x:f>2*(SQRT((Inputs!$C$52+(Scenario_Data!C53))^2+Inputs!$C$52^2-2*(Inputs!$C$52+(Scenario_Data!C53))*Inputs!$C$52*COS(SQRT((Scenario_Data!U53)^2+Inputs!$C$6^2)/Inputs!$C$52))*1000)/Inputs!$C$21*1000000</x:f>
        <x:v>1921.8815542974562</x:v>
      </x:c>
      <x:c r="AK53" t="n">
        <x:f>Scenario_Data!V53</x:f>
        <x:v>-459.99999999999994</x:v>
      </x:c>
      <x:c r="AL53" t="n">
        <x:f>2*(SQRT((Inputs!$C$52+(Scenario_Data!D53))^2+Inputs!$C$52^2-2*(Inputs!$C$52+(Scenario_Data!D53))*Inputs!$C$52*COS(SQRT((Scenario_Data!V53)^2+Inputs!$C$6^2)/Inputs!$C$52))*1000)/Inputs!$C$21*1000000</x:f>
        <x:v>4133.154973866361</x:v>
      </x:c>
      <x:c r="AM53" t="n">
        <x:f>Scenario_Data!W53</x:f>
        <x:v>-459.99999999999994</x:v>
      </x:c>
      <x:c r="AN53" t="n">
        <x:f>2*(SQRT((Inputs!$C$52+(Scenario_Data!E53))^2+Inputs!$C$52^2-2*(Inputs!$C$52+(Scenario_Data!E53))*Inputs!$C$52*COS(SQRT((Scenario_Data!W53)^2+Inputs!$C$6^2)/Inputs!$C$52))*1000)/Inputs!$C$21*1000000</x:f>
        <x:v>4102.900966862511</x:v>
      </x:c>
      <x:c r="AP53" t="n">
        <x:f>Scenario_Data!T53</x:f>
        <x:v>-34.5</x:v>
      </x:c>
      <x:c r="AQ53" t="n">
        <x: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x:f>
        <x:v>2694.143153810637</x:v>
      </x:c>
      <x:c r="AR53" t="n">
        <x:f>Scenario_Data!U53</x:f>
        <x:v>-229.99999999999997</x:v>
      </x:c>
      <x:c r="AS53" t="n">
        <x: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x:f>
        <x:v>1921.2754887707686</x:v>
      </x:c>
      <x:c r="AT53" t="n">
        <x:f>Scenario_Data!V53</x:f>
        <x:v>-459.99999999999994</x:v>
      </x:c>
      <x:c r="AU53" t="n">
        <x: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x:f>
        <x:v>4132.672970012625</x:v>
      </x:c>
      <x:c r="AV53" t="n">
        <x:f>Scenario_Data!W53</x:f>
        <x:v>-459.99999999999994</x:v>
      </x:c>
      <x:c r="AW53" t="n">
        <x: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x:f>
        <x:v>4102.426876759548</x:v>
      </x:c>
    </x:row>
    <x:row r="54">
      <x:c r="A54" t="n">
        <x:f>Chart_Data!K54</x:f>
        <x:v>-34</x:v>
      </x:c>
      <x:c r="B54" t="n">
        <x:f>Chart_Data!N54-Chart_Data!L54</x:f>
        <x:v>-2.9998358134979526</x:v>
      </x:c>
      <x:c r="D54" t="n">
        <x:f>Chart_Data!G54</x:f>
        <x:v>-34</x:v>
      </x:c>
      <x:c r="E54" t="n">
        <x:f>Chart_Data!H54</x:f>
        <x:v>319.4152549266823</x:v>
      </x:c>
      <x:c r="F54" t="n">
        <x:f>Chart_Data!I54</x:f>
        <x:v>319.4152549266823</x:v>
      </x:c>
      <x:c r="G54" t="n">
        <x:f>Chart_Data!J54</x:f>
        <x:v>0.233219012771956</x:v>
      </x:c>
      <x:c r="I54" t="n">
        <x:f>Scenario_Data!A54</x:f>
        <x:v>-0.567</x:v>
      </x:c>
      <x:c r="J54" t="n">
        <x:f>Scenario_Data!H54-(((SQRT((Inputs!$C$52+(Inputs!$H$6))^2+Inputs!$C$52^2-2*(Inputs!$C$52+(Inputs!$H$6))*Inputs!$C$52*COS(SQRT((Scenario_Data!T54)^2+Inputs!$C$6^2)/Inputs!$C$52)))-(Inputs!$H$6))*1000/Inputs!$C$12)</x:f>
        <x:v>-3.965768378529674</x:v>
      </x:c>
      <x:c r="K54" t="n">
        <x:f>Scenario_Data!I54-(((SQRT((Inputs!$C$52+(Inputs!$H$7))^2+Inputs!$C$52^2-2*(Inputs!$C$52+(Inputs!$H$7))*Inputs!$C$52*COS(SQRT((Scenario_Data!U54)^2+Inputs!$C$6^2)/Inputs!$C$52)))-(Inputs!$H$7))*1000/Inputs!$C$12)</x:f>
        <x:v>-37758.709506009036</x:v>
      </x:c>
      <x:c r="L54" t="n">
        <x:f>Scenario_Data!J54-(((SQRT((Inputs!$C$52+(Inputs!$H$8))^2+Inputs!$C$52^2-2*(Inputs!$C$52+(Inputs!$H$8))*Inputs!$C$52*COS(SQRT((Scenario_Data!V54)^2+Inputs!$C$6^2)/Inputs!$C$52)))-(Inputs!$H$8))*1000/Inputs!$C$12)</x:f>
        <x:v>-90724.77444856224</x:v>
      </x:c>
      <x:c r="M54" t="n">
        <x:f>Scenario_Data!K54-(((SQRT((Inputs!$C$52+(Inputs!$H$9))^2+Inputs!$C$52^2-2*(Inputs!$C$52+(Inputs!$H$9))*Inputs!$C$52*COS(SQRT((Scenario_Data!W54)^2+Inputs!$C$6^2)/Inputs!$C$52)))-(Inputs!$H$9))*1000/Inputs!$C$12)</x:f>
        <x:v>-93922.89271885809</x:v>
      </x:c>
      <x:c r="O54" t="n">
        <x:f>Scenario_Data!T54</x:f>
        <x:v>-34.019999999999996</x:v>
      </x:c>
      <x:c r="P54" t="n">
        <x:f>2*(Scenario_Data!B54*1000)/Inputs!$C$21*1000000</x:f>
        <x:v>2677.091736577309</x:v>
      </x:c>
      <x:c r="Q54" t="n">
        <x:f>Scenario_Data!U54</x:f>
        <x:v>-226.79999999999998</x:v>
      </x:c>
      <x:c r="R54" t="n">
        <x:f>2*(Scenario_Data!C54*1000)/Inputs!$C$21*1000000</x:f>
        <x:v>1016.3263346671649</x:v>
      </x:c>
      <x:c r="S54" t="n">
        <x:f>Scenario_Data!V54</x:f>
        <x:v>-453.59999999999997</x:v>
      </x:c>
      <x:c r="T54" t="n">
        <x:f>2*(Scenario_Data!D54*1000)/Inputs!$C$21*1000000</x:f>
        <x:v>2303.172583481069</x:v>
      </x:c>
      <x:c r="U54" t="n">
        <x:f>Scenario_Data!W54</x:f>
        <x:v>-453.59999999999997</x:v>
      </x:c>
      <x:c r="V54" t="n">
        <x:f>2*(Scenario_Data!E54*1000)/Inputs!$C$21*1000000</x:f>
        <x:v>2257.9072019216705</x:v>
      </x:c>
      <x:c r="X54" t="n">
        <x:f>Scenario_Data!T54</x:f>
        <x:v>-34.019999999999996</x:v>
      </x:c>
      <x:c r="Y54" t="n">
        <x: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x:f>
        <x:v>2677.108815515032</x:v>
      </x:c>
      <x:c r="Z54" t="n">
        <x:f>Scenario_Data!U54</x:f>
        <x:v>-226.79999999999998</x:v>
      </x:c>
      <x:c r="AA54" t="n">
        <x: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x:f>
        <x:v>1016.1344402669544</x:v>
      </x:c>
      <x:c r="AB54" t="n">
        <x:f>Scenario_Data!V54</x:f>
        <x:v>-453.59999999999997</x:v>
      </x:c>
      <x:c r="AC54" t="n">
        <x: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x:f>
        <x:v>2303.344286876124</x:v>
      </x:c>
      <x:c r="AD54" t="n">
        <x:f>Scenario_Data!W54</x:f>
        <x:v>-453.59999999999997</x:v>
      </x:c>
      <x:c r="AE54" t="n">
        <x: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x:f>
        <x:v>2258.078905316726</x:v>
      </x:c>
      <x:c r="AG54" t="n">
        <x:f>Scenario_Data!T54</x:f>
        <x:v>-34.019999999999996</x:v>
      </x:c>
      <x:c r="AH54" t="n">
        <x:f>2*(SQRT((Inputs!$C$52+(Scenario_Data!B54))^2+Inputs!$C$52^2-2*(Inputs!$C$52+(Scenario_Data!B54))*Inputs!$C$52*COS(SQRT((Scenario_Data!T54)^2+Inputs!$C$6^2)/Inputs!$C$52))*1000)/Inputs!$C$21*1000000</x:f>
        <x:v>2695.6510690703108</x:v>
      </x:c>
      <x:c r="AI54" t="n">
        <x:f>Scenario_Data!U54</x:f>
        <x:v>-226.79999999999998</x:v>
      </x:c>
      <x:c r="AJ54" t="n">
        <x:f>2*(SQRT((Inputs!$C$52+(Scenario_Data!C54))^2+Inputs!$C$52^2-2*(Inputs!$C$52+(Scenario_Data!C54))*Inputs!$C$52*COS(SQRT((Scenario_Data!U54)^2+Inputs!$C$6^2)/Inputs!$C$52))*1000)/Inputs!$C$21*1000000</x:f>
        <x:v>1889.8902432096763</x:v>
      </x:c>
      <x:c r="AK54" t="n">
        <x:f>Scenario_Data!V54</x:f>
        <x:v>-453.59999999999997</x:v>
      </x:c>
      <x:c r="AL54" t="n">
        <x:f>2*(SQRT((Inputs!$C$52+(Scenario_Data!D54))^2+Inputs!$C$52^2-2*(Inputs!$C$52+(Scenario_Data!D54))*Inputs!$C$52*COS(SQRT((Scenario_Data!V54)^2+Inputs!$C$6^2)/Inputs!$C$52))*1000)/Inputs!$C$21*1000000</x:f>
        <x:v>4054.9182491071806</x:v>
      </x:c>
      <x:c r="AM54" t="n">
        <x:f>Scenario_Data!W54</x:f>
        <x:v>-453.59999999999997</x:v>
      </x:c>
      <x:c r="AN54" t="n">
        <x:f>2*(SQRT((Inputs!$C$52+(Scenario_Data!E54))^2+Inputs!$C$52^2-2*(Inputs!$C$52+(Scenario_Data!E54))*Inputs!$C$52*COS(SQRT((Scenario_Data!W54)^2+Inputs!$C$6^2)/Inputs!$C$52))*1000)/Inputs!$C$21*1000000</x:f>
        <x:v>4024.457081346861</x:v>
      </x:c>
      <x:c r="AP54" t="n">
        <x:f>Scenario_Data!T54</x:f>
        <x:v>-34.019999999999996</x:v>
      </x:c>
      <x:c r="AQ54" t="n">
        <x: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x:f>
        <x:v>2693.5887701095885</x:v>
      </x:c>
      <x:c r="AR54" t="n">
        <x:f>Scenario_Data!U54</x:f>
        <x:v>-226.79999999999998</x:v>
      </x:c>
      <x:c r="AS54" t="n">
        <x: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x:f>
        <x:v>1889.3707989649024</x:v>
      </x:c>
      <x:c r="AT54" t="n">
        <x:f>Scenario_Data!V54</x:f>
        <x:v>-453.59999999999997</x:v>
      </x:c>
      <x:c r="AU54" t="n">
        <x: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x:f>
        <x:v>4054.616149263494</x:v>
      </x:c>
      <x:c r="AV54" t="n">
        <x:f>Scenario_Data!W54</x:f>
        <x:v>-453.59999999999997</x:v>
      </x:c>
      <x:c r="AW54" t="n">
        <x: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x:f>
        <x:v>4024.1601603091813</x:v>
      </x:c>
    </x:row>
    <x:row r="55">
      <x:c r="A55" t="n">
        <x:f>Chart_Data!K55</x:f>
        <x:v>-33.5</x:v>
      </x:c>
      <x:c r="B55" t="n">
        <x:f>Chart_Data!N55-Chart_Data!L55</x:f>
        <x:v>-11.29209622370604</x:v>
      </x:c>
      <x:c r="D55" t="n">
        <x:f>Chart_Data!G55</x:f>
        <x:v>-33.5</x:v>
      </x:c>
      <x:c r="E55" t="n">
        <x:f>Chart_Data!H55</x:f>
        <x:v>328.4448057508986</x:v>
      </x:c>
      <x:c r="F55" t="n">
        <x:f>Chart_Data!I55</x:f>
        <x:v>328.4448057508986</x:v>
      </x:c>
      <x:c r="G55" t="n">
        <x:f>Chart_Data!J55</x:f>
        <x:v>8.500195567439437</x:v>
      </x:c>
      <x:c r="I55" t="n">
        <x:f>Scenario_Data!A55</x:f>
        <x:v>-0.558</x:v>
      </x:c>
      <x:c r="J55" t="n">
        <x:f>Scenario_Data!H55-(((SQRT((Inputs!$C$52+(Inputs!$H$6))^2+Inputs!$C$52^2-2*(Inputs!$C$52+(Inputs!$H$6))*Inputs!$C$52*COS(SQRT((Scenario_Data!T55)^2+Inputs!$C$6^2)/Inputs!$C$52)))-(Inputs!$H$6))*1000/Inputs!$C$12)</x:f>
        <x:v>-3.763567414630188</x:v>
      </x:c>
      <x:c r="K55" t="n">
        <x:f>Scenario_Data!I55-(((SQRT((Inputs!$C$52+(Inputs!$H$7))^2+Inputs!$C$52^2-2*(Inputs!$C$52+(Inputs!$H$7))*Inputs!$C$52*COS(SQRT((Scenario_Data!U55)^2+Inputs!$C$6^2)/Inputs!$C$52)))-(Inputs!$H$7))*1000/Inputs!$C$12)</x:f>
        <x:v>-36685.22606722001</x:v>
      </x:c>
      <x:c r="L55" t="n">
        <x:f>Scenario_Data!J55-(((SQRT((Inputs!$C$52+(Inputs!$H$8))^2+Inputs!$C$52^2-2*(Inputs!$C$52+(Inputs!$H$8))*Inputs!$C$52*COS(SQRT((Scenario_Data!V55)^2+Inputs!$C$6^2)/Inputs!$C$52)))-(Inputs!$H$8))*1000/Inputs!$C$12)</x:f>
        <x:v>-88539.61228230709</x:v>
      </x:c>
      <x:c r="M55" t="n">
        <x:f>Scenario_Data!K55-(((SQRT((Inputs!$C$52+(Inputs!$H$9))^2+Inputs!$C$52^2-2*(Inputs!$C$52+(Inputs!$H$9))*Inputs!$C$52*COS(SQRT((Scenario_Data!W55)^2+Inputs!$C$6^2)/Inputs!$C$52)))-(Inputs!$H$9))*1000/Inputs!$C$12)</x:f>
        <x:v>-91705.91995911699</x:v>
      </x:c>
      <x:c r="O55" t="n">
        <x:f>Scenario_Data!T55</x:f>
        <x:v>-33.480000000000004</x:v>
      </x:c>
      <x:c r="P55" t="n">
        <x:f>2*(Scenario_Data!B55*1000)/Inputs!$C$21*1000000</x:f>
        <x:v>2676.821549660199</x:v>
      </x:c>
      <x:c r="Q55" t="n">
        <x:f>Scenario_Data!U55</x:f>
        <x:v>-223.20000000000002</x:v>
      </x:c>
      <x:c r="R55" t="n">
        <x:f>2*(Scenario_Data!C55*1000)/Inputs!$C$21*1000000</x:f>
        <x:v>991.6717784808318</x:v>
      </x:c>
      <x:c r="S55" t="n">
        <x:f>Scenario_Data!V55</x:f>
        <x:v>-446.40000000000003</x:v>
      </x:c>
      <x:c r="T55" t="n">
        <x:f>2*(Scenario_Data!D55*1000)/Inputs!$C$21*1000000</x:f>
        <x:v>2237.989989728161</x:v>
      </x:c>
      <x:c r="U55" t="n">
        <x:f>Scenario_Data!W55</x:f>
        <x:v>-446.40000000000003</x:v>
      </x:c>
      <x:c r="V55" t="n">
        <x:f>2*(Scenario_Data!E55*1000)/Inputs!$C$21*1000000</x:f>
        <x:v>2192.049140875986</x:v>
      </x:c>
      <x:c r="X55" t="n">
        <x:f>Scenario_Data!T55</x:f>
        <x:v>-33.480000000000004</x:v>
      </x:c>
      <x:c r="Y55" t="n">
        <x: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x:f>
        <x:v>2676.694759763543</x:v>
      </x:c>
      <x:c r="Z55" t="n">
        <x:f>Scenario_Data!U55</x:f>
        <x:v>-223.20000000000002</x:v>
      </x:c>
      <x:c r="AA55" t="n">
        <x: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x:f>
        <x:v>991.5333258162572</x:v>
      </x:c>
      <x:c r="AB55" t="n">
        <x:f>Scenario_Data!V55</x:f>
        <x:v>-446.40000000000003</x:v>
      </x:c>
      <x:c r="AC55" t="n">
        <x: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x:f>
        <x:v>2237.6242728070965</x:v>
      </x:c>
      <x:c r="AD55" t="n">
        <x:f>Scenario_Data!W55</x:f>
        <x:v>-446.40000000000003</x:v>
      </x:c>
      <x:c r="AE55" t="n">
        <x: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x:f>
        <x:v>2191.683423954921</x:v>
      </x:c>
      <x:c r="AG55" t="n">
        <x:f>Scenario_Data!T55</x:f>
        <x:v>-33.480000000000004</x:v>
      </x:c>
      <x:c r="AH55" t="n">
        <x:f>2*(SQRT((Inputs!$C$52+(Scenario_Data!B55))^2+Inputs!$C$52^2-2*(Inputs!$C$52+(Scenario_Data!B55))*Inputs!$C$52*COS(SQRT((Scenario_Data!T55)^2+Inputs!$C$6^2)/Inputs!$C$52))*1000)/Inputs!$C$21*1000000</x:f>
        <x:v>2695.0040875164605</x:v>
      </x:c>
      <x:c r="AI55" t="n">
        <x:f>Scenario_Data!U55</x:f>
        <x:v>-223.20000000000002</x:v>
      </x:c>
      <x:c r="AJ55" t="n">
        <x:f>2*(SQRT((Inputs!$C$52+(Scenario_Data!C55))^2+Inputs!$C$52^2-2*(Inputs!$C$52+(Scenario_Data!C55))*Inputs!$C$52*COS(SQRT((Scenario_Data!U55)^2+Inputs!$C$6^2)/Inputs!$C$52))*1000)/Inputs!$C$21*1000000</x:f>
        <x:v>1854.1877969704217</x:v>
      </x:c>
      <x:c r="AK55" t="n">
        <x:f>Scenario_Data!V55</x:f>
        <x:v>-446.40000000000003</x:v>
      </x:c>
      <x:c r="AL55" t="n">
        <x:f>2*(SQRT((Inputs!$C$52+(Scenario_Data!D55))^2+Inputs!$C$52^2-2*(Inputs!$C$52+(Scenario_Data!D55))*Inputs!$C$52*COS(SQRT((Scenario_Data!V55)^2+Inputs!$C$6^2)/Inputs!$C$52))*1000)/Inputs!$C$21*1000000</x:f>
        <x:v>3967.8366472645534</x:v>
      </x:c>
      <x:c r="AM55" t="n">
        <x:f>Scenario_Data!W55</x:f>
        <x:v>-446.40000000000003</x:v>
      </x:c>
      <x:c r="AN55" t="n">
        <x:f>2*(SQRT((Inputs!$C$52+(Scenario_Data!E55))^2+Inputs!$C$52^2-2*(Inputs!$C$52+(Scenario_Data!E55))*Inputs!$C$52*COS(SQRT((Scenario_Data!W55)^2+Inputs!$C$6^2)/Inputs!$C$52))*1000)/Inputs!$C$21*1000000</x:f>
        <x:v>3937.1592412789855</x:v>
      </x:c>
      <x:c r="AP55" t="n">
        <x:f>Scenario_Data!T55</x:f>
        <x:v>-33.480000000000004</x:v>
      </x:c>
      <x:c r="AQ55" t="n">
        <x: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x:f>
        <x:v>2692.757963165586</x:v>
      </x:c>
      <x:c r="AR55" t="n">
        <x:f>Scenario_Data!U55</x:f>
        <x:v>-223.20000000000002</x:v>
      </x:c>
      <x:c r="AS55" t="n">
        <x: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x:f>
        <x:v>1853.9523697485693</x:v>
      </x:c>
      <x:c r="AT55" t="n">
        <x:f>Scenario_Data!V55</x:f>
        <x:v>-446.40000000000003</x:v>
      </x:c>
      <x:c r="AU55" t="n">
        <x: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x:f>
        <x:v>3967.3646091084047</x:v>
      </x:c>
      <x:c r="AV55" t="n">
        <x:f>Scenario_Data!W55</x:f>
        <x:v>-446.40000000000003</x:v>
      </x:c>
      <x:c r="AW55" t="n">
        <x: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x:f>
        <x:v>3936.6957000760913</x:v>
      </x:c>
    </x:row>
    <x:row r="56">
      <x:c r="A56" t="n">
        <x:f>Chart_Data!K56</x:f>
        <x:v>-33</x:v>
      </x:c>
      <x:c r="B56" t="n">
        <x:f>Chart_Data!N56-Chart_Data!L56</x:f>
        <x:v>-15.738275591660624</x:v>
      </x:c>
      <x:c r="D56" t="n">
        <x:f>Chart_Data!G56</x:f>
        <x:v>-33</x:v>
      </x:c>
      <x:c r="E56" t="n">
        <x:f>Chart_Data!H56</x:f>
        <x:v>342.0571204684842</x:v>
      </x:c>
      <x:c r="F56" t="n">
        <x:f>Chart_Data!I56</x:f>
        <x:v>342.0571204684842</x:v>
      </x:c>
      <x:c r="G56" t="n">
        <x:f>Chart_Data!J56</x:f>
        <x:v>12.884972617306985</x:v>
      </x:c>
      <x:c r="I56" t="n">
        <x:f>Scenario_Data!A56</x:f>
        <x:v>-0.55</x:v>
      </x:c>
      <x:c r="J56" t="n">
        <x:f>Scenario_Data!H56-(((SQRT((Inputs!$C$52+(Inputs!$H$6))^2+Inputs!$C$52^2-2*(Inputs!$C$52+(Inputs!$H$6))*Inputs!$C$52*COS(SQRT((Scenario_Data!T56)^2+Inputs!$C$6^2)/Inputs!$C$52)))-(Inputs!$H$6))*1000/Inputs!$C$12)</x:f>
        <x:v>-3.590635671074324</x:v>
      </x:c>
      <x:c r="K56" t="n">
        <x:f>Scenario_Data!I56-(((SQRT((Inputs!$C$52+(Inputs!$H$7))^2+Inputs!$C$52^2-2*(Inputs!$C$52+(Inputs!$H$7))*Inputs!$C$52*COS(SQRT((Scenario_Data!U56)^2+Inputs!$C$6^2)/Inputs!$C$52)))-(Inputs!$H$7))*1000/Inputs!$C$12)</x:f>
        <x:v>-35738.342299056225</x:v>
      </x:c>
      <x:c r="L56" t="n">
        <x:f>Scenario_Data!J56-(((SQRT((Inputs!$C$52+(Inputs!$H$8))^2+Inputs!$C$52^2-2*(Inputs!$C$52+(Inputs!$H$8))*Inputs!$C$52*COS(SQRT((Scenario_Data!V56)^2+Inputs!$C$6^2)/Inputs!$C$52)))-(Inputs!$H$8))*1000/Inputs!$C$12)</x:f>
        <x:v>-86600.81524649766</x:v>
      </x:c>
      <x:c r="M56" t="n">
        <x:f>Scenario_Data!K56-(((SQRT((Inputs!$C$52+(Inputs!$H$9))^2+Inputs!$C$52^2-2*(Inputs!$C$52+(Inputs!$H$9))*Inputs!$C$52*COS(SQRT((Scenario_Data!W56)^2+Inputs!$C$6^2)/Inputs!$C$52)))-(Inputs!$H$9))*1000/Inputs!$C$12)</x:f>
        <x:v>-89738.19699014083</x:v>
      </x:c>
      <x:c r="O56" t="n">
        <x:f>Scenario_Data!T56</x:f>
        <x:v>-33</x:v>
      </x:c>
      <x:c r="P56" t="n">
        <x:f>2*(Scenario_Data!B56*1000)/Inputs!$C$21*1000000</x:f>
        <x:v>2676.585012689012</x:v>
      </x:c>
      <x:c r="Q56" t="n">
        <x:f>Scenario_Data!U56</x:f>
        <x:v>-220.00000000000003</x:v>
      </x:c>
      <x:c r="R56" t="n">
        <x:f>2*(Scenario_Data!C56*1000)/Inputs!$C$21*1000000</x:f>
        <x:v>970.0877798600259</x:v>
      </x:c>
      <x:c r="S56" t="n">
        <x:f>Scenario_Data!V56</x:f>
        <x:v>-440.00000000000006</x:v>
      </x:c>
      <x:c r="T56" t="n">
        <x:f>2*(Scenario_Data!D56*1000)/Inputs!$C$21*1000000</x:f>
        <x:v>2180.9254454293177</x:v>
      </x:c>
      <x:c r="U56" t="n">
        <x:f>Scenario_Data!W56</x:f>
        <x:v>-440.00000000000006</x:v>
      </x:c>
      <x:c r="V56" t="n">
        <x:f>2*(Scenario_Data!E56*1000)/Inputs!$C$21*1000000</x:f>
        <x:v>2134.393254149176</x:v>
      </x:c>
      <x:c r="X56" t="n">
        <x:f>Scenario_Data!T56</x:f>
        <x:v>-33</x:v>
      </x:c>
      <x:c r="Y56" t="n">
        <x: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x:f>
        <x:v>2676.499053404357</x:v>
      </x:c>
      <x:c r="Z56" t="n">
        <x:f>Scenario_Data!U56</x:f>
        <x:v>-220.00000000000003</x:v>
      </x:c>
      <x:c r="AA56" t="n">
        <x: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x:f>
        <x:v>970.1685104366036</x:v>
      </x:c>
      <x:c r="AB56" t="n">
        <x:f>Scenario_Data!V56</x:f>
        <x:v>-440.00000000000006</x:v>
      </x:c>
      <x:c r="AC56" t="n">
        <x: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x:f>
        <x:v>2180.866229244237</x:v>
      </x:c>
      <x:c r="AD56" t="n">
        <x:f>Scenario_Data!W56</x:f>
        <x:v>-440.00000000000006</x:v>
      </x:c>
      <x:c r="AE56" t="n">
        <x: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x:f>
        <x:v>2134.334037964095</x:v>
      </x:c>
      <x:c r="AG56" t="n">
        <x:f>Scenario_Data!T56</x:f>
        <x:v>-33</x:v>
      </x:c>
      <x:c r="AH56" t="n">
        <x:f>2*(SQRT((Inputs!$C$52+(Scenario_Data!B56))^2+Inputs!$C$52^2-2*(Inputs!$C$52+(Scenario_Data!B56))*Inputs!$C$52*COS(SQRT((Scenario_Data!T56)^2+Inputs!$C$6^2)/Inputs!$C$52))*1000)/Inputs!$C$21*1000000</x:f>
        <x:v>2694.4375898786375</x:v>
      </x:c>
      <x:c r="AI56" t="n">
        <x:f>Scenario_Data!U56</x:f>
        <x:v>-220.00000000000003</x:v>
      </x:c>
      <x:c r="AJ56" t="n">
        <x:f>2*(SQRT((Inputs!$C$52+(Scenario_Data!C56))^2+Inputs!$C$52^2-2*(Inputs!$C$52+(Scenario_Data!C56))*Inputs!$C$52*COS(SQRT((Scenario_Data!U56)^2+Inputs!$C$6^2)/Inputs!$C$52))*1000)/Inputs!$C$21*1000000</x:f>
        <x:v>1822.7061870307282</x:v>
      </x:c>
      <x:c r="AK56" t="n">
        <x:f>Scenario_Data!V56</x:f>
        <x:v>-440.00000000000006</x:v>
      </x:c>
      <x:c r="AL56" t="n">
        <x:f>2*(SQRT((Inputs!$C$52+(Scenario_Data!D56))^2+Inputs!$C$52^2-2*(Inputs!$C$52+(Scenario_Data!D56))*Inputs!$C$52*COS(SQRT((Scenario_Data!V56)^2+Inputs!$C$6^2)/Inputs!$C$52))*1000)/Inputs!$C$21*1000000</x:f>
        <x:v>3891.256447672386</x:v>
      </x:c>
      <x:c r="AM56" t="n">
        <x:f>Scenario_Data!W56</x:f>
        <x:v>-440.00000000000006</x:v>
      </x:c>
      <x:c r="AN56" t="n">
        <x:f>2*(SQRT((Inputs!$C$52+(Scenario_Data!E56))^2+Inputs!$C$52^2-2*(Inputs!$C$52+(Scenario_Data!E56))*Inputs!$C$52*COS(SQRT((Scenario_Data!W56)^2+Inputs!$C$6^2)/Inputs!$C$52))*1000)/Inputs!$C$21*1000000</x:f>
        <x:v>3860.401771777322</x:v>
      </x:c>
      <x:c r="AP56" t="n">
        <x:f>Scenario_Data!T56</x:f>
        <x:v>-33</x:v>
      </x:c>
      <x:c r="AQ56" t="n">
        <x: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x:f>
        <x:v>2692.1746655892334</x:v>
      </x:c>
      <x:c r="AR56" t="n">
        <x:f>Scenario_Data!U56</x:f>
        <x:v>-220.00000000000003</x:v>
      </x:c>
      <x:c r="AS56" t="n">
        <x: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x:f>
        <x:v>1822.521136552667</x:v>
      </x:c>
      <x:c r="AT56" t="n">
        <x:f>Scenario_Data!V56</x:f>
        <x:v>-440.00000000000006</x:v>
      </x:c>
      <x:c r="AU56" t="n">
        <x: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x:f>
        <x:v>3890.8212117810226</x:v>
      </x:c>
      <x:c r="AV56" t="n">
        <x:f>Scenario_Data!W56</x:f>
        <x:v>-440.00000000000006</x:v>
      </x:c>
      <x:c r="AW56" t="n">
        <x: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x:f>
        <x:v>3859.9747157263696</x:v>
      </x:c>
    </x:row>
    <x:row r="57">
      <x:c r="A57" t="n">
        <x:f>Chart_Data!K57</x:f>
        <x:v>-32.5</x:v>
      </x:c>
      <x:c r="B57" t="n">
        <x:f>Chart_Data!N57-Chart_Data!L57</x:f>
        <x:v>-17.06917876670684</x:v>
      </x:c>
      <x:c r="D57" t="n">
        <x:f>Chart_Data!G57</x:f>
        <x:v>-32.5</x:v>
      </x:c>
      <x:c r="E57" t="n">
        <x:f>Chart_Data!H57</x:f>
        <x:v>350.9183412247295</x:v>
      </x:c>
      <x:c r="F57" t="n">
        <x:f>Chart_Data!I57</x:f>
        <x:v>350.9183412247295</x:v>
      </x:c>
      <x:c r="G57" t="n">
        <x:f>Chart_Data!J57</x:f>
        <x:v>14.196906765365963</x:v>
      </x:c>
      <x:c r="I57" t="n">
        <x:f>Scenario_Data!A57</x:f>
        <x:v>-0.542</x:v>
      </x:c>
      <x:c r="J57" t="n">
        <x:f>Scenario_Data!H57-(((SQRT((Inputs!$C$52+(Inputs!$H$6))^2+Inputs!$C$52^2-2*(Inputs!$C$52+(Inputs!$H$6))*Inputs!$C$52*COS(SQRT((Scenario_Data!T57)^2+Inputs!$C$6^2)/Inputs!$C$52)))-(Inputs!$H$6))*1000/Inputs!$C$12)</x:f>
        <x:v>-3.423937371721422</x:v>
      </x:c>
      <x:c r="K57" t="n">
        <x:f>Scenario_Data!I57-(((SQRT((Inputs!$C$52+(Inputs!$H$7))^2+Inputs!$C$52^2-2*(Inputs!$C$52+(Inputs!$H$7))*Inputs!$C$52*COS(SQRT((Scenario_Data!U57)^2+Inputs!$C$6^2)/Inputs!$C$52)))-(Inputs!$H$7))*1000/Inputs!$C$12)</x:f>
        <x:v>-34798.54556291022</x:v>
      </x:c>
      <x:c r="L57" t="n">
        <x:f>Scenario_Data!J57-(((SQRT((Inputs!$C$52+(Inputs!$H$8))^2+Inputs!$C$52^2-2*(Inputs!$C$52+(Inputs!$H$8))*Inputs!$C$52*COS(SQRT((Scenario_Data!V57)^2+Inputs!$C$6^2)/Inputs!$C$52)))-(Inputs!$H$8))*1000/Inputs!$C$12)</x:f>
        <x:v>-84665.83712834844</x:v>
      </x:c>
      <x:c r="M57" t="n">
        <x:f>Scenario_Data!K57-(((SQRT((Inputs!$C$52+(Inputs!$H$9))^2+Inputs!$C$52^2-2*(Inputs!$C$52+(Inputs!$H$9))*Inputs!$C$52*COS(SQRT((Scenario_Data!W57)^2+Inputs!$C$6^2)/Inputs!$C$52)))-(Inputs!$H$9))*1000/Inputs!$C$12)</x:f>
        <x:v>-87773.67562430885</x:v>
      </x:c>
      <x:c r="O57" t="n">
        <x:f>Scenario_Data!T57</x:f>
        <x:v>-32.52</x:v>
      </x:c>
      <x:c r="P57" t="n">
        <x:f>2*(Scenario_Data!B57*1000)/Inputs!$C$21*1000000</x:f>
        <x:v>2676.3518914141596</x:v>
      </x:c>
      <x:c r="Q57" t="n">
        <x:f>Scenario_Data!U57</x:f>
        <x:v>-216.8</x:v>
      </x:c>
      <x:c r="R57" t="n">
        <x:f>2*(Scenario_Data!C57*1000)/Inputs!$C$21*1000000</x:f>
        <x:v>948.8154635297731</x:v>
      </x:c>
      <x:c r="S57" t="n">
        <x:f>Scenario_Data!V57</x:f>
        <x:v>-433.6</x:v>
      </x:c>
      <x:c r="T57" t="n">
        <x:f>2*(Scenario_Data!D57*1000)/Inputs!$C$21*1000000</x:f>
        <x:v>2124.6849378712523</x:v>
      </x:c>
      <x:c r="U57" t="n">
        <x:f>Scenario_Data!W57</x:f>
        <x:v>-433.6</x:v>
      </x:c>
      <x:c r="V57" t="n">
        <x:f>2*(Scenario_Data!E57*1000)/Inputs!$C$21*1000000</x:f>
        <x:v>2077.56994340398</x:v>
      </x:c>
      <x:c r="X57" t="n">
        <x:f>Scenario_Data!T57</x:f>
        <x:v>-32.52</x:v>
      </x:c>
      <x:c r="Y57" t="n">
        <x: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x:f>
        <x:v>2676.2200621956567</x:v>
      </x:c>
      <x:c r="Z57" t="n">
        <x:f>Scenario_Data!U57</x:f>
        <x:v>-216.8</x:v>
      </x:c>
      <x:c r="AA57" t="n">
        <x: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x:f>
        <x:v>948.7608368090656</x:v>
      </x:c>
      <x:c r="AB57" t="n">
        <x:f>Scenario_Data!V57</x:f>
        <x:v>-433.6</x:v>
      </x:c>
      <x:c r="AC57" t="n">
        <x: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x:f>
        <x:v>2124.696136137851</x:v>
      </x:c>
      <x:c r="AD57" t="n">
        <x:f>Scenario_Data!W57</x:f>
        <x:v>-433.6</x:v>
      </x:c>
      <x:c r="AE57" t="n">
        <x: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x:f>
        <x:v>2077.5811416705787</x:v>
      </x:c>
      <x:c r="AG57" t="n">
        <x:f>Scenario_Data!T57</x:f>
        <x:v>-32.52</x:v>
      </x:c>
      <x:c r="AH57" t="n">
        <x:f>2*(SQRT((Inputs!$C$52+(Scenario_Data!B57))^2+Inputs!$C$52^2-2*(Inputs!$C$52+(Scenario_Data!B57))*Inputs!$C$52*COS(SQRT((Scenario_Data!T57)^2+Inputs!$C$6^2)/Inputs!$C$52))*1000)/Inputs!$C$21*1000000</x:f>
        <x:v>2693.8791874812646</x:v>
      </x:c>
      <x:c r="AI57" t="n">
        <x:f>Scenario_Data!U57</x:f>
        <x:v>-216.8</x:v>
      </x:c>
      <x:c r="AJ57" t="n">
        <x:f>2*(SQRT((Inputs!$C$52+(Scenario_Data!C57))^2+Inputs!$C$52^2-2*(Inputs!$C$52+(Scenario_Data!C57))*Inputs!$C$52*COS(SQRT((Scenario_Data!U57)^2+Inputs!$C$6^2)/Inputs!$C$52))*1000)/Inputs!$C$21*1000000</x:f>
        <x:v>1791.4617344869769</x:v>
      </x:c>
      <x:c r="AK57" t="n">
        <x:f>Scenario_Data!V57</x:f>
        <x:v>-433.6</x:v>
      </x:c>
      <x:c r="AL57" t="n">
        <x:f>2*(SQRT((Inputs!$C$52+(Scenario_Data!D57))^2+Inputs!$C$52^2-2*(Inputs!$C$52+(Scenario_Data!D57))*Inputs!$C$52*COS(SQRT((Scenario_Data!V57)^2+Inputs!$C$6^2)/Inputs!$C$52))*1000)/Inputs!$C$21*1000000</x:f>
        <x:v>3815.4483329742607</x:v>
      </x:c>
      <x:c r="AM57" t="n">
        <x:f>Scenario_Data!W57</x:f>
        <x:v>-433.6</x:v>
      </x:c>
      <x:c r="AN57" t="n">
        <x:f>2*(SQRT((Inputs!$C$52+(Scenario_Data!E57))^2+Inputs!$C$52^2-2*(Inputs!$C$52+(Scenario_Data!E57))*Inputs!$C$52*COS(SQRT((Scenario_Data!W57)^2+Inputs!$C$6^2)/Inputs!$C$52))*1000)/Inputs!$C$21*1000000</x:f>
        <x:v>3784.430436320021</x:v>
      </x:c>
      <x:c r="AP57" t="n">
        <x:f>Scenario_Data!T57</x:f>
        <x:v>-32.52</x:v>
      </x:c>
      <x:c r="AQ57" t="n">
        <x: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x:f>
        <x:v>2691.668504525569</x:v>
      </x:c>
      <x:c r="AR57" t="n">
        <x:f>Scenario_Data!U57</x:f>
        <x:v>-216.8</x:v>
      </x:c>
      <x:c r="AS57" t="n">
        <x: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x:f>
        <x:v>1791.0443942278735</x:v>
      </x:c>
      <x:c r="AT57" t="n">
        <x:f>Scenario_Data!V57</x:f>
        <x:v>-433.6</x:v>
      </x:c>
      <x:c r="AU57" t="n">
        <x: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x:f>
        <x:v>3815.2605376380343</x:v>
      </x:c>
      <x:c r="AV57" t="n">
        <x:f>Scenario_Data!W57</x:f>
        <x:v>-433.6</x:v>
      </x:c>
      <x:c r="AW57" t="n">
        <x: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x:f>
        <x:v>3784.2463249330663</x:v>
      </x:c>
    </x:row>
    <x:row r="58">
      <x:c r="A58" t="n">
        <x:f>Chart_Data!K58</x:f>
        <x:v>-32</x:v>
      </x:c>
      <x:c r="B58" t="n">
        <x:f>Chart_Data!N58-Chart_Data!L58</x:f>
        <x:v>-8.468507015690818</x:v>
      </x:c>
      <x:c r="D58" t="n">
        <x:f>Chart_Data!G58</x:f>
        <x:v>-32</x:v>
      </x:c>
      <x:c r="E58" t="n">
        <x:f>Chart_Data!H58</x:f>
        <x:v>340.91681406553505</x:v>
      </x:c>
      <x:c r="F58" t="n">
        <x:f>Chart_Data!I58</x:f>
        <x:v>340.91681406553505</x:v>
      </x:c>
      <x:c r="G58" t="n">
        <x:f>Chart_Data!J58</x:f>
        <x:v>5.730826646134426</x:v>
      </x:c>
      <x:c r="I58" t="n">
        <x:f>Scenario_Data!A58</x:f>
        <x:v>-0.533</x:v>
      </x:c>
      <x:c r="J58" t="n">
        <x:f>Scenario_Data!H58-(((SQRT((Inputs!$C$52+(Inputs!$H$6))^2+Inputs!$C$52^2-2*(Inputs!$C$52+(Inputs!$H$6))*Inputs!$C$52*COS(SQRT((Scenario_Data!T58)^2+Inputs!$C$6^2)/Inputs!$C$52)))-(Inputs!$H$6))*1000/Inputs!$C$12)</x:f>
        <x:v>-3.243653659340225</x:v>
      </x:c>
      <x:c r="K58" t="n">
        <x:f>Scenario_Data!I58-(((SQRT((Inputs!$C$52+(Inputs!$H$7))^2+Inputs!$C$52^2-2*(Inputs!$C$52+(Inputs!$H$7))*Inputs!$C$52*COS(SQRT((Scenario_Data!U58)^2+Inputs!$C$6^2)/Inputs!$C$52)))-(Inputs!$H$7))*1000/Inputs!$C$12)</x:f>
        <x:v>-33749.98145308542</x:v>
      </x:c>
      <x:c r="L58" t="n">
        <x:f>Scenario_Data!J58-(((SQRT((Inputs!$C$52+(Inputs!$H$8))^2+Inputs!$C$52^2-2*(Inputs!$C$52+(Inputs!$H$8))*Inputs!$C$52*COS(SQRT((Scenario_Data!V58)^2+Inputs!$C$6^2)/Inputs!$C$52)))-(Inputs!$H$8))*1000/Inputs!$C$12)</x:f>
        <x:v>-82494.11644292489</x:v>
      </x:c>
      <x:c r="M58" t="n">
        <x:f>Scenario_Data!K58-(((SQRT((Inputs!$C$52+(Inputs!$H$9))^2+Inputs!$C$52^2-2*(Inputs!$C$52+(Inputs!$H$9))*Inputs!$C$52*COS(SQRT((Scenario_Data!W58)^2+Inputs!$C$6^2)/Inputs!$C$52)))-(Inputs!$H$9))*1000/Inputs!$C$12)</x:f>
        <x:v>-85567.97437946271</x:v>
      </x:c>
      <x:c r="O58" t="n">
        <x:f>Scenario_Data!T58</x:f>
        <x:v>-31.98</x:v>
      </x:c>
      <x:c r="P58" t="n">
        <x:f>2*(Scenario_Data!B58*1000)/Inputs!$C$21*1000000</x:f>
        <x:v>2676.093712804476</x:v>
      </x:c>
      <x:c r="Q58" t="n">
        <x:f>Scenario_Data!U58</x:f>
        <x:v>-213.20000000000002</x:v>
      </x:c>
      <x:c r="R58" t="n">
        <x:f>2*(Scenario_Data!C58*1000)/Inputs!$C$21*1000000</x:f>
        <x:v>925.2566653961659</x:v>
      </x:c>
      <x:c r="S58" t="n">
        <x:f>Scenario_Data!V58</x:f>
        <x:v>-426.40000000000003</x:v>
      </x:c>
      <x:c r="T58" t="n">
        <x:f>2*(Scenario_Data!D58*1000)/Inputs!$C$21*1000000</x:f>
        <x:v>2062.3993482851392</x:v>
      </x:c>
      <x:c r="U58" t="n">
        <x:f>Scenario_Data!W58</x:f>
        <x:v>-426.40000000000003</x:v>
      </x:c>
      <x:c r="V58" t="n">
        <x:f>2*(Scenario_Data!E58*1000)/Inputs!$C$21*1000000</x:f>
        <x:v>2014.6389072936586</x:v>
      </x:c>
      <x:c r="X58" t="n">
        <x:f>Scenario_Data!T58</x:f>
        <x:v>-31.98</x:v>
      </x:c>
      <x:c r="Y58" t="n">
        <x: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x:f>
        <x:v>2676.1391391812404</x:v>
      </x:c>
      <x:c r="Z58" t="n">
        <x:f>Scenario_Data!U58</x:f>
        <x:v>-213.20000000000002</x:v>
      </x:c>
      <x:c r="AA58" t="n">
        <x: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x:f>
        <x:v>924.7601899779155</x:v>
      </x:c>
      <x:c r="AB58" t="n">
        <x:f>Scenario_Data!V58</x:f>
        <x:v>-426.40000000000003</x:v>
      </x:c>
      <x:c r="AC58" t="n">
        <x: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x:f>
        <x:v>2061.9306805806204</x:v>
      </x:c>
      <x:c r="AD58" t="n">
        <x:f>Scenario_Data!W58</x:f>
        <x:v>-426.40000000000003</x:v>
      </x:c>
      <x:c r="AE58" t="n">
        <x: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x:f>
        <x:v>2014.1702395891398</x:v>
      </x:c>
      <x:c r="AG58" t="n">
        <x:f>Scenario_Data!T58</x:f>
        <x:v>-31.98</x:v>
      </x:c>
      <x:c r="AH58" t="n">
        <x:f>2*(SQRT((Inputs!$C$52+(Scenario_Data!B58))^2+Inputs!$C$52^2-2*(Inputs!$C$52+(Scenario_Data!B58))*Inputs!$C$52*COS(SQRT((Scenario_Data!T58)^2+Inputs!$C$6^2)/Inputs!$C$52))*1000)/Inputs!$C$21*1000000</x:f>
        <x:v>2693.260665691084</x:v>
      </x:c>
      <x:c r="AI58" t="n">
        <x:f>Scenario_Data!U58</x:f>
        <x:v>-213.20000000000002</x:v>
      </x:c>
      <x:c r="AJ58" t="n">
        <x:f>2*(SQRT((Inputs!$C$52+(Scenario_Data!C58))^2+Inputs!$C$52^2-2*(Inputs!$C$52+(Scenario_Data!C58))*Inputs!$C$52*COS(SQRT((Scenario_Data!U58)^2+Inputs!$C$6^2)/Inputs!$C$52))*1000)/Inputs!$C$21*1000000</x:f>
        <x:v>1756.5930320423254</x:v>
      </x:c>
      <x:c r="AK58" t="n">
        <x:f>Scenario_Data!V58</x:f>
        <x:v>-426.40000000000003</x:v>
      </x:c>
      <x:c r="AL58" t="n">
        <x:f>2*(SQRT((Inputs!$C$52+(Scenario_Data!D58))^2+Inputs!$C$52^2-2*(Inputs!$C$52+(Scenario_Data!D58))*Inputs!$C$52*COS(SQRT((Scenario_Data!V58)^2+Inputs!$C$6^2)/Inputs!$C$52))*1000)/Inputs!$C$21*1000000</x:f>
        <x:v>3731.0809261239974</x:v>
      </x:c>
      <x:c r="AM58" t="n">
        <x:f>Scenario_Data!W58</x:f>
        <x:v>-426.40000000000003</x:v>
      </x:c>
      <x:c r="AN58" t="n">
        <x:f>2*(SQRT((Inputs!$C$52+(Scenario_Data!E58))^2+Inputs!$C$52^2-2*(Inputs!$C$52+(Scenario_Data!E58))*Inputs!$C$52*COS(SQRT((Scenario_Data!W58)^2+Inputs!$C$6^2)/Inputs!$C$52))*1000)/Inputs!$C$21*1000000</x:f>
        <x:v>3699.896173425855</x:v>
      </x:c>
      <x:c r="AP58" t="n">
        <x:f>Scenario_Data!T58</x:f>
        <x:v>-31.98</x:v>
      </x:c>
      <x:c r="AQ58" t="n">
        <x: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x:f>
        <x:v>2690.9024159206665</x:v>
      </x:c>
      <x:c r="AR58" t="n">
        <x:f>Scenario_Data!U58</x:f>
        <x:v>-213.20000000000002</x:v>
      </x:c>
      <x:c r="AS58" t="n">
        <x: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x:f>
        <x:v>1756.0232098844801</x:v>
      </x:c>
      <x:c r="AT58" t="n">
        <x:f>Scenario_Data!V58</x:f>
        <x:v>-426.40000000000003</x:v>
      </x:c>
      <x:c r="AU58" t="n">
        <x: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x:f>
        <x:v>3730.4741694394993</x:v>
      </x:c>
      <x:c r="AV58" t="n">
        <x:f>Scenario_Data!W58</x:f>
        <x:v>-426.40000000000003</x:v>
      </x:c>
      <x:c r="AW58" t="n">
        <x: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x:f>
        <x:v>3699.30191597568</x:v>
      </x:c>
    </x:row>
    <x:row r="59">
      <x:c r="A59" t="n">
        <x:f>Chart_Data!K59</x:f>
        <x:v>-31.5</x:v>
      </x:c>
      <x:c r="B59" t="n">
        <x:f>Chart_Data!N59-Chart_Data!L59</x:f>
        <x:v>-12.093868668153164</x:v>
      </x:c>
      <x:c r="D59" t="n">
        <x:f>Chart_Data!G59</x:f>
        <x:v>-31.5</x:v>
      </x:c>
      <x:c r="E59" t="n">
        <x:f>Chart_Data!H59</x:f>
        <x:v>355.15219987006986</x:v>
      </x:c>
      <x:c r="F59" t="n">
        <x:f>Chart_Data!I59</x:f>
        <x:v>355.15219987006986</x:v>
      </x:c>
      <x:c r="G59" t="n">
        <x:f>Chart_Data!J59</x:f>
        <x:v>9.295817115602365</x:v>
      </x:c>
      <x:c r="I59" t="n">
        <x:f>Scenario_Data!A59</x:f>
        <x:v>-0.525</x:v>
      </x:c>
      <x:c r="J59" t="n">
        <x:f>Scenario_Data!H59-(((SQRT((Inputs!$C$52+(Inputs!$H$6))^2+Inputs!$C$52^2-2*(Inputs!$C$52+(Inputs!$H$6))*Inputs!$C$52*COS(SQRT((Scenario_Data!T59)^2+Inputs!$C$6^2)/Inputs!$C$52)))-(Inputs!$H$6))*1000/Inputs!$C$12)</x:f>
        <x:v>-3.089673071670859</x:v>
      </x:c>
      <x:c r="K59" t="n">
        <x:f>Scenario_Data!I59-(((SQRT((Inputs!$C$52+(Inputs!$H$7))^2+Inputs!$C$52^2-2*(Inputs!$C$52+(Inputs!$H$7))*Inputs!$C$52*COS(SQRT((Scenario_Data!U59)^2+Inputs!$C$6^2)/Inputs!$C$52)))-(Inputs!$H$7))*1000/Inputs!$C$12)</x:f>
        <x:v>-32825.87746268808</x:v>
      </x:c>
      <x:c r="L59" t="n">
        <x:f>Scenario_Data!J59-(((SQRT((Inputs!$C$52+(Inputs!$H$8))^2+Inputs!$C$52^2-2*(Inputs!$C$52+(Inputs!$H$8))*Inputs!$C$52*COS(SQRT((Scenario_Data!V59)^2+Inputs!$C$6^2)/Inputs!$C$52)))-(Inputs!$H$8))*1000/Inputs!$C$12)</x:f>
        <x:v>-80568.7736811837</x:v>
      </x:c>
      <x:c r="M59" t="n">
        <x:f>Scenario_Data!K59-(((SQRT((Inputs!$C$52+(Inputs!$H$9))^2+Inputs!$C$52^2-2*(Inputs!$C$52+(Inputs!$H$9))*Inputs!$C$52*COS(SQRT((Scenario_Data!W59)^2+Inputs!$C$6^2)/Inputs!$C$52)))-(Inputs!$H$9))*1000/Inputs!$C$12)</x:f>
        <x:v>-83611.75944718669</x:v>
      </x:c>
      <x:c r="O59" t="n">
        <x:f>Scenario_Data!T59</x:f>
        <x:v>-31.5</x:v>
      </x:c>
      <x:c r="P59" t="n">
        <x:f>2*(Scenario_Data!B59*1000)/Inputs!$C$21*1000000</x:f>
        <x:v>2675.867849884336</x:v>
      </x:c>
      <x:c r="Q59" t="n">
        <x:f>Scenario_Data!U59</x:f>
        <x:v>-210</x:v>
      </x:c>
      <x:c r="R59" t="n">
        <x:f>2*(Scenario_Data!C59*1000)/Inputs!$C$21*1000000</x:f>
        <x:v>904.6466739333382</x:v>
      </x:c>
      <x:c r="S59" t="n">
        <x:f>Scenario_Data!V59</x:f>
        <x:v>-420</x:v>
      </x:c>
      <x:c r="T59" t="n">
        <x:f>2*(Scenario_Data!D59*1000)/Inputs!$C$21*1000000</x:f>
        <x:v>2007.9099188012265</x:v>
      </x:c>
      <x:c r="U59" t="n">
        <x:f>Scenario_Data!W59</x:f>
        <x:v>-420</x:v>
      </x:c>
      <x:c r="V59" t="n">
        <x:f>2*(Scenario_Data!E59*1000)/Inputs!$C$21*1000000</x:f>
        <x:v>1959.584820509394</x:v>
      </x:c>
      <x:c r="X59" t="n">
        <x:f>Scenario_Data!T59</x:f>
        <x:v>-31.5</x:v>
      </x:c>
      <x:c r="Y59" t="n">
        <x: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x:f>
        <x:v>2675.80583486783</x:v>
      </x:c>
      <x:c r="Z59" t="n">
        <x:f>Scenario_Data!U59</x:f>
        <x:v>-210</x:v>
      </x:c>
      <x:c r="AA59" t="n">
        <x: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x:f>
        <x:v>904.2533098821133</x:v>
      </x:c>
      <x:c r="AB59" t="n">
        <x:f>Scenario_Data!V59</x:f>
        <x:v>-420</x:v>
      </x:c>
      <x:c r="AC59" t="n">
        <x: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x:f>
        <x:v>2007.8337102011103</x:v>
      </x:c>
      <x:c r="AD59" t="n">
        <x:f>Scenario_Data!W59</x:f>
        <x:v>-420</x:v>
      </x:c>
      <x:c r="AE59" t="n">
        <x: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x:f>
        <x:v>1959.5086119092775</x:v>
      </x:c>
      <x:c r="AG59" t="n">
        <x:f>Scenario_Data!T59</x:f>
        <x:v>-31.5</x:v>
      </x:c>
      <x:c r="AH59" t="n">
        <x:f>2*(SQRT((Inputs!$C$52+(Scenario_Data!B59))^2+Inputs!$C$52^2-2*(Inputs!$C$52+(Scenario_Data!B59))*Inputs!$C$52*COS(SQRT((Scenario_Data!T59)^2+Inputs!$C$6^2)/Inputs!$C$52))*1000)/Inputs!$C$21*1000000</x:f>
        <x:v>2692.7194777953123</x:v>
      </x:c>
      <x:c r="AI59" t="n">
        <x:f>Scenario_Data!U59</x:f>
        <x:v>-210</x:v>
      </x:c>
      <x:c r="AJ59" t="n">
        <x:f>2*(SQRT((Inputs!$C$52+(Scenario_Data!C59))^2+Inputs!$C$52^2-2*(Inputs!$C$52+(Scenario_Data!C59))*Inputs!$C$52*COS(SQRT((Scenario_Data!U59)^2+Inputs!$C$6^2)/Inputs!$C$52))*1000)/Inputs!$C$21*1000000</x:f>
        <x:v>1725.8467418024873</x:v>
      </x:c>
      <x:c r="AK59" t="n">
        <x:f>Scenario_Data!V59</x:f>
        <x:v>-420</x:v>
      </x:c>
      <x:c r="AL59" t="n">
        <x:f>2*(SQRT((Inputs!$C$52+(Scenario_Data!D59))^2+Inputs!$C$52^2-2*(Inputs!$C$52+(Scenario_Data!D59))*Inputs!$C$52*COS(SQRT((Scenario_Data!V59)^2+Inputs!$C$6^2)/Inputs!$C$52))*1000)/Inputs!$C$21*1000000</x:f>
        <x:v>3656.896918210815</x:v>
      </x:c>
      <x:c r="AM59" t="n">
        <x:f>Scenario_Data!W59</x:f>
        <x:v>-420</x:v>
      </x:c>
      <x:c r="AN59" t="n">
        <x:f>2*(SQRT((Inputs!$C$52+(Scenario_Data!E59))^2+Inputs!$C$52^2-2*(Inputs!$C$52+(Scenario_Data!E59))*Inputs!$C$52*COS(SQRT((Scenario_Data!W59)^2+Inputs!$C$6^2)/Inputs!$C$52))*1000)/Inputs!$C$21*1000000</x:f>
        <x:v>3625.578721629772</x:v>
      </x:c>
      <x:c r="AP59" t="n">
        <x:f>Scenario_Data!T59</x:f>
        <x:v>-31.5</x:v>
      </x:c>
      <x:c r="AQ59" t="n">
        <x: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x:f>
        <x:v>2690.368823941855</x:v>
      </x:c>
      <x:c r="AR59" t="n">
        <x:f>Scenario_Data!U59</x:f>
        <x:v>-210</x:v>
      </x:c>
      <x:c r="AS59" t="n">
        <x: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x:f>
        <x:v>1725.305616464916</x:v>
      </x:c>
      <x:c r="AT59" t="n">
        <x:f>Scenario_Data!V59</x:f>
        <x:v>-420</x:v>
      </x:c>
      <x:c r="AU59" t="n">
        <x: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x:f>
        <x:v>3656.657350395744</x:v>
      </x:c>
      <x:c r="AV59" t="n">
        <x:f>Scenario_Data!W59</x:f>
        <x:v>-420</x:v>
      </x:c>
      <x:c r="AW59" t="n">
        <x: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x:f>
        <x:v>3625.3443038047226</x:v>
      </x:c>
    </x:row>
    <x:row r="60">
      <x:c r="A60" t="n">
        <x:f>Chart_Data!K60</x:f>
        <x:v>-31</x:v>
      </x:c>
      <x:c r="B60" t="n">
        <x:f>Chart_Data!N60-Chart_Data!L60</x:f>
        <x:v>10.459386000426377</x:v>
      </x:c>
      <x:c r="D60" t="n">
        <x:f>Chart_Data!G60</x:f>
        <x:v>-31</x:v>
      </x:c>
      <x:c r="E60" t="n">
        <x:f>Chart_Data!H60</x:f>
        <x:v>353.2610093246909</x:v>
      </x:c>
      <x:c r="F60" t="n">
        <x:f>Chart_Data!I60</x:f>
        <x:v>353.2610093246909</x:v>
      </x:c>
      <x:c r="G60" t="n">
        <x:f>Chart_Data!J60</x:f>
        <x:v>-13.189582675327635</x:v>
      </x:c>
      <x:c r="I60" t="n">
        <x:f>Scenario_Data!A60</x:f>
        <x:v>-0.517</x:v>
      </x:c>
      <x:c r="J60" t="n">
        <x:f>Scenario_Data!H60-(((SQRT((Inputs!$C$52+(Inputs!$H$6))^2+Inputs!$C$52^2-2*(Inputs!$C$52+(Inputs!$H$6))*Inputs!$C$52*COS(SQRT((Scenario_Data!T60)^2+Inputs!$C$6^2)/Inputs!$C$52)))-(Inputs!$H$6))*1000/Inputs!$C$12)</x:f>
        <x:v>-2.941433207470027</x:v>
      </x:c>
      <x:c r="K60" t="n">
        <x:f>Scenario_Data!I60-(((SQRT((Inputs!$C$52+(Inputs!$H$7))^2+Inputs!$C$52^2-2*(Inputs!$C$52+(Inputs!$H$7))*Inputs!$C$52*COS(SQRT((Scenario_Data!U60)^2+Inputs!$C$6^2)/Inputs!$C$52)))-(Inputs!$H$7))*1000/Inputs!$C$12)</x:f>
        <x:v>-31909.46264160071</x:v>
      </x:c>
      <x:c r="L60" t="n">
        <x:f>Scenario_Data!J60-(((SQRT((Inputs!$C$52+(Inputs!$H$8))^2+Inputs!$C$52^2-2*(Inputs!$C$52+(Inputs!$H$8))*Inputs!$C$52*COS(SQRT((Scenario_Data!V60)^2+Inputs!$C$6^2)/Inputs!$C$52)))-(Inputs!$H$8))*1000/Inputs!$C$12)</x:f>
        <x:v>-78648.70676173814</x:v>
      </x:c>
      <x:c r="M60" t="n">
        <x:f>Scenario_Data!K60-(((SQRT((Inputs!$C$52+(Inputs!$H$9))^2+Inputs!$C$52^2-2*(Inputs!$C$52+(Inputs!$H$9))*Inputs!$C$52*COS(SQRT((Scenario_Data!W60)^2+Inputs!$C$6^2)/Inputs!$C$52)))-(Inputs!$H$9))*1000/Inputs!$C$12)</x:f>
        <x:v>-81660.18743462116</x:v>
      </x:c>
      <x:c r="O60" t="n">
        <x:f>Scenario_Data!T60</x:f>
        <x:v>-31.02</x:v>
      </x:c>
      <x:c r="P60" t="n">
        <x:f>2*(Scenario_Data!B60*1000)/Inputs!$C$21*1000000</x:f>
        <x:v>2675.6454026605297</x:v>
      </x:c>
      <x:c r="Q60" t="n">
        <x:f>Scenario_Data!U60</x:f>
        <x:v>-206.8</x:v>
      </x:c>
      <x:c r="R60" t="n">
        <x:f>2*(Scenario_Data!C60*1000)/Inputs!$C$21*1000000</x:f>
        <x:v>884.3483647610641</x:v>
      </x:c>
      <x:c r="S60" t="n">
        <x:f>Scenario_Data!V60</x:f>
        <x:v>-413.6</x:v>
      </x:c>
      <x:c r="T60" t="n">
        <x:f>2*(Scenario_Data!D60*1000)/Inputs!$C$21*1000000</x:f>
        <x:v>1954.2445260580903</x:v>
      </x:c>
      <x:c r="U60" t="n">
        <x:f>Scenario_Data!W60</x:f>
        <x:v>-413.6</x:v>
      </x:c>
      <x:c r="V60" t="n">
        <x:f>2*(Scenario_Data!E60*1000)/Inputs!$C$21*1000000</x:f>
        <x:v>1905.3633097067436</x:v>
      </x:c>
      <x:c r="X60" t="n">
        <x:f>Scenario_Data!T60</x:f>
        <x:v>-31.02</x:v>
      </x:c>
      <x:c r="Y60" t="n">
        <x: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x:f>
        <x:v>2675.70219462797</x:v>
      </x:c>
      <x:c r="Z60" t="n">
        <x:f>Scenario_Data!U60</x:f>
        <x:v>-206.8</x:v>
      </x:c>
      <x:c r="AA60" t="n">
        <x: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x:f>
        <x:v>884.1203916379084</x:v>
      </x:c>
      <x:c r="AB60" t="n">
        <x:f>Scenario_Data!V60</x:f>
        <x:v>-413.6</x:v>
      </x:c>
      <x:c r="AC60" t="n">
        <x: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x:f>
        <x:v>1953.830454243079</x:v>
      </x:c>
      <x:c r="AD60" t="n">
        <x:f>Scenario_Data!W60</x:f>
        <x:v>-413.6</x:v>
      </x:c>
      <x:c r="AE60" t="n">
        <x: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x:f>
        <x:v>1904.9492378917325</x:v>
      </x:c>
      <x:c r="AG60" t="n">
        <x:f>Scenario_Data!T60</x:f>
        <x:v>-31.02</x:v>
      </x:c>
      <x:c r="AH60" t="n">
        <x:f>2*(SQRT((Inputs!$C$52+(Scenario_Data!B60))^2+Inputs!$C$52^2-2*(Inputs!$C$52+(Scenario_Data!B60))*Inputs!$C$52*COS(SQRT((Scenario_Data!T60)^2+Inputs!$C$6^2)/Inputs!$C$52))*1000)/Inputs!$C$21*1000000</x:f>
        <x:v>2692.1863964353583</x:v>
      </x:c>
      <x:c r="AI60" t="n">
        <x:f>Scenario_Data!U60</x:f>
        <x:v>-206.8</x:v>
      </x:c>
      <x:c r="AJ60" t="n">
        <x:f>2*(SQRT((Inputs!$C$52+(Scenario_Data!C60))^2+Inputs!$C$52^2-2*(Inputs!$C$52+(Scenario_Data!C60))*Inputs!$C$52*COS(SQRT((Scenario_Data!U60)^2+Inputs!$C$6^2)/Inputs!$C$52))*1000)/Inputs!$C$21*1000000</x:f>
        <x:v>1695.3321376263839</x:v>
      </x:c>
      <x:c r="AK60" t="n">
        <x:f>Scenario_Data!V60</x:f>
        <x:v>-413.6</x:v>
      </x:c>
      <x:c r="AL60" t="n">
        <x:f>2*(SQRT((Inputs!$C$52+(Scenario_Data!D60))^2+Inputs!$C$52^2-2*(Inputs!$C$52+(Scenario_Data!D60))*Inputs!$C$52*COS(SQRT((Scenario_Data!V60)^2+Inputs!$C$6^2)/Inputs!$C$52))*1000)/Inputs!$C$21*1000000</x:f>
        <x:v>3583.4691205577215</x:v>
      </x:c>
      <x:c r="AM60" t="n">
        <x:f>Scenario_Data!W60</x:f>
        <x:v>-413.6</x:v>
      </x:c>
      <x:c r="AN60" t="n">
        <x:f>2*(SQRT((Inputs!$C$52+(Scenario_Data!E60))^2+Inputs!$C$52^2-2*(Inputs!$C$52+(Scenario_Data!E60))*Inputs!$C$52*COS(SQRT((Scenario_Data!W60)^2+Inputs!$C$6^2)/Inputs!$C$52))*1000)/Inputs!$C$21*1000000</x:f>
        <x:v>3552.0314391676843</x:v>
      </x:c>
      <x:c r="AP60" t="n">
        <x:f>Scenario_Data!T60</x:f>
        <x:v>-31.02</x:v>
      </x:c>
      <x:c r="AQ60" t="n">
        <x: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x:f>
        <x:v>2689.879981187311</x:v>
      </x:c>
      <x:c r="AR60" t="n">
        <x:f>Scenario_Data!U60</x:f>
        <x:v>-206.8</x:v>
      </x:c>
      <x:c r="AS60" t="n">
        <x: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x:f>
        <x:v>1694.9715481778403</x:v>
      </x:c>
      <x:c r="AT60" t="n">
        <x:f>Scenario_Data!V60</x:f>
        <x:v>-413.6</x:v>
      </x:c>
      <x:c r="AU60" t="n">
        <x: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x:f>
        <x:v>3583.025074116563</x:v>
      </x:c>
      <x:c r="AV60" t="n">
        <x:f>Scenario_Data!W60</x:f>
        <x:v>-413.6</x:v>
      </x:c>
      <x:c r="AW60" t="n">
        <x: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x:f>
        <x:v>3551.5973602312506</x:v>
      </x:c>
    </x:row>
    <x:row r="61">
      <x:c r="A61" t="n">
        <x:f>Chart_Data!K61</x:f>
        <x:v>-30.5</x:v>
      </x:c>
      <x:c r="B61" t="n">
        <x:f>Chart_Data!N61-Chart_Data!L61</x:f>
        <x:v>4.900052542946412</x:v>
      </x:c>
      <x:c r="D61" t="n">
        <x:f>Chart_Data!G61</x:f>
        <x:v>-30.5</x:v>
      </x:c>
      <x:c r="E61" t="n">
        <x:f>Chart_Data!H61</x:f>
        <x:v>338.6571544092517</x:v>
      </x:c>
      <x:c r="F61" t="n">
        <x:f>Chart_Data!I61</x:f>
        <x:v>338.6571544092517</x:v>
      </x:c>
      <x:c r="G61" t="n">
        <x:f>Chart_Data!J61</x:f>
        <x:v>-7.467318037700602</x:v>
      </x:c>
      <x:c r="I61" t="n">
        <x:f>Scenario_Data!A61</x:f>
        <x:v>-0.508</x:v>
      </x:c>
      <x:c r="J61" t="n">
        <x:f>Scenario_Data!H61-(((SQRT((Inputs!$C$52+(Inputs!$H$6))^2+Inputs!$C$52^2-2*(Inputs!$C$52+(Inputs!$H$6))*Inputs!$C$52*COS(SQRT((Scenario_Data!T61)^2+Inputs!$C$6^2)/Inputs!$C$52)))-(Inputs!$H$6))*1000/Inputs!$C$12)</x:f>
        <x:v>-2.7813345652473345</x:v>
      </x:c>
      <x:c r="K61" t="n">
        <x:f>Scenario_Data!I61-(((SQRT((Inputs!$C$52+(Inputs!$H$7))^2+Inputs!$C$52^2-2*(Inputs!$C$52+(Inputs!$H$7))*Inputs!$C$52*COS(SQRT((Scenario_Data!U61)^2+Inputs!$C$6^2)/Inputs!$C$52)))-(Inputs!$H$7))*1000/Inputs!$C$12)</x:f>
        <x:v>-30887.93486067957</x:v>
      </x:c>
      <x:c r="L61" t="n">
        <x:f>Scenario_Data!J61-(((SQRT((Inputs!$C$52+(Inputs!$H$8))^2+Inputs!$C$52^2-2*(Inputs!$C$52+(Inputs!$H$8))*Inputs!$C$52*COS(SQRT((Scenario_Data!V61)^2+Inputs!$C$6^2)/Inputs!$C$52)))-(Inputs!$H$8))*1000/Inputs!$C$12)</x:f>
        <x:v>-76495.55061689255</x:v>
      </x:c>
      <x:c r="M61" t="n">
        <x:f>Scenario_Data!K61-(((SQRT((Inputs!$C$52+(Inputs!$H$9))^2+Inputs!$C$52^2-2*(Inputs!$C$52+(Inputs!$H$9))*Inputs!$C$52*COS(SQRT((Scenario_Data!W61)^2+Inputs!$C$6^2)/Inputs!$C$52)))-(Inputs!$H$9))*1000/Inputs!$C$12)</x:f>
        <x:v>-79470.82596585053</x:v>
      </x:c>
      <x:c r="O61" t="n">
        <x:f>Scenario_Data!T61</x:f>
        <x:v>-30.48</x:v>
      </x:c>
      <x:c r="P61" t="n">
        <x:f>2*(Scenario_Data!B61*1000)/Inputs!$C$21*1000000</x:f>
        <x:v>2675.3992323582734</x:v>
      </x:c>
      <x:c r="Q61" t="n">
        <x:f>Scenario_Data!U61</x:f>
        <x:v>-203.2</x:v>
      </x:c>
      <x:c r="R61" t="n">
        <x:f>2*(Scenario_Data!C61*1000)/Inputs!$C$21*1000000</x:f>
        <x:v>861.8853246801826</x:v>
      </x:c>
      <x:c r="S61" t="n">
        <x:f>Scenario_Data!V61</x:f>
        <x:v>-406.4</x:v>
      </x:c>
      <x:c r="T61" t="n">
        <x:f>2*(Scenario_Data!D61*1000)/Inputs!$C$21*1000000</x:f>
        <x:v>1894.8559406387737</x:v>
      </x:c>
      <x:c r="U61" t="n">
        <x:f>Scenario_Data!W61</x:f>
        <x:v>-406.4</x:v>
      </x:c>
      <x:c r="V61" t="n">
        <x:f>2*(Scenario_Data!E61*1000)/Inputs!$C$21*1000000</x:f>
        <x:v>1845.3592985317862</x:v>
      </x:c>
      <x:c r="X61" t="n">
        <x:f>Scenario_Data!T61</x:f>
        <x:v>-30.48</x:v>
      </x:c>
      <x:c r="Y61" t="n">
        <x: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x:f>
        <x:v>2675.4695261018783</x:v>
      </x:c>
      <x:c r="Z61" t="n">
        <x:f>Scenario_Data!U61</x:f>
        <x:v>-203.2</x:v>
      </x:c>
      <x:c r="AA61" t="n">
        <x: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x:f>
        <x:v>861.7139405611684</x:v>
      </x:c>
      <x:c r="AB61" t="n">
        <x:f>Scenario_Data!V61</x:f>
        <x:v>-406.4</x:v>
      </x:c>
      <x:c r="AC61" t="n">
        <x: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x:f>
        <x:v>1894.3114493737276</x:v>
      </x:c>
      <x:c r="AD61" t="n">
        <x:f>Scenario_Data!W61</x:f>
        <x:v>-406.4</x:v>
      </x:c>
      <x:c r="AE61" t="n">
        <x: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x:f>
        <x:v>1844.81480726674</x:v>
      </x:c>
      <x:c r="AG61" t="n">
        <x:f>Scenario_Data!T61</x:f>
        <x:v>-30.48</x:v>
      </x:c>
      <x:c r="AH61" t="n">
        <x:f>2*(SQRT((Inputs!$C$52+(Scenario_Data!B61))^2+Inputs!$C$52^2-2*(Inputs!$C$52+(Scenario_Data!B61))*Inputs!$C$52*COS(SQRT((Scenario_Data!T61)^2+Inputs!$C$6^2)/Inputs!$C$52))*1000)/Inputs!$C$21*1000000</x:f>
        <x:v>2691.596374118459</x:v>
      </x:c>
      <x:c r="AI61" t="n">
        <x:f>Scenario_Data!U61</x:f>
        <x:v>-203.2</x:v>
      </x:c>
      <x:c r="AJ61" t="n">
        <x:f>2*(SQRT((Inputs!$C$52+(Scenario_Data!C61))^2+Inputs!$C$52^2-2*(Inputs!$C$52+(Scenario_Data!C61))*Inputs!$C$52*COS(SQRT((Scenario_Data!U61)^2+Inputs!$C$6^2)/Inputs!$C$52))*1000)/Inputs!$C$21*1000000</x:f>
        <x:v>1661.27795099574</x:v>
      </x:c>
      <x:c r="AK61" t="n">
        <x:f>Scenario_Data!V61</x:f>
        <x:v>-406.4</x:v>
      </x:c>
      <x:c r="AL61" t="n">
        <x:f>2*(SQRT((Inputs!$C$52+(Scenario_Data!D61))^2+Inputs!$C$52^2-2*(Inputs!$C$52+(Scenario_Data!D61))*Inputs!$C$52*COS(SQRT((Scenario_Data!V61)^2+Inputs!$C$6^2)/Inputs!$C$52))*1000)/Inputs!$C$21*1000000</x:f>
        <x:v>3501.760091807711</x:v>
      </x:c>
      <x:c r="AM61" t="n">
        <x:f>Scenario_Data!W61</x:f>
        <x:v>-406.4</x:v>
      </x:c>
      <x:c r="AN61" t="n">
        <x:f>2*(SQRT((Inputs!$C$52+(Scenario_Data!E61))^2+Inputs!$C$52^2-2*(Inputs!$C$52+(Scenario_Data!E61))*Inputs!$C$52*COS(SQRT((Scenario_Data!W61)^2+Inputs!$C$6^2)/Inputs!$C$52))*1000)/Inputs!$C$21*1000000</x:f>
        <x:v>3470.2046174700768</x:v>
      </x:c>
      <x:c r="AP61" t="n">
        <x:f>Scenario_Data!T61</x:f>
        <x:v>-30.48</x:v>
      </x:c>
      <x:c r="AQ61" t="n">
        <x: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x:f>
        <x:v>2689.3682686667476</x:v>
      </x:c>
      <x:c r="AR61" t="n">
        <x:f>Scenario_Data!U61</x:f>
        <x:v>-203.2</x:v>
      </x:c>
      <x:c r="AS61" t="n">
        <x: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x:f>
        <x:v>1660.9821859294339</x:v>
      </x:c>
      <x:c r="AT61" t="n">
        <x:f>Scenario_Data!V61</x:f>
        <x:v>-406.4</x:v>
      </x:c>
      <x:c r="AU61" t="n">
        <x: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x:f>
        <x:v>3501.228989140432</x:v>
      </x:c>
      <x:c r="AV61" t="n">
        <x:f>Scenario_Data!W61</x:f>
        <x:v>-406.4</x:v>
      </x:c>
      <x:c r="AW61" t="n">
        <x: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x:f>
        <x:v>3469.686028659542</x:v>
      </x:c>
    </x:row>
    <x:row r="62">
      <x:c r="A62" t="n">
        <x:f>Chart_Data!K62</x:f>
        <x:v>-30</x:v>
      </x:c>
      <x:c r="B62" t="n">
        <x:f>Chart_Data!N62-Chart_Data!L62</x:f>
        <x:v>15.012442539728227</x:v>
      </x:c>
      <x:c r="D62" t="n">
        <x:f>Chart_Data!G62</x:f>
        <x:v>-30</x:v>
      </x:c>
      <x:c r="E62" t="n">
        <x:f>Chart_Data!H62</x:f>
        <x:v>336.97644838088075</x:v>
      </x:c>
      <x:c r="F62" t="n">
        <x:f>Chart_Data!I62</x:f>
        <x:v>336.97644838088075</x:v>
      </x:c>
      <x:c r="G62" t="n">
        <x:f>Chart_Data!J62</x:f>
        <x:v>-17.51801383367469</x:v>
      </x:c>
      <x:c r="I62" t="n">
        <x:f>Scenario_Data!A62</x:f>
        <x:v>-0.5</x:v>
      </x:c>
      <x:c r="J62" t="n">
        <x:f>Scenario_Data!H62-(((SQRT((Inputs!$C$52+(Inputs!$H$6))^2+Inputs!$C$52^2-2*(Inputs!$C$52+(Inputs!$H$6))*Inputs!$C$52*COS(SQRT((Scenario_Data!T62)^2+Inputs!$C$6^2)/Inputs!$C$52)))-(Inputs!$H$6))*1000/Inputs!$C$12)</x:f>
        <x:v>-2.6447875068229223</x:v>
      </x:c>
      <x:c r="K62" t="n">
        <x:f>Scenario_Data!I62-(((SQRT((Inputs!$C$52+(Inputs!$H$7))^2+Inputs!$C$52^2-2*(Inputs!$C$52+(Inputs!$H$7))*Inputs!$C$52*COS(SQRT((Scenario_Data!U62)^2+Inputs!$C$6^2)/Inputs!$C$52)))-(Inputs!$H$7))*1000/Inputs!$C$12)</x:f>
        <x:v>-29988.524239953986</x:v>
      </x:c>
      <x:c r="L62" t="n">
        <x:f>Scenario_Data!J62-(((SQRT((Inputs!$C$52+(Inputs!$H$8))^2+Inputs!$C$52^2-2*(Inputs!$C$52+(Inputs!$H$8))*Inputs!$C$52*COS(SQRT((Scenario_Data!V62)^2+Inputs!$C$6^2)/Inputs!$C$52)))-(Inputs!$H$8))*1000/Inputs!$C$12)</x:f>
        <x:v>-74588.34383380503</x:v>
      </x:c>
      <x:c r="M62" t="n">
        <x:f>Scenario_Data!K62-(((SQRT((Inputs!$C$52+(Inputs!$H$9))^2+Inputs!$C$52^2-2*(Inputs!$C$52+(Inputs!$H$9))*Inputs!$C$52*COS(SQRT((Scenario_Data!W62)^2+Inputs!$C$6^2)/Inputs!$C$52)))-(Inputs!$H$9))*1000/Inputs!$C$12)</x:f>
        <x:v>-77530.75464681152</x:v>
      </x:c>
      <x:c r="O62" t="n">
        <x:f>Scenario_Data!T62</x:f>
        <x:v>-30</x:v>
      </x:c>
      <x:c r="P62" t="n">
        <x:f>2*(Scenario_Data!B62*1000)/Inputs!$C$21*1000000</x:f>
        <x:v>2675.184043489179</x:v>
      </x:c>
      <x:c r="Q62" t="n">
        <x:f>Scenario_Data!U62</x:f>
        <x:v>-200</x:v>
      </x:c>
      <x:c r="R62" t="n">
        <x:f>2*(Scenario_Data!C62*1000)/Inputs!$C$21*1000000</x:f>
        <x:v>842.2493403753339</x:v>
      </x:c>
      <x:c r="S62" t="n">
        <x:f>Scenario_Data!V62</x:f>
        <x:v>-400</x:v>
      </x:c>
      <x:c r="T62" t="n">
        <x:f>2*(Scenario_Data!D62*1000)/Inputs!$C$21*1000000</x:f>
        <x:v>1842.9416259697903</x:v>
      </x:c>
      <x:c r="U62" t="n">
        <x:f>Scenario_Data!W62</x:f>
        <x:v>-400</x:v>
      </x:c>
      <x:c r="V62" t="n">
        <x:f>2*(Scenario_Data!E62*1000)/Inputs!$C$21*1000000</x:f>
        <x:v>1792.9070116900673</x:v>
      </x:c>
      <x:c r="X62" t="n">
        <x:f>Scenario_Data!T62</x:f>
        <x:v>-30</x:v>
      </x:c>
      <x:c r="Y62" t="n">
        <x: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x:f>
        <x:v>2675.3009110978614</x:v>
      </x:c>
      <x:c r="Z62" t="n">
        <x:f>Scenario_Data!U62</x:f>
        <x:v>-200</x:v>
      </x:c>
      <x:c r="AA62" t="n">
        <x: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x:f>
        <x:v>842.0910391477134</x:v>
      </x:c>
      <x:c r="AB62" t="n">
        <x:f>Scenario_Data!V62</x:f>
        <x:v>-400</x:v>
      </x:c>
      <x:c r="AC62" t="n">
        <x: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x:f>
        <x:v>1842.8570097666186</x:v>
      </x:c>
      <x:c r="AD62" t="n">
        <x:f>Scenario_Data!W62</x:f>
        <x:v>-400</x:v>
      </x:c>
      <x:c r="AE62" t="n">
        <x: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x:f>
        <x:v>1792.8223954868956</x:v>
      </x:c>
      <x:c r="AG62" t="n">
        <x:f>Scenario_Data!T62</x:f>
        <x:v>-30</x:v>
      </x:c>
      <x:c r="AH62" t="n">
        <x:f>2*(SQRT((Inputs!$C$52+(Scenario_Data!B62))^2+Inputs!$C$52^2-2*(Inputs!$C$52+(Scenario_Data!B62))*Inputs!$C$52*COS(SQRT((Scenario_Data!T62)^2+Inputs!$C$6^2)/Inputs!$C$52))*1000)/Inputs!$C$21*1000000</x:f>
        <x:v>2691.0805307414003</x:v>
      </x:c>
      <x:c r="AI62" t="n">
        <x:f>Scenario_Data!U62</x:f>
        <x:v>-200</x:v>
      </x:c>
      <x:c r="AJ62" t="n">
        <x:f>2*(SQRT((Inputs!$C$52+(Scenario_Data!C62))^2+Inputs!$C$52^2-2*(Inputs!$C$52+(Scenario_Data!C62))*Inputs!$C$52*COS(SQRT((Scenario_Data!U62)^2+Inputs!$C$6^2)/Inputs!$C$52))*1000)/Inputs!$C$21*1000000</x:f>
        <x:v>1631.2498263703887</x:v>
      </x:c>
      <x:c r="AK62" t="n">
        <x:f>Scenario_Data!V62</x:f>
        <x:v>-400</x:v>
      </x:c>
      <x:c r="AL62" t="n">
        <x:f>2*(SQRT((Inputs!$C$52+(Scenario_Data!D62))^2+Inputs!$C$52^2-2*(Inputs!$C$52+(Scenario_Data!D62))*Inputs!$C$52*COS(SQRT((Scenario_Data!V62)^2+Inputs!$C$6^2)/Inputs!$C$52))*1000)/Inputs!$C$21*1000000</x:f>
        <x:v>3429.9213186632924</x:v>
      </x:c>
      <x:c r="AM62" t="n">
        <x:f>Scenario_Data!W62</x:f>
        <x:v>-400</x:v>
      </x:c>
      <x:c r="AN62" t="n">
        <x:f>2*(SQRT((Inputs!$C$52+(Scenario_Data!E62))^2+Inputs!$C$52^2-2*(Inputs!$C$52+(Scenario_Data!E62))*Inputs!$C$52*COS(SQRT((Scenario_Data!W62)^2+Inputs!$C$6^2)/Inputs!$C$52))*1000)/Inputs!$C$21*1000000</x:f>
        <x:v>3398.275856941299</x:v>
      </x:c>
      <x:c r="AP62" t="n">
        <x:f>Scenario_Data!T62</x:f>
        <x:v>-30</x:v>
      </x:c>
      <x:c r="AQ62" t="n">
        <x: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x:f>
        <x:v>2688.849181231688</x:v>
      </x:c>
      <x:c r="AR62" t="n">
        <x:f>Scenario_Data!U62</x:f>
        <x:v>-200</x:v>
      </x:c>
      <x:c r="AS62" t="n">
        <x: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x:f>
        <x:v>1630.7962996352992</x:v>
      </x:c>
      <x:c r="AT62" t="n">
        <x:f>Scenario_Data!V62</x:f>
        <x:v>-400</x:v>
      </x:c>
      <x:c r="AU62" t="n">
        <x: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x:f>
        <x:v>3429.6338635999455</x:v>
      </x:c>
      <x:c r="AV62" t="n">
        <x:f>Scenario_Data!W62</x:f>
        <x:v>-400</x:v>
      </x:c>
      <x:c r="AW62" t="n">
        <x: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x:f>
        <x:v>3397.995470414696</x:v>
      </x:c>
    </x:row>
    <x:row r="63">
      <x:c r="A63" t="n">
        <x:f>Chart_Data!K63</x:f>
        <x:v>-29.5</x:v>
      </x:c>
      <x:c r="B63" t="n">
        <x:f>Chart_Data!N63-Chart_Data!L63</x:f>
        <x:v>33.78877449254139</x:v>
      </x:c>
      <x:c r="D63" t="n">
        <x:f>Chart_Data!G63</x:f>
        <x:v>-29.5</x:v>
      </x:c>
      <x:c r="E63" t="n">
        <x:f>Chart_Data!H63</x:f>
        <x:v>326.24732503276135</x:v>
      </x:c>
      <x:c r="F63" t="n">
        <x:f>Chart_Data!I63</x:f>
        <x:v>326.24732503276135</x:v>
      </x:c>
      <x:c r="G63" t="n">
        <x:f>Chart_Data!J63</x:f>
        <x:v>-36.167878297776255</x:v>
      </x:c>
      <x:c r="I63" t="n">
        <x:f>Scenario_Data!A63</x:f>
        <x:v>-0.492</x:v>
      </x:c>
      <x:c r="J63" t="n">
        <x:f>Scenario_Data!H63-(((SQRT((Inputs!$C$52+(Inputs!$H$6))^2+Inputs!$C$52^2-2*(Inputs!$C$52+(Inputs!$H$6))*Inputs!$C$52*COS(SQRT((Scenario_Data!T63)^2+Inputs!$C$6^2)/Inputs!$C$52)))-(Inputs!$H$6))*1000/Inputs!$C$12)</x:f>
        <x:v>-2.513509340354176</x:v>
      </x:c>
      <x:c r="K63" t="n">
        <x:f>Scenario_Data!I63-(((SQRT((Inputs!$C$52+(Inputs!$H$7))^2+Inputs!$C$52^2-2*(Inputs!$C$52+(Inputs!$H$7))*Inputs!$C$52*COS(SQRT((Scenario_Data!U63)^2+Inputs!$C$6^2)/Inputs!$C$52)))-(Inputs!$H$7))*1000/Inputs!$C$12)</x:f>
        <x:v>-29097.435135520733</x:v>
      </x:c>
      <x:c r="L63" t="n">
        <x:f>Scenario_Data!J63-(((SQRT((Inputs!$C$52+(Inputs!$H$8))^2+Inputs!$C$52^2-2*(Inputs!$C$52+(Inputs!$H$8))*Inputs!$C$52*COS(SQRT((Scenario_Data!V63)^2+Inputs!$C$6^2)/Inputs!$C$52)))-(Inputs!$H$8))*1000/Inputs!$C$12)</x:f>
        <x:v>-72687.99278310628</x:v>
      </x:c>
      <x:c r="M63" t="n">
        <x:f>Scenario_Data!K63-(((SQRT((Inputs!$C$52+(Inputs!$H$9))^2+Inputs!$C$52^2-2*(Inputs!$C$52+(Inputs!$H$9))*Inputs!$C$52*COS(SQRT((Scenario_Data!W63)^2+Inputs!$C$6^2)/Inputs!$C$52)))-(Inputs!$H$9))*1000/Inputs!$C$12)</x:f>
        <x:v>-75596.89314596457</x:v>
      </x:c>
      <x:c r="O63" t="n">
        <x:f>Scenario_Data!T63</x:f>
        <x:v>-29.52</x:v>
      </x:c>
      <x:c r="P63" t="n">
        <x:f>2*(Scenario_Data!B63*1000)/Inputs!$C$21*1000000</x:f>
        <x:v>2674.9722703164202</x:v>
      </x:c>
      <x:c r="Q63" t="n">
        <x:f>Scenario_Data!U63</x:f>
        <x:v>-196.8</x:v>
      </x:c>
      <x:c r="R63" t="n">
        <x:f>2*(Scenario_Data!C63*1000)/Inputs!$C$21*1000000</x:f>
        <x:v>822.9250383610386</x:v>
      </x:c>
      <x:c r="S63" t="n">
        <x:f>Scenario_Data!V63</x:f>
        <x:v>-393.6</x:v>
      </x:c>
      <x:c r="T63" t="n">
        <x:f>2*(Scenario_Data!D63*1000)/Inputs!$C$21*1000000</x:f>
        <x:v>1791.851348041584</x:v>
      </x:c>
      <x:c r="U63" t="n">
        <x:f>Scenario_Data!W63</x:f>
        <x:v>-393.6</x:v>
      </x:c>
      <x:c r="V63" t="n">
        <x:f>2*(Scenario_Data!E63*1000)/Inputs!$C$21*1000000</x:f>
        <x:v>1741.2873008299634</x:v>
      </x:c>
      <x:c r="X63" t="n">
        <x:f>Scenario_Data!T63</x:f>
        <x:v>-29.52</x:v>
      </x:c>
      <x:c r="Y63" t="n">
        <x: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x:f>
        <x:v>2675.1900720308854</x:v>
      </x:c>
      <x:c r="Z63" t="n">
        <x:f>Scenario_Data!U63</x:f>
        <x:v>-196.8</x:v>
      </x:c>
      <x:c r="AA63" t="n">
        <x: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x:f>
        <x:v>822.5520747808995</x:v>
      </x:c>
      <x:c r="AB63" t="n">
        <x:f>Scenario_Data!V63</x:f>
        <x:v>-393.6</x:v>
      </x:c>
      <x:c r="AC63" t="n">
        <x: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x:f>
        <x:v>1791.3583570829956</x:v>
      </x:c>
      <x:c r="AD63" t="n">
        <x:f>Scenario_Data!W63</x:f>
        <x:v>-393.6</x:v>
      </x:c>
      <x:c r="AE63" t="n">
        <x: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x:f>
        <x:v>1740.7943098713745</x:v>
      </x:c>
      <x:c r="AG63" t="n">
        <x:f>Scenario_Data!T63</x:f>
        <x:v>-29.52</x:v>
      </x:c>
      <x:c r="AH63" t="n">
        <x:f>2*(SQRT((Inputs!$C$52+(Scenario_Data!B63))^2+Inputs!$C$52^2-2*(Inputs!$C$52+(Scenario_Data!B63))*Inputs!$C$52*COS(SQRT((Scenario_Data!T63)^2+Inputs!$C$6^2)/Inputs!$C$52))*1000)/Inputs!$C$21*1000000</x:f>
        <x:v>2690.572804703775</x:v>
      </x:c>
      <x:c r="AI63" t="n">
        <x:f>Scenario_Data!U63</x:f>
        <x:v>-196.8</x:v>
      </x:c>
      <x:c r="AJ63" t="n">
        <x:f>2*(SQRT((Inputs!$C$52+(Scenario_Data!C63))^2+Inputs!$C$52^2-2*(Inputs!$C$52+(Scenario_Data!C63))*Inputs!$C$52*COS(SQRT((Scenario_Data!U63)^2+Inputs!$C$6^2)/Inputs!$C$52))*1000)/Inputs!$C$21*1000000</x:f>
        <x:v>1601.4478772869256</x:v>
      </x:c>
      <x:c r="AK63" t="n">
        <x:f>Scenario_Data!V63</x:f>
        <x:v>-393.6</x:v>
      </x:c>
      <x:c r="AL63" t="n">
        <x:f>2*(SQRT((Inputs!$C$52+(Scenario_Data!D63))^2+Inputs!$C$52^2-2*(Inputs!$C$52+(Scenario_Data!D63))*Inputs!$C$52*COS(SQRT((Scenario_Data!V63)^2+Inputs!$C$6^2)/Inputs!$C$52))*1000)/Inputs!$C$21*1000000</x:f>
        <x:v>3358.8216005216295</x:v>
      </x:c>
      <x:c r="AM63" t="n">
        <x:f>Scenario_Data!W63</x:f>
        <x:v>-393.6</x:v>
      </x:c>
      <x:c r="AN63" t="n">
        <x:f>2*(SQRT((Inputs!$C$52+(Scenario_Data!E63))^2+Inputs!$C$52^2-2*(Inputs!$C$52+(Scenario_Data!E63))*Inputs!$C$52*COS(SQRT((Scenario_Data!W63)^2+Inputs!$C$6^2)/Inputs!$C$52))*1000)/Inputs!$C$21*1000000</x:f>
        <x:v>3327.0999332019856</x:v>
      </x:c>
      <x:c r="AP63" t="n">
        <x:f>Scenario_Data!T63</x:f>
        <x:v>-29.52</x:v>
      </x:c>
      <x:c r="AQ63" t="n">
        <x: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x:f>
        <x:v>2688.418530040225</x:v>
      </x:c>
      <x:c r="AR63" t="n">
        <x:f>Scenario_Data!U63</x:f>
        <x:v>-196.8</x:v>
      </x:c>
      <x:c r="AS63" t="n">
        <x: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x:f>
        <x:v>1600.8913289068564</x:v>
      </x:c>
      <x:c r="AT63" t="n">
        <x:f>Scenario_Data!V63</x:f>
        <x:v>-393.6</x:v>
      </x:c>
      <x:c r="AU63" t="n">
        <x: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x:f>
        <x:v>3358.2164161547216</x:v>
      </x:c>
      <x:c r="AV63" t="n">
        <x:f>Scenario_Data!W63</x:f>
        <x:v>-393.6</x:v>
      </x:c>
      <x:c r="AW63" t="n">
        <x: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x:f>
        <x:v>3326.510290593986</x:v>
      </x:c>
    </x:row>
    <x:row r="64">
      <x:c r="A64" t="n">
        <x:f>Chart_Data!K64</x:f>
        <x:v>-29</x:v>
      </x:c>
      <x:c r="B64" t="n">
        <x:f>Chart_Data!N64-Chart_Data!L64</x:f>
        <x:v>20.49029057069845</x:v>
      </x:c>
      <x:c r="D64" t="n">
        <x:f>Chart_Data!G64</x:f>
        <x:v>-29</x:v>
      </x:c>
      <x:c r="E64" t="n">
        <x:f>Chart_Data!H64</x:f>
        <x:v>331.8773601232655</x:v>
      </x:c>
      <x:c r="F64" t="n">
        <x:f>Chart_Data!I64</x:f>
        <x:v>331.8773601232655</x:v>
      </x:c>
      <x:c r="G64" t="n">
        <x:f>Chart_Data!J64</x:f>
        <x:v>-22.86382175599607</x:v>
      </x:c>
      <x:c r="I64" t="n">
        <x:f>Scenario_Data!A64</x:f>
        <x:v>-0.483</x:v>
      </x:c>
      <x:c r="J64" t="n">
        <x:f>Scenario_Data!H64-(((SQRT((Inputs!$C$52+(Inputs!$H$6))^2+Inputs!$C$52^2-2*(Inputs!$C$52+(Inputs!$H$6))*Inputs!$C$52*COS(SQRT((Scenario_Data!T64)^2+Inputs!$C$6^2)/Inputs!$C$52)))-(Inputs!$H$6))*1000/Inputs!$C$12)</x:f>
        <x:v>-2.371937016364882</x:v>
      </x:c>
      <x:c r="K64" t="n">
        <x:f>Scenario_Data!I64-(((SQRT((Inputs!$C$52+(Inputs!$H$7))^2+Inputs!$C$52^2-2*(Inputs!$C$52+(Inputs!$H$7))*Inputs!$C$52*COS(SQRT((Scenario_Data!U64)^2+Inputs!$C$6^2)/Inputs!$C$52)))-(Inputs!$H$7))*1000/Inputs!$C$12)</x:f>
        <x:v>-28105.166881478122</x:v>
      </x:c>
      <x:c r="L64" t="n">
        <x:f>Scenario_Data!J64-(((SQRT((Inputs!$C$52+(Inputs!$H$8))^2+Inputs!$C$52^2-2*(Inputs!$C$52+(Inputs!$H$8))*Inputs!$C$52*COS(SQRT((Scenario_Data!V64)^2+Inputs!$C$6^2)/Inputs!$C$52)))-(Inputs!$H$8))*1000/Inputs!$C$12)</x:f>
        <x:v>-70558.9565452948</x:v>
      </x:c>
      <x:c r="M64" t="n">
        <x:f>Scenario_Data!K64-(((SQRT((Inputs!$C$52+(Inputs!$H$9))^2+Inputs!$C$52^2-2*(Inputs!$C$52+(Inputs!$H$9))*Inputs!$C$52*COS(SQRT((Scenario_Data!W64)^2+Inputs!$C$6^2)/Inputs!$C$52)))-(Inputs!$H$9))*1000/Inputs!$C$12)</x:f>
        <x:v>-73429.38122625276</x:v>
      </x:c>
      <x:c r="O64" t="n">
        <x:f>Scenario_Data!T64</x:f>
        <x:v>-28.98</x:v>
      </x:c>
      <x:c r="P64" t="n">
        <x:f>2*(Scenario_Data!B64*1000)/Inputs!$C$21*1000000</x:f>
        <x:v>2674.738108321591</x:v>
      </x:c>
      <x:c r="Q64" t="n">
        <x:f>Scenario_Data!U64</x:f>
        <x:v>-193.2</x:v>
      </x:c>
      <x:c r="R64" t="n">
        <x:f>2*(Scenario_Data!C64*1000)/Inputs!$C$21*1000000</x:f>
        <x:v>801.5577563328827</x:v>
      </x:c>
      <x:c r="S64" t="n">
        <x:f>Scenario_Data!V64</x:f>
        <x:v>-386.4</x:v>
      </x:c>
      <x:c r="T64" t="n">
        <x:f>2*(Scenario_Data!D64*1000)/Inputs!$C$21*1000000</x:f>
        <x:v>1735.3597667890629</x:v>
      </x:c>
      <x:c r="U64" t="n">
        <x:f>Scenario_Data!W64</x:f>
        <x:v>-386.4</x:v>
      </x:c>
      <x:c r="V64" t="n">
        <x:f>2*(Scenario_Data!E64*1000)/Inputs!$C$21*1000000</x:f>
        <x:v>1684.2103145903689</x:v>
      </x:c>
      <x:c r="X64" t="n">
        <x:f>Scenario_Data!T64</x:f>
        <x:v>-28.98</x:v>
      </x:c>
      <x:c r="Y64" t="n">
        <x: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x:f>
        <x:v>2674.966604122772</x:v>
      </x:c>
      <x:c r="Z64" t="n">
        <x:f>Scenario_Data!U64</x:f>
        <x:v>-193.2</x:v>
      </x:c>
      <x:c r="AA64" t="n">
        <x: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x:f>
        <x:v>800.788445167925</x:v>
      </x:c>
      <x:c r="AB64" t="n">
        <x:f>Scenario_Data!V64</x:f>
        <x:v>-386.4</x:v>
      </x:c>
      <x:c r="AC64" t="n">
        <x: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x:f>
        <x:v>1735.3520404808078</x:v>
      </x:c>
      <x:c r="AD64" t="n">
        <x:f>Scenario_Data!W64</x:f>
        <x:v>-386.4</x:v>
      </x:c>
      <x:c r="AE64" t="n">
        <x: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x:f>
        <x:v>1684.2025882821138</x:v>
      </x:c>
      <x:c r="AG64" t="n">
        <x:f>Scenario_Data!T64</x:f>
        <x:v>-28.98</x:v>
      </x:c>
      <x:c r="AH64" t="n">
        <x:f>2*(SQRT((Inputs!$C$52+(Scenario_Data!B64))^2+Inputs!$C$52^2-2*(Inputs!$C$52+(Scenario_Data!B64))*Inputs!$C$52*COS(SQRT((Scenario_Data!T64)^2+Inputs!$C$6^2)/Inputs!$C$52))*1000)/Inputs!$C$21*1000000</x:f>
        <x:v>2690.0113198410036</x:v>
      </x:c>
      <x:c r="AI64" t="n">
        <x:f>Scenario_Data!U64</x:f>
        <x:v>-193.2</x:v>
      </x:c>
      <x:c r="AJ64" t="n">
        <x:f>2*(SQRT((Inputs!$C$52+(Scenario_Data!C64))^2+Inputs!$C$52^2-2*(Inputs!$C$52+(Scenario_Data!C64))*Inputs!$C$52*COS(SQRT((Scenario_Data!U64)^2+Inputs!$C$6^2)/Inputs!$C$52))*1000)/Inputs!$C$21*1000000</x:f>
        <x:v>1568.18884339574</x:v>
      </x:c>
      <x:c r="AK64" t="n">
        <x:f>Scenario_Data!V64</x:f>
        <x:v>-386.4</x:v>
      </x:c>
      <x:c r="AL64" t="n">
        <x:f>2*(SQRT((Inputs!$C$52+(Scenario_Data!D64))^2+Inputs!$C$52^2-2*(Inputs!$C$52+(Scenario_Data!D64))*Inputs!$C$52*COS(SQRT((Scenario_Data!V64)^2+Inputs!$C$6^2)/Inputs!$C$52))*1000)/Inputs!$C$21*1000000</x:f>
        <x:v>3279.710632319749</x:v>
      </x:c>
      <x:c r="AM64" t="n">
        <x:f>Scenario_Data!W64</x:f>
        <x:v>-386.4</x:v>
      </x:c>
      <x:c r="AN64" t="n">
        <x:f>2*(SQRT((Inputs!$C$52+(Scenario_Data!E64))^2+Inputs!$C$52^2-2*(Inputs!$C$52+(Scenario_Data!E64))*Inputs!$C$52*COS(SQRT((Scenario_Data!W64)^2+Inputs!$C$6^2)/Inputs!$C$52))*1000)/Inputs!$C$21*1000000</x:f>
        <x:v>3247.9196088934864</x:v>
      </x:c>
      <x:c r="AP64" t="n">
        <x:f>Scenario_Data!T64</x:f>
        <x:v>-28.98</x:v>
      </x:c>
      <x:c r="AQ64" t="n">
        <x: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x:f>
        <x:v>2687.9354849524943</x:v>
      </x:c>
      <x:c r="AR64" t="n">
        <x:f>Scenario_Data!U64</x:f>
        <x:v>-193.2</x:v>
      </x:c>
      <x:c r="AS64" t="n">
        <x: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x:f>
        <x:v>1567.6371166506372</x:v>
      </x:c>
      <x:c r="AT64" t="n">
        <x:f>Scenario_Data!V64</x:f>
        <x:v>-386.4</x:v>
      </x:c>
      <x:c r="AU64" t="n">
        <x: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x:f>
        <x:v>3279.379574445211</x:v>
      </x:c>
      <x:c r="AV64" t="n">
        <x:f>Scenario_Data!W64</x:f>
        <x:v>-386.4</x:v>
      </x:c>
      <x:c r="AW64" t="n">
        <x: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x:f>
        <x:v>3247.597471574157</x:v>
      </x:c>
    </x:row>
    <x:row r="65">
      <x:c r="A65" t="n">
        <x:f>Chart_Data!K65</x:f>
        <x:v>-28.5</x:v>
      </x:c>
      <x:c r="B65" t="n">
        <x:f>Chart_Data!N65-Chart_Data!L65</x:f>
        <x:v>27.55558811212802</x:v>
      </x:c>
      <x:c r="D65" t="n">
        <x:f>Chart_Data!G65</x:f>
        <x:v>-28.5</x:v>
      </x:c>
      <x:c r="E65" t="n">
        <x:f>Chart_Data!H65</x:f>
        <x:v>310.24247262167495</x:v>
      </x:c>
      <x:c r="F65" t="n">
        <x:f>Chart_Data!I65</x:f>
        <x:v>310.24247262167495</x:v>
      </x:c>
      <x:c r="G65" t="n">
        <x:f>Chart_Data!J65</x:f>
        <x:v>-29.731374520275047</x:v>
      </x:c>
      <x:c r="I65" t="n">
        <x:f>Scenario_Data!A65</x:f>
        <x:v>-0.475</x:v>
      </x:c>
      <x:c r="J65" t="n">
        <x:f>Scenario_Data!H65-(((SQRT((Inputs!$C$52+(Inputs!$H$6))^2+Inputs!$C$52^2-2*(Inputs!$C$52+(Inputs!$H$6))*Inputs!$C$52*COS(SQRT((Scenario_Data!T65)^2+Inputs!$C$6^2)/Inputs!$C$52)))-(Inputs!$H$6))*1000/Inputs!$C$12)</x:f>
        <x:v>-2.251371436165755</x:v>
      </x:c>
      <x:c r="K65" t="n">
        <x:f>Scenario_Data!I65-(((SQRT((Inputs!$C$52+(Inputs!$H$7))^2+Inputs!$C$52^2-2*(Inputs!$C$52+(Inputs!$H$7))*Inputs!$C$52*COS(SQRT((Scenario_Data!U65)^2+Inputs!$C$6^2)/Inputs!$C$52)))-(Inputs!$H$7))*1000/Inputs!$C$12)</x:f>
        <x:v>-27232.458450313294</x:v>
      </x:c>
      <x:c r="L65" t="n">
        <x:f>Scenario_Data!J65-(((SQRT((Inputs!$C$52+(Inputs!$H$8))^2+Inputs!$C$52^2-2*(Inputs!$C$52+(Inputs!$H$8))*Inputs!$C$52*COS(SQRT((Scenario_Data!V65)^2+Inputs!$C$6^2)/Inputs!$C$52)))-(Inputs!$H$8))*1000/Inputs!$C$12)</x:f>
        <x:v>-68674.96006151366</x:v>
      </x:c>
      <x:c r="M65" t="n">
        <x:f>Scenario_Data!K65-(((SQRT((Inputs!$C$52+(Inputs!$H$9))^2+Inputs!$C$52^2-2*(Inputs!$C$52+(Inputs!$H$9))*Inputs!$C$52*COS(SQRT((Scenario_Data!W65)^2+Inputs!$C$6^2)/Inputs!$C$52)))-(Inputs!$H$9))*1000/Inputs!$C$12)</x:f>
        <x:v>-71510.49050705163</x:v>
      </x:c>
      <x:c r="O65" t="n">
        <x:f>Scenario_Data!T65</x:f>
        <x:v>-28.5</x:v>
      </x:c>
      <x:c r="P65" t="n">
        <x:f>2*(Scenario_Data!B65*1000)/Inputs!$C$21*1000000</x:f>
        <x:v>2674.5335935035428</x:v>
      </x:c>
      <x:c r="Q65" t="n">
        <x:f>Scenario_Data!U65</x:f>
        <x:v>-190</x:v>
      </x:c>
      <x:c r="R65" t="n">
        <x:f>2*(Scenario_Data!C65*1000)/Inputs!$C$21*1000000</x:f>
        <x:v>782.8957791860126</x:v>
      </x:c>
      <x:c r="S65" t="n">
        <x:f>Scenario_Data!V65</x:f>
        <x:v>-380</x:v>
      </x:c>
      <x:c r="T65" t="n">
        <x:f>2*(Scenario_Data!D65*1000)/Inputs!$C$21*1000000</x:f>
        <x:v>1686.0205669350094</x:v>
      </x:c>
      <x:c r="U65" t="n">
        <x:f>Scenario_Data!W65</x:f>
        <x:v>-380</x:v>
      </x:c>
      <x:c r="V65" t="n">
        <x:f>2*(Scenario_Data!E65*1000)/Inputs!$C$21*1000000</x:f>
        <x:v>1634.3598276911957</x:v>
      </x:c>
      <x:c r="X65" t="n">
        <x:f>Scenario_Data!T65</x:f>
        <x:v>-28.5</x:v>
      </x:c>
      <x:c r="Y65" t="n">
        <x: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x:f>
        <x:v>2674.73193988436</x:v>
      </x:c>
      <x:c r="Z65" t="n">
        <x:f>Scenario_Data!U65</x:f>
        <x:v>-190</x:v>
      </x:c>
      <x:c r="AA65" t="n">
        <x: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x:f>
        <x:v>782.182758595004</x:v>
      </x:c>
      <x:c r="AB65" t="n">
        <x:f>Scenario_Data!V65</x:f>
        <x:v>-380</x:v>
      </x:c>
      <x:c r="AC65" t="n">
        <x: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x:f>
        <x:v>1686.2442602676774</x:v>
      </x:c>
      <x:c r="AD65" t="n">
        <x:f>Scenario_Data!W65</x:f>
        <x:v>-380</x:v>
      </x:c>
      <x:c r="AE65" t="n">
        <x: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x:f>
        <x:v>1634.5835210238636</x:v>
      </x:c>
      <x:c r="AG65" t="n">
        <x:f>Scenario_Data!T65</x:f>
        <x:v>-28.5</x:v>
      </x:c>
      <x:c r="AH65" t="n">
        <x:f>2*(SQRT((Inputs!$C$52+(Scenario_Data!B65))^2+Inputs!$C$52^2-2*(Inputs!$C$52+(Scenario_Data!B65))*Inputs!$C$52*COS(SQRT((Scenario_Data!T65)^2+Inputs!$C$6^2)/Inputs!$C$52))*1000)/Inputs!$C$21*1000000</x:f>
        <x:v>2689.520854217586</x:v>
      </x:c>
      <x:c r="AI65" t="n">
        <x:f>Scenario_Data!U65</x:f>
        <x:v>-190</x:v>
      </x:c>
      <x:c r="AJ65" t="n">
        <x:f>2*(SQRT((Inputs!$C$52+(Scenario_Data!C65))^2+Inputs!$C$52^2-2*(Inputs!$C$52+(Scenario_Data!C65))*Inputs!$C$52*COS(SQRT((Scenario_Data!U65)^2+Inputs!$C$6^2)/Inputs!$C$52))*1000)/Inputs!$C$21*1000000</x:f>
        <x:v>1538.8616802693725</x:v>
      </x:c>
      <x:c r="AK65" t="n">
        <x:f>Scenario_Data!V65</x:f>
        <x:v>-380</x:v>
      </x:c>
      <x:c r="AL65" t="n">
        <x:f>2*(SQRT((Inputs!$C$52+(Scenario_Data!D65))^2+Inputs!$C$52^2-2*(Inputs!$C$52+(Scenario_Data!D65))*Inputs!$C$52*COS(SQRT((Scenario_Data!V65)^2+Inputs!$C$6^2)/Inputs!$C$52))*1000)/Inputs!$C$21*1000000</x:f>
        <x:v>3210.1620844044405</x:v>
      </x:c>
      <x:c r="AM65" t="n">
        <x:f>Scenario_Data!W65</x:f>
        <x:v>-380</x:v>
      </x:c>
      <x:c r="AN65" t="n">
        <x:f>2*(SQRT((Inputs!$C$52+(Scenario_Data!E65))^2+Inputs!$C$52^2-2*(Inputs!$C$52+(Scenario_Data!E65))*Inputs!$C$52*COS(SQRT((Scenario_Data!W65)^2+Inputs!$C$6^2)/Inputs!$C$52))*1000)/Inputs!$C$21*1000000</x:f>
        <x:v>3178.323865680885</x:v>
      </x:c>
      <x:c r="AP65" t="n">
        <x:f>Scenario_Data!T65</x:f>
        <x:v>-28.5</x:v>
      </x:c>
      <x:c r="AQ65" t="n">
        <x: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x:f>
        <x:v>2687.4656545086355</x:v>
      </x:c>
      <x:c r="AR65" t="n">
        <x:f>Scenario_Data!U65</x:f>
        <x:v>-190</x:v>
      </x:c>
      <x:c r="AS65" t="n">
        <x: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x:f>
        <x:v>1538.2795008459386</x:v>
      </x:c>
      <x:c r="AT65" t="n">
        <x:f>Scenario_Data!V65</x:f>
        <x:v>-380</x:v>
      </x:c>
      <x:c r="AU65" t="n">
        <x: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x:f>
        <x:v>3209.819190900689</x:v>
      </x:c>
      <x:c r="AV65" t="n">
        <x:f>Scenario_Data!W65</x:f>
        <x:v>-380</x:v>
      </x:c>
      <x:c r="AW65" t="n">
        <x: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x:f>
        <x:v>3177.990618415184</x:v>
      </x:c>
    </x:row>
    <x:row r="66">
      <x:c r="A66" t="n">
        <x:f>Chart_Data!K66</x:f>
        <x:v>-28</x:v>
      </x:c>
      <x:c r="B66" t="n">
        <x:f>Chart_Data!N66-Chart_Data!L66</x:f>
        <x:v>50.86297851600432</x:v>
      </x:c>
      <x:c r="D66" t="n">
        <x:f>Chart_Data!G66</x:f>
        <x:v>-28</x:v>
      </x:c>
      <x:c r="E66" t="n">
        <x:f>Chart_Data!H66</x:f>
        <x:v>313.2831784265769</x:v>
      </x:c>
      <x:c r="F66" t="n">
        <x:f>Chart_Data!I66</x:f>
        <x:v>313.2831784265769</x:v>
      </x:c>
      <x:c r="G66" t="n">
        <x:f>Chart_Data!J66</x:f>
        <x:v>-53.01751827704016</x:v>
      </x:c>
      <x:c r="I66" t="n">
        <x:f>Scenario_Data!A66</x:f>
        <x:v>-0.467</x:v>
      </x:c>
      <x:c r="J66" t="n">
        <x:f>Scenario_Data!H66-(((SQRT((Inputs!$C$52+(Inputs!$H$6))^2+Inputs!$C$52^2-2*(Inputs!$C$52+(Inputs!$H$6))*Inputs!$C$52*COS(SQRT((Scenario_Data!T66)^2+Inputs!$C$6^2)/Inputs!$C$52)))-(Inputs!$H$6))*1000/Inputs!$C$12)</x:f>
        <x:v>-2.13562408544135</x:v>
      </x:c>
      <x:c r="K66" t="n">
        <x:f>Scenario_Data!I66-(((SQRT((Inputs!$C$52+(Inputs!$H$7))^2+Inputs!$C$52^2-2*(Inputs!$C$52+(Inputs!$H$7))*Inputs!$C$52*COS(SQRT((Scenario_Data!U66)^2+Inputs!$C$6^2)/Inputs!$C$52)))-(Inputs!$H$7))*1000/Inputs!$C$12)</x:f>
        <x:v>-26368.73485292532</x:v>
      </x:c>
      <x:c r="L66" t="n">
        <x:f>Scenario_Data!J66-(((SQRT((Inputs!$C$52+(Inputs!$H$8))^2+Inputs!$C$52^2-2*(Inputs!$C$52+(Inputs!$H$8))*Inputs!$C$52*COS(SQRT((Scenario_Data!V66)^2+Inputs!$C$6^2)/Inputs!$C$52)))-(Inputs!$H$8))*1000/Inputs!$C$12)</x:f>
        <x:v>-66799.53002109205</x:v>
      </x:c>
      <x:c r="M66" t="n">
        <x:f>Scenario_Data!K66-(((SQRT((Inputs!$C$52+(Inputs!$H$9))^2+Inputs!$C$52^2-2*(Inputs!$C$52+(Inputs!$H$9))*Inputs!$C$52*COS(SQRT((Scenario_Data!W66)^2+Inputs!$C$6^2)/Inputs!$C$52)))-(Inputs!$H$9))*1000/Inputs!$C$12)</x:f>
        <x:v>-69599.51053278937</x:v>
      </x:c>
      <x:c r="O66" t="n">
        <x:f>Scenario_Data!T66</x:f>
        <x:v>-28.020000000000003</x:v>
      </x:c>
      <x:c r="P66" t="n">
        <x:f>2*(Scenario_Data!B66*1000)/Inputs!$C$21*1000000</x:f>
        <x:v>2674.33249438183</x:v>
      </x:c>
      <x:c r="Q66" t="n">
        <x:f>Scenario_Data!U66</x:f>
        <x:v>-186.80000000000004</x:v>
      </x:c>
      <x:c r="R66" t="n">
        <x:f>2*(Scenario_Data!C66*1000)/Inputs!$C$21*1000000</x:f>
        <x:v>764.545484329696</x:v>
      </x:c>
      <x:c r="S66" t="n">
        <x:f>Scenario_Data!V66</x:f>
        <x:v>-373.6000000000001</x:v>
      </x:c>
      <x:c r="T66" t="n">
        <x:f>2*(Scenario_Data!D66*1000)/Inputs!$C$21*1000000</x:f>
        <x:v>1637.5054038217336</x:v>
      </x:c>
      <x:c r="U66" t="n">
        <x:f>Scenario_Data!W66</x:f>
        <x:v>-373.6000000000001</x:v>
      </x:c>
      <x:c r="V66" t="n">
        <x:f>2*(Scenario_Data!E66*1000)/Inputs!$C$21*1000000</x:f>
        <x:v>1585.3419167736374</x:v>
      </x:c>
      <x:c r="X66" t="n">
        <x:f>Scenario_Data!T66</x:f>
        <x:v>-28.020000000000003</x:v>
      </x:c>
      <x:c r="Y66" t="n">
        <x: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x:f>
        <x:v>2674.723922285471</x:v>
      </x:c>
      <x:c r="Z66" t="n">
        <x:f>Scenario_Data!U66</x:f>
        <x:v>-186.80000000000004</x:v>
      </x:c>
      <x:c r="AA66" t="n">
        <x: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x:f>
        <x:v>764.2997508213764</x:v>
      </x:c>
      <x:c r="AB66" t="n">
        <x:f>Scenario_Data!V66</x:f>
        <x:v>-373.6000000000001</x:v>
      </x:c>
      <x:c r="AC66" t="n">
        <x: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x:f>
        <x:v>1637.3177434988154</x:v>
      </x:c>
      <x:c r="AD66" t="n">
        <x:f>Scenario_Data!W66</x:f>
        <x:v>-373.6000000000001</x:v>
      </x:c>
      <x:c r="AE66" t="n">
        <x: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x:f>
        <x:v>1585.154256450719</x:v>
      </x:c>
      <x:c r="AG66" t="n">
        <x:f>Scenario_Data!T66</x:f>
        <x:v>-28.020000000000003</x:v>
      </x:c>
      <x:c r="AH66" t="n">
        <x:f>2*(SQRT((Inputs!$C$52+(Scenario_Data!B66))^2+Inputs!$C$52^2-2*(Inputs!$C$52+(Scenario_Data!B66))*Inputs!$C$52*COS(SQRT((Scenario_Data!T66)^2+Inputs!$C$6^2)/Inputs!$C$52))*1000)/Inputs!$C$21*1000000</x:f>
        <x:v>2689.038516240782</x:v>
      </x:c>
      <x:c r="AI66" t="n">
        <x:f>Scenario_Data!U66</x:f>
        <x:v>-186.80000000000004</x:v>
      </x:c>
      <x:c r="AJ66" t="n">
        <x:f>2*(SQRT((Inputs!$C$52+(Scenario_Data!C66))^2+Inputs!$C$52^2-2*(Inputs!$C$52+(Scenario_Data!C66))*Inputs!$C$52*COS(SQRT((Scenario_Data!U66)^2+Inputs!$C$6^2)/Inputs!$C$52))*1000)/Inputs!$C$21*1000000</x:f>
        <x:v>1509.7552162254726</x:v>
      </x:c>
      <x:c r="AK66" t="n">
        <x:f>Scenario_Data!V66</x:f>
        <x:v>-373.6000000000001</x:v>
      </x:c>
      <x:c r="AL66" t="n">
        <x:f>2*(SQRT((Inputs!$C$52+(Scenario_Data!D66))^2+Inputs!$C$52^2-2*(Inputs!$C$52+(Scenario_Data!D66))*Inputs!$C$52*COS(SQRT((Scenario_Data!V66)^2+Inputs!$C$6^2)/Inputs!$C$52))*1000)/Inputs!$C$21*1000000</x:f>
        <x:v>3141.3341110240226</x:v>
      </x:c>
      <x:c r="AM66" t="n">
        <x:f>Scenario_Data!W66</x:f>
        <x:v>-373.6000000000001</x:v>
      </x:c>
      <x:c r="AN66" t="n">
        <x:f>2*(SQRT((Inputs!$C$52+(Scenario_Data!E66))^2+Inputs!$C$52^2-2*(Inputs!$C$52+(Scenario_Data!E66))*Inputs!$C$52*COS(SQRT((Scenario_Data!W66)^2+Inputs!$C$6^2)/Inputs!$C$52))*1000)/Inputs!$C$21*1000000</x:f>
        <x:v>3109.462192200807</x:v>
      </x:c>
      <x:c r="AP66" t="n">
        <x:f>Scenario_Data!T66</x:f>
        <x:v>-28.020000000000003</x:v>
      </x:c>
      <x:c r="AQ66" t="n">
        <x: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x:f>
        <x:v>2686.9865062165222</x:v>
      </x:c>
      <x:c r="AR66" t="n">
        <x:f>Scenario_Data!U66</x:f>
        <x:v>-186.80000000000004</x:v>
      </x:c>
      <x:c r="AS66" t="n">
        <x: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x:f>
        <x:v>1509.2748460225423</x:v>
      </x:c>
      <x:c r="AT66" t="n">
        <x:f>Scenario_Data!V66</x:f>
        <x:v>-373.6000000000001</x:v>
      </x:c>
      <x:c r="AU66" t="n">
        <x: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x:f>
        <x:v>3140.868117715043</x:v>
      </x:c>
      <x:c r="AV66" t="n">
        <x:f>Scenario_Data!W66</x:f>
        <x:v>-373.6000000000001</x:v>
      </x:c>
      <x:c r="AW66" t="n">
        <x: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x:f>
        <x:v>3109.009887937512</x:v>
      </x:c>
    </x:row>
    <x:row r="67">
      <x:c r="A67" t="n">
        <x:f>Chart_Data!K67</x:f>
        <x:v>-27.5</x:v>
      </x:c>
      <x:c r="B67" t="n">
        <x:f>Chart_Data!N67-Chart_Data!L67</x:f>
        <x:v>61.019347257300694</x:v>
      </x:c>
      <x:c r="D67" t="n">
        <x:f>Chart_Data!G67</x:f>
        <x:v>-27.5</x:v>
      </x:c>
      <x:c r="E67" t="n">
        <x:f>Chart_Data!H67</x:f>
        <x:v>296.8437612590685</x:v>
      </x:c>
      <x:c r="F67" t="n">
        <x:f>Chart_Data!I67</x:f>
        <x:v>296.8437612590685</x:v>
      </x:c>
      <x:c r="G67" t="n">
        <x:f>Chart_Data!J67</x:f>
        <x:v>-63.02108594889231</x:v>
      </x:c>
      <x:c r="I67" t="n">
        <x:f>Scenario_Data!A67</x:f>
        <x:v>-0.458</x:v>
      </x:c>
      <x:c r="J67" t="n">
        <x:f>Scenario_Data!H67-(((SQRT((Inputs!$C$52+(Inputs!$H$6))^2+Inputs!$C$52^2-2*(Inputs!$C$52+(Inputs!$H$6))*Inputs!$C$52*COS(SQRT((Scenario_Data!T67)^2+Inputs!$C$6^2)/Inputs!$C$52)))-(Inputs!$H$6))*1000/Inputs!$C$12)</x:f>
        <x:v>-2.0109937508048006</x:v>
      </x:c>
      <x:c r="K67" t="n">
        <x:f>Scenario_Data!I67-(((SQRT((Inputs!$C$52+(Inputs!$H$7))^2+Inputs!$C$52^2-2*(Inputs!$C$52+(Inputs!$H$7))*Inputs!$C$52*COS(SQRT((Scenario_Data!U67)^2+Inputs!$C$6^2)/Inputs!$C$52)))-(Inputs!$H$7))*1000/Inputs!$C$12)</x:f>
        <x:v>-25408.05819572629</x:v>
      </x:c>
      <x:c r="L67" t="n">
        <x:f>Scenario_Data!J67-(((SQRT((Inputs!$C$52+(Inputs!$H$8))^2+Inputs!$C$52^2-2*(Inputs!$C$52+(Inputs!$H$8))*Inputs!$C$52*COS(SQRT((Scenario_Data!V67)^2+Inputs!$C$6^2)/Inputs!$C$52)))-(Inputs!$H$8))*1000/Inputs!$C$12)</x:f>
        <x:v>-64700.62896395361</x:v>
      </x:c>
      <x:c r="M67" t="n">
        <x:f>Scenario_Data!K67-(((SQRT((Inputs!$C$52+(Inputs!$H$9))^2+Inputs!$C$52^2-2*(Inputs!$C$52+(Inputs!$H$9))*Inputs!$C$52*COS(SQRT((Scenario_Data!W67)^2+Inputs!$C$6^2)/Inputs!$C$52)))-(Inputs!$H$9))*1000/Inputs!$C$12)</x:f>
        <x:v>-67459.82912343887</x:v>
      </x:c>
      <x:c r="O67" t="n">
        <x:f>Scenario_Data!T67</x:f>
        <x:v>-27.479999999999997</x:v>
      </x:c>
      <x:c r="P67" t="n">
        <x:f>2*(Scenario_Data!B67*1000)/Inputs!$C$21*1000000</x:f>
        <x:v>2674.1103406944285</x:v>
      </x:c>
      <x:c r="Q67" t="n">
        <x:f>Scenario_Data!U67</x:f>
        <x:v>-183.2</x:v>
      </x:c>
      <x:c r="R67" t="n">
        <x:f>2*(Scenario_Data!C67*1000)/Inputs!$C$21*1000000</x:f>
        <x:v>744.2739603542661</x:v>
      </x:c>
      <x:c r="S67" t="n">
        <x:f>Scenario_Data!V67</x:f>
        <x:v>-366.4</x:v>
      </x:c>
      <x:c r="T67" t="n">
        <x:f>2*(Scenario_Data!D67*1000)/Inputs!$C$21*1000000</x:f>
        <x:v>1583.910826736008</x:v>
      </x:c>
      <x:c r="U67" t="n">
        <x:f>Scenario_Data!W67</x:f>
        <x:v>-366.4</x:v>
      </x:c>
      <x:c r="V67" t="n">
        <x:f>2*(Scenario_Data!E67*1000)/Inputs!$C$21*1000000</x:f>
        <x:v>1531.1919554694066</x:v>
      </x:c>
      <x:c r="X67" t="n">
        <x:f>Scenario_Data!T67</x:f>
        <x:v>-27.479999999999997</x:v>
      </x:c>
      <x:c r="Y67" t="n">
        <x: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x:f>
        <x:v>2674.5566383706246</x:v>
      </x:c>
      <x:c r="Z67" t="n">
        <x:f>Scenario_Data!U67</x:f>
        <x:v>-183.2</x:v>
      </x:c>
      <x:c r="AA67" t="n">
        <x: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x:f>
        <x:v>744.2996706468294</x:v>
      </x:c>
      <x:c r="AB67" t="n">
        <x:f>Scenario_Data!V67</x:f>
        <x:v>-366.4</x:v>
      </x:c>
      <x:c r="AC67" t="n">
        <x: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x:f>
        <x:v>1584.1474784934792</x:v>
      </x:c>
      <x:c r="AD67" t="n">
        <x:f>Scenario_Data!W67</x:f>
        <x:v>-366.4</x:v>
      </x:c>
      <x:c r="AE67" t="n">
        <x: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x:f>
        <x:v>1531.4286072268776</x:v>
      </x:c>
      <x:c r="AG67" t="n">
        <x:f>Scenario_Data!T67</x:f>
        <x:v>-27.479999999999997</x:v>
      </x:c>
      <x:c r="AH67" t="n">
        <x:f>2*(SQRT((Inputs!$C$52+(Scenario_Data!B67))^2+Inputs!$C$52^2-2*(Inputs!$C$52+(Scenario_Data!B67))*Inputs!$C$52*COS(SQRT((Scenario_Data!T67)^2+Inputs!$C$6^2)/Inputs!$C$52))*1000)/Inputs!$C$21*1000000</x:f>
        <x:v>2688.505605067754</x:v>
      </x:c>
      <x:c r="AI67" t="n">
        <x:f>Scenario_Data!U67</x:f>
        <x:v>-183.2</x:v>
      </x:c>
      <x:c r="AJ67" t="n">
        <x:f>2*(SQRT((Inputs!$C$52+(Scenario_Data!C67))^2+Inputs!$C$52^2-2*(Inputs!$C$52+(Scenario_Data!C67))*Inputs!$C$52*COS(SQRT((Scenario_Data!U67)^2+Inputs!$C$6^2)/Inputs!$C$52))*1000)/Inputs!$C$21*1000000</x:f>
        <x:v>1477.272095393459</x:v>
      </x:c>
      <x:c r="AK67" t="n">
        <x:f>Scenario_Data!V67</x:f>
        <x:v>-366.4</x:v>
      </x:c>
      <x:c r="AL67" t="n">
        <x:f>2*(SQRT((Inputs!$C$52+(Scenario_Data!D67))^2+Inputs!$C$52^2-2*(Inputs!$C$52+(Scenario_Data!D67))*Inputs!$C$52*COS(SQRT((Scenario_Data!V67)^2+Inputs!$C$6^2)/Inputs!$C$52))*1000)/Inputs!$C$21*1000000</x:f>
        <x:v>3064.7562292393345</x:v>
      </x:c>
      <x:c r="AM67" t="n">
        <x:f>Scenario_Data!W67</x:f>
        <x:v>-366.4</x:v>
      </x:c>
      <x:c r="AN67" t="n">
        <x:f>2*(SQRT((Inputs!$C$52+(Scenario_Data!E67))^2+Inputs!$C$52^2-2*(Inputs!$C$52+(Scenario_Data!E67))*Inputs!$C$52*COS(SQRT((Scenario_Data!W67)^2+Inputs!$C$6^2)/Inputs!$C$52))*1000)/Inputs!$C$21*1000000</x:f>
        <x:v>3032.8623798858607</x:v>
      </x:c>
      <x:c r="AP67" t="n">
        <x:f>Scenario_Data!T67</x:f>
        <x:v>-27.479999999999997</x:v>
      </x:c>
      <x:c r="AQ67" t="n">
        <x: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x:f>
        <x:v>2686.576366733176</x:v>
      </x:c>
      <x:c r="AR67" t="n">
        <x:f>Scenario_Data!U67</x:f>
        <x:v>-183.2</x:v>
      </x:c>
      <x:c r="AS67" t="n">
        <x: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x:f>
        <x:v>1477.0077782495264</x:v>
      </x:c>
      <x:c r="AT67" t="n">
        <x:f>Scenario_Data!V67</x:f>
        <x:v>-366.4</x:v>
      </x:c>
      <x:c r="AU67" t="n">
        <x: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x:f>
        <x:v>3064.463120167224</x:v>
      </x:c>
      <x:c r="AV67" t="n">
        <x:f>Scenario_Data!W67</x:f>
        <x:v>-366.4</x:v>
      </x:c>
      <x:c r="AW67" t="n">
        <x: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x:f>
        <x:v>3032.5783074211417</x:v>
      </x:c>
    </x:row>
    <x:row r="68">
      <x:c r="A68" t="n">
        <x:f>Chart_Data!K68</x:f>
        <x:v>-27</x:v>
      </x:c>
      <x:c r="B68" t="n">
        <x:f>Chart_Data!N68-Chart_Data!L68</x:f>
        <x:v>67.75840286432714</x:v>
      </x:c>
      <x:c r="D68" t="n">
        <x:f>Chart_Data!G68</x:f>
        <x:v>-27</x:v>
      </x:c>
      <x:c r="E68" t="n">
        <x:f>Chart_Data!H68</x:f>
        <x:v>289.34226854097847</x:v>
      </x:c>
      <x:c r="F68" t="n">
        <x:f>Chart_Data!I68</x:f>
        <x:v>289.34226854097847</x:v>
      </x:c>
      <x:c r="G68" t="n">
        <x:f>Chart_Data!J68</x:f>
        <x:v>-69.67153928411518</x:v>
      </x:c>
      <x:c r="I68" t="n">
        <x:f>Scenario_Data!A68</x:f>
        <x:v>-0.45</x:v>
      </x:c>
      <x:c r="J68" t="n">
        <x:f>Scenario_Data!H68-(((SQRT((Inputs!$C$52+(Inputs!$H$6))^2+Inputs!$C$52^2-2*(Inputs!$C$52+(Inputs!$H$6))*Inputs!$C$52*COS(SQRT((Scenario_Data!T68)^2+Inputs!$C$6^2)/Inputs!$C$52)))-(Inputs!$H$6))*1000/Inputs!$C$12)</x:f>
        <x:v>-1.9050240415085682</x:v>
      </x:c>
      <x:c r="K68" t="n">
        <x:f>Scenario_Data!I68-(((SQRT((Inputs!$C$52+(Inputs!$H$7))^2+Inputs!$C$52^2-2*(Inputs!$C$52+(Inputs!$H$7))*Inputs!$C$52*COS(SQRT((Scenario_Data!U68)^2+Inputs!$C$6^2)/Inputs!$C$52)))-(Inputs!$H$7))*1000/Inputs!$C$12)</x:f>
        <x:v>-24564.158312691114</x:v>
      </x:c>
      <x:c r="L68" t="n">
        <x:f>Scenario_Data!J68-(((SQRT((Inputs!$C$52+(Inputs!$H$8))^2+Inputs!$C$52^2-2*(Inputs!$C$52+(Inputs!$H$8))*Inputs!$C$52*COS(SQRT((Scenario_Data!V68)^2+Inputs!$C$6^2)/Inputs!$C$52)))-(Inputs!$H$8))*1000/Inputs!$C$12)</x:f>
        <x:v>-62845.33421508742</x:v>
      </x:c>
      <x:c r="M68" t="n">
        <x:f>Scenario_Data!K68-(((SQRT((Inputs!$C$52+(Inputs!$H$9))^2+Inputs!$C$52^2-2*(Inputs!$C$52+(Inputs!$H$9))*Inputs!$C$52*COS(SQRT((Scenario_Data!W68)^2+Inputs!$C$6^2)/Inputs!$C$52)))-(Inputs!$H$9))*1000/Inputs!$C$12)</x:f>
        <x:v>-65567.5837894667</x:v>
      </x:c>
      <x:c r="O68" t="n">
        <x:f>Scenario_Data!T68</x:f>
        <x:v>-27</x:v>
      </x:c>
      <x:c r="P68" t="n">
        <x:f>2*(Scenario_Data!B68*1000)/Inputs!$C$21*1000000</x:f>
        <x:v>2673.9164999274262</x:v>
      </x:c>
      <x:c r="Q68" t="n">
        <x:f>Scenario_Data!U68</x:f>
        <x:v>-179.99999999999997</x:v>
      </x:c>
      <x:c r="R68" t="n">
        <x:f>2*(Scenario_Data!C68*1000)/Inputs!$C$21*1000000</x:f>
        <x:v>726.5859903653746</x:v>
      </x:c>
      <x:c r="S68" t="n">
        <x:f>Scenario_Data!V68</x:f>
        <x:v>-359.99999999999994</x:v>
      </x:c>
      <x:c r="T68" t="n">
        <x:f>2*(Scenario_Data!D68*1000)/Inputs!$C$21*1000000</x:f>
        <x:v>1537.146741696884</x:v>
      </x:c>
      <x:c r="U68" t="n">
        <x:f>Scenario_Data!W68</x:f>
        <x:v>-359.99999999999994</x:v>
      </x:c>
      <x:c r="V68" t="n">
        <x:f>2*(Scenario_Data!E68*1000)/Inputs!$C$21*1000000</x:f>
        <x:v>1483.9432685127788</x:v>
      </x:c>
      <x:c r="X68" t="n">
        <x:f>Scenario_Data!T68</x:f>
        <x:v>-27</x:v>
      </x:c>
      <x:c r="Y68" t="n">
        <x: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x:f>
        <x:v>2674.381298406674</x:v>
      </x:c>
      <x:c r="Z68" t="n">
        <x:f>Scenario_Data!U68</x:f>
        <x:v>-179.99999999999997</x:v>
      </x:c>
      <x:c r="AA68" t="n">
        <x: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x:f>
        <x:v>726.3902763702735</x:v>
      </x:c>
      <x:c r="AB68" t="n">
        <x:f>Scenario_Data!V68</x:f>
        <x:v>-359.99999999999994</x:v>
      </x:c>
      <x:c r="AC68" t="n">
        <x: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x:f>
        <x:v>1537.2156175815205</x:v>
      </x:c>
      <x:c r="AD68" t="n">
        <x:f>Scenario_Data!W68</x:f>
        <x:v>-359.99999999999994</x:v>
      </x:c>
      <x:c r="AE68" t="n">
        <x: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x:f>
        <x:v>1484.0121443974156</x:v>
      </x:c>
      <x:c r="AG68" t="n">
        <x:f>Scenario_Data!T68</x:f>
        <x:v>-27</x:v>
      </x:c>
      <x:c r="AH68" t="n">
        <x:f>2*(SQRT((Inputs!$C$52+(Scenario_Data!B68))^2+Inputs!$C$52^2-2*(Inputs!$C$52+(Scenario_Data!B68))*Inputs!$C$52*COS(SQRT((Scenario_Data!T68)^2+Inputs!$C$6^2)/Inputs!$C$52))*1000)/Inputs!$C$21*1000000</x:f>
        <x:v>2688.0405488767533</x:v>
      </x:c>
      <x:c r="AI68" t="n">
        <x:f>Scenario_Data!U68</x:f>
        <x:v>-179.99999999999997</x:v>
      </x:c>
      <x:c r="AJ68" t="n">
        <x:f>2*(SQRT((Inputs!$C$52+(Scenario_Data!C68))^2+Inputs!$C$52^2-2*(Inputs!$C$52+(Scenario_Data!C68))*Inputs!$C$52*COS(SQRT((Scenario_Data!U68)^2+Inputs!$C$6^2)/Inputs!$C$52))*1000)/Inputs!$C$21*1000000</x:f>
        <x:v>1448.628895361848</x:v>
      </x:c>
      <x:c r="AK68" t="n">
        <x:f>Scenario_Data!V68</x:f>
        <x:v>-359.99999999999994</x:v>
      </x:c>
      <x:c r="AL68" t="n">
        <x:f>2*(SQRT((Inputs!$C$52+(Scenario_Data!D68))^2+Inputs!$C$52^2-2*(Inputs!$C$52+(Scenario_Data!D68))*Inputs!$C$52*COS(SQRT((Scenario_Data!V68)^2+Inputs!$C$6^2)/Inputs!$C$52))*1000)/Inputs!$C$21*1000000</x:f>
        <x:v>2997.4387220817075</x:v>
      </x:c>
      <x:c r="AM68" t="n">
        <x:f>Scenario_Data!W68</x:f>
        <x:v>-359.99999999999994</x:v>
      </x:c>
      <x:c r="AN68" t="n">
        <x:f>2*(SQRT((Inputs!$C$52+(Scenario_Data!E68))^2+Inputs!$C$52^2-2*(Inputs!$C$52+(Scenario_Data!E68))*Inputs!$C$52*COS(SQRT((Scenario_Data!W68)^2+Inputs!$C$6^2)/Inputs!$C$52))*1000)/Inputs!$C$21*1000000</x:f>
        <x:v>2965.539435665303</x:v>
      </x:c>
      <x:c r="AP68" t="n">
        <x:f>Scenario_Data!T68</x:f>
        <x:v>-27</x:v>
      </x:c>
      <x:c r="AQ68" t="n">
        <x: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x:f>
        <x:v>2686.1230281089606</x:v>
      </x:c>
      <x:c r="AR68" t="n">
        <x:f>Scenario_Data!U68</x:f>
        <x:v>-179.99999999999997</x:v>
      </x:c>
      <x:c r="AS68" t="n">
        <x: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x:f>
        <x:v>1448.2038804819972</x:v>
      </x:c>
      <x:c r="AT68" t="n">
        <x:f>Scenario_Data!V68</x:f>
        <x:v>-359.99999999999994</x:v>
      </x:c>
      <x:c r="AU68" t="n">
        <x: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x:f>
        <x:v>2997.1693225152612</x:v>
      </x:c>
      <x:c r="AV68" t="n">
        <x:f>Scenario_Data!W68</x:f>
        <x:v>-359.99999999999994</x:v>
      </x:c>
      <x:c r="AW68" t="n">
        <x: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x:f>
        <x:v>2965.278708244999</x:v>
      </x:c>
    </x:row>
    <x:row r="69">
      <x:c r="A69" t="n">
        <x:f>Chart_Data!K69</x:f>
        <x:v>-26.5</x:v>
      </x:c>
      <x:c r="B69" t="n">
        <x:f>Chart_Data!N69-Chart_Data!L69</x:f>
        <x:v>76.23568800363364</x:v>
      </x:c>
      <x:c r="D69" t="n">
        <x:f>Chart_Data!G69</x:f>
        <x:v>-26.5</x:v>
      </x:c>
      <x:c r="E69" t="n">
        <x:f>Chart_Data!H69</x:f>
        <x:v>290.55977847508683</x:v>
      </x:c>
      <x:c r="F69" t="n">
        <x:f>Chart_Data!I69</x:f>
        <x:v>290.55977847508683</x:v>
      </x:c>
      <x:c r="G69" t="n">
        <x:f>Chart_Data!J69</x:f>
        <x:v>-78.11942002863731</x:v>
      </x:c>
      <x:c r="I69" t="n">
        <x:f>Scenario_Data!A69</x:f>
        <x:v>-0.442</x:v>
      </x:c>
      <x:c r="J69" t="n">
        <x:f>Scenario_Data!H69-(((SQRT((Inputs!$C$52+(Inputs!$H$6))^2+Inputs!$C$52^2-2*(Inputs!$C$52+(Inputs!$H$6))*Inputs!$C$52*COS(SQRT((Scenario_Data!T69)^2+Inputs!$C$6^2)/Inputs!$C$52)))-(Inputs!$H$6))*1000/Inputs!$C$12)</x:f>
        <x:v>-1.8034433360094226</x:v>
      </x:c>
      <x:c r="K69" t="n">
        <x:f>Scenario_Data!I69-(((SQRT((Inputs!$C$52+(Inputs!$H$7))^2+Inputs!$C$52^2-2*(Inputs!$C$52+(Inputs!$H$7))*Inputs!$C$52*COS(SQRT((Scenario_Data!U69)^2+Inputs!$C$6^2)/Inputs!$C$52)))-(Inputs!$H$7))*1000/Inputs!$C$12)</x:f>
        <x:v>-23729.938248077422</x:v>
      </x:c>
      <x:c r="L69" t="n">
        <x:f>Scenario_Data!J69-(((SQRT((Inputs!$C$52+(Inputs!$H$8))^2+Inputs!$C$52^2-2*(Inputs!$C$52+(Inputs!$H$8))*Inputs!$C$52*COS(SQRT((Scenario_Data!V69)^2+Inputs!$C$6^2)/Inputs!$C$52)))-(Inputs!$H$8))*1000/Inputs!$C$12)</x:f>
        <x:v>-61000.45522179082</x:v>
      </x:c>
      <x:c r="M69" t="n">
        <x:f>Scenario_Data!K69-(((SQRT((Inputs!$C$52+(Inputs!$H$9))^2+Inputs!$C$52^2-2*(Inputs!$C$52+(Inputs!$H$9))*Inputs!$C$52*COS(SQRT((Scenario_Data!W69)^2+Inputs!$C$6^2)/Inputs!$C$52)))-(Inputs!$H$9))*1000/Inputs!$C$12)</x:f>
        <x:v>-63685.092564364764</x:v>
      </x:c>
      <x:c r="O69" t="n">
        <x:f>Scenario_Data!T69</x:f>
        <x:v>-26.519999999999996</x:v>
      </x:c>
      <x:c r="P69" t="n">
        <x:f>2*(Scenario_Data!B69*1000)/Inputs!$C$21*1000000</x:f>
        <x:v>2673.7260748567596</x:v>
      </x:c>
      <x:c r="Q69" t="n">
        <x:f>Scenario_Data!U69</x:f>
        <x:v>-176.79999999999998</x:v>
      </x:c>
      <x:c r="R69" t="n">
        <x:f>2*(Scenario_Data!C69*1000)/Inputs!$C$21*1000000</x:f>
        <x:v>709.2097026670363</x:v>
      </x:c>
      <x:c r="S69" t="n">
        <x:f>Scenario_Data!V69</x:f>
        <x:v>-353.59999999999997</x:v>
      </x:c>
      <x:c r="T69" t="n">
        <x:f>2*(Scenario_Data!D69*1000)/Inputs!$C$21*1000000</x:f>
        <x:v>1491.2066933985375</x:v>
      </x:c>
      <x:c r="U69" t="n">
        <x:f>Scenario_Data!W69</x:f>
        <x:v>-353.59999999999997</x:v>
      </x:c>
      <x:c r="V69" t="n">
        <x:f>2*(Scenario_Data!E69*1000)/Inputs!$C$21*1000000</x:f>
        <x:v>1437.5271575377656</x:v>
      </x:c>
      <x:c r="X69" t="n">
        <x:f>Scenario_Data!T69</x:f>
        <x:v>-26.519999999999996</x:v>
      </x:c>
      <x:c r="Y69" t="n">
        <x: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x:f>
        <x:v>2674.3335334564645</x:v>
      </x:c>
      <x:c r="Z69" t="n">
        <x:f>Scenario_Data!U69</x:f>
        <x:v>-176.79999999999998</x:v>
      </x:c>
      <x:c r="AA69" t="n">
        <x: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x:f>
        <x:v>708.5965223973278</x:v>
      </x:c>
      <x:c r="AB69" t="n">
        <x:f>Scenario_Data!V69</x:f>
        <x:v>-353.59999999999997</x:v>
      </x:c>
      <x:c r="AC69" t="n">
        <x: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x:f>
        <x:v>1491.014051093174</x:v>
      </x:c>
      <x:c r="AD69" t="n">
        <x:f>Scenario_Data!W69</x:f>
        <x:v>-353.59999999999997</x:v>
      </x:c>
      <x:c r="AE69" t="n">
        <x: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x:f>
        <x:v>1437.3345152324018</x:v>
      </x:c>
      <x:c r="AG69" t="n">
        <x:f>Scenario_Data!T69</x:f>
        <x:v>-26.519999999999996</x:v>
      </x:c>
      <x:c r="AH69" t="n">
        <x:f>2*(SQRT((Inputs!$C$52+(Scenario_Data!B69))^2+Inputs!$C$52^2-2*(Inputs!$C$52+(Scenario_Data!B69))*Inputs!$C$52*COS(SQRT((Scenario_Data!T69)^2+Inputs!$C$6^2)/Inputs!$C$52))*1000)/Inputs!$C$21*1000000</x:f>
        <x:v>2687.5836301386457</x:v>
      </x:c>
      <x:c r="AI69" t="n">
        <x:f>Scenario_Data!U69</x:f>
        <x:v>-176.79999999999998</x:v>
      </x:c>
      <x:c r="AJ69" t="n">
        <x:f>2*(SQRT((Inputs!$C$52+(Scenario_Data!C69))^2+Inputs!$C$52^2-2*(Inputs!$C$52+(Scenario_Data!C69))*Inputs!$C$52*COS(SQRT((Scenario_Data!U69)^2+Inputs!$C$6^2)/Inputs!$C$52))*1000)/Inputs!$C$21*1000000</x:f>
        <x:v>1420.2010523856848</x:v>
      </x:c>
      <x:c r="AK69" t="n">
        <x:f>Scenario_Data!V69</x:f>
        <x:v>-353.59999999999997</x:v>
      </x:c>
      <x:c r="AL69" t="n">
        <x:f>2*(SQRT((Inputs!$C$52+(Scenario_Data!D69))^2+Inputs!$C$52^2-2*(Inputs!$C$52+(Scenario_Data!D69))*Inputs!$C$52*COS(SQRT((Scenario_Data!V69)^2+Inputs!$C$6^2)/Inputs!$C$52))*1000)/Inputs!$C$21*1000000</x:f>
        <x:v>2930.821956828647</x:v>
      </x:c>
      <x:c r="AM69" t="n">
        <x:f>Scenario_Data!W69</x:f>
        <x:v>-353.59999999999997</x:v>
      </x:c>
      <x:c r="AN69" t="n">
        <x:f>2*(SQRT((Inputs!$C$52+(Scenario_Data!E69))^2+Inputs!$C$52^2-2*(Inputs!$C$52+(Scenario_Data!E69))*Inputs!$C$52*COS(SQRT((Scenario_Data!W69)^2+Inputs!$C$6^2)/Inputs!$C$52))*1000)/Inputs!$C$21*1000000</x:f>
        <x:v>2898.930305024403</x:v>
      </x:c>
      <x:c r="AP69" t="n">
        <x:f>Scenario_Data!T69</x:f>
        <x:v>-26.519999999999996</x:v>
      </x:c>
      <x:c r="AQ69" t="n">
        <x: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x:f>
        <x:v>2685.7641048695896</x:v>
      </x:c>
      <x:c r="AR69" t="n">
        <x:f>Scenario_Data!U69</x:f>
        <x:v>-176.79999999999998</x:v>
      </x:c>
      <x:c r="AS69" t="n">
        <x: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x:f>
        <x:v>1419.563933171673</x:v>
      </x:c>
      <x:c r="AT69" t="n">
        <x:f>Scenario_Data!V69</x:f>
        <x:v>-353.59999999999997</x:v>
      </x:c>
      <x:c r="AU69" t="n">
        <x: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x:f>
        <x:v>2930.290863262151</x:v>
      </x:c>
      <x:c r="AV69" t="n">
        <x:f>Scenario_Data!W69</x:f>
        <x:v>-353.59999999999997</x:v>
      </x:c>
      <x:c r="AW69" t="n">
        <x: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x:f>
        <x:v>2898.417070837936</x:v>
      </x:c>
    </x:row>
    <x:row r="70">
      <x:c r="A70" t="n">
        <x:f>Chart_Data!K70</x:f>
        <x:v>-26</x:v>
      </x:c>
      <x:c r="B70" t="n">
        <x:f>Chart_Data!N70-Chart_Data!L70</x:f>
        <x:v>80.44622831250399</x:v>
      </x:c>
      <x:c r="D70" t="n">
        <x:f>Chart_Data!G70</x:f>
        <x:v>-26</x:v>
      </x:c>
      <x:c r="E70" t="n">
        <x:f>Chart_Data!H70</x:f>
        <x:v>271.74352983421755</x:v>
      </x:c>
      <x:c r="F70" t="n">
        <x:f>Chart_Data!I70</x:f>
        <x:v>271.74352983421755</x:v>
      </x:c>
      <x:c r="G70" t="n">
        <x:f>Chart_Data!J70</x:f>
        <x:v>-82.17349441978894</x:v>
      </x:c>
      <x:c r="I70" t="n">
        <x:f>Scenario_Data!A70</x:f>
        <x:v>-0.433</x:v>
      </x:c>
      <x:c r="J70" t="n">
        <x:f>Scenario_Data!H70-(((SQRT((Inputs!$C$52+(Inputs!$H$6))^2+Inputs!$C$52^2-2*(Inputs!$C$52+(Inputs!$H$6))*Inputs!$C$52*COS(SQRT((Scenario_Data!T70)^2+Inputs!$C$6^2)/Inputs!$C$52)))-(Inputs!$H$6))*1000/Inputs!$C$12)</x:f>
        <x:v>-1.6942460296072568</x:v>
      </x:c>
      <x:c r="K70" t="n">
        <x:f>Scenario_Data!I70-(((SQRT((Inputs!$C$52+(Inputs!$H$7))^2+Inputs!$C$52^2-2*(Inputs!$C$52+(Inputs!$H$7))*Inputs!$C$52*COS(SQRT((Scenario_Data!U70)^2+Inputs!$C$6^2)/Inputs!$C$52)))-(Inputs!$H$7))*1000/Inputs!$C$12)</x:f>
        <x:v>-22803.296578072208</x:v>
      </x:c>
      <x:c r="L70" t="n">
        <x:f>Scenario_Data!J70-(((SQRT((Inputs!$C$52+(Inputs!$H$8))^2+Inputs!$C$52^2-2*(Inputs!$C$52+(Inputs!$H$8))*Inputs!$C$52*COS(SQRT((Scenario_Data!V70)^2+Inputs!$C$6^2)/Inputs!$C$52)))-(Inputs!$H$8))*1000/Inputs!$C$12)</x:f>
        <x:v>-58938.19185999589</x:v>
      </x:c>
      <x:c r="M70" t="n">
        <x:f>Scenario_Data!K70-(((SQRT((Inputs!$C$52+(Inputs!$H$9))^2+Inputs!$C$52^2-2*(Inputs!$C$52+(Inputs!$H$9))*Inputs!$C$52*COS(SQRT((Scenario_Data!W70)^2+Inputs!$C$6^2)/Inputs!$C$52)))-(Inputs!$H$9))*1000/Inputs!$C$12)</x:f>
        <x:v>-61579.723356260394</x:v>
      </x:c>
      <x:c r="O70" t="n">
        <x:f>Scenario_Data!T70</x:f>
        <x:v>-25.980000000000004</x:v>
      </x:c>
      <x:c r="P70" t="n">
        <x:f>2*(Scenario_Data!B70*1000)/Inputs!$C$21*1000000</x:f>
        <x:v>2673.515929476785</x:v>
      </x:c>
      <x:c r="Q70" t="n">
        <x:f>Scenario_Data!U70</x:f>
        <x:v>-173.20000000000002</x:v>
      </x:c>
      <x:c r="R70" t="n">
        <x:f>2*(Scenario_Data!C70*1000)/Inputs!$C$21*1000000</x:f>
        <x:v>690.0339367443328</x:v>
      </x:c>
      <x:c r="S70" t="n">
        <x:f>Scenario_Data!V70</x:f>
        <x:v>-346.40000000000003</x:v>
      </x:c>
      <x:c r="T70" t="n">
        <x:f>2*(Scenario_Data!D70*1000)/Inputs!$C$21*1000000</x:f>
        <x:v>1440.509120479609</x:v>
      </x:c>
      <x:c r="U70" t="n">
        <x:f>Scenario_Data!W70</x:f>
        <x:v>-346.40000000000003</x:v>
      </x:c>
      <x:c r="V70" t="n">
        <x:f>2*(Scenario_Data!E70*1000)/Inputs!$C$21*1000000</x:f>
        <x:v>1386.3042211688996</x:v>
      </x:c>
      <x:c r="X70" t="n">
        <x:f>Scenario_Data!T70</x:f>
        <x:v>-25.980000000000004</x:v>
      </x:c>
      <x:c r="Y70" t="n">
        <x: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x:f>
        <x:v>2674.121602551275</x:v>
      </x:c>
      <x:c r="Z70" t="n">
        <x:f>Scenario_Data!U70</x:f>
        <x:v>-173.20000000000002</x:v>
      </x:c>
      <x:c r="AA70" t="n">
        <x: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x:f>
        <x:v>689.6044707976647</x:v>
      </x:c>
      <x:c r="AB70" t="n">
        <x:f>Scenario_Data!V70</x:f>
        <x:v>-346.40000000000003</x:v>
      </x:c>
      <x:c r="AC70" t="n">
        <x: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x:f>
        <x:v>1440.7064420089464</x:v>
      </x:c>
      <x:c r="AD70" t="n">
        <x:f>Scenario_Data!W70</x:f>
        <x:v>-346.40000000000003</x:v>
      </x:c>
      <x:c r="AE70" t="n">
        <x: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x:f>
        <x:v>1386.501542698237</x:v>
      </x:c>
      <x:c r="AG70" t="n">
        <x:f>Scenario_Data!T70</x:f>
        <x:v>-25.980000000000004</x:v>
      </x:c>
      <x:c r="AH70" t="n">
        <x:f>2*(SQRT((Inputs!$C$52+(Scenario_Data!B70))^2+Inputs!$C$52^2-2*(Inputs!$C$52+(Scenario_Data!B70))*Inputs!$C$52*COS(SQRT((Scenario_Data!T70)^2+Inputs!$C$6^2)/Inputs!$C$52))*1000)/Inputs!$C$21*1000000</x:f>
        <x:v>2687.0793271300054</x:v>
      </x:c>
      <x:c r="AI70" t="n">
        <x:f>Scenario_Data!U70</x:f>
        <x:v>-173.20000000000002</x:v>
      </x:c>
      <x:c r="AJ70" t="n">
        <x:f>2*(SQRT((Inputs!$C$52+(Scenario_Data!C70))^2+Inputs!$C$52^2-2*(Inputs!$C$52+(Scenario_Data!C70))*Inputs!$C$52*COS(SQRT((Scenario_Data!U70)^2+Inputs!$C$6^2)/Inputs!$C$52))*1000)/Inputs!$C$21*1000000</x:f>
        <x:v>1388.4750825653464</x:v>
      </x:c>
      <x:c r="AK70" t="n">
        <x:f>Scenario_Data!V70</x:f>
        <x:v>-346.40000000000003</x:v>
      </x:c>
      <x:c r="AL70" t="n">
        <x:f>2*(SQRT((Inputs!$C$52+(Scenario_Data!D70))^2+Inputs!$C$52^2-2*(Inputs!$C$52+(Scenario_Data!D70))*Inputs!$C$52*COS(SQRT((Scenario_Data!V70)^2+Inputs!$C$6^2)/Inputs!$C$52))*1000)/Inputs!$C$21*1000000</x:f>
        <x:v>2856.707437171217</x:v>
      </x:c>
      <x:c r="AM70" t="n">
        <x:f>Scenario_Data!W70</x:f>
        <x:v>-346.40000000000003</x:v>
      </x:c>
      <x:c r="AN70" t="n">
        <x:f>2*(SQRT((Inputs!$C$52+(Scenario_Data!E70))^2+Inputs!$C$52^2-2*(Inputs!$C$52+(Scenario_Data!E70))*Inputs!$C$52*COS(SQRT((Scenario_Data!W70)^2+Inputs!$C$6^2)/Inputs!$C$52))*1000)/Inputs!$C$21*1000000</x:f>
        <x:v>2824.8397867428093</x:v>
      </x:c>
      <x:c r="AP70" t="n">
        <x:f>Scenario_Data!T70</x:f>
        <x:v>-25.980000000000004</x:v>
      </x:c>
      <x:c r="AQ70" t="n">
        <x: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x:f>
        <x:v>2685.2667592520247</x:v>
      </x:c>
      <x:c r="AR70" t="n">
        <x:f>Scenario_Data!U70</x:f>
        <x:v>-173.20000000000002</x:v>
      </x:c>
      <x:c r="AS70" t="n">
        <x: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x:f>
        <x:v>1387.956266731438</x:v>
      </x:c>
      <x:c r="AT70" t="n">
        <x:f>Scenario_Data!V70</x:f>
        <x:v>-346.40000000000003</x:v>
      </x:c>
      <x:c r="AU70" t="n">
        <x: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x:f>
        <x:v>2856.458663651637</x:v>
      </x:c>
      <x:c r="AV70" t="n">
        <x:f>Scenario_Data!W70</x:f>
        <x:v>-346.40000000000003</x:v>
      </x:c>
      <x:c r="AW70" t="n">
        <x: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x:f>
        <x:v>2824.5997932549617</x:v>
      </x:c>
    </x:row>
    <x:row r="71">
      <x:c r="A71" t="n">
        <x:f>Chart_Data!K71</x:f>
        <x:v>-25.5</x:v>
      </x:c>
      <x:c r="B71" t="n">
        <x:f>Chart_Data!N71-Chart_Data!L71</x:f>
        <x:v>102.62475841952005</x:v>
      </x:c>
      <x:c r="D71" t="n">
        <x:f>Chart_Data!G71</x:f>
        <x:v>-25.5</x:v>
      </x:c>
      <x:c r="E71" t="n">
        <x:f>Chart_Data!H71</x:f>
        <x:v>271.72277085410076</x:v>
      </x:c>
      <x:c r="F71" t="n">
        <x:f>Chart_Data!I71</x:f>
        <x:v>271.72277085410076</x:v>
      </x:c>
      <x:c r="G71" t="n">
        <x:f>Chart_Data!J71</x:f>
        <x:v>-104.31813701930129</x:v>
      </x:c>
      <x:c r="I71" t="n">
        <x:f>Scenario_Data!A71</x:f>
        <x:v>-0.425</x:v>
      </x:c>
      <x:c r="J71" t="n">
        <x:f>Scenario_Data!H71-(((SQRT((Inputs!$C$52+(Inputs!$H$6))^2+Inputs!$C$52^2-2*(Inputs!$C$52+(Inputs!$H$6))*Inputs!$C$52*COS(SQRT((Scenario_Data!T71)^2+Inputs!$C$6^2)/Inputs!$C$52)))-(Inputs!$H$6))*1000/Inputs!$C$12)</x:f>
        <x:v>-1.601553853415453</x:v>
      </x:c>
      <x:c r="K71" t="n">
        <x:f>Scenario_Data!I71-(((SQRT((Inputs!$C$52+(Inputs!$H$7))^2+Inputs!$C$52^2-2*(Inputs!$C$52+(Inputs!$H$7))*Inputs!$C$52*COS(SQRT((Scenario_Data!U71)^2+Inputs!$C$6^2)/Inputs!$C$52)))-(Inputs!$H$7))*1000/Inputs!$C$12)</x:f>
        <x:v>-21990.41124452041</x:v>
      </x:c>
      <x:c r="L71" t="n">
        <x:f>Scenario_Data!J71-(((SQRT((Inputs!$C$52+(Inputs!$H$8))^2+Inputs!$C$52^2-2*(Inputs!$C$52+(Inputs!$H$8))*Inputs!$C$52*COS(SQRT((Scenario_Data!V71)^2+Inputs!$C$6^2)/Inputs!$C$52)))-(Inputs!$H$8))*1000/Inputs!$C$12)</x:f>
        <x:v>-57117.53151668291</x:v>
      </x:c>
      <x:c r="M71" t="n">
        <x:f>Scenario_Data!K71-(((SQRT((Inputs!$C$52+(Inputs!$H$9))^2+Inputs!$C$52^2-2*(Inputs!$C$52+(Inputs!$H$9))*Inputs!$C$52*COS(SQRT((Scenario_Data!W71)^2+Inputs!$C$6^2)/Inputs!$C$52)))-(Inputs!$H$9))*1000/Inputs!$C$12)</x:f>
        <x:v>-59720.04210248677</x:v>
      </x:c>
      <x:c r="O71" t="n">
        <x:f>Scenario_Data!T71</x:f>
        <x:v>-25.5</x:v>
      </x:c>
      <x:c r="P71" t="n">
        <x:f>2*(Scenario_Data!B71*1000)/Inputs!$C$21*1000000</x:f>
        <x:v>2673.3327627608296</x:v>
      </x:c>
      <x:c r="Q71" t="n">
        <x:f>Scenario_Data!U71</x:f>
        <x:v>-170.00000000000003</x:v>
      </x:c>
      <x:c r="R71" t="n">
        <x:f>2*(Scenario_Data!C71*1000)/Inputs!$C$21*1000000</x:f>
        <x:v>673.3199739134199</x:v>
      </x:c>
      <x:c r="S71" t="n">
        <x:f>Scenario_Data!V71</x:f>
        <x:v>-340.00000000000006</x:v>
      </x:c>
      <x:c r="T71" t="n">
        <x:f>2*(Scenario_Data!D71*1000)/Inputs!$C$21*1000000</x:f>
        <x:v>1396.3201502554145</x:v>
      </x:c>
      <x:c r="U71" t="n">
        <x:f>Scenario_Data!W71</x:f>
        <x:v>-340.00000000000006</x:v>
      </x:c>
      <x:c r="V71" t="n">
        <x:f>2*(Scenario_Data!E71*1000)/Inputs!$C$21*1000000</x:f>
        <x:v>1341.6573341548174</x:v>
      </x:c>
      <x:c r="X71" t="n">
        <x:f>Scenario_Data!T71</x:f>
        <x:v>-25.5</x:v>
      </x:c>
      <x:c r="Y71" t="n">
        <x: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x:f>
        <x:v>2674.028698460582</x:v>
      </x:c>
      <x:c r="Z71" t="n">
        <x:f>Scenario_Data!U71</x:f>
        <x:v>-170.00000000000003</x:v>
      </x:c>
      <x:c r="AA71" t="n">
        <x: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x:f>
        <x:v>673.529430210656</x:v>
      </x:c>
      <x:c r="AB71" t="n">
        <x:f>Scenario_Data!V71</x:f>
        <x:v>-340.00000000000006</x:v>
      </x:c>
      <x:c r="AC71" t="n">
        <x: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x:f>
        <x:v>1395.9069815926184</x:v>
      </x:c>
      <x:c r="AD71" t="n">
        <x:f>Scenario_Data!W71</x:f>
        <x:v>-340.00000000000006</x:v>
      </x:c>
      <x:c r="AE71" t="n">
        <x: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x:f>
        <x:v>1341.2441654920215</x:v>
      </x:c>
      <x:c r="AG71" t="n">
        <x:f>Scenario_Data!T71</x:f>
        <x:v>-25.5</x:v>
      </x:c>
      <x:c r="AH71" t="n">
        <x:f>2*(SQRT((Inputs!$C$52+(Scenario_Data!B71))^2+Inputs!$C$52^2-2*(Inputs!$C$52+(Scenario_Data!B71))*Inputs!$C$52*COS(SQRT((Scenario_Data!T71)^2+Inputs!$C$6^2)/Inputs!$C$52))*1000)/Inputs!$C$21*1000000</x:f>
        <x:v>2686.6397104802963</x:v>
      </x:c>
      <x:c r="AI71" t="n">
        <x:f>Scenario_Data!U71</x:f>
        <x:v>-170.00000000000003</x:v>
      </x:c>
      <x:c r="AJ71" t="n">
        <x:f>2*(SQRT((Inputs!$C$52+(Scenario_Data!C71))^2+Inputs!$C$52^2-2*(Inputs!$C$52+(Scenario_Data!C71))*Inputs!$C$52*COS(SQRT((Scenario_Data!U71)^2+Inputs!$C$6^2)/Inputs!$C$52))*1000)/Inputs!$C$21*1000000</x:f>
        <x:v>1360.4994034490926</x:v>
      </x:c>
      <x:c r="AK71" t="n">
        <x:f>Scenario_Data!V71</x:f>
        <x:v>-340.00000000000006</x:v>
      </x:c>
      <x:c r="AL71" t="n">
        <x:f>2*(SQRT((Inputs!$C$52+(Scenario_Data!D71))^2+Inputs!$C$52^2-2*(Inputs!$C$52+(Scenario_Data!D71))*Inputs!$C$52*COS(SQRT((Scenario_Data!V71)^2+Inputs!$C$6^2)/Inputs!$C$52))*1000)/Inputs!$C$21*1000000</x:f>
        <x:v>2791.557552752647</x:v>
      </x:c>
      <x:c r="AM71" t="n">
        <x:f>Scenario_Data!W71</x:f>
        <x:v>-340.00000000000006</x:v>
      </x:c>
      <x:c r="AN71" t="n">
        <x:f>2*(SQRT((Inputs!$C$52+(Scenario_Data!E71))^2+Inputs!$C$52^2-2*(Inputs!$C$52+(Scenario_Data!E71))*Inputs!$C$52*COS(SQRT((Scenario_Data!W71)^2+Inputs!$C$6^2)/Inputs!$C$52))*1000)/Inputs!$C$21*1000000</x:f>
        <x:v>2759.724726481357</x:v>
      </x:c>
      <x:c r="AP71" t="n">
        <x:f>Scenario_Data!T71</x:f>
        <x:v>-25.5</x:v>
      </x:c>
      <x:c r="AQ71" t="n">
        <x: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x:f>
        <x:v>2684.8382682822116</x:v>
      </x:c>
      <x:c r="AR71" t="n">
        <x:f>Scenario_Data!U71</x:f>
        <x:v>-170.00000000000003</x:v>
      </x:c>
      <x:c r="AS71" t="n">
        <x: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x:f>
        <x:v>1360.1592081481224</x:v>
      </x:c>
      <x:c r="AT71" t="n">
        <x:f>Scenario_Data!V71</x:f>
        <x:v>-340.00000000000006</x:v>
      </x:c>
      <x:c r="AU71" t="n">
        <x: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x:f>
        <x:v>2791.0833339882856</x:v>
      </x:c>
      <x:c r="AV71" t="n">
        <x:f>Scenario_Data!W71</x:f>
        <x:v>-340.00000000000006</x:v>
      </x:c>
      <x:c r="AW71" t="n">
        <x: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x:f>
        <x:v>2759.2679936296245</x:v>
      </x:c>
    </x:row>
    <x:row r="72">
      <x:c r="A72" t="n">
        <x:f>Chart_Data!K72</x:f>
        <x:v>-25</x:v>
      </x:c>
      <x:c r="B72" t="n">
        <x:f>Chart_Data!N72-Chart_Data!L72</x:f>
        <x:v>95.9627285030823</x:v>
      </x:c>
      <x:c r="D72" t="n">
        <x:f>Chart_Data!G72</x:f>
        <x:v>-25</x:v>
      </x:c>
      <x:c r="E72" t="n">
        <x:f>Chart_Data!H72</x:f>
        <x:v>260.2713841318971</x:v>
      </x:c>
      <x:c r="F72" t="n">
        <x:f>Chart_Data!I72</x:f>
        <x:v>260.2713841318971</x:v>
      </x:c>
      <x:c r="G72" t="n">
        <x:f>Chart_Data!J72</x:f>
        <x:v>-97.55297588358108</x:v>
      </x:c>
      <x:c r="I72" t="n">
        <x:f>Scenario_Data!A72</x:f>
        <x:v>-0.417</x:v>
      </x:c>
      <x:c r="J72" t="n">
        <x:f>Scenario_Data!H72-(((SQRT((Inputs!$C$52+(Inputs!$H$6))^2+Inputs!$C$52^2-2*(Inputs!$C$52+(Inputs!$H$6))*Inputs!$C$52*COS(SQRT((Scenario_Data!T72)^2+Inputs!$C$6^2)/Inputs!$C$52)))-(Inputs!$H$6))*1000/Inputs!$C$12)</x:f>
        <x:v>-1.512843152252799</x:v>
      </x:c>
      <x:c r="K72" t="n">
        <x:f>Scenario_Data!I72-(((SQRT((Inputs!$C$52+(Inputs!$H$7))^2+Inputs!$C$52^2-2*(Inputs!$C$52+(Inputs!$H$7))*Inputs!$C$52*COS(SQRT((Scenario_Data!U72)^2+Inputs!$C$6^2)/Inputs!$C$52)))-(Inputs!$H$7))*1000/Inputs!$C$12)</x:f>
        <x:v>-21187.933007764404</x:v>
      </x:c>
      <x:c r="L72" t="n">
        <x:f>Scenario_Data!J72-(((SQRT((Inputs!$C$52+(Inputs!$H$8))^2+Inputs!$C$52^2-2*(Inputs!$C$52+(Inputs!$H$8))*Inputs!$C$52*COS(SQRT((Scenario_Data!V72)^2+Inputs!$C$6^2)/Inputs!$C$52)))-(Inputs!$H$8))*1000/Inputs!$C$12)</x:f>
        <x:v>-55309.28240772686</x:v>
      </x:c>
      <x:c r="M72" t="n">
        <x:f>Scenario_Data!K72-(((SQRT((Inputs!$C$52+(Inputs!$H$9))^2+Inputs!$C$52^2-2*(Inputs!$C$52+(Inputs!$H$9))*Inputs!$C$52*COS(SQRT((Scenario_Data!W72)^2+Inputs!$C$6^2)/Inputs!$C$52)))-(Inputs!$H$9))*1000/Inputs!$C$12)</x:f>
        <x:v>-57872.108972824644</x:v>
      </x:c>
      <x:c r="O72" t="n">
        <x:f>Scenario_Data!T72</x:f>
        <x:v>-25.020000000000003</x:v>
      </x:c>
      <x:c r="P72" t="n">
        <x:f>2*(Scenario_Data!B72*1000)/Inputs!$C$21*1000000</x:f>
        <x:v>2673.1530117412094</x:v>
      </x:c>
      <x:c r="Q72" t="n">
        <x:f>Scenario_Data!U72</x:f>
        <x:v>-166.8</x:v>
      </x:c>
      <x:c r="R72" t="n">
        <x:f>2*(Scenario_Data!C72*1000)/Inputs!$C$21*1000000</x:f>
        <x:v>656.9176933730602</x:v>
      </x:c>
      <x:c r="S72" t="n">
        <x:f>Scenario_Data!V72</x:f>
        <x:v>-333.6</x:v>
      </x:c>
      <x:c r="T72" t="n">
        <x:f>2*(Scenario_Data!D72*1000)/Inputs!$C$21*1000000</x:f>
        <x:v>1352.955216771998</x:v>
      </x:c>
      <x:c r="U72" t="n">
        <x:f>Scenario_Data!W72</x:f>
        <x:v>-333.6</x:v>
      </x:c>
      <x:c r="V72" t="n">
        <x:f>2*(Scenario_Data!E72*1000)/Inputs!$C$21*1000000</x:f>
        <x:v>1297.8430231223497</x:v>
      </x:c>
      <x:c r="X72" t="n">
        <x:f>Scenario_Data!T72</x:f>
        <x:v>-25.020000000000003</x:v>
      </x:c>
      <x:c r="Y72" t="n">
        <x: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x:f>
        <x:v>2673.836415166981</x:v>
      </x:c>
      <x:c r="Z72" t="n">
        <x:f>Scenario_Data!U72</x:f>
        <x:v>-166.8</x:v>
      </x:c>
      <x:c r="AA72" t="n">
        <x: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x:f>
        <x:v>657.1579289089054</x:v>
      </x:c>
      <x:c r="AB72" t="n">
        <x:f>Scenario_Data!V72</x:f>
        <x:v>-333.6</x:v>
      </x:c>
      <x:c r="AC72" t="n">
        <x: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x:f>
        <x:v>1352.5285718842533</x:v>
      </x:c>
      <x:c r="AD72" t="n">
        <x:f>Scenario_Data!W72</x:f>
        <x:v>-333.6</x:v>
      </x:c>
      <x:c r="AE72" t="n">
        <x: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x:f>
        <x:v>1297.4163782346052</x:v>
      </x:c>
      <x:c r="AG72" t="n">
        <x:f>Scenario_Data!T72</x:f>
        <x:v>-25.020000000000003</x:v>
      </x:c>
      <x:c r="AH72" t="n">
        <x:f>2*(SQRT((Inputs!$C$52+(Scenario_Data!B72))^2+Inputs!$C$52^2-2*(Inputs!$C$52+(Scenario_Data!B72))*Inputs!$C$52*COS(SQRT((Scenario_Data!T72)^2+Inputs!$C$6^2)/Inputs!$C$52))*1000)/Inputs!$C$21*1000000</x:f>
        <x:v>2686.2082405845767</x:v>
      </x:c>
      <x:c r="AI72" t="n">
        <x:f>Scenario_Data!U72</x:f>
        <x:v>-166.8</x:v>
      </x:c>
      <x:c r="AJ72" t="n">
        <x:f>2*(SQRT((Inputs!$C$52+(Scenario_Data!C72))^2+Inputs!$C$52^2-2*(Inputs!$C$52+(Scenario_Data!C72))*Inputs!$C$52*COS(SQRT((Scenario_Data!U72)^2+Inputs!$C$6^2)/Inputs!$C$52))*1000)/Inputs!$C$21*1000000</x:f>
        <x:v>1332.7340115462373</x:v>
      </x:c>
      <x:c r="AK72" t="n">
        <x:f>Scenario_Data!V72</x:f>
        <x:v>-333.6</x:v>
      </x:c>
      <x:c r="AL72" t="n">
        <x:f>2*(SQRT((Inputs!$C$52+(Scenario_Data!D72))^2+Inputs!$C$52^2-2*(Inputs!$C$52+(Scenario_Data!D72))*Inputs!$C$52*COS(SQRT((Scenario_Data!V72)^2+Inputs!$C$6^2)/Inputs!$C$52))*1000)/Inputs!$C$21*1000000</x:f>
        <x:v>2727.0872248769224</x:v>
      </x:c>
      <x:c r="AM72" t="n">
        <x:f>Scenario_Data!W72</x:f>
        <x:v>-333.6</x:v>
      </x:c>
      <x:c r="AN72" t="n">
        <x:f>2*(SQRT((Inputs!$C$52+(Scenario_Data!E72))^2+Inputs!$C$52^2-2*(Inputs!$C$52+(Scenario_Data!E72))*Inputs!$C$52*COS(SQRT((Scenario_Data!W72)^2+Inputs!$C$6^2)/Inputs!$C$52))*1000)/Inputs!$C$21*1000000</x:f>
        <x:v>2695.3016989076077</x:v>
      </x:c>
      <x:c r="AP72" t="n">
        <x:f>Scenario_Data!T72</x:f>
        <x:v>-25.020000000000003</x:v>
      </x:c>
      <x:c r="AQ72" t="n">
        <x: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x:f>
        <x:v>2684.344258811687</x:v>
      </x:c>
      <x:c r="AR72" t="n">
        <x:f>Scenario_Data!U72</x:f>
        <x:v>-166.8</x:v>
      </x:c>
      <x:c r="AS72" t="n">
        <x: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x:f>
        <x:v>1332.4930771425575</x:v>
      </x:c>
      <x:c r="AT72" t="n">
        <x:f>Scenario_Data!V72</x:f>
        <x:v>-333.6</x:v>
      </x:c>
      <x:c r="AU72" t="n">
        <x: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x:f>
        <x:v>2726.5981963853515</x:v>
      </x:c>
      <x:c r="AV72" t="n">
        <x:f>Scenario_Data!W72</x:f>
        <x:v>-333.6</x:v>
      </x:c>
      <x:c r="AW72" t="n">
        <x: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x:f>
        <x:v>2694.8315049743364</x:v>
      </x:c>
    </x:row>
    <x:row r="73">
      <x:c r="A73" t="n">
        <x:f>Chart_Data!K73</x:f>
        <x:v>-24.5</x:v>
      </x:c>
      <x:c r="B73" t="n">
        <x:f>Chart_Data!N73-Chart_Data!L73</x:f>
        <x:v>111.95944336516442</x:v>
      </x:c>
      <x:c r="D73" t="n">
        <x:f>Chart_Data!G73</x:f>
        <x:v>-24.5</x:v>
      </x:c>
      <x:c r="E73" t="n">
        <x:f>Chart_Data!H73</x:f>
        <x:v>276.49363528949897</x:v>
      </x:c>
      <x:c r="F73" t="n">
        <x:f>Chart_Data!I73</x:f>
        <x:v>276.49363528949897</x:v>
      </x:c>
      <x:c r="G73" t="n">
        <x:f>Chart_Data!J73</x:f>
        <x:v>-113.61582851930044</x:v>
      </x:c>
      <x:c r="I73" t="n">
        <x:f>Scenario_Data!A73</x:f>
        <x:v>-0.408</x:v>
      </x:c>
      <x:c r="J73" t="n">
        <x:f>Scenario_Data!H73-(((SQRT((Inputs!$C$52+(Inputs!$H$6))^2+Inputs!$C$52^2-2*(Inputs!$C$52+(Inputs!$H$6))*Inputs!$C$52*COS(SQRT((Scenario_Data!T73)^2+Inputs!$C$6^2)/Inputs!$C$52)))-(Inputs!$H$6))*1000/Inputs!$C$12)</x:f>
        <x:v>-1.4176461878619193</x:v>
      </x:c>
      <x:c r="K73" t="n">
        <x:f>Scenario_Data!I73-(((SQRT((Inputs!$C$52+(Inputs!$H$7))^2+Inputs!$C$52^2-2*(Inputs!$C$52+(Inputs!$H$7))*Inputs!$C$52*COS(SQRT((Scenario_Data!U73)^2+Inputs!$C$6^2)/Inputs!$C$52)))-(Inputs!$H$7))*1000/Inputs!$C$12)</x:f>
        <x:v>-20297.883237372946</x:v>
      </x:c>
      <x:c r="L73" t="n">
        <x:f>Scenario_Data!J73-(((SQRT((Inputs!$C$52+(Inputs!$H$8))^2+Inputs!$C$52^2-2*(Inputs!$C$52+(Inputs!$H$8))*Inputs!$C$52*COS(SQRT((Scenario_Data!V73)^2+Inputs!$C$6^2)/Inputs!$C$52)))-(Inputs!$H$8))*1000/Inputs!$C$12)</x:f>
        <x:v>-53290.67307252447</x:v>
      </x:c>
      <x:c r="M73" t="n">
        <x:f>Scenario_Data!K73-(((SQRT((Inputs!$C$52+(Inputs!$H$9))^2+Inputs!$C$52^2-2*(Inputs!$C$52+(Inputs!$H$9))*Inputs!$C$52*COS(SQRT((Scenario_Data!W73)^2+Inputs!$C$6^2)/Inputs!$C$52)))-(Inputs!$H$9))*1000/Inputs!$C$12)</x:f>
        <x:v>-55808.06323941442</x:v>
      </x:c>
      <x:c r="O73" t="n">
        <x:f>Scenario_Data!T73</x:f>
        <x:v>-24.479999999999997</x:v>
      </x:c>
      <x:c r="P73" t="n">
        <x:f>2*(Scenario_Data!B73*1000)/Inputs!$C$21*1000000</x:f>
        <x:v>2672.954874668662</x:v>
      </x:c>
      <x:c r="Q73" t="n">
        <x:f>Scenario_Data!U73</x:f>
        <x:v>-163.19999999999996</x:v>
      </x:c>
      <x:c r="R73" t="n">
        <x:f>2*(Scenario_Data!C73*1000)/Inputs!$C$21*1000000</x:f>
        <x:v>638.8376855030822</x:v>
      </x:c>
      <x:c r="S73" t="n">
        <x:f>Scenario_Data!V73</x:f>
        <x:v>-326.3999999999999</x:v>
      </x:c>
      <x:c r="T73" t="n">
        <x:f>2*(Scenario_Data!D73*1000)/Inputs!$C$21*1000000</x:f>
        <x:v>1305.154648019864</x:v>
      </x:c>
      <x:c r="U73" t="n">
        <x:f>Scenario_Data!W73</x:f>
        <x:v>-326.3999999999999</x:v>
      </x:c>
      <x:c r="V73" t="n">
        <x:f>2*(Scenario_Data!E73*1000)/Inputs!$C$21*1000000</x:f>
        <x:v>1249.5471116888466</x:v>
      </x:c>
      <x:c r="X73" t="n">
        <x:f>Scenario_Data!T73</x:f>
        <x:v>-24.479999999999997</x:v>
      </x:c>
      <x:c r="Y73" t="n">
        <x: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x:f>
        <x:v>2673.7029376385944</x:v>
      </x:c>
      <x:c r="Z73" t="n">
        <x:f>Scenario_Data!U73</x:f>
        <x:v>-163.19999999999996</x:v>
      </x:c>
      <x:c r="AA73" t="n">
        <x: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x:f>
        <x:v>638.7033528513318</x:v>
      </x:c>
      <x:c r="AB73" t="n">
        <x:f>Scenario_Data!V73</x:f>
        <x:v>-326.3999999999999</x:v>
      </x:c>
      <x:c r="AC73" t="n">
        <x: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x:f>
        <x:v>1304.9764199784206</x:v>
      </x:c>
      <x:c r="AD73" t="n">
        <x:f>Scenario_Data!W73</x:f>
        <x:v>-326.3999999999999</x:v>
      </x:c>
      <x:c r="AE73" t="n">
        <x: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x:f>
        <x:v>1249.3688836474032</x:v>
      </x:c>
      <x:c r="AG73" t="n">
        <x:f>Scenario_Data!T73</x:f>
        <x:v>-24.479999999999997</x:v>
      </x:c>
      <x:c r="AH73" t="n">
        <x:f>2*(SQRT((Inputs!$C$52+(Scenario_Data!B73))^2+Inputs!$C$52^2-2*(Inputs!$C$52+(Scenario_Data!B73))*Inputs!$C$52*COS(SQRT((Scenario_Data!T73)^2+Inputs!$C$6^2)/Inputs!$C$52))*1000)/Inputs!$C$21*1000000</x:f>
        <x:v>2685.7325784389564</x:v>
      </x:c>
      <x:c r="AI73" t="n">
        <x:f>Scenario_Data!U73</x:f>
        <x:v>-163.19999999999996</x:v>
      </x:c>
      <x:c r="AJ73" t="n">
        <x:f>2*(SQRT((Inputs!$C$52+(Scenario_Data!C73))^2+Inputs!$C$52^2-2*(Inputs!$C$52+(Scenario_Data!C73))*Inputs!$C$52*COS(SQRT((Scenario_Data!U73)^2+Inputs!$C$6^2)/Inputs!$C$52))*1000)/Inputs!$C$21*1000000</x:f>
        <x:v>1301.7473946103885</x:v>
      </x:c>
      <x:c r="AK73" t="n">
        <x:f>Scenario_Data!V73</x:f>
        <x:v>-326.3999999999999</x:v>
      </x:c>
      <x:c r="AL73" t="n">
        <x:f>2*(SQRT((Inputs!$C$52+(Scenario_Data!D73))^2+Inputs!$C$52^2-2*(Inputs!$C$52+(Scenario_Data!D73))*Inputs!$C$52*COS(SQRT((Scenario_Data!V73)^2+Inputs!$C$6^2)/Inputs!$C$52))*1000)/Inputs!$C$21*1000000</x:f>
        <x:v>2655.3615925812765</x:v>
      </x:c>
      <x:c r="AM73" t="n">
        <x:f>Scenario_Data!W73</x:f>
        <x:v>-326.3999999999999</x:v>
      </x:c>
      <x:c r="AN73" t="n">
        <x:f>2*(SQRT((Inputs!$C$52+(Scenario_Data!E73))^2+Inputs!$C$52^2-2*(Inputs!$C$52+(Scenario_Data!E73))*Inputs!$C$52*COS(SQRT((Scenario_Data!W73)^2+Inputs!$C$6^2)/Inputs!$C$52))*1000)/Inputs!$C$21*1000000</x:f>
        <x:v>2623.643900129246</x:v>
      </x:c>
      <x:c r="AP73" t="n">
        <x:f>Scenario_Data!T73</x:f>
        <x:v>-24.479999999999997</x:v>
      </x:c>
      <x:c r="AQ73" t="n">
        <x: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x:f>
        <x:v>2684.0091118985915</x:v>
      </x:c>
      <x:c r="AR73" t="n">
        <x:f>Scenario_Data!U73</x:f>
        <x:v>-163.19999999999996</x:v>
      </x:c>
      <x:c r="AS73" t="n">
        <x: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x:f>
        <x:v>1301.4430776136699</x:v>
      </x:c>
      <x:c r="AT73" t="n">
        <x:f>Scenario_Data!V73</x:f>
        <x:v>-326.3999999999999</x:v>
      </x:c>
      <x:c r="AU73" t="n">
        <x: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x:f>
        <x:v>2655.133708523069</x:v>
      </x:c>
      <x:c r="AV73" t="n">
        <x:f>Scenario_Data!W73</x:f>
        <x:v>-326.3999999999999</x:v>
      </x:c>
      <x:c r="AW73" t="n">
        <x: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x:f>
        <x:v>2623.425230126642</x:v>
      </x:c>
    </x:row>
    <x:row r="74">
      <x:c r="A74" t="n">
        <x:f>Chart_Data!K74</x:f>
        <x:v>-24</x:v>
      </x:c>
      <x:c r="B74" t="n">
        <x:f>Chart_Data!N74-Chart_Data!L74</x:f>
        <x:v>109.9110637934084</x:v>
      </x:c>
      <x:c r="D74" t="n">
        <x:f>Chart_Data!G74</x:f>
        <x:v>-24</x:v>
      </x:c>
      <x:c r="E74" t="n">
        <x:f>Chart_Data!H74</x:f>
        <x:v>268.5791759815676</x:v>
      </x:c>
      <x:c r="F74" t="n">
        <x:f>Chart_Data!I74</x:f>
        <x:v>268.5791759815676</x:v>
      </x:c>
      <x:c r="G74" t="n">
        <x:f>Chart_Data!J74</x:f>
        <x:v>-111.48853690711687</x:v>
      </x:c>
      <x:c r="I74" t="n">
        <x:f>Scenario_Data!A74</x:f>
        <x:v>-0.4</x:v>
      </x:c>
      <x:c r="J74" t="n">
        <x:f>Scenario_Data!H74-(((SQRT((Inputs!$C$52+(Inputs!$H$6))^2+Inputs!$C$52^2-2*(Inputs!$C$52+(Inputs!$H$6))*Inputs!$C$52*COS(SQRT((Scenario_Data!T74)^2+Inputs!$C$6^2)/Inputs!$C$52)))-(Inputs!$H$6))*1000/Inputs!$C$12)</x:f>
        <x:v>-1.3369812749583616</x:v>
      </x:c>
      <x:c r="K74" t="n">
        <x:f>Scenario_Data!I74-(((SQRT((Inputs!$C$52+(Inputs!$H$7))^2+Inputs!$C$52^2-2*(Inputs!$C$52+(Inputs!$H$7))*Inputs!$C$52*COS(SQRT((Scenario_Data!U74)^2+Inputs!$C$6^2)/Inputs!$C$52)))-(Inputs!$H$7))*1000/Inputs!$C$12)</x:f>
        <x:v>-19518.31997454776</x:v>
      </x:c>
      <x:c r="L74" t="n">
        <x:f>Scenario_Data!J74-(((SQRT((Inputs!$C$52+(Inputs!$H$8))^2+Inputs!$C$52^2-2*(Inputs!$C$52+(Inputs!$H$8))*Inputs!$C$52*COS(SQRT((Scenario_Data!V74)^2+Inputs!$C$6^2)/Inputs!$C$52)))-(Inputs!$H$8))*1000/Inputs!$C$12)</x:f>
        <x:v>-51511.04432508859</x:v>
      </x:c>
      <x:c r="M74" t="n">
        <x:f>Scenario_Data!K74-(((SQRT((Inputs!$C$52+(Inputs!$H$9))^2+Inputs!$C$52^2-2*(Inputs!$C$52+(Inputs!$H$9))*Inputs!$C$52*COS(SQRT((Scenario_Data!W74)^2+Inputs!$C$6^2)/Inputs!$C$52)))-(Inputs!$H$9))*1000/Inputs!$C$12)</x:f>
        <x:v>-53987.34398363595</x:v>
      </x:c>
      <x:c r="O74" t="n">
        <x:f>Scenario_Data!T74</x:f>
        <x:v>-24</x:v>
      </x:c>
      <x:c r="P74" t="n">
        <x:f>2*(Scenario_Data!B74*1000)/Inputs!$C$21*1000000</x:f>
        <x:v>2672.782382003753</x:v>
      </x:c>
      <x:c r="Q74" t="n">
        <x:f>Scenario_Data!U74</x:f>
        <x:v>-160</x:v>
      </x:c>
      <x:c r="R74" t="n">
        <x:f>2*(Scenario_Data!C74*1000)/Inputs!$C$21*1000000</x:f>
        <x:v>623.097729830148</x:v>
      </x:c>
      <x:c r="S74" t="n">
        <x:f>Scenario_Data!V74</x:f>
        <x:v>-320</x:v>
      </x:c>
      <x:c r="T74" t="n">
        <x:f>2*(Scenario_Data!D74*1000)/Inputs!$C$21*1000000</x:f>
        <x:v>1263.5407926106002</x:v>
      </x:c>
      <x:c r="U74" t="n">
        <x:f>Scenario_Data!W74</x:f>
        <x:v>-320</x:v>
      </x:c>
      <x:c r="V74" t="n">
        <x:f>2*(Scenario_Data!E74*1000)/Inputs!$C$21*1000000</x:f>
        <x:v>1207.5020246173106</x:v>
      </x:c>
      <x:c r="X74" t="n">
        <x:f>Scenario_Data!T74</x:f>
        <x:v>-24</x:v>
      </x:c>
      <x:c r="Y74" t="n">
        <x: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x:f>
        <x:v>2673.5261534625206</x:v>
      </x:c>
      <x:c r="Z74" t="n">
        <x:f>Scenario_Data!U74</x:f>
        <x:v>-160</x:v>
      </x:c>
      <x:c r="AA74" t="n">
        <x: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x:f>
        <x:v>622.9558192945855</x:v>
      </x:c>
      <x:c r="AB74" t="n">
        <x:f>Scenario_Data!V74</x:f>
        <x:v>-320</x:v>
      </x:c>
      <x:c r="AC74" t="n">
        <x: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x:f>
        <x:v>1262.944790521118</x:v>
      </x:c>
      <x:c r="AD74" t="n">
        <x:f>Scenario_Data!W74</x:f>
        <x:v>-320</x:v>
      </x:c>
      <x:c r="AE74" t="n">
        <x: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x:f>
        <x:v>1206.9060225278283</x:v>
      </x:c>
      <x:c r="AG74" t="n">
        <x:f>Scenario_Data!T74</x:f>
        <x:v>-24</x:v>
      </x:c>
      <x:c r="AH74" t="n">
        <x:f>2*(SQRT((Inputs!$C$52+(Scenario_Data!B74))^2+Inputs!$C$52^2-2*(Inputs!$C$52+(Scenario_Data!B74))*Inputs!$C$52*COS(SQRT((Scenario_Data!T74)^2+Inputs!$C$6^2)/Inputs!$C$52))*1000)/Inputs!$C$21*1000000</x:f>
        <x:v>2685.318429856306</x:v>
      </x:c>
      <x:c r="AI74" t="n">
        <x:f>Scenario_Data!U74</x:f>
        <x:v>-160</x:v>
      </x:c>
      <x:c r="AJ74" t="n">
        <x:f>2*(SQRT((Inputs!$C$52+(Scenario_Data!C74))^2+Inputs!$C$52^2-2*(Inputs!$C$52+(Scenario_Data!C74))*Inputs!$C$52*COS(SQRT((Scenario_Data!U74)^2+Inputs!$C$6^2)/Inputs!$C$52))*1000)/Inputs!$C$21*1000000</x:f>
        <x:v>1274.4238323326915</x:v>
      </x:c>
      <x:c r="AK74" t="n">
        <x:f>Scenario_Data!V74</x:f>
        <x:v>-320</x:v>
      </x:c>
      <x:c r="AL74" t="n">
        <x:f>2*(SQRT((Inputs!$C$52+(Scenario_Data!D74))^2+Inputs!$C$52^2-2*(Inputs!$C$52+(Scenario_Data!D74))*Inputs!$C$52*COS(SQRT((Scenario_Data!V74)^2+Inputs!$C$6^2)/Inputs!$C$52))*1000)/Inputs!$C$21*1000000</x:f>
        <x:v>2592.311715433615</x:v>
      </x:c>
      <x:c r="AM74" t="n">
        <x:f>Scenario_Data!W74</x:f>
        <x:v>-320</x:v>
      </x:c>
      <x:c r="AN74" t="n">
        <x:f>2*(SQRT((Inputs!$C$52+(Scenario_Data!E74))^2+Inputs!$C$52^2-2*(Inputs!$C$52+(Scenario_Data!E74))*Inputs!$C$52*COS(SQRT((Scenario_Data!W74)^2+Inputs!$C$6^2)/Inputs!$C$52))*1000)/Inputs!$C$21*1000000</x:f>
        <x:v>2560.6670284536167</x:v>
      </x:c>
      <x:c r="AP74" t="n">
        <x:f>Scenario_Data!T74</x:f>
        <x:v>-24</x:v>
      </x:c>
      <x:c r="AQ74" t="n">
        <x: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x:f>
        <x:v>2683.537186227637</x:v>
      </x:c>
      <x:c r="AR74" t="n">
        <x:f>Scenario_Data!U74</x:f>
        <x:v>-160</x:v>
      </x:c>
      <x:c r="AS74" t="n">
        <x: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x:f>
        <x:v>1274.0147754263153</x:v>
      </x:c>
      <x:c r="AT74" t="n">
        <x:f>Scenario_Data!V74</x:f>
        <x:v>-320</x:v>
      </x:c>
      <x:c r="AU74" t="n">
        <x: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x:f>
        <x:v>2591.70764324169</x:v>
      </x:c>
      <x:c r="AV74" t="n">
        <x:f>Scenario_Data!W74</x:f>
        <x:v>-320</x:v>
      </x:c>
      <x:c r="AW74" t="n">
        <x: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x:f>
        <x:v>2560.088488449522</x:v>
      </x:c>
    </x:row>
    <x:row r="75">
      <x:c r="A75" t="n">
        <x:f>Chart_Data!K75</x:f>
        <x:v>-23.5</x:v>
      </x:c>
      <x:c r="B75" t="n">
        <x:f>Chart_Data!N75-Chart_Data!L75</x:f>
        <x:v>124.07412737469122</x:v>
      </x:c>
      <x:c r="D75" t="n">
        <x:f>Chart_Data!G75</x:f>
        <x:v>-23.5</x:v>
      </x:c>
      <x:c r="E75" t="n">
        <x:f>Chart_Data!H75</x:f>
        <x:v>273.93459884711217</x:v>
      </x:c>
      <x:c r="F75" t="n">
        <x:f>Chart_Data!I75</x:f>
        <x:v>273.93459884711217</x:v>
      </x:c>
      <x:c r="G75" t="n">
        <x:f>Chart_Data!J75</x:f>
        <x:v>-125.65162794647964</x:v>
      </x:c>
      <x:c r="I75" t="n">
        <x:f>Scenario_Data!A75</x:f>
        <x:v>-0.392</x:v>
      </x:c>
      <x:c r="J75" t="n">
        <x:f>Scenario_Data!H75-(((SQRT((Inputs!$C$52+(Inputs!$H$6))^2+Inputs!$C$52^2-2*(Inputs!$C$52+(Inputs!$H$6))*Inputs!$C$52*COS(SQRT((Scenario_Data!T75)^2+Inputs!$C$6^2)/Inputs!$C$52)))-(Inputs!$H$6))*1000/Inputs!$C$12)</x:f>
        <x:v>-1.2599122492363222</x:v>
      </x:c>
      <x:c r="K75" t="n">
        <x:f>Scenario_Data!I75-(((SQRT((Inputs!$C$52+(Inputs!$H$7))^2+Inputs!$C$52^2-2*(Inputs!$C$52+(Inputs!$H$7))*Inputs!$C$52*COS(SQRT((Scenario_Data!U75)^2+Inputs!$C$6^2)/Inputs!$C$52)))-(Inputs!$H$7))*1000/Inputs!$C$12)</x:f>
        <x:v>-18749.923928481905</x:v>
      </x:c>
      <x:c r="L75" t="n">
        <x:f>Scenario_Data!J75-(((SQRT((Inputs!$C$52+(Inputs!$H$8))^2+Inputs!$C$52^2-2*(Inputs!$C$52+(Inputs!$H$8))*Inputs!$C$52*COS(SQRT((Scenario_Data!V75)^2+Inputs!$C$6^2)/Inputs!$C$52)))-(Inputs!$H$8))*1000/Inputs!$C$12)</x:f>
        <x:v>-49745.97565061512</x:v>
      </x:c>
      <x:c r="M75" t="n">
        <x:f>Scenario_Data!K75-(((SQRT((Inputs!$C$52+(Inputs!$H$9))^2+Inputs!$C$52^2-2*(Inputs!$C$52+(Inputs!$H$9))*Inputs!$C$52*COS(SQRT((Scenario_Data!W75)^2+Inputs!$C$6^2)/Inputs!$C$52)))-(Inputs!$H$9))*1000/Inputs!$C$12)</x:f>
        <x:v>-52180.525354744386</x:v>
      </x:c>
      <x:c r="O75" t="n">
        <x:f>Scenario_Data!T75</x:f>
        <x:v>-23.520000000000003</x:v>
      </x:c>
      <x:c r="P75" t="n">
        <x:f>2*(Scenario_Data!B75*1000)/Inputs!$C$21*1000000</x:f>
        <x:v>2672.6133050351787</x:v>
      </x:c>
      <x:c r="Q75" t="n">
        <x:f>Scenario_Data!U75</x:f>
        <x:v>-156.8</x:v>
      </x:c>
      <x:c r="R75" t="n">
        <x:f>2*(Scenario_Data!C75*1000)/Inputs!$C$21*1000000</x:f>
        <x:v>607.6694564477671</x:v>
      </x:c>
      <x:c r="S75" t="n">
        <x:f>Scenario_Data!V75</x:f>
        <x:v>-313.6</x:v>
      </x:c>
      <x:c r="T75" t="n">
        <x:f>2*(Scenario_Data!D75*1000)/Inputs!$C$21*1000000</x:f>
        <x:v>1222.750973942113</x:v>
      </x:c>
      <x:c r="U75" t="n">
        <x:f>Scenario_Data!W75</x:f>
        <x:v>-313.6</x:v>
      </x:c>
      <x:c r="V75" t="n">
        <x:f>2*(Scenario_Data!E75*1000)/Inputs!$C$21*1000000</x:f>
        <x:v>1166.2895135273884</x:v>
      </x:c>
      <x:c r="X75" t="n">
        <x:f>Scenario_Data!T75</x:f>
        <x:v>-23.520000000000003</x:v>
      </x:c>
      <x:c r="Y75" t="n">
        <x: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x:f>
        <x:v>2673.5228751299887</x:v>
      </x:c>
      <x:c r="Z75" t="n">
        <x:f>Scenario_Data!U75</x:f>
        <x:v>-156.8</x:v>
      </x:c>
      <x:c r="AA75" t="n">
        <x: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x:f>
        <x:v>607.6984165072893</x:v>
      </x:c>
      <x:c r="AB75" t="n">
        <x:f>Scenario_Data!V75</x:f>
        <x:v>-313.6</x:v>
      </x:c>
      <x:c r="AC75" t="n">
        <x: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x:f>
        <x:v>1222.5976275941218</x:v>
      </x:c>
      <x:c r="AD75" t="n">
        <x:f>Scenario_Data!W75</x:f>
        <x:v>-313.6</x:v>
      </x:c>
      <x:c r="AE75" t="n">
        <x: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x:f>
        <x:v>1166.1361671793973</x:v>
      </x:c>
      <x:c r="AG75" t="n">
        <x:f>Scenario_Data!T75</x:f>
        <x:v>-23.520000000000003</x:v>
      </x:c>
      <x:c r="AH75" t="n">
        <x:f>2*(SQRT((Inputs!$C$52+(Scenario_Data!B75))^2+Inputs!$C$52^2-2*(Inputs!$C$52+(Scenario_Data!B75))*Inputs!$C$52*COS(SQRT((Scenario_Data!T75)^2+Inputs!$C$6^2)/Inputs!$C$52))*1000)/Inputs!$C$21*1000000</x:f>
        <x:v>2684.9124368195003</x:v>
      </x:c>
      <x:c r="AI75" t="n">
        <x:f>Scenario_Data!U75</x:f>
        <x:v>-156.8</x:v>
      </x:c>
      <x:c r="AJ75" t="n">
        <x:f>2*(SQRT((Inputs!$C$52+(Scenario_Data!C75))^2+Inputs!$C$52^2-2*(Inputs!$C$52+(Scenario_Data!C75))*Inputs!$C$52*COS(SQRT((Scenario_Data!U75)^2+Inputs!$C$6^2)/Inputs!$C$52))*1000)/Inputs!$C$21*1000000</x:f>
        <x:v>1247.305949695761</x:v>
      </x:c>
      <x:c r="AK75" t="n">
        <x:f>Scenario_Data!V75</x:f>
        <x:v>-313.6</x:v>
      </x:c>
      <x:c r="AL75" t="n">
        <x:f>2*(SQRT((Inputs!$C$52+(Scenario_Data!D75))^2+Inputs!$C$52^2-2*(Inputs!$C$52+(Scenario_Data!D75))*Inputs!$C$52*COS(SQRT((Scenario_Data!V75)^2+Inputs!$C$6^2)/Inputs!$C$52))*1000)/Inputs!$C$21*1000000</x:f>
        <x:v>2529.918895127145</x:v>
      </x:c>
      <x:c r="AM75" t="n">
        <x:f>Scenario_Data!W75</x:f>
        <x:v>-313.6</x:v>
      </x:c>
      <x:c r="AN75" t="n">
        <x:f>2*(SQRT((Inputs!$C$52+(Scenario_Data!E75))^2+Inputs!$C$52^2-2*(Inputs!$C$52+(Scenario_Data!E75))*Inputs!$C$52*COS(SQRT((Scenario_Data!W75)^2+Inputs!$C$6^2)/Inputs!$C$52))*1000)/Inputs!$C$21*1000000</x:f>
        <x:v>2498.3588768603126</x:v>
      </x:c>
      <x:c r="AP75" t="n">
        <x:f>Scenario_Data!T75</x:f>
        <x:v>-23.520000000000003</x:v>
      </x:c>
      <x:c r="AQ75" t="n">
        <x: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x:f>
        <x:v>2682.959399881261</x:v>
      </x:c>
      <x:c r="AR75" t="n">
        <x:f>Scenario_Data!U75</x:f>
        <x:v>-156.8</x:v>
      </x:c>
      <x:c r="AS75" t="n">
        <x: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x:f>
        <x:v>1246.7289435174778</x:v>
      </x:c>
      <x:c r="AT75" t="n">
        <x:f>Scenario_Data!V75</x:f>
        <x:v>-313.6</x:v>
      </x:c>
      <x:c r="AU75" t="n">
        <x: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x:f>
        <x:v>2529.6567125397137</x:v>
      </x:c>
      <x:c r="AV75" t="n">
        <x:f>Scenario_Data!W75</x:f>
        <x:v>-313.6</x:v>
      </x:c>
      <x:c r="AW75" t="n">
        <x: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x:f>
        <x:v>2498.1082649566547</x:v>
      </x:c>
    </x:row>
    <x:row r="76">
      <x:c r="A76" t="n">
        <x:f>Chart_Data!K76</x:f>
        <x:v>-23</x:v>
      </x:c>
      <x:c r="B76" t="n">
        <x:f>Chart_Data!N76-Chart_Data!L76</x:f>
        <x:v>130.9673287407926</x:v>
      </x:c>
      <x:c r="D76" t="n">
        <x:f>Chart_Data!G76</x:f>
        <x:v>-23</x:v>
      </x:c>
      <x:c r="E76" t="n">
        <x:f>Chart_Data!H76</x:f>
        <x:v>279.55588840773</x:v>
      </x:c>
      <x:c r="F76" t="n">
        <x:f>Chart_Data!I76</x:f>
        <x:v>279.55588840773</x:v>
      </x:c>
      <x:c r="G76" t="n">
        <x:f>Chart_Data!J76</x:f>
        <x:v>-132.5457898426781</x:v>
      </x:c>
      <x:c r="I76" t="n">
        <x:f>Scenario_Data!A76</x:f>
        <x:v>-0.383</x:v>
      </x:c>
      <x:c r="J76" t="n">
        <x:f>Scenario_Data!H76-(((SQRT((Inputs!$C$52+(Inputs!$H$6))^2+Inputs!$C$52^2-2*(Inputs!$C$52+(Inputs!$H$6))*Inputs!$C$52*COS(SQRT((Scenario_Data!T76)^2+Inputs!$C$6^2)/Inputs!$C$52)))-(Inputs!$H$6))*1000/Inputs!$C$12)</x:f>
        <x:v>-1.1773600760669751</x:v>
      </x:c>
      <x:c r="K76" t="n">
        <x:f>Scenario_Data!I76-(((SQRT((Inputs!$C$52+(Inputs!$H$7))^2+Inputs!$C$52^2-2*(Inputs!$C$52+(Inputs!$H$7))*Inputs!$C$52*COS(SQRT((Scenario_Data!U76)^2+Inputs!$C$6^2)/Inputs!$C$52)))-(Inputs!$H$7))*1000/Inputs!$C$12)</x:f>
        <x:v>-17899.13841594477</x:v>
      </x:c>
      <x:c r="L76" t="n">
        <x:f>Scenario_Data!J76-(((SQRT((Inputs!$C$52+(Inputs!$H$8))^2+Inputs!$C$52^2-2*(Inputs!$C$52+(Inputs!$H$8))*Inputs!$C$52*COS(SQRT((Scenario_Data!V76)^2+Inputs!$C$6^2)/Inputs!$C$52)))-(Inputs!$H$8))*1000/Inputs!$C$12)</x:f>
        <x:v>-47778.57575572333</x:v>
      </x:c>
      <x:c r="M76" t="n">
        <x:f>Scenario_Data!K76-(((SQRT((Inputs!$C$52+(Inputs!$H$9))^2+Inputs!$C$52^2-2*(Inputs!$C$52+(Inputs!$H$9))*Inputs!$C$52*COS(SQRT((Scenario_Data!W76)^2+Inputs!$C$6^2)/Inputs!$C$52)))-(Inputs!$H$9))*1000/Inputs!$C$12)</x:f>
        <x:v>-50165.37147333971</x:v>
      </x:c>
      <x:c r="O76" t="n">
        <x:f>Scenario_Data!T76</x:f>
        <x:v>-22.980000000000004</x:v>
      </x:c>
      <x:c r="P76" t="n">
        <x:f>2*(Scenario_Data!B76*1000)/Inputs!$C$21*1000000</x:f>
        <x:v>2672.427176270058</x:v>
      </x:c>
      <x:c r="Q76" t="n">
        <x:f>Scenario_Data!U76</x:f>
        <x:v>-153.2</x:v>
      </x:c>
      <x:c r="R76" t="n">
        <x:f>2*(Scenario_Data!C76*1000)/Inputs!$C$21*1000000</x:f>
        <x:v>590.685206630515</x:v>
      </x:c>
      <x:c r="S76" t="n">
        <x:f>Scenario_Data!V76</x:f>
        <x:v>-306.4</x:v>
      </x:c>
      <x:c r="T76" t="n">
        <x:f>2*(Scenario_Data!D76*1000)/Inputs!$C$21*1000000</x:f>
        <x:v>1177.8474093567754</x:v>
      </x:c>
      <x:c r="U76" t="n">
        <x:f>Scenario_Data!W76</x:f>
        <x:v>-306.4</x:v>
      </x:c>
      <x:c r="V76" t="n">
        <x:f>2*(Scenario_Data!E76*1000)/Inputs!$C$21*1000000</x:f>
        <x:v>1120.9206270292493</x:v>
      </x:c>
      <x:c r="X76" t="n">
        <x:f>Scenario_Data!T76</x:f>
        <x:v>-22.980000000000004</x:v>
      </x:c>
      <x:c r="Y76" t="n">
        <x: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x:f>
        <x:v>2673.292108029348</x:v>
      </x:c>
      <x:c r="Z76" t="n">
        <x:f>Scenario_Data!U76</x:f>
        <x:v>-153.2</x:v>
      </x:c>
      <x:c r="AA76" t="n">
        <x: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x:f>
        <x:v>590.6619711076781</x:v>
      </x:c>
      <x:c r="AB76" t="n">
        <x:f>Scenario_Data!V76</x:f>
        <x:v>-306.4</x:v>
      </x:c>
      <x:c r="AC76" t="n">
        <x: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x:f>
        <x:v>1177.579756144795</x:v>
      </x:c>
      <x:c r="AD76" t="n">
        <x:f>Scenario_Data!W76</x:f>
        <x:v>-306.4</x:v>
      </x:c>
      <x:c r="AE76" t="n">
        <x: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x:f>
        <x:v>1120.6529738172692</x:v>
      </x:c>
      <x:c r="AG76" t="n">
        <x:f>Scenario_Data!T76</x:f>
        <x:v>-22.980000000000004</x:v>
      </x:c>
      <x:c r="AH76" t="n">
        <x:f>2*(SQRT((Inputs!$C$52+(Scenario_Data!B76))^2+Inputs!$C$52^2-2*(Inputs!$C$52+(Scenario_Data!B76))*Inputs!$C$52*COS(SQRT((Scenario_Data!T76)^2+Inputs!$C$6^2)/Inputs!$C$52))*1000)/Inputs!$C$21*1000000</x:f>
        <x:v>2684.465446445234</x:v>
      </x:c>
      <x:c r="AI76" t="n">
        <x:f>Scenario_Data!U76</x:f>
        <x:v>-153.2</x:v>
      </x:c>
      <x:c r="AJ76" t="n">
        <x:f>2*(SQRT((Inputs!$C$52+(Scenario_Data!C76))^2+Inputs!$C$52^2-2*(Inputs!$C$52+(Scenario_Data!C76))*Inputs!$C$52*COS(SQRT((Scenario_Data!U76)^2+Inputs!$C$6^2)/Inputs!$C$52))*1000)/Inputs!$C$21*1000000</x:f>
        <x:v>1217.0425226665805</x:v>
      </x:c>
      <x:c r="AK76" t="n">
        <x:f>Scenario_Data!V76</x:f>
        <x:v>-306.4</x:v>
      </x:c>
      <x:c r="AL76" t="n">
        <x:f>2*(SQRT((Inputs!$C$52+(Scenario_Data!D76))^2+Inputs!$C$52^2-2*(Inputs!$C$52+(Scenario_Data!D76))*Inputs!$C$52*COS(SQRT((Scenario_Data!V76)^2+Inputs!$C$6^2)/Inputs!$C$52))*1000)/Inputs!$C$21*1000000</x:f>
        <x:v>2460.503062399682</x:v>
      </x:c>
      <x:c r="AM76" t="n">
        <x:f>Scenario_Data!W76</x:f>
        <x:v>-306.4</x:v>
      </x:c>
      <x:c r="AN76" t="n">
        <x:f>2*(SQRT((Inputs!$C$52+(Scenario_Data!E76))^2+Inputs!$C$52^2-2*(Inputs!$C$52+(Scenario_Data!E76))*Inputs!$C$52*COS(SQRT((Scenario_Data!W76)^2+Inputs!$C$6^2)/Inputs!$C$52))*1000)/Inputs!$C$21*1000000</x:f>
        <x:v>2429.0518438601966</x:v>
      </x:c>
      <x:c r="AP76" t="n">
        <x:f>Scenario_Data!T76</x:f>
        <x:v>-22.980000000000004</x:v>
      </x:c>
      <x:c r="AQ76" t="n">
        <x: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x:f>
        <x:v>2682.5936759748174</x:v>
      </x:c>
      <x:c r="AR76" t="n">
        <x:f>Scenario_Data!U76</x:f>
        <x:v>-153.2</x:v>
      </x:c>
      <x:c r="AS76" t="n">
        <x: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x:f>
        <x:v>1216.5900679551614</x:v>
      </x:c>
      <x:c r="AT76" t="n">
        <x:f>Scenario_Data!V76</x:f>
        <x:v>-306.4</x:v>
      </x:c>
      <x:c r="AU76" t="n">
        <x: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x:f>
        <x:v>2460.1080312741733</x:v>
      </x:c>
      <x:c r="AV76" t="n">
        <x:f>Scenario_Data!W76</x:f>
        <x:v>-306.4</x:v>
      </x:c>
      <x:c r="AW76" t="n">
        <x: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x:f>
        <x:v>2428.67513320416</x:v>
      </x:c>
    </x:row>
    <x:row r="77">
      <x:c r="A77" t="n">
        <x:f>Chart_Data!K77</x:f>
        <x:v>-22.5</x:v>
      </x:c>
      <x:c r="B77" t="n">
        <x:f>Chart_Data!N77-Chart_Data!L77</x:f>
        <x:v>136.70768045990502</x:v>
      </x:c>
      <x:c r="D77" t="n">
        <x:f>Chart_Data!G77</x:f>
        <x:v>-22.5</x:v>
      </x:c>
      <x:c r="E77" t="n">
        <x:f>Chart_Data!H77</x:f>
        <x:v>286.69936407981004</x:v>
      </x:c>
      <x:c r="F77" t="n">
        <x:f>Chart_Data!I77</x:f>
        <x:v>286.69936407981004</x:v>
      </x:c>
      <x:c r="G77" t="n">
        <x:f>Chart_Data!J77</x:f>
        <x:v>-138.29494668428998</x:v>
      </x:c>
      <x:c r="I77" t="n">
        <x:f>Scenario_Data!A77</x:f>
        <x:v>-0.375</x:v>
      </x:c>
      <x:c r="J77" t="n">
        <x:f>Scenario_Data!H77-(((SQRT((Inputs!$C$52+(Inputs!$H$6))^2+Inputs!$C$52^2-2*(Inputs!$C$52+(Inputs!$H$6))*Inputs!$C$52*COS(SQRT((Scenario_Data!T77)^2+Inputs!$C$6^2)/Inputs!$C$52)))-(Inputs!$H$6))*1000/Inputs!$C$12)</x:f>
        <x:v>-1.1075409744717035</x:v>
      </x:c>
      <x:c r="K77" t="n">
        <x:f>Scenario_Data!I77-(((SQRT((Inputs!$C$52+(Inputs!$H$7))^2+Inputs!$C$52^2-2*(Inputs!$C$52+(Inputs!$H$7))*Inputs!$C$52*COS(SQRT((Scenario_Data!U77)^2+Inputs!$C$6^2)/Inputs!$C$52)))-(Inputs!$H$7))*1000/Inputs!$C$12)</x:f>
        <x:v>-17155.30788033462</x:v>
      </x:c>
      <x:c r="L77" t="n">
        <x:f>Scenario_Data!J77-(((SQRT((Inputs!$C$52+(Inputs!$H$8))^2+Inputs!$C$52^2-2*(Inputs!$C$52+(Inputs!$H$8))*Inputs!$C$52*COS(SQRT((Scenario_Data!V77)^2+Inputs!$C$6^2)/Inputs!$C$52)))-(Inputs!$H$8))*1000/Inputs!$C$12)</x:f>
        <x:v>-46046.86225919663</x:v>
      </x:c>
      <x:c r="M77" t="n">
        <x:f>Scenario_Data!K77-(((SQRT((Inputs!$C$52+(Inputs!$H$9))^2+Inputs!$C$52^2-2*(Inputs!$C$52+(Inputs!$H$9))*Inputs!$C$52*COS(SQRT((Scenario_Data!W77)^2+Inputs!$C$6^2)/Inputs!$C$52)))-(Inputs!$H$9))*1000/Inputs!$C$12)</x:f>
        <x:v>-48390.51527485564</x:v>
      </x:c>
      <x:c r="O77" t="n">
        <x:f>Scenario_Data!T77</x:f>
        <x:v>-22.5</x:v>
      </x:c>
      <x:c r="P77" t="n">
        <x:f>2*(Scenario_Data!B77*1000)/Inputs!$C$21*1000000</x:f>
        <x:v>2672.2653576561956</x:v>
      </x:c>
      <x:c r="Q77" t="n">
        <x:f>Scenario_Data!U77</x:f>
        <x:v>-150</x:v>
      </x:c>
      <x:c r="R77" t="n">
        <x:f>2*(Scenario_Data!C77*1000)/Inputs!$C$21*1000000</x:f>
        <x:v>575.9192581155594</x:v>
      </x:c>
      <x:c r="S77" t="n">
        <x:f>Scenario_Data!V77</x:f>
        <x:v>-300</x:v>
      </x:c>
      <x:c r="T77" t="n">
        <x:f>2*(Scenario_Data!D77*1000)/Inputs!$C$21*1000000</x:f>
        <x:v>1138.808668762441</x:v>
      </x:c>
      <x:c r="U77" t="n">
        <x:f>Scenario_Data!W77</x:f>
        <x:v>-300</x:v>
      </x:c>
      <x:c r="V77" t="n">
        <x:f>2*(Scenario_Data!E77*1000)/Inputs!$C$21*1000000</x:f>
        <x:v>1081.4773399002586</x:v>
      </x:c>
      <x:c r="X77" t="n">
        <x:f>Scenario_Data!T77</x:f>
        <x:v>-22.5</x:v>
      </x:c>
      <x:c r="Y77" t="n">
        <x: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x:f>
        <x:v>2673.18796223142</x:v>
      </x:c>
      <x:c r="Z77" t="n">
        <x:f>Scenario_Data!U77</x:f>
        <x:v>-150</x:v>
      </x:c>
      <x:c r="AA77" t="n">
        <x: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x:f>
        <x:v>576.2225881312249</x:v>
      </x:c>
      <x:c r="AB77" t="n">
        <x:f>Scenario_Data!V77</x:f>
        <x:v>-300</x:v>
      </x:c>
      <x:c r="AC77" t="n">
        <x: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x:f>
        <x:v>1138.4256657523622</x:v>
      </x:c>
      <x:c r="AD77" t="n">
        <x:f>Scenario_Data!W77</x:f>
        <x:v>-300</x:v>
      </x:c>
      <x:c r="AE77" t="n">
        <x: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x:f>
        <x:v>1081.0943368901799</x:v>
      </x:c>
      <x:c r="AG77" t="n">
        <x:f>Scenario_Data!T77</x:f>
        <x:v>-22.5</x:v>
      </x:c>
      <x:c r="AH77" t="n">
        <x:f>2*(SQRT((Inputs!$C$52+(Scenario_Data!B77))^2+Inputs!$C$52^2-2*(Inputs!$C$52+(Scenario_Data!B77))*Inputs!$C$52*COS(SQRT((Scenario_Data!T77)^2+Inputs!$C$6^2)/Inputs!$C$52))*1000)/Inputs!$C$21*1000000</x:f>
        <x:v>2684.0767928598584</x:v>
      </x:c>
      <x:c r="AI77" t="n">
        <x:f>Scenario_Data!U77</x:f>
        <x:v>-150</x:v>
      </x:c>
      <x:c r="AJ77" t="n">
        <x:f>2*(SQRT((Inputs!$C$52+(Scenario_Data!C77))^2+Inputs!$C$52^2-2*(Inputs!$C$52+(Scenario_Data!C77))*Inputs!$C$52*COS(SQRT((Scenario_Data!U77)^2+Inputs!$C$6^2)/Inputs!$C$52))*1000)/Inputs!$C$21*1000000</x:f>
        <x:v>1190.3573781400514</x:v>
      </x:c>
      <x:c r="AK77" t="n">
        <x:f>Scenario_Data!V77</x:f>
        <x:v>-300</x:v>
      </x:c>
      <x:c r="AL77" t="n">
        <x:f>2*(SQRT((Inputs!$C$52+(Scenario_Data!D77))^2+Inputs!$C$52^2-2*(Inputs!$C$52+(Scenario_Data!D77))*Inputs!$C$52*COS(SQRT((Scenario_Data!V77)^2+Inputs!$C$6^2)/Inputs!$C$52))*1000)/Inputs!$C$21*1000000</x:f>
        <x:v>2399.4815554213374</x:v>
      </x:c>
      <x:c r="AM77" t="n">
        <x:f>Scenario_Data!W77</x:f>
        <x:v>-300</x:v>
      </x:c>
      <x:c r="AN77" t="n">
        <x:f>2*(SQRT((Inputs!$C$52+(Scenario_Data!E77))^2+Inputs!$C$52^2-2*(Inputs!$C$52+(Scenario_Data!E77))*Inputs!$C$52*COS(SQRT((Scenario_Data!W77)^2+Inputs!$C$6^2)/Inputs!$C$52))*1000)/Inputs!$C$21*1000000</x:f>
        <x:v>2368.1387047809635</x:v>
      </x:c>
      <x:c r="AP77" t="n">
        <x:f>Scenario_Data!T77</x:f>
        <x:v>-22.5</x:v>
      </x:c>
      <x:c r="AQ77" t="n">
        <x: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x:f>
        <x:v>2682.174729680835</x:v>
      </x:c>
      <x:c r="AR77" t="n">
        <x:f>Scenario_Data!U77</x:f>
        <x:v>-150</x:v>
      </x:c>
      <x:c r="AS77" t="n">
        <x: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x:f>
        <x:v>1190.1745889310876</x:v>
      </x:c>
      <x:c r="AT77" t="n">
        <x:f>Scenario_Data!V77</x:f>
        <x:v>-300</x:v>
      </x:c>
      <x:c r="AU77" t="n">
        <x: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x:f>
        <x:v>2399.037857844189</x:v>
      </x:c>
      <x:c r="AV77" t="n">
        <x:f>Scenario_Data!W77</x:f>
        <x:v>-300</x:v>
      </x:c>
      <x:c r="AW77" t="n">
        <x: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x:f>
        <x:v>2367.7165122313922</x:v>
      </x:c>
    </x:row>
    <x:row r="78">
      <x:c r="A78" t="n">
        <x:f>Chart_Data!K78</x:f>
        <x:v>-22</x:v>
      </x:c>
      <x:c r="B78" t="n">
        <x:f>Chart_Data!N78-Chart_Data!L78</x:f>
        <x:v>142.38034814799494</x:v>
      </x:c>
      <x:c r="D78" t="n">
        <x:f>Chart_Data!G78</x:f>
        <x:v>-22</x:v>
      </x:c>
      <x:c r="E78" t="n">
        <x:f>Chart_Data!H78</x:f>
        <x:v>316.60820817766927</x:v>
      </x:c>
      <x:c r="F78" t="n">
        <x:f>Chart_Data!I78</x:f>
        <x:v>316.60820817766927</x:v>
      </x:c>
      <x:c r="G78" t="n">
        <x:f>Chart_Data!J78</x:f>
        <x:v>-144.0992283446906</x:v>
      </x:c>
      <x:c r="I78" t="n">
        <x:f>Scenario_Data!A78</x:f>
        <x:v>-0.367</x:v>
      </x:c>
      <x:c r="J78" t="n">
        <x:f>Scenario_Data!H78-(((SQRT((Inputs!$C$52+(Inputs!$H$6))^2+Inputs!$C$52^2-2*(Inputs!$C$52+(Inputs!$H$6))*Inputs!$C$52*COS(SQRT((Scenario_Data!T78)^2+Inputs!$C$6^2)/Inputs!$C$52)))-(Inputs!$H$6))*1000/Inputs!$C$12)</x:f>
        <x:v>-1.0409543459660426</x:v>
      </x:c>
      <x:c r="K78" t="n">
        <x:f>Scenario_Data!I78-(((SQRT((Inputs!$C$52+(Inputs!$H$7))^2+Inputs!$C$52^2-2*(Inputs!$C$52+(Inputs!$H$7))*Inputs!$C$52*COS(SQRT((Scenario_Data!U78)^2+Inputs!$C$6^2)/Inputs!$C$52)))-(Inputs!$H$7))*1000/Inputs!$C$12)</x:f>
        <x:v>-16423.437974026107</x:v>
      </x:c>
      <x:c r="L78" t="n">
        <x:f>Scenario_Data!J78-(((SQRT((Inputs!$C$52+(Inputs!$H$8))^2+Inputs!$C$52^2-2*(Inputs!$C$52+(Inputs!$H$8))*Inputs!$C$52*COS(SQRT((Scenario_Data!V78)^2+Inputs!$C$6^2)/Inputs!$C$52)))-(Inputs!$H$8))*1000/Inputs!$C$12)</x:f>
        <x:v>-44332.01768741841</x:v>
      </x:c>
      <x:c r="M78" t="n">
        <x:f>Scenario_Data!K78-(((SQRT((Inputs!$C$52+(Inputs!$H$9))^2+Inputs!$C$52^2-2*(Inputs!$C$52+(Inputs!$H$9))*Inputs!$C$52*COS(SQRT((Scenario_Data!W78)^2+Inputs!$C$6^2)/Inputs!$C$52)))-(Inputs!$H$9))*1000/Inputs!$C$12)</x:f>
        <x:v>-46631.87794663328</x:v>
      </x:c>
      <x:c r="O78" t="n">
        <x:f>Scenario_Data!T78</x:f>
        <x:v>-22.019999999999996</x:v>
      </x:c>
      <x:c r="P78" t="n">
        <x:f>2*(Scenario_Data!B78*1000)/Inputs!$C$21*1000000</x:f>
        <x:v>2672.106954738668</x:v>
      </x:c>
      <x:c r="Q78" t="n">
        <x:f>Scenario_Data!U78</x:f>
        <x:v>-146.8</x:v>
      </x:c>
      <x:c r="R78" t="n">
        <x:f>2*(Scenario_Data!C78*1000)/Inputs!$C$21*1000000</x:f>
        <x:v>561.464991891157</x:v>
      </x:c>
      <x:c r="S78" t="n">
        <x:f>Scenario_Data!V78</x:f>
        <x:v>-293.6</x:v>
      </x:c>
      <x:c r="T78" t="n">
        <x:f>2*(Scenario_Data!D78*1000)/Inputs!$C$21*1000000</x:f>
        <x:v>1100.593964908884</x:v>
      </x:c>
      <x:c r="U78" t="n">
        <x:f>Scenario_Data!W78</x:f>
        <x:v>-293.6</x:v>
      </x:c>
      <x:c r="V78" t="n">
        <x:f>2*(Scenario_Data!E78*1000)/Inputs!$C$21*1000000</x:f>
        <x:v>1042.8666287528822</x:v>
      </x:c>
      <x:c r="X78" t="n">
        <x:f>Scenario_Data!T78</x:f>
        <x:v>-22.019999999999996</x:v>
      </x:c>
      <x:c r="Y78" t="n">
        <x: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x:f>
        <x:v>2673.1305400369843</x:v>
      </x:c>
      <x:c r="Z78" t="n">
        <x:f>Scenario_Data!U78</x:f>
        <x:v>-146.8</x:v>
      </x:c>
      <x:c r="AA78" t="n">
        <x: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x:f>
        <x:v>561.8222462323213</x:v>
      </x:c>
      <x:c r="AB78" t="n">
        <x:f>Scenario_Data!V78</x:f>
        <x:v>-293.6</x:v>
      </x:c>
      <x:c r="AC78" t="n">
        <x: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x:f>
        <x:v>1100.5896963997259</x:v>
      </x:c>
      <x:c r="AD78" t="n">
        <x:f>Scenario_Data!W78</x:f>
        <x:v>-293.6</x:v>
      </x:c>
      <x:c r="AE78" t="n">
        <x: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x:f>
        <x:v>1042.862360243724</x:v>
      </x:c>
      <x:c r="AG78" t="n">
        <x:f>Scenario_Data!T78</x:f>
        <x:v>-22.019999999999996</x:v>
      </x:c>
      <x:c r="AH78" t="n">
        <x:f>2*(SQRT((Inputs!$C$52+(Scenario_Data!B78))^2+Inputs!$C$52^2-2*(Inputs!$C$52+(Scenario_Data!B78))*Inputs!$C$52*COS(SQRT((Scenario_Data!T78)^2+Inputs!$C$6^2)/Inputs!$C$52))*1000)/Inputs!$C$21*1000000</x:f>
        <x:v>2683.69630309907</x:v>
      </x:c>
      <x:c r="AI78" t="n">
        <x:f>Scenario_Data!U78</x:f>
        <x:v>-146.8</x:v>
      </x:c>
      <x:c r="AJ78" t="n">
        <x:f>2*(SQRT((Inputs!$C$52+(Scenario_Data!C78))^2+Inputs!$C$52^2-2*(Inputs!$C$52+(Scenario_Data!C78))*Inputs!$C$52*COS(SQRT((Scenario_Data!U78)^2+Inputs!$C$6^2)/Inputs!$C$52))*1000)/Inputs!$C$21*1000000</x:f>
        <x:v>1163.8740325347778</x:v>
      </x:c>
      <x:c r="AK78" t="n">
        <x:f>Scenario_Data!V78</x:f>
        <x:v>-293.6</x:v>
      </x:c>
      <x:c r="AL78" t="n">
        <x:f>2*(SQRT((Inputs!$C$52+(Scenario_Data!D78))^2+Inputs!$C$52^2-2*(Inputs!$C$52+(Scenario_Data!D78))*Inputs!$C$52*COS(SQRT((Scenario_Data!V78)^2+Inputs!$C$6^2)/Inputs!$C$52))*1000)/Inputs!$C$21*1000000</x:f>
        <x:v>2339.0933871403463</x:v>
      </x:c>
      <x:c r="AM78" t="n">
        <x:f>Scenario_Data!W78</x:f>
        <x:v>-293.6</x:v>
      </x:c>
      <x:c r="AN78" t="n">
        <x:f>2*(SQRT((Inputs!$C$52+(Scenario_Data!E78))^2+Inputs!$C$52^2-2*(Inputs!$C$52+(Scenario_Data!E78))*Inputs!$C$52*COS(SQRT((Scenario_Data!W78)^2+Inputs!$C$6^2)/Inputs!$C$52))*1000)/Inputs!$C$21*1000000</x:f>
        <x:v>2307.869477325939</x:v>
      </x:c>
      <x:c r="AP78" t="n">
        <x:f>Scenario_Data!T78</x:f>
        <x:v>-22.019999999999996</x:v>
      </x:c>
      <x:c r="AQ78" t="n">
        <x: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x:f>
        <x:v>2681.633377970777</x:v>
      </x:c>
      <x:c r="AR78" t="n">
        <x:f>Scenario_Data!U78</x:f>
        <x:v>-146.8</x:v>
      </x:c>
      <x:c r="AS78" t="n">
        <x: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x:f>
        <x:v>1163.6467818706817</x:v>
      </x:c>
      <x:c r="AT78" t="n">
        <x:f>Scenario_Data!V78</x:f>
        <x:v>-293.6</x:v>
      </x:c>
      <x:c r="AU78" t="n">
        <x: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x:f>
        <x:v>2338.848545673518</x:v>
      </x:c>
      <x:c r="AV78" t="n">
        <x:f>Scenario_Data!W78</x:f>
        <x:v>-293.6</x:v>
      </x:c>
      <x:c r="AW78" t="n">
        <x: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x:f>
        <x:v>2307.637032802526</x:v>
      </x:c>
    </x:row>
    <x:row r="79">
      <x:c r="A79" t="n">
        <x:f>Chart_Data!K79</x:f>
        <x:v>-21.5</x:v>
      </x:c>
      <x:c r="B79" t="n">
        <x:f>Chart_Data!N79-Chart_Data!L79</x:f>
        <x:v>155.16461387832436</x:v>
      </x:c>
      <x:c r="D79" t="n">
        <x:f>Chart_Data!G79</x:f>
        <x:v>-21.5</x:v>
      </x:c>
      <x:c r="E79" t="n">
        <x:f>Chart_Data!H79</x:f>
        <x:v>332.44947759769417</x:v>
      </x:c>
      <x:c r="F79" t="n">
        <x:f>Chart_Data!I79</x:f>
        <x:v>332.44947759769417</x:v>
      </x:c>
      <x:c r="G79" t="n">
        <x:f>Chart_Data!J79</x:f>
        <x:v>-156.9345481530768</x:v>
      </x:c>
      <x:c r="I79" t="n">
        <x:f>Scenario_Data!A79</x:f>
        <x:v>-0.358</x:v>
      </x:c>
      <x:c r="J79" t="n">
        <x:f>Scenario_Data!H79-(((SQRT((Inputs!$C$52+(Inputs!$H$6))^2+Inputs!$C$52^2-2*(Inputs!$C$52+(Inputs!$H$6))*Inputs!$C$52*COS(SQRT((Scenario_Data!T79)^2+Inputs!$C$6^2)/Inputs!$C$52)))-(Inputs!$H$6))*1000/Inputs!$C$12)</x:f>
        <x:v>-0.9697693759256936</x:v>
      </x:c>
      <x:c r="K79" t="n">
        <x:f>Scenario_Data!I79-(((SQRT((Inputs!$C$52+(Inputs!$H$7))^2+Inputs!$C$52^2-2*(Inputs!$C$52+(Inputs!$H$7))*Inputs!$C$52*COS(SQRT((Scenario_Data!U79)^2+Inputs!$C$6^2)/Inputs!$C$52)))-(Inputs!$H$7))*1000/Inputs!$C$12)</x:f>
        <x:v>-15614.70610330964</x:v>
      </x:c>
      <x:c r="L79" t="n">
        <x:f>Scenario_Data!J79-(((SQRT((Inputs!$C$52+(Inputs!$H$8))^2+Inputs!$C$52^2-2*(Inputs!$C$52+(Inputs!$H$8))*Inputs!$C$52*COS(SQRT((Scenario_Data!V79)^2+Inputs!$C$6^2)/Inputs!$C$52)))-(Inputs!$H$8))*1000/Inputs!$C$12)</x:f>
        <x:v>-42423.945096951415</x:v>
      </x:c>
      <x:c r="M79" t="n">
        <x:f>Scenario_Data!K79-(((SQRT((Inputs!$C$52+(Inputs!$H$9))^2+Inputs!$C$52^2-2*(Inputs!$C$52+(Inputs!$H$9))*Inputs!$C$52*COS(SQRT((Scenario_Data!W79)^2+Inputs!$C$6^2)/Inputs!$C$52)))-(Inputs!$H$9))*1000/Inputs!$C$12)</x:f>
        <x:v>-44673.766867657614</x:v>
      </x:c>
      <x:c r="O79" t="n">
        <x:f>Scenario_Data!T79</x:f>
        <x:v>-21.479999999999997</x:v>
      </x:c>
      <x:c r="P79" t="n">
        <x:f>2*(Scenario_Data!B79*1000)/Inputs!$C$21*1000000</x:f>
        <x:v>2671.932834280975</x:v>
      </x:c>
      <x:c r="Q79" t="n">
        <x:f>Scenario_Data!U79</x:f>
        <x:v>-143.2</x:v>
      </x:c>
      <x:c r="R79" t="n">
        <x:f>2*(Scenario_Data!C79*1000)/Inputs!$C$21*1000000</x:f>
        <x:v>545.576500126631</x:v>
      </x:c>
      <x:c r="S79" t="n">
        <x:f>Scenario_Data!V79</x:f>
        <x:v>-286.4</x:v>
      </x:c>
      <x:c r="T79" t="n">
        <x:f>2*(Scenario_Data!D79*1000)/Inputs!$C$21*1000000</x:f>
        <x:v>1058.5874044903424</x:v>
      </x:c>
      <x:c r="U79" t="n">
        <x:f>Scenario_Data!W79</x:f>
        <x:v>-286.4</x:v>
      </x:c>
      <x:c r="V79" t="n">
        <x:f>2*(Scenario_Data!E79*1000)/Inputs!$C$21*1000000</x:f>
        <x:v>1000.4247671901072</x:v>
      </x:c>
      <x:c r="X79" t="n">
        <x:f>Scenario_Data!T79</x:f>
        <x:v>-21.479999999999997</x:v>
      </x:c>
      <x:c r="Y79" t="n">
        <x: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x:f>
        <x:v>2672.9477639052798</x:v>
      </x:c>
      <x:c r="Z79" t="n">
        <x:f>Scenario_Data!U79</x:f>
        <x:v>-143.2</x:v>
      </x:c>
      <x:c r="AA79" t="n">
        <x: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x:f>
        <x:v>545.4683845610028</x:v>
      </x:c>
      <x:c r="AB79" t="n">
        <x:f>Scenario_Data!V79</x:f>
        <x:v>-286.4</x:v>
      </x:c>
      <x:c r="AC79" t="n">
        <x: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x:f>
        <x:v>1058.3002345586074</x:v>
      </x:c>
      <x:c r="AD79" t="n">
        <x:f>Scenario_Data!W79</x:f>
        <x:v>-286.4</x:v>
      </x:c>
      <x:c r="AE79" t="n">
        <x: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x:f>
        <x:v>1000.1375972583725</x:v>
      </x:c>
      <x:c r="AG79" t="n">
        <x:f>Scenario_Data!T79</x:f>
        <x:v>-21.479999999999997</x:v>
      </x:c>
      <x:c r="AH79" t="n">
        <x:f>2*(SQRT((Inputs!$C$52+(Scenario_Data!B79))^2+Inputs!$C$52^2-2*(Inputs!$C$52+(Scenario_Data!B79))*Inputs!$C$52*COS(SQRT((Scenario_Data!T79)^2+Inputs!$C$6^2)/Inputs!$C$52))*1000)/Inputs!$C$21*1000000</x:f>
        <x:v>2683.2780136005345</x:v>
      </x:c>
      <x:c r="AI79" t="n">
        <x:f>Scenario_Data!U79</x:f>
        <x:v>-143.2</x:v>
      </x:c>
      <x:c r="AJ79" t="n">
        <x:f>2*(SQRT((Inputs!$C$52+(Scenario_Data!C79))^2+Inputs!$C$52^2-2*(Inputs!$C$52+(Scenario_Data!C79))*Inputs!$C$52*COS(SQRT((Scenario_Data!U79)^2+Inputs!$C$6^2)/Inputs!$C$52))*1000)/Inputs!$C$21*1000000</x:f>
        <x:v>1134.320202233334</x:v>
      </x:c>
      <x:c r="AK79" t="n">
        <x:f>Scenario_Data!V79</x:f>
        <x:v>-286.4</x:v>
      </x:c>
      <x:c r="AL79" t="n">
        <x:f>2*(SQRT((Inputs!$C$52+(Scenario_Data!D79))^2+Inputs!$C$52^2-2*(Inputs!$C$52+(Scenario_Data!D79))*Inputs!$C$52*COS(SQRT((Scenario_Data!V79)^2+Inputs!$C$6^2)/Inputs!$C$52))*1000)/Inputs!$C$21*1000000</x:f>
        <x:v>2271.9039940577863</x:v>
      </x:c>
      <x:c r="AM79" t="n">
        <x:f>Scenario_Data!W79</x:f>
        <x:v>-286.4</x:v>
      </x:c>
      <x:c r="AN79" t="n">
        <x:f>2*(SQRT((Inputs!$C$52+(Scenario_Data!E79))^2+Inputs!$C$52^2-2*(Inputs!$C$52+(Scenario_Data!E79))*Inputs!$C$52*COS(SQRT((Scenario_Data!W79)^2+Inputs!$C$6^2)/Inputs!$C$52))*1000)/Inputs!$C$21*1000000</x:f>
        <x:v>2240.826006094351</x:v>
      </x:c>
      <x:c r="AP79" t="n">
        <x:f>Scenario_Data!T79</x:f>
        <x:v>-21.479999999999997</x:v>
      </x:c>
      <x:c r="AQ79" t="n">
        <x: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x:f>
        <x:v>2681.074277895876</x:v>
      </x:c>
      <x:c r="AR79" t="n">
        <x:f>Scenario_Data!U79</x:f>
        <x:v>-143.2</x:v>
      </x:c>
      <x:c r="AS79" t="n">
        <x: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x:f>
        <x:v>1133.8107705131229</x:v>
      </x:c>
      <x:c r="AT79" t="n">
        <x:f>Scenario_Data!V79</x:f>
        <x:v>-286.4</x:v>
      </x:c>
      <x:c r="AU79" t="n">
        <x: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x:f>
        <x:v>2271.4757396841865</x:v>
      </x:c>
      <x:c r="AV79" t="n">
        <x:f>Scenario_Data!W79</x:f>
        <x:v>-286.4</x:v>
      </x:c>
      <x:c r="AW79" t="n">
        <x: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x:f>
        <x:v>2240.4205489602696</x:v>
      </x:c>
    </x:row>
    <x:row r="80">
      <x:c r="A80" t="n">
        <x:f>Chart_Data!K80</x:f>
        <x:v>-21</x:v>
      </x:c>
      <x:c r="B80" t="n">
        <x:f>Chart_Data!N80-Chart_Data!L80</x:f>
        <x:v>140.71817235691083</x:v>
      </x:c>
      <x:c r="D80" t="n">
        <x:f>Chart_Data!G80</x:f>
        <x:v>-21</x:v>
      </x:c>
      <x:c r="E80" t="n">
        <x:f>Chart_Data!H80</x:f>
        <x:v>317.91812880175183</x:v>
      </x:c>
      <x:c r="F80" t="n">
        <x:f>Chart_Data!I80</x:f>
        <x:v>317.91812880175183</x:v>
      </x:c>
      <x:c r="G80" t="n">
        <x:f>Chart_Data!J80</x:f>
        <x:v>-142.37794992196604</x:v>
      </x:c>
      <x:c r="I80" t="n">
        <x:f>Scenario_Data!A80</x:f>
        <x:v>-0.35</x:v>
      </x:c>
      <x:c r="J80" t="n">
        <x:f>Scenario_Data!H80-(((SQRT((Inputs!$C$52+(Inputs!$H$6))^2+Inputs!$C$52^2-2*(Inputs!$C$52+(Inputs!$H$6))*Inputs!$C$52*COS(SQRT((Scenario_Data!T80)^2+Inputs!$C$6^2)/Inputs!$C$52)))-(Inputs!$H$6))*1000/Inputs!$C$12)</x:f>
        <x:v>-0.9096841644008009</x:v>
      </x:c>
      <x:c r="K80" t="n">
        <x:f>Scenario_Data!I80-(((SQRT((Inputs!$C$52+(Inputs!$H$7))^2+Inputs!$C$52^2-2*(Inputs!$C$52+(Inputs!$H$7))*Inputs!$C$52*COS(SQRT((Scenario_Data!U80)^2+Inputs!$C$6^2)/Inputs!$C$52)))-(Inputs!$H$7))*1000/Inputs!$C$12)</x:f>
        <x:v>-14909.123361914171</x:v>
      </x:c>
      <x:c r="L80" t="n">
        <x:f>Scenario_Data!J80-(((SQRT((Inputs!$C$52+(Inputs!$H$8))^2+Inputs!$C$52^2-2*(Inputs!$C$52+(Inputs!$H$8))*Inputs!$C$52*COS(SQRT((Scenario_Data!V80)^2+Inputs!$C$6^2)/Inputs!$C$52)))-(Inputs!$H$8))*1000/Inputs!$C$12)</x:f>
        <x:v>-40747.537049505336</x:v>
      </x:c>
      <x:c r="M80" t="n">
        <x:f>Scenario_Data!K80-(((SQRT((Inputs!$C$52+(Inputs!$H$9))^2+Inputs!$C$52^2-2*(Inputs!$C$52+(Inputs!$H$9))*Inputs!$C$52*COS(SQRT((Scenario_Data!W80)^2+Inputs!$C$6^2)/Inputs!$C$52)))-(Inputs!$H$9))*1000/Inputs!$C$12)</x:f>
        <x:v>-42952.19979250127</x:v>
      </x:c>
      <x:c r="O80" t="n">
        <x:f>Scenario_Data!T80</x:f>
        <x:v>-21</x:v>
      </x:c>
      <x:c r="P80" t="n">
        <x:f>2*(Scenario_Data!B80*1000)/Inputs!$C$21*1000000</x:f>
        <x:v>2671.7816897181583</x:v>
      </x:c>
      <x:c r="Q80" t="n">
        <x:f>Scenario_Data!U80</x:f>
        <x:v>-140</x:v>
      </x:c>
      <x:c r="R80" t="n">
        <x:f>2*(Scenario_Data!C80*1000)/Inputs!$C$21*1000000</x:f>
        <x:v>531.7845587696538</x:v>
      </x:c>
      <x:c r="S80" t="n">
        <x:f>Scenario_Data!V80</x:f>
        <x:v>-280</x:v>
      </x:c>
      <x:c r="T80" t="n">
        <x:f>2*(Scenario_Data!D80*1000)/Inputs!$C$21*1000000</x:f>
        <x:v>1022.1237787109374</x:v>
      </x:c>
      <x:c r="U80" t="n">
        <x:f>Scenario_Data!W80</x:f>
        <x:v>-280</x:v>
      </x:c>
      <x:c r="V80" t="n">
        <x:f>2*(Scenario_Data!E80*1000)/Inputs!$C$21*1000000</x:f>
        <x:v>963.5832800036617</x:v>
      </x:c>
      <x:c r="X80" t="n">
        <x:f>Scenario_Data!T80</x:f>
        <x:v>-21</x:v>
      </x:c>
      <x:c r="Y80" t="n">
        <x: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x:f>
        <x:v>2672.7315331589957</x:v>
      </x:c>
      <x:c r="Z80" t="n">
        <x:f>Scenario_Data!U80</x:f>
        <x:v>-140</x:v>
      </x:c>
      <x:c r="AA80" t="n">
        <x: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x:f>
        <x:v>531.4420597563163</x:v>
      </x:c>
      <x:c r="AB80" t="n">
        <x:f>Scenario_Data!V80</x:f>
        <x:v>-280</x:v>
      </x:c>
      <x:c r="AC80" t="n">
        <x: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x:f>
        <x:v>1021.9153193332302</x:v>
      </x:c>
      <x:c r="AD80" t="n">
        <x:f>Scenario_Data!W80</x:f>
        <x:v>-280</x:v>
      </x:c>
      <x:c r="AE80" t="n">
        <x: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x:f>
        <x:v>963.3748206259548</x:v>
      </x:c>
      <x:c r="AG80" t="n">
        <x:f>Scenario_Data!T80</x:f>
        <x:v>-21</x:v>
      </x:c>
      <x:c r="AH80" t="n">
        <x:f>2*(SQRT((Inputs!$C$52+(Scenario_Data!B80))^2+Inputs!$C$52^2-2*(Inputs!$C$52+(Scenario_Data!B80))*Inputs!$C$52*COS(SQRT((Scenario_Data!T80)^2+Inputs!$C$6^2)/Inputs!$C$52))*1000)/Inputs!$C$21*1000000</x:f>
        <x:v>2682.914880335254</x:v>
      </x:c>
      <x:c r="AI80" t="n">
        <x:f>Scenario_Data!U80</x:f>
        <x:v>-140</x:v>
      </x:c>
      <x:c r="AJ80" t="n">
        <x:f>2*(SQRT((Inputs!$C$52+(Scenario_Data!C80))^2+Inputs!$C$52^2-2*(Inputs!$C$52+(Scenario_Data!C80))*Inputs!$C$52*COS(SQRT((Scenario_Data!U80)^2+Inputs!$C$6^2)/Inputs!$C$52))*1000)/Inputs!$C$21*1000000</x:f>
        <x:v>1108.2624133501783</x:v>
      </x:c>
      <x:c r="AK80" t="n">
        <x:f>Scenario_Data!V80</x:f>
        <x:v>-280</x:v>
      </x:c>
      <x:c r="AL80" t="n">
        <x:f>2*(SQRT((Inputs!$C$52+(Scenario_Data!D80))^2+Inputs!$C$52^2-2*(Inputs!$C$52+(Scenario_Data!D80))*Inputs!$C$52*COS(SQRT((Scenario_Data!V80)^2+Inputs!$C$6^2)/Inputs!$C$52))*1000)/Inputs!$C$21*1000000</x:f>
        <x:v>2212.8355811384035</x:v>
      </x:c>
      <x:c r="AM80" t="n">
        <x:f>Scenario_Data!W80</x:f>
        <x:v>-280</x:v>
      </x:c>
      <x:c r="AN80" t="n">
        <x:f>2*(SQRT((Inputs!$C$52+(Scenario_Data!E80))^2+Inputs!$C$52^2-2*(Inputs!$C$52+(Scenario_Data!E80))*Inputs!$C$52*COS(SQRT((Scenario_Data!W80)^2+Inputs!$C$6^2)/Inputs!$C$52))*1000)/Inputs!$C$21*1000000</x:f>
        <x:v>2181.897557099264</x:v>
      </x:c>
      <x:c r="AP80" t="n">
        <x:f>Scenario_Data!T80</x:f>
        <x:v>-21</x:v>
      </x:c>
      <x:c r="AQ80" t="n">
        <x: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x:f>
        <x:v>2680.805031719671</x:v>
      </x:c>
      <x:c r="AR80" t="n">
        <x:f>Scenario_Data!U80</x:f>
        <x:v>-140</x:v>
      </x:c>
      <x:c r="AS80" t="n">
        <x: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x:f>
        <x:v>1107.663476732817</x:v>
      </x:c>
      <x:c r="AT80" t="n">
        <x:f>Scenario_Data!V80</x:f>
        <x:v>-280</x:v>
      </x:c>
      <x:c r="AU80" t="n">
        <x: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x:f>
        <x:v>2212.418081073065</x:v>
      </x:c>
      <x:c r="AV80" t="n">
        <x:f>Scenario_Data!W80</x:f>
        <x:v>-280</x:v>
      </x:c>
      <x:c r="AW80" t="n">
        <x: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x:f>
        <x:v>2181.5032877091103</x:v>
      </x:c>
    </x:row>
    <x:row r="81">
      <x:c r="A81" t="n">
        <x:f>Chart_Data!K81</x:f>
        <x:v>-20.5</x:v>
      </x:c>
      <x:c r="B81" t="n">
        <x:f>Chart_Data!N81-Chart_Data!L81</x:f>
        <x:v>138.79258237955816</x:v>
      </x:c>
      <x:c r="D81" t="n">
        <x:f>Chart_Data!G81</x:f>
        <x:v>-20.5</x:v>
      </x:c>
      <x:c r="E81" t="n">
        <x:f>Chart_Data!H81</x:f>
        <x:v>343.37986587370784</x:v>
      </x:c>
      <x:c r="F81" t="n">
        <x:f>Chart_Data!I81</x:f>
        <x:v>343.37986587370784</x:v>
      </x:c>
      <x:c r="G81" t="n">
        <x:f>Chart_Data!J81</x:f>
        <x:v>-140.5508651158499</x:v>
      </x:c>
      <x:c r="I81" t="n">
        <x:f>Scenario_Data!A81</x:f>
        <x:v>-0.342</x:v>
      </x:c>
      <x:c r="J81" t="n">
        <x:f>Scenario_Data!H81-(((SQRT((Inputs!$C$52+(Inputs!$H$6))^2+Inputs!$C$52^2-2*(Inputs!$C$52+(Inputs!$H$6))*Inputs!$C$52*COS(SQRT((Scenario_Data!T81)^2+Inputs!$C$6^2)/Inputs!$C$52)))-(Inputs!$H$6))*1000/Inputs!$C$12)</x:f>
        <x:v>-0.8524904108952569</x:v>
      </x:c>
      <x:c r="K81" t="n">
        <x:f>Scenario_Data!I81-(((SQRT((Inputs!$C$52+(Inputs!$H$7))^2+Inputs!$C$52^2-2*(Inputs!$C$52+(Inputs!$H$7))*Inputs!$C$52*COS(SQRT((Scenario_Data!U81)^2+Inputs!$C$6^2)/Inputs!$C$52)))-(Inputs!$H$7))*1000/Inputs!$C$12)</x:f>
        <x:v>-14216.32826550211</x:v>
      </x:c>
      <x:c r="L81" t="n">
        <x:f>Scenario_Data!J81-(((SQRT((Inputs!$C$52+(Inputs!$H$8))^2+Inputs!$C$52^2-2*(Inputs!$C$52+(Inputs!$H$8))*Inputs!$C$52*COS(SQRT((Scenario_Data!V81)^2+Inputs!$C$6^2)/Inputs!$C$52)))-(Inputs!$H$8))*1000/Inputs!$C$12)</x:f>
        <x:v>-39090.472738230674</x:v>
      </x:c>
      <x:c r="M81" t="n">
        <x:f>Scenario_Data!K81-(((SQRT((Inputs!$C$52+(Inputs!$H$9))^2+Inputs!$C$52^2-2*(Inputs!$C$52+(Inputs!$H$9))*Inputs!$C$52*COS(SQRT((Scenario_Data!W81)^2+Inputs!$C$6^2)/Inputs!$C$52)))-(Inputs!$H$9))*1000/Inputs!$C$12)</x:f>
        <x:v>-41249.342022155164</x:v>
      </x:c>
      <x:c r="O81" t="n">
        <x:f>Scenario_Data!T81</x:f>
        <x:v>-20.520000000000003</x:v>
      </x:c>
      <x:c r="P81" t="n">
        <x:f>2*(Scenario_Data!B81*1000)/Inputs!$C$21*1000000</x:f>
        <x:v>2671.633960851677</x:v>
      </x:c>
      <x:c r="Q81" t="n">
        <x:f>Scenario_Data!U81</x:f>
        <x:v>-136.8</x:v>
      </x:c>
      <x:c r="R81" t="n">
        <x:f>2*(Scenario_Data!C81*1000)/Inputs!$C$21*1000000</x:f>
        <x:v>518.3042997032301</x:v>
      </x:c>
      <x:c r="S81" t="n">
        <x:f>Scenario_Data!V81</x:f>
        <x:v>-273.6</x:v>
      </x:c>
      <x:c r="T81" t="n">
        <x:f>2*(Scenario_Data!D81*1000)/Inputs!$C$21*1000000</x:f>
        <x:v>986.4841896723101</x:v>
      </x:c>
      <x:c r="U81" t="n">
        <x:f>Scenario_Data!W81</x:f>
        <x:v>-273.6</x:v>
      </x:c>
      <x:c r="V81" t="n">
        <x:f>2*(Scenario_Data!E81*1000)/Inputs!$C$21*1000000</x:f>
        <x:v>927.574368798831</x:v>
      </x:c>
      <x:c r="X81" t="n">
        <x:f>Scenario_Data!T81</x:f>
        <x:v>-20.520000000000003</x:v>
      </x:c>
      <x:c r="Y81" t="n">
        <x: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x:f>
        <x:v>2672.6976301058958</x:v>
      </x:c>
      <x:c r="Z81" t="n">
        <x:f>Scenario_Data!U81</x:f>
        <x:v>-136.8</x:v>
      </x:c>
      <x:c r="AA81" t="n">
        <x: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x:f>
        <x:v>518.30702957058</x:v>
      </x:c>
      <x:c r="AB81" t="n">
        <x:f>Scenario_Data!V81</x:f>
        <x:v>-273.6</x:v>
      </x:c>
      <x:c r="AC81" t="n">
        <x: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x:f>
        <x:v>986.6455688287625</x:v>
      </x:c>
      <x:c r="AD81" t="n">
        <x:f>Scenario_Data!W81</x:f>
        <x:v>-273.6</x:v>
      </x:c>
      <x:c r="AE81" t="n">
        <x: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x:f>
        <x:v>927.7357479552833</x:v>
      </x:c>
      <x:c r="AG81" t="n">
        <x:f>Scenario_Data!T81</x:f>
        <x:v>-20.520000000000003</x:v>
      </x:c>
      <x:c r="AH81" t="n">
        <x:f>2*(SQRT((Inputs!$C$52+(Scenario_Data!B81))^2+Inputs!$C$52^2-2*(Inputs!$C$52+(Scenario_Data!B81))*Inputs!$C$52*COS(SQRT((Scenario_Data!T81)^2+Inputs!$C$6^2)/Inputs!$C$52))*1000)/Inputs!$C$21*1000000</x:f>
        <x:v>2682.559918656496</x:v>
      </x:c>
      <x:c r="AI81" t="n">
        <x:f>Scenario_Data!U81</x:f>
        <x:v>-136.8</x:v>
      </x:c>
      <x:c r="AJ81" t="n">
        <x:f>2*(SQRT((Inputs!$C$52+(Scenario_Data!C81))^2+Inputs!$C$52^2-2*(Inputs!$C$52+(Scenario_Data!C81))*Inputs!$C$52*COS(SQRT((Scenario_Data!U81)^2+Inputs!$C$6^2)/Inputs!$C$52))*1000)/Inputs!$C$21*1000000</x:f>
        <x:v>1082.4036420950645</x:v>
      </x:c>
      <x:c r="AK81" t="n">
        <x:f>Scenario_Data!V81</x:f>
        <x:v>-273.6</x:v>
      </x:c>
      <x:c r="AL81" t="n">
        <x:f>2*(SQRT((Inputs!$C$52+(Scenario_Data!D81))^2+Inputs!$C$52^2-2*(Inputs!$C$52+(Scenario_Data!D81))*Inputs!$C$52*COS(SQRT((Scenario_Data!V81)^2+Inputs!$C$6^2)/Inputs!$C$52))*1000)/Inputs!$C$21*1000000</x:f>
        <x:v>2154.375751929062</x:v>
      </x:c>
      <x:c r="AM81" t="n">
        <x:f>Scenario_Data!W81</x:f>
        <x:v>-273.6</x:v>
      </x:c>
      <x:c r="AN81" t="n">
        <x:f>2*(SQRT((Inputs!$C$52+(Scenario_Data!E81))^2+Inputs!$C$52^2-2*(Inputs!$C$52+(Scenario_Data!E81))*Inputs!$C$52*COS(SQRT((Scenario_Data!W81)^2+Inputs!$C$6^2)/Inputs!$C$52))*1000)/Inputs!$C$21*1000000</x:f>
        <x:v>2123.586815394276</x:v>
      </x:c>
      <x:c r="AP81" t="n">
        <x:f>Scenario_Data!T81</x:f>
        <x:v>-20.520000000000003</x:v>
      </x:c>
      <x:c r="AQ81" t="n">
        <x: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x:f>
        <x:v>2680.307213361289</x:v>
      </x:c>
      <x:c r="AR81" t="n">
        <x:f>Scenario_Data!U81</x:f>
        <x:v>-136.8</x:v>
      </x:c>
      <x:c r="AS81" t="n">
        <x: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x:f>
        <x:v>1081.9289025291496</x:v>
      </x:c>
      <x:c r="AT81" t="n">
        <x:f>Scenario_Data!V81</x:f>
        <x:v>-273.6</x:v>
      </x:c>
      <x:c r="AU81" t="n">
        <x: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x:f>
        <x:v>2154.069064539017</x:v>
      </x:c>
      <x:c r="AV81" t="n">
        <x:f>Scenario_Data!W81</x:f>
        <x:v>-273.6</x:v>
      </x:c>
      <x:c r="AW81" t="n">
        <x: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x:f>
        <x:v>2123.297962760579</x:v>
      </x:c>
    </x:row>
    <x:row r="82">
      <x:c r="A82" t="n">
        <x:f>Chart_Data!K82</x:f>
        <x:v>-20</x:v>
      </x:c>
      <x:c r="B82" t="n">
        <x:f>Chart_Data!N82-Chart_Data!L82</x:f>
        <x:v>144.6299048877989</x:v>
      </x:c>
      <x:c r="D82" t="n">
        <x:f>Chart_Data!G82</x:f>
        <x:v>-20</x:v>
      </x:c>
      <x:c r="E82" t="n">
        <x:f>Chart_Data!H82</x:f>
        <x:v>338.15830709992554</x:v>
      </x:c>
      <x:c r="F82" t="n">
        <x:f>Chart_Data!I82</x:f>
        <x:v>338.15830709992554</x:v>
      </x:c>
      <x:c r="G82" t="n">
        <x:f>Chart_Data!J82</x:f>
        <x:v>-146.32822187126578</x:v>
      </x:c>
      <x:c r="I82" t="n">
        <x:f>Scenario_Data!A82</x:f>
        <x:v>-0.333</x:v>
      </x:c>
      <x:c r="J82" t="n">
        <x:f>Scenario_Data!H82-(((SQRT((Inputs!$C$52+(Inputs!$H$6))^2+Inputs!$C$52^2-2*(Inputs!$C$52+(Inputs!$H$6))*Inputs!$C$52*COS(SQRT((Scenario_Data!T82)^2+Inputs!$C$6^2)/Inputs!$C$52)))-(Inputs!$H$6))*1000/Inputs!$C$12)</x:f>
        <x:v>-0.791473780832689</x:v>
      </x:c>
      <x:c r="K82" t="n">
        <x:f>Scenario_Data!I82-(((SQRT((Inputs!$C$52+(Inputs!$H$7))^2+Inputs!$C$52^2-2*(Inputs!$C$52+(Inputs!$H$7))*Inputs!$C$52*COS(SQRT((Scenario_Data!U82)^2+Inputs!$C$6^2)/Inputs!$C$52)))-(Inputs!$H$7))*1000/Inputs!$C$12)</x:f>
        <x:v>-13452.55752473721</x:v>
      </x:c>
      <x:c r="L82" t="n">
        <x:f>Scenario_Data!J82-(((SQRT((Inputs!$C$52+(Inputs!$H$8))^2+Inputs!$C$52^2-2*(Inputs!$C$52+(Inputs!$H$8))*Inputs!$C$52*COS(SQRT((Scenario_Data!V82)^2+Inputs!$C$6^2)/Inputs!$C$52)))-(Inputs!$H$8))*1000/Inputs!$C$12)</x:f>
        <x:v>-37250.42865196269</x:v>
      </x:c>
      <x:c r="M82" t="n">
        <x:f>Scenario_Data!K82-(((SQRT((Inputs!$C$52+(Inputs!$H$9))^2+Inputs!$C$52^2-2*(Inputs!$C$52+(Inputs!$H$9))*Inputs!$C$52*COS(SQRT((Scenario_Data!W82)^2+Inputs!$C$6^2)/Inputs!$C$52)))-(Inputs!$H$9))*1000/Inputs!$C$12)</x:f>
        <x:v>-39357.02991700129</x:v>
      </x:c>
      <x:c r="O82" t="n">
        <x:f>Scenario_Data!T82</x:f>
        <x:v>-19.979999999999997</x:v>
      </x:c>
      <x:c r="P82" t="n">
        <x:f>2*(Scenario_Data!B82*1000)/Inputs!$C$21*1000000</x:f>
        <x:v>2671.4718487014106</x:v>
      </x:c>
      <x:c r="Q82" t="n">
        <x:f>Scenario_Data!U82</x:f>
        <x:v>-133.2</x:v>
      </x:c>
      <x:c r="R82" t="n">
        <x:f>2*(Scenario_Data!C82*1000)/Inputs!$C$21*1000000</x:f>
        <x:v>503.51156599142996</x:v>
      </x:c>
      <x:c r="S82" t="n">
        <x:f>Scenario_Data!V82</x:f>
        <x:v>-266.4</x:v>
      </x:c>
      <x:c r="T82" t="n">
        <x:f>2*(Scenario_Data!D82*1000)/Inputs!$C$21*1000000</x:f>
        <x:v>947.3746334205645</x:v>
      </x:c>
      <x:c r="U82" t="n">
        <x:f>Scenario_Data!W82</x:f>
        <x:v>-266.4</x:v>
      </x:c>
      <x:c r="V82" t="n">
        <x:f>2*(Scenario_Data!E82*1000)/Inputs!$C$21*1000000</x:f>
        <x:v>888.0595321714195</x:v>
      </x:c>
      <x:c r="X82" t="n">
        <x:f>Scenario_Data!T82</x:f>
        <x:v>-19.979999999999997</x:v>
      </x:c>
      <x:c r="Y82" t="n">
        <x: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x:f>
        <x:v>2672.4754623052013</x:v>
      </x:c>
      <x:c r="Z82" t="n">
        <x:f>Scenario_Data!U82</x:f>
        <x:v>-133.2</x:v>
      </x:c>
      <x:c r="AA82" t="n">
        <x: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x:f>
        <x:v>503.5300716509127</x:v>
      </x:c>
      <x:c r="AB82" t="n">
        <x:f>Scenario_Data!V82</x:f>
        <x:v>-266.4</x:v>
      </x:c>
      <x:c r="AC82" t="n">
        <x: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x:f>
        <x:v>946.9302890193869</x:v>
      </x:c>
      <x:c r="AD82" t="n">
        <x:f>Scenario_Data!W82</x:f>
        <x:v>-266.4</x:v>
      </x:c>
      <x:c r="AE82" t="n">
        <x: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x:f>
        <x:v>887.615187770242</x:v>
      </x:c>
      <x:c r="AG82" t="n">
        <x:f>Scenario_Data!T82</x:f>
        <x:v>-19.979999999999997</x:v>
      </x:c>
      <x:c r="AH82" t="n">
        <x:f>2*(SQRT((Inputs!$C$52+(Scenario_Data!B82))^2+Inputs!$C$52^2-2*(Inputs!$C$52+(Scenario_Data!B82))*Inputs!$C$52*COS(SQRT((Scenario_Data!T82)^2+Inputs!$C$6^2)/Inputs!$C$52))*1000)/Inputs!$C$21*1000000</x:f>
        <x:v>2682.170357321432</x:v>
      </x:c>
      <x:c r="AI82" t="n">
        <x:f>Scenario_Data!U82</x:f>
        <x:v>-133.2</x:v>
      </x:c>
      <x:c r="AJ82" t="n">
        <x:f>2*(SQRT((Inputs!$C$52+(Scenario_Data!C82))^2+Inputs!$C$52^2-2*(Inputs!$C$52+(Scenario_Data!C82))*Inputs!$C$52*COS(SQRT((Scenario_Data!U82)^2+Inputs!$C$6^2)/Inputs!$C$52))*1000)/Inputs!$C$21*1000000</x:f>
        <x:v>1053.5497018470367</x:v>
      </x:c>
      <x:c r="AK82" t="n">
        <x:f>Scenario_Data!V82</x:f>
        <x:v>-266.4</x:v>
      </x:c>
      <x:c r="AL82" t="n">
        <x:f>2*(SQRT((Inputs!$C$52+(Scenario_Data!D82))^2+Inputs!$C$52^2-2*(Inputs!$C$52+(Scenario_Data!D82))*Inputs!$C$52*COS(SQRT((Scenario_Data!V82)^2+Inputs!$C$6^2)/Inputs!$C$52))*1000)/Inputs!$C$21*1000000</x:f>
        <x:v>2089.3258107719435</x:v>
      </x:c>
      <x:c r="AM82" t="n">
        <x:f>Scenario_Data!W82</x:f>
        <x:v>-266.4</x:v>
      </x:c>
      <x:c r="AN82" t="n">
        <x:f>2*(SQRT((Inputs!$C$52+(Scenario_Data!E82))^2+Inputs!$C$52^2-2*(Inputs!$C$52+(Scenario_Data!E82))*Inputs!$C$52*COS(SQRT((Scenario_Data!W82)^2+Inputs!$C$6^2)/Inputs!$C$52))*1000)/Inputs!$C$21*1000000</x:f>
        <x:v>2058.7148075309083</x:v>
      </x:c>
      <x:c r="AP82" t="n">
        <x:f>Scenario_Data!T82</x:f>
        <x:v>-19.979999999999997</x:v>
      </x:c>
      <x:c r="AQ82" t="n">
        <x: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x:f>
        <x:v>2679.910435734186</x:v>
      </x:c>
      <x:c r="AR82" t="n">
        <x:f>Scenario_Data!U82</x:f>
        <x:v>-133.2</x:v>
      </x:c>
      <x:c r="AS82" t="n">
        <x: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x:f>
        <x:v>1053.2379157384207</x:v>
      </x:c>
      <x:c r="AT82" t="n">
        <x:f>Scenario_Data!V82</x:f>
        <x:v>-266.4</x:v>
      </x:c>
      <x:c r="AU82" t="n">
        <x: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x:f>
        <x:v>2088.853489351747</x:v>
      </x:c>
      <x:c r="AV82" t="n">
        <x:f>Scenario_Data!W82</x:f>
        <x:v>-266.4</x:v>
      </x:c>
      <x:c r="AW82" t="n">
        <x: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x:f>
        <x:v>2058.271372657876</x:v>
      </x:c>
    </x:row>
    <x:row r="83">
      <x:c r="A83" t="n">
        <x:f>Chart_Data!K83</x:f>
        <x:v>-19.5</x:v>
      </x:c>
      <x:c r="B83" t="n">
        <x:f>Chart_Data!N83-Chart_Data!L83</x:f>
        <x:v>138.25591202159382</x:v>
      </x:c>
      <x:c r="D83" t="n">
        <x:f>Chart_Data!G83</x:f>
        <x:v>-19.5</x:v>
      </x:c>
      <x:c r="E83" t="n">
        <x:f>Chart_Data!H83</x:f>
        <x:v>363.81454233496186</x:v>
      </x:c>
      <x:c r="F83" t="n">
        <x:f>Chart_Data!I83</x:f>
        <x:v>363.81454233496186</x:v>
      </x:c>
      <x:c r="G83" t="n">
        <x:f>Chart_Data!J83</x:f>
        <x:v>-140.0483381286437</x:v>
      </x:c>
      <x:c r="I83" t="n">
        <x:f>Scenario_Data!A83</x:f>
        <x:v>-0.325</x:v>
      </x:c>
      <x:c r="J83" t="n">
        <x:f>Scenario_Data!H83-(((SQRT((Inputs!$C$52+(Inputs!$H$6))^2+Inputs!$C$52^2-2*(Inputs!$C$52+(Inputs!$H$6))*Inputs!$C$52*COS(SQRT((Scenario_Data!T83)^2+Inputs!$C$6^2)/Inputs!$C$52)))-(Inputs!$H$6))*1000/Inputs!$C$12)</x:f>
        <x:v>-0.7400807499819848</x:v>
      </x:c>
      <x:c r="K83" t="n">
        <x:f>Scenario_Data!I83-(((SQRT((Inputs!$C$52+(Inputs!$H$7))^2+Inputs!$C$52^2-2*(Inputs!$C$52+(Inputs!$H$7))*Inputs!$C$52*COS(SQRT((Scenario_Data!U83)^2+Inputs!$C$6^2)/Inputs!$C$52)))-(Inputs!$H$7))*1000/Inputs!$C$12)</x:f>
        <x:v>-12787.842801368242</x:v>
      </x:c>
      <x:c r="L83" t="n">
        <x:f>Scenario_Data!J83-(((SQRT((Inputs!$C$52+(Inputs!$H$8))^2+Inputs!$C$52^2-2*(Inputs!$C$52+(Inputs!$H$8))*Inputs!$C$52*COS(SQRT((Scenario_Data!V83)^2+Inputs!$C$6^2)/Inputs!$C$52)))-(Inputs!$H$8))*1000/Inputs!$C$12)</x:f>
        <x:v>-35637.24050020533</x:v>
      </x:c>
      <x:c r="M83" t="n">
        <x:f>Scenario_Data!K83-(((SQRT((Inputs!$C$52+(Inputs!$H$9))^2+Inputs!$C$52^2-2*(Inputs!$C$52+(Inputs!$H$9))*Inputs!$C$52*COS(SQRT((Scenario_Data!W83)^2+Inputs!$C$6^2)/Inputs!$C$52)))-(Inputs!$H$9))*1000/Inputs!$C$12)</x:f>
        <x:v>-37696.722160192</x:v>
      </x:c>
      <x:c r="O83" t="n">
        <x:f>Scenario_Data!T83</x:f>
        <x:v>-19.5</x:v>
      </x:c>
      <x:c r="P83" t="n">
        <x:f>2*(Scenario_Data!B83*1000)/Inputs!$C$21*1000000</x:f>
        <x:v>2671.331378189641</x:v>
      </x:c>
      <x:c r="Q83" t="n">
        <x:f>Scenario_Data!U83</x:f>
        <x:v>-130</x:v>
      </x:c>
      <x:c r="R83" t="n">
        <x:f>2*(Scenario_Data!C83*1000)/Inputs!$C$21*1000000</x:f>
        <x:v>490.6936317924316</x:v>
      </x:c>
      <x:c r="S83" t="n">
        <x:f>Scenario_Data!V83</x:f>
        <x:v>-260</x:v>
      </x:c>
      <x:c r="T83" t="n">
        <x:f>2*(Scenario_Data!D83*1000)/Inputs!$C$21*1000000</x:f>
        <x:v>913.4861224560894</x:v>
      </x:c>
      <x:c r="U83" t="n">
        <x:f>Scenario_Data!W83</x:f>
        <x:v>-260</x:v>
      </x:c>
      <x:c r="V83" t="n">
        <x:f>2*(Scenario_Data!E83*1000)/Inputs!$C$21*1000000</x:f>
        <x:v>853.8198449275199</x:v>
      </x:c>
      <x:c r="X83" t="n">
        <x:f>Scenario_Data!T83</x:f>
        <x:v>-19.5</x:v>
      </x:c>
      <x:c r="Y83" t="n">
        <x: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x:f>
        <x:v>2672.265680133479</x:v>
      </x:c>
      <x:c r="Z83" t="n">
        <x:f>Scenario_Data!U83</x:f>
        <x:v>-130</x:v>
      </x:c>
      <x:c r="AA83" t="n">
        <x: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x:f>
        <x:v>490.6119523498117</x:v>
      </x:c>
      <x:c r="AB83" t="n">
        <x:f>Scenario_Data!V83</x:f>
        <x:v>-260</x:v>
      </x:c>
      <x:c r="AC83" t="n">
        <x: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x:f>
        <x:v>913.3884443529537</x:v>
      </x:c>
      <x:c r="AD83" t="n">
        <x:f>Scenario_Data!W83</x:f>
        <x:v>-260</x:v>
      </x:c>
      <x:c r="AE83" t="n">
        <x: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x:f>
        <x:v>853.7221668243841</x:v>
      </x:c>
      <x:c r="AG83" t="n">
        <x:f>Scenario_Data!T83</x:f>
        <x:v>-19.5</x:v>
      </x:c>
      <x:c r="AH83" t="n">
        <x:f>2*(SQRT((Inputs!$C$52+(Scenario_Data!B83))^2+Inputs!$C$52^2-2*(Inputs!$C$52+(Scenario_Data!B83))*Inputs!$C$52*COS(SQRT((Scenario_Data!T83)^2+Inputs!$C$6^2)/Inputs!$C$52))*1000)/Inputs!$C$21*1000000</x:f>
        <x:v>2681.8327680804646</x:v>
      </x:c>
      <x:c r="AI83" t="n">
        <x:f>Scenario_Data!U83</x:f>
        <x:v>-130</x:v>
      </x:c>
      <x:c r="AJ83" t="n">
        <x:f>2*(SQRT((Inputs!$C$52+(Scenario_Data!C83))^2+Inputs!$C$52^2-2*(Inputs!$C$52+(Scenario_Data!C83))*Inputs!$C$52*COS(SQRT((Scenario_Data!U83)^2+Inputs!$C$6^2)/Inputs!$C$52))*1000)/Inputs!$C$21*1000000</x:f>
        <x:v>1028.1121624339564</x:v>
      </x:c>
      <x:c r="AK83" t="n">
        <x:f>Scenario_Data!V83</x:f>
        <x:v>-260</x:v>
      </x:c>
      <x:c r="AL83" t="n">
        <x:f>2*(SQRT((Inputs!$C$52+(Scenario_Data!D83))^2+Inputs!$C$52^2-2*(Inputs!$C$52+(Scenario_Data!D83))*Inputs!$C$52*COS(SQRT((Scenario_Data!V83)^2+Inputs!$C$6^2)/Inputs!$C$52))*1000)/Inputs!$C$21*1000000</x:f>
        <x:v>2032.132269523135</x:v>
      </x:c>
      <x:c r="AM83" t="n">
        <x:f>Scenario_Data!W83</x:f>
        <x:v>-260</x:v>
      </x:c>
      <x:c r="AN83" t="n">
        <x:f>2*(SQRT((Inputs!$C$52+(Scenario_Data!E83))^2+Inputs!$C$52^2-2*(Inputs!$C$52+(Scenario_Data!E83))*Inputs!$C$52*COS(SQRT((Scenario_Data!W83)^2+Inputs!$C$6^2)/Inputs!$C$52))*1000)/Inputs!$C$21*1000000</x:f>
        <x:v>2001.6878257232431</x:v>
      </x:c>
      <x:c r="AP83" t="n">
        <x:f>Scenario_Data!T83</x:f>
        <x:v>-19.5</x:v>
      </x:c>
      <x:c r="AQ83" t="n">
        <x: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x:f>
        <x:v>2679.4176164876385</x:v>
      </x:c>
      <x:c r="AR83" t="n">
        <x:f>Scenario_Data!U83</x:f>
        <x:v>-130</x:v>
      </x:c>
      <x:c r="AS83" t="n">
        <x: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x:f>
        <x:v>1027.767895171937</x:v>
      </x:c>
      <x:c r="AT83" t="n">
        <x:f>Scenario_Data!V83</x:f>
        <x:v>-260</x:v>
      </x:c>
      <x:c r="AU83" t="n">
        <x: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x:f>
        <x:v>2031.6981626888248</x:v>
      </x:c>
      <x:c r="AV83" t="n">
        <x:f>Scenario_Data!W83</x:f>
        <x:v>-260</x:v>
      </x:c>
      <x:c r="AW83" t="n">
        <x: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x:f>
        <x:v>2001.281475278257</x:v>
      </x:c>
    </x:row>
    <x:row r="84">
      <x:c r="A84" t="n">
        <x:f>Chart_Data!K84</x:f>
        <x:v>-19</x:v>
      </x:c>
      <x:c r="B84" t="n">
        <x:f>Chart_Data!N84-Chart_Data!L84</x:f>
        <x:v>143.08942338679236</x:v>
      </x:c>
      <x:c r="D84" t="n">
        <x:f>Chart_Data!G84</x:f>
        <x:v>-19</x:v>
      </x:c>
      <x:c r="E84" t="n">
        <x:f>Chart_Data!H84</x:f>
        <x:v>371.18641988344854</x:v>
      </x:c>
      <x:c r="F84" t="n">
        <x:f>Chart_Data!I84</x:f>
        <x:v>371.18641988344854</x:v>
      </x:c>
      <x:c r="G84" t="n">
        <x:f>Chart_Data!J84</x:f>
        <x:v>-144.88352309984418</x:v>
      </x:c>
      <x:c r="I84" t="n">
        <x:f>Scenario_Data!A84</x:f>
        <x:v>-0.317</x:v>
      </x:c>
      <x:c r="J84" t="n">
        <x:f>Scenario_Data!H84-(((SQRT((Inputs!$C$52+(Inputs!$H$6))^2+Inputs!$C$52^2-2*(Inputs!$C$52+(Inputs!$H$6))*Inputs!$C$52*COS(SQRT((Scenario_Data!T84)^2+Inputs!$C$6^2)/Inputs!$C$52)))-(Inputs!$H$6))*1000/Inputs!$C$12)</x:f>
        <x:v>-0.6912607618419315</x:v>
      </x:c>
      <x:c r="K84" t="n">
        <x:f>Scenario_Data!I84-(((SQRT((Inputs!$C$52+(Inputs!$H$7))^2+Inputs!$C$52^2-2*(Inputs!$C$52+(Inputs!$H$7))*Inputs!$C$52*COS(SQRT((Scenario_Data!U84)^2+Inputs!$C$6^2)/Inputs!$C$52)))-(Inputs!$H$7))*1000/Inputs!$C$12)</x:f>
        <x:v>-12136.776407525518</x:v>
      </x:c>
      <x:c r="L84" t="n">
        <x:f>Scenario_Data!J84-(((SQRT((Inputs!$C$52+(Inputs!$H$8))^2+Inputs!$C$52^2-2*(Inputs!$C$52+(Inputs!$H$8))*Inputs!$C$52*COS(SQRT((Scenario_Data!V84)^2+Inputs!$C$6^2)/Inputs!$C$52)))-(Inputs!$H$8))*1000/Inputs!$C$12)</x:f>
        <x:v>-34046.04194794646</x:v>
      </x:c>
      <x:c r="M84" t="n">
        <x:f>Scenario_Data!K84-(((SQRT((Inputs!$C$52+(Inputs!$H$9))^2+Inputs!$C$52^2-2*(Inputs!$C$52+(Inputs!$H$9))*Inputs!$C$52*COS(SQRT((Scenario_Data!W84)^2+Inputs!$C$6^2)/Inputs!$C$52)))-(Inputs!$H$9))*1000/Inputs!$C$12)</x:f>
        <x:v>-36057.79176290192</x:v>
      </x:c>
      <x:c r="O84" t="n">
        <x:f>Scenario_Data!T84</x:f>
        <x:v>-19.019999999999996</x:v>
      </x:c>
      <x:c r="P84" t="n">
        <x:f>2*(Scenario_Data!B84*1000)/Inputs!$C$21*1000000</x:f>
        <x:v>2671.194323374206</x:v>
      </x:c>
      <x:c r="Q84" t="n">
        <x:f>Scenario_Data!U84</x:f>
        <x:v>-126.79999999999995</x:v>
      </x:c>
      <x:c r="R84" t="n">
        <x:f>2*(Scenario_Data!C84*1000)/Inputs!$C$21*1000000</x:f>
        <x:v>478.18737988398607</x:v>
      </x:c>
      <x:c r="S84" t="n">
        <x:f>Scenario_Data!V84</x:f>
        <x:v>-253.5999999999999</x:v>
      </x:c>
      <x:c r="T84" t="n">
        <x:f>2*(Scenario_Data!D84*1000)/Inputs!$C$21*1000000</x:f>
        <x:v>880.421648232391</x:v>
      </x:c>
      <x:c r="U84" t="n">
        <x:f>Scenario_Data!W84</x:f>
        <x:v>-253.5999999999999</x:v>
      </x:c>
      <x:c r="V84" t="n">
        <x:f>2*(Scenario_Data!E84*1000)/Inputs!$C$21*1000000</x:f>
        <x:v>820.4127336652341</x:v>
      </x:c>
      <x:c r="X84" t="n">
        <x:f>Scenario_Data!T84</x:f>
        <x:v>-19.019999999999996</x:v>
      </x:c>
      <x:c r="Y84" t="n">
        <x: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x:f>
        <x:v>2672.115565841893</x:v>
      </x:c>
      <x:c r="Z84" t="n">
        <x:f>Scenario_Data!U84</x:f>
        <x:v>-126.79999999999995</x:v>
      </x:c>
      <x:c r="AA84" t="n">
        <x: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x:f>
        <x:v>478.15408387641</x:v>
      </x:c>
      <x:c r="AB84" t="n">
        <x:f>Scenario_Data!V84</x:f>
        <x:v>-253.5999999999999</x:v>
      </x:c>
      <x:c r="AC84" t="n">
        <x: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x:f>
        <x:v>880.5229562915246</x:v>
      </x:c>
      <x:c r="AD84" t="n">
        <x:f>Scenario_Data!W84</x:f>
        <x:v>-253.5999999999999</x:v>
      </x:c>
      <x:c r="AE84" t="n">
        <x: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x:f>
        <x:v>820.5140417243678</x:v>
      </x:c>
      <x:c r="AG84" t="n">
        <x:f>Scenario_Data!T84</x:f>
        <x:v>-19.019999999999996</x:v>
      </x:c>
      <x:c r="AH84" t="n">
        <x:f>2*(SQRT((Inputs!$C$52+(Scenario_Data!B84))^2+Inputs!$C$52^2-2*(Inputs!$C$52+(Scenario_Data!B84))*Inputs!$C$52*COS(SQRT((Scenario_Data!T84)^2+Inputs!$C$6^2)/Inputs!$C$52))*1000)/Inputs!$C$21*1000000</x:f>
        <x:v>2681.5033576678143</x:v>
      </x:c>
      <x:c r="AI84" t="n">
        <x:f>Scenario_Data!U84</x:f>
        <x:v>-126.79999999999995</x:v>
      </x:c>
      <x:c r="AJ84" t="n">
        <x:f>2*(SQRT((Inputs!$C$52+(Scenario_Data!C84))^2+Inputs!$C$52^2-2*(Inputs!$C$52+(Scenario_Data!C84))*Inputs!$C$52*COS(SQRT((Scenario_Data!U84)^2+Inputs!$C$6^2)/Inputs!$C$52))*1000)/Inputs!$C$21*1000000</x:f>
        <x:v>1002.8724909144175</x:v>
      </x:c>
      <x:c r="AK84" t="n">
        <x:f>Scenario_Data!V84</x:f>
        <x:v>-253.5999999999999</x:v>
      </x:c>
      <x:c r="AL84" t="n">
        <x:f>2*(SQRT((Inputs!$C$52+(Scenario_Data!D84))^2+Inputs!$C$52^2-2*(Inputs!$C$52+(Scenario_Data!D84))*Inputs!$C$52*COS(SQRT((Scenario_Data!V84)^2+Inputs!$C$6^2)/Inputs!$C$52))*1000)/Inputs!$C$21*1000000</x:f>
        <x:v>1975.5218318440923</x:v>
      </x:c>
      <x:c r="AM84" t="n">
        <x:f>Scenario_Data!W84</x:f>
        <x:v>-253.5999999999999</x:v>
      </x:c>
      <x:c r="AN84" t="n">
        <x:f>2*(SQRT((Inputs!$C$52+(Scenario_Data!E84))^2+Inputs!$C$52^2-2*(Inputs!$C$52+(Scenario_Data!E84))*Inputs!$C$52*COS(SQRT((Scenario_Data!W84)^2+Inputs!$C$6^2)/Inputs!$C$52))*1000)/Inputs!$C$21*1000000</x:f>
        <x:v>1945.2511482815198</x:v>
      </x:c>
      <x:c r="AP84" t="n">
        <x:f>Scenario_Data!T84</x:f>
        <x:v>-19.019999999999996</x:v>
      </x:c>
      <x:c r="AQ84" t="n">
        <x: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x:f>
        <x:v>2679.101138360728</x:v>
      </x:c>
      <x:c r="AR84" t="n">
        <x:f>Scenario_Data!U84</x:f>
        <x:v>-126.79999999999995</x:v>
      </x:c>
      <x:c r="AS84" t="n">
        <x: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x:f>
        <x:v>1002.3635175983735</x:v>
      </x:c>
      <x:c r="AT84" t="n">
        <x:f>Scenario_Data!V84</x:f>
        <x:v>-253.5999999999999</x:v>
      </x:c>
      <x:c r="AU84" t="n">
        <x: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x:f>
        <x:v>1975.2592929672044</x:v>
      </x:c>
      <x:c r="AV84" t="n">
        <x:f>Scenario_Data!W84</x:f>
        <x:v>-253.5999999999999</x:v>
      </x:c>
      <x:c r="AW84" t="n">
        <x: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x:f>
        <x:v>1945.0061543286497</x:v>
      </x:c>
    </x:row>
    <x:row r="85">
      <x:c r="A85" t="n">
        <x:f>Chart_Data!K85</x:f>
        <x:v>-18.5</x:v>
      </x:c>
      <x:c r="B85" t="n">
        <x:f>Chart_Data!N85-Chart_Data!L85</x:f>
        <x:v>134.9294543629348</x:v>
      </x:c>
      <x:c r="D85" t="n">
        <x:f>Chart_Data!G85</x:f>
        <x:v>-18.5</x:v>
      </x:c>
      <x:c r="E85" t="n">
        <x:f>Chart_Data!H85</x:f>
        <x:v>365.6884368087795</x:v>
      </x:c>
      <x:c r="F85" t="n">
        <x:f>Chart_Data!I85</x:f>
        <x:v>365.6884368087795</x:v>
      </x:c>
      <x:c r="G85" t="n">
        <x:f>Chart_Data!J85</x:f>
        <x:v>-136.66366560462208</x:v>
      </x:c>
      <x:c r="I85" t="n">
        <x:f>Scenario_Data!A85</x:f>
        <x:v>-0.308</x:v>
      </x:c>
      <x:c r="J85" t="n">
        <x:f>Scenario_Data!H85-(((SQRT((Inputs!$C$52+(Inputs!$H$6))^2+Inputs!$C$52^2-2*(Inputs!$C$52+(Inputs!$H$6))*Inputs!$C$52*COS(SQRT((Scenario_Data!T85)^2+Inputs!$C$6^2)/Inputs!$C$52)))-(Inputs!$H$6))*1000/Inputs!$C$12)</x:f>
        <x:v>-0.6392930692547907</x:v>
      </x:c>
      <x:c r="K85" t="n">
        <x:f>Scenario_Data!I85-(((SQRT((Inputs!$C$52+(Inputs!$H$7))^2+Inputs!$C$52^2-2*(Inputs!$C$52+(Inputs!$H$7))*Inputs!$C$52*COS(SQRT((Scenario_Data!U85)^2+Inputs!$C$6^2)/Inputs!$C$52)))-(Inputs!$H$7))*1000/Inputs!$C$12)</x:f>
        <x:v>-11420.992588521869</x:v>
      </x:c>
      <x:c r="L85" t="n">
        <x:f>Scenario_Data!J85-(((SQRT((Inputs!$C$52+(Inputs!$H$8))^2+Inputs!$C$52^2-2*(Inputs!$C$52+(Inputs!$H$8))*Inputs!$C$52*COS(SQRT((Scenario_Data!V85)^2+Inputs!$C$6^2)/Inputs!$C$52)))-(Inputs!$H$8))*1000/Inputs!$C$12)</x:f>
        <x:v>-32283.3287901734</x:v>
      </x:c>
      <x:c r="M85" t="n">
        <x:f>Scenario_Data!K85-(((SQRT((Inputs!$C$52+(Inputs!$H$9))^2+Inputs!$C$52^2-2*(Inputs!$C$52+(Inputs!$H$9))*Inputs!$C$52*COS(SQRT((Scenario_Data!W85)^2+Inputs!$C$6^2)/Inputs!$C$52)))-(Inputs!$H$9))*1000/Inputs!$C$12)</x:f>
        <x:v>-34240.659083493854</x:v>
      </x:c>
      <x:c r="O85" t="n">
        <x:f>Scenario_Data!T85</x:f>
        <x:v>-18.480000000000004</x:v>
      </x:c>
      <x:c r="P85" t="n">
        <x:f>2*(Scenario_Data!B85*1000)/Inputs!$C$21*1000000</x:f>
        <x:v>2671.0442195313667</x:v>
      </x:c>
      <x:c r="Q85" t="n">
        <x:f>Scenario_Data!U85</x:f>
        <x:v>-123.20000000000005</x:v>
      </x:c>
      <x:c r="R85" t="n">
        <x:f>2*(Scenario_Data!C85*1000)/Inputs!$C$21*1000000</x:f>
        <x:v>464.49040422491237</x:v>
      </x:c>
      <x:c r="S85" t="n">
        <x:f>Scenario_Data!V85</x:f>
        <x:v>-246.4000000000001</x:v>
      </x:c>
      <x:c r="T85" t="n">
        <x:f>2*(Scenario_Data!D85*1000)/Inputs!$C$21*1000000</x:f>
        <x:v>844.2090961474427</x:v>
      </x:c>
      <x:c r="U85" t="n">
        <x:f>Scenario_Data!W85</x:f>
        <x:v>-246.4000000000001</x:v>
      </x:c>
      <x:c r="V85" t="n">
        <x:f>2*(Scenario_Data!E85*1000)/Inputs!$C$21*1000000</x:f>
        <x:v>783.8249219731875</x:v>
      </x:c>
      <x:c r="X85" t="n">
        <x:f>Scenario_Data!T85</x:f>
        <x:v>-18.480000000000004</x:v>
      </x:c>
      <x:c r="Y85" t="n">
        <x: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x:f>
        <x:v>2671.975172884264</x:v>
      </x:c>
      <x:c r="Z85" t="n">
        <x:f>Scenario_Data!U85</x:f>
        <x:v>-123.20000000000005</x:v>
      </x:c>
      <x:c r="AA85" t="n">
        <x: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x:f>
        <x:v>464.2648822613425</x:v>
      </x:c>
      <x:c r="AB85" t="n">
        <x:f>Scenario_Data!V85</x:f>
        <x:v>-246.4000000000001</x:v>
      </x:c>
      <x:c r="AC85" t="n">
        <x: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x:f>
        <x:v>843.8524115089195</x:v>
      </x:c>
      <x:c r="AD85" t="n">
        <x:f>Scenario_Data!W85</x:f>
        <x:v>-246.4000000000001</x:v>
      </x:c>
      <x:c r="AE85" t="n">
        <x: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x:f>
        <x:v>783.4682373346647</x:v>
      </x:c>
      <x:c r="AG85" t="n">
        <x:f>Scenario_Data!T85</x:f>
        <x:v>-18.480000000000004</x:v>
      </x:c>
      <x:c r="AH85" t="n">
        <x:f>2*(SQRT((Inputs!$C$52+(Scenario_Data!B85))^2+Inputs!$C$52^2-2*(Inputs!$C$52+(Scenario_Data!B85))*Inputs!$C$52*COS(SQRT((Scenario_Data!T85)^2+Inputs!$C$6^2)/Inputs!$C$52))*1000)/Inputs!$C$21*1000000</x:f>
        <x:v>2681.1425499551765</x:v>
      </x:c>
      <x:c r="AI85" t="n">
        <x:f>Scenario_Data!U85</x:f>
        <x:v>-123.20000000000005</x:v>
      </x:c>
      <x:c r="AJ85" t="n">
        <x:f>2*(SQRT((Inputs!$C$52+(Scenario_Data!C85))^2+Inputs!$C$52^2-2*(Inputs!$C$52+(Scenario_Data!C85))*Inputs!$C$52*COS(SQRT((Scenario_Data!U85)^2+Inputs!$C$6^2)/Inputs!$C$52))*1000)/Inputs!$C$21*1000000</x:f>
        <x:v>974.7145021127182</x:v>
      </x:c>
      <x:c r="AK85" t="n">
        <x:f>Scenario_Data!V85</x:f>
        <x:v>-246.4000000000001</x:v>
      </x:c>
      <x:c r="AL85" t="n">
        <x:f>2*(SQRT((Inputs!$C$52+(Scenario_Data!D85))^2+Inputs!$C$52^2-2*(Inputs!$C$52+(Scenario_Data!D85))*Inputs!$C$52*COS(SQRT((Scenario_Data!V85)^2+Inputs!$C$6^2)/Inputs!$C$52))*1000)/Inputs!$C$21*1000000</x:f>
        <x:v>1912.5218325119242</x:v>
      </x:c>
      <x:c r="AM85" t="n">
        <x:f>Scenario_Data!W85</x:f>
        <x:v>-246.4000000000001</x:v>
      </x:c>
      <x:c r="AN85" t="n">
        <x:f>2*(SQRT((Inputs!$C$52+(Scenario_Data!E85))^2+Inputs!$C$52^2-2*(Inputs!$C$52+(Scenario_Data!E85))*Inputs!$C$52*COS(SQRT((Scenario_Data!W85)^2+Inputs!$C$6^2)/Inputs!$C$52))*1000)/Inputs!$C$21*1000000</x:f>
        <x:v>1882.4543117385992</x:v>
      </x:c>
      <x:c r="AP85" t="n">
        <x:f>Scenario_Data!T85</x:f>
        <x:v>-18.480000000000004</x:v>
      </x:c>
      <x:c r="AQ85" t="n">
        <x: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x:f>
        <x:v>2678.620330554761</x:v>
      </x:c>
      <x:c r="AR85" t="n">
        <x:f>Scenario_Data!U85</x:f>
        <x:v>-123.20000000000005</x:v>
      </x:c>
      <x:c r="AS85" t="n">
        <x: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x:f>
        <x:v>974.1534456502709</x:v>
      </x:c>
      <x:c r="AT85" t="n">
        <x:f>Scenario_Data!V85</x:f>
        <x:v>-246.4000000000001</x:v>
      </x:c>
      <x:c r="AU85" t="n">
        <x: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x:f>
        <x:v>1911.982365755576</x:v>
      </x:c>
      <x:c r="AV85" t="n">
        <x:f>Scenario_Data!W85</x:f>
        <x:v>-246.4000000000001</x:v>
      </x:c>
      <x:c r="AW85" t="n">
        <x: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x:f>
        <x:v>1881.9527809601716</x:v>
      </x:c>
    </x:row>
    <x:row r="86">
      <x:c r="A86" t="n">
        <x:f>Chart_Data!K86</x:f>
        <x:v>-18</x:v>
      </x:c>
      <x:c r="B86" t="n">
        <x:f>Chart_Data!N86-Chart_Data!L86</x:f>
        <x:v>147.29813428303765</x:v>
      </x:c>
      <x:c r="D86" t="n">
        <x:f>Chart_Data!G86</x:f>
        <x:v>-18</x:v>
      </x:c>
      <x:c r="E86" t="n">
        <x:f>Chart_Data!H86</x:f>
        <x:v>392.0220541536099</x:v>
      </x:c>
      <x:c r="F86" t="n">
        <x:f>Chart_Data!I86</x:f>
        <x:v>392.0220541536099</x:v>
      </x:c>
      <x:c r="G86" t="n">
        <x:f>Chart_Data!J86</x:f>
        <x:v>-149.12259877495586</x:v>
      </x:c>
      <x:c r="I86" t="n">
        <x:f>Scenario_Data!A86</x:f>
        <x:v>-0.3</x:v>
      </x:c>
      <x:c r="J86" t="n">
        <x:f>Scenario_Data!H86-(((SQRT((Inputs!$C$52+(Inputs!$H$6))^2+Inputs!$C$52^2-2*(Inputs!$C$52+(Inputs!$H$6))*Inputs!$C$52*COS(SQRT((Scenario_Data!T86)^2+Inputs!$C$6^2)/Inputs!$C$52)))-(Inputs!$H$6))*1000/Inputs!$C$12)</x:f>
        <x:v>-0.5956213488765343</x:v>
      </x:c>
      <x:c r="K86" t="n">
        <x:f>Scenario_Data!I86-(((SQRT((Inputs!$C$52+(Inputs!$H$7))^2+Inputs!$C$52^2-2*(Inputs!$C$52+(Inputs!$H$7))*Inputs!$C$52*COS(SQRT((Scenario_Data!U86)^2+Inputs!$C$6^2)/Inputs!$C$52)))-(Inputs!$H$7))*1000/Inputs!$C$12)</x:f>
        <x:v>-10799.871032643307</x:v>
      </x:c>
      <x:c r="L86" t="n">
        <x:f>Scenario_Data!J86-(((SQRT((Inputs!$C$52+(Inputs!$H$8))^2+Inputs!$C$52^2-2*(Inputs!$C$52+(Inputs!$H$8))*Inputs!$C$52*COS(SQRT((Scenario_Data!V86)^2+Inputs!$C$6^2)/Inputs!$C$52)))-(Inputs!$H$8))*1000/Inputs!$C$12)</x:f>
        <x:v>-30741.8141453946</x:v>
      </x:c>
      <x:c r="M86" t="n">
        <x:f>Scenario_Data!K86-(((SQRT((Inputs!$C$52+(Inputs!$H$9))^2+Inputs!$C$52^2-2*(Inputs!$C$52+(Inputs!$H$9))*Inputs!$C$52*COS(SQRT((Scenario_Data!W86)^2+Inputs!$C$6^2)/Inputs!$C$52)))-(Inputs!$H$9))*1000/Inputs!$C$12)</x:f>
        <x:v>-32650.140682705838</x:v>
      </x:c>
      <x:c r="O86" t="n">
        <x:f>Scenario_Data!T86</x:f>
        <x:v>-18</x:v>
      </x:c>
      <x:c r="P86" t="n">
        <x:f>2*(Scenario_Data!B86*1000)/Inputs!$C$21*1000000</x:f>
        <x:v>2670.914423070643</x:v>
      </x:c>
      <x:c r="Q86" t="n">
        <x:f>Scenario_Data!U86</x:f>
        <x:v>-120</x:v>
      </x:c>
      <x:c r="R86" t="n">
        <x:f>2*(Scenario_Data!C86*1000)/Inputs!$C$21*1000000</x:f>
        <x:v>452.64647718389233</x:v>
      </x:c>
      <x:c r="S86" t="n">
        <x:f>Scenario_Data!V86</x:f>
        <x:v>-240</x:v>
      </x:c>
      <x:c r="T86" t="n">
        <x:f>2*(Scenario_Data!D86*1000)/Inputs!$C$21*1000000</x:f>
        <x:v>812.8956999978966</x:v>
      </x:c>
      <x:c r="U86" t="n">
        <x:f>Scenario_Data!W86</x:f>
        <x:v>-240</x:v>
      </x:c>
      <x:c r="V86" t="n">
        <x:f>2*(Scenario_Data!E86*1000)/Inputs!$C$21*1000000</x:f>
        <x:v>752.1870346718329</x:v>
      </x:c>
      <x:c r="X86" t="n">
        <x:f>Scenario_Data!T86</x:f>
        <x:v>-18</x:v>
      </x:c>
      <x:c r="Y86" t="n">
        <x: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x:f>
        <x:v>2671.9092619653225</x:v>
      </x:c>
      <x:c r="Z86" t="n">
        <x:f>Scenario_Data!U86</x:f>
        <x:v>-120</x:v>
      </x:c>
      <x:c r="AA86" t="n">
        <x: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x:f>
        <x:v>452.12513673633794</x:v>
      </x:c>
      <x:c r="AB86" t="n">
        <x:f>Scenario_Data!V86</x:f>
        <x:v>-240</x:v>
      </x:c>
      <x:c r="AC86" t="n">
        <x: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x:f>
        <x:v>813.2058487052462</x:v>
      </x:c>
      <x:c r="AD86" t="n">
        <x:f>Scenario_Data!W86</x:f>
        <x:v>-240</x:v>
      </x:c>
      <x:c r="AE86" t="n">
        <x: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x:f>
        <x:v>752.4971833791826</x:v>
      </x:c>
      <x:c r="AG86" t="n">
        <x:f>Scenario_Data!T86</x:f>
        <x:v>-18</x:v>
      </x:c>
      <x:c r="AH86" t="n">
        <x:f>2*(SQRT((Inputs!$C$52+(Scenario_Data!B86))^2+Inputs!$C$52^2-2*(Inputs!$C$52+(Scenario_Data!B86))*Inputs!$C$52*COS(SQRT((Scenario_Data!T86)^2+Inputs!$C$6^2)/Inputs!$C$52))*1000)/Inputs!$C$21*1000000</x:f>
        <x:v>2680.8305268137187</x:v>
      </x:c>
      <x:c r="AI86" t="n">
        <x:f>Scenario_Data!U86</x:f>
        <x:v>-120</x:v>
      </x:c>
      <x:c r="AJ86" t="n">
        <x:f>2*(SQRT((Inputs!$C$52+(Scenario_Data!C86))^2+Inputs!$C$52^2-2*(Inputs!$C$52+(Scenario_Data!C86))*Inputs!$C$52*COS(SQRT((Scenario_Data!U86)^2+Inputs!$C$6^2)/Inputs!$C$52))*1000)/Inputs!$C$21*1000000</x:f>
        <x:v>949.8959568514337</x:v>
      </x:c>
      <x:c r="AK86" t="n">
        <x:f>Scenario_Data!V86</x:f>
        <x:v>-240</x:v>
      </x:c>
      <x:c r="AL86" t="n">
        <x:f>2*(SQRT((Inputs!$C$52+(Scenario_Data!D86))^2+Inputs!$C$52^2-2*(Inputs!$C$52+(Scenario_Data!D86))*Inputs!$C$52*COS(SQRT((Scenario_Data!V86)^2+Inputs!$C$6^2)/Inputs!$C$52))*1000)/Inputs!$C$21*1000000</x:f>
        <x:v>1857.1231620816707</x:v>
      </x:c>
      <x:c r="AM86" t="n">
        <x:f>Scenario_Data!W86</x:f>
        <x:v>-240</x:v>
      </x:c>
      <x:c r="AN86" t="n">
        <x:f>2*(SQRT((Inputs!$C$52+(Scenario_Data!E86))^2+Inputs!$C$52^2-2*(Inputs!$C$52+(Scenario_Data!E86))*Inputs!$C$52*COS(SQRT((Scenario_Data!W86)^2+Inputs!$C$6^2)/Inputs!$C$52))*1000)/Inputs!$C$21*1000000</x:f>
        <x:v>1827.2421550832848</x:v>
      </x:c>
      <x:c r="AP86" t="n">
        <x:f>Scenario_Data!T86</x:f>
        <x:v>-18</x:v>
      </x:c>
      <x:c r="AQ86" t="n">
        <x: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x:f>
        <x:v>2678.2274086948387</x:v>
      </x:c>
      <x:c r="AR86" t="n">
        <x:f>Scenario_Data!U86</x:f>
        <x:v>-120</x:v>
      </x:c>
      <x:c r="AS86" t="n">
        <x: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x:f>
        <x:v>949.3439263517315</x:v>
      </x:c>
      <x:c r="AT86" t="n">
        <x:f>Scenario_Data!V86</x:f>
        <x:v>-240</x:v>
      </x:c>
      <x:c r="AU86" t="n">
        <x: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x:f>
        <x:v>1856.953435568455</x:v>
      </x:c>
      <x:c r="AV86" t="n">
        <x:f>Scenario_Data!W86</x:f>
        <x:v>-240</x:v>
      </x:c>
      <x:c r="AW86" t="n">
        <x: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x:f>
        <x:v>1827.0848976277111</x:v>
      </x:c>
    </x:row>
    <x:row r="87">
      <x:c r="A87" t="n">
        <x:f>Chart_Data!K87</x:f>
        <x:v>-17.5</x:v>
      </x:c>
      <x:c r="B87" t="n">
        <x:f>Chart_Data!N87-Chart_Data!L87</x:f>
        <x:v>137.25939183843724</x:v>
      </x:c>
      <x:c r="D87" t="n">
        <x:f>Chart_Data!G87</x:f>
        <x:v>-17.5</x:v>
      </x:c>
      <x:c r="E87" t="n">
        <x:f>Chart_Data!H87</x:f>
        <x:v>397.07097057156574</x:v>
      </x:c>
      <x:c r="F87" t="n">
        <x:f>Chart_Data!I87</x:f>
        <x:v>397.07097057156574</x:v>
      </x:c>
      <x:c r="G87" t="n">
        <x:f>Chart_Data!J87</x:f>
        <x:v>-139.0731304771746</x:v>
      </x:c>
      <x:c r="I87" t="n">
        <x:f>Scenario_Data!A87</x:f>
        <x:v>-0.292</x:v>
      </x:c>
      <x:c r="J87" t="n">
        <x:f>Scenario_Data!H87-(((SQRT((Inputs!$C$52+(Inputs!$H$6))^2+Inputs!$C$52^2-2*(Inputs!$C$52+(Inputs!$H$6))*Inputs!$C$52*COS(SQRT((Scenario_Data!T87)^2+Inputs!$C$6^2)/Inputs!$C$52)))-(Inputs!$H$6))*1000/Inputs!$C$12)</x:f>
        <x:v>-0.554227051803764</x:v>
      </x:c>
      <x:c r="K87" t="n">
        <x:f>Scenario_Data!I87-(((SQRT((Inputs!$C$52+(Inputs!$H$7))^2+Inputs!$C$52^2-2*(Inputs!$C$52+(Inputs!$H$7))*Inputs!$C$52*COS(SQRT((Scenario_Data!U87)^2+Inputs!$C$6^2)/Inputs!$C$52)))-(Inputs!$H$7))*1000/Inputs!$C$12)</x:f>
        <x:v>-10193.291736298073</x:v>
      </x:c>
      <x:c r="L87" t="n">
        <x:f>Scenario_Data!J87-(((SQRT((Inputs!$C$52+(Inputs!$H$8))^2+Inputs!$C$52^2-2*(Inputs!$C$52+(Inputs!$H$8))*Inputs!$C$52*COS(SQRT((Scenario_Data!V87)^2+Inputs!$C$6^2)/Inputs!$C$52)))-(Inputs!$H$8))*1000/Inputs!$C$12)</x:f>
        <x:v>-29225.110156037</x:v>
      </x:c>
      <x:c r="M87" t="n">
        <x:f>Scenario_Data!K87-(((SQRT((Inputs!$C$52+(Inputs!$H$9))^2+Inputs!$C$52^2-2*(Inputs!$C$52+(Inputs!$H$9))*Inputs!$C$52*COS(SQRT((Scenario_Data!W87)^2+Inputs!$C$6^2)/Inputs!$C$52)))-(Inputs!$H$9))*1000/Inputs!$C$12)</x:f>
        <x:v>-31083.849529375264</x:v>
      </x:c>
      <x:c r="O87" t="n">
        <x:f>Scenario_Data!T87</x:f>
        <x:v>-17.520000000000003</x:v>
      </x:c>
      <x:c r="P87" t="n">
        <x:f>2*(Scenario_Data!B87*1000)/Inputs!$C$21*1000000</x:f>
        <x:v>2670.7880423062543</x:v>
      </x:c>
      <x:c r="Q87" t="n">
        <x:f>Scenario_Data!U87</x:f>
        <x:v>-116.80000000000001</x:v>
      </x:c>
      <x:c r="R87" t="n">
        <x:f>2*(Scenario_Data!C87*1000)/Inputs!$C$21*1000000</x:f>
        <x:v>441.11423243342574</x:v>
      </x:c>
      <x:c r="S87" t="n">
        <x:f>Scenario_Data!V87</x:f>
        <x:v>-233.60000000000002</x:v>
      </x:c>
      <x:c r="T87" t="n">
        <x:f>2*(Scenario_Data!D87*1000)/Inputs!$C$21*1000000</x:f>
        <x:v>782.4063405891286</x:v>
      </x:c>
      <x:c r="U87" t="n">
        <x:f>Scenario_Data!W87</x:f>
        <x:v>-233.60000000000002</x:v>
      </x:c>
      <x:c r="V87" t="n">
        <x:f>2*(Scenario_Data!E87*1000)/Inputs!$C$21*1000000</x:f>
        <x:v>721.3817233520933</x:v>
      </x:c>
      <x:c r="X87" t="n">
        <x:f>Scenario_Data!T87</x:f>
        <x:v>-17.520000000000003</x:v>
      </x:c>
      <x:c r="Y87" t="n">
        <x: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x:f>
        <x:v>2671.617255107805</x:v>
      </x:c>
      <x:c r="Z87" t="n">
        <x:f>Scenario_Data!U87</x:f>
        <x:v>-116.80000000000001</x:v>
      </x:c>
      <x:c r="AA87" t="n">
        <x: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x:f>
        <x:v>440.789520058493</x:v>
      </x:c>
      <x:c r="AB87" t="n">
        <x:f>Scenario_Data!V87</x:f>
        <x:v>-233.60000000000002</x:v>
      </x:c>
      <x:c r="AC87" t="n">
        <x: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x:f>
        <x:v>782.2383189807096</x:v>
      </x:c>
      <x:c r="AD87" t="n">
        <x:f>Scenario_Data!W87</x:f>
        <x:v>-233.60000000000002</x:v>
      </x:c>
      <x:c r="AE87" t="n">
        <x: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x:f>
        <x:v>721.2137017436742</x:v>
      </x:c>
      <x:c r="AG87" t="n">
        <x:f>Scenario_Data!T87</x:f>
        <x:v>-17.520000000000003</x:v>
      </x:c>
      <x:c r="AH87" t="n">
        <x:f>2*(SQRT((Inputs!$C$52+(Scenario_Data!B87))^2+Inputs!$C$52^2-2*(Inputs!$C$52+(Scenario_Data!B87))*Inputs!$C$52*COS(SQRT((Scenario_Data!T87)^2+Inputs!$C$6^2)/Inputs!$C$52))*1000)/Inputs!$C$21*1000000</x:f>
        <x:v>2680.526689218967</x:v>
      </x:c>
      <x:c r="AI87" t="n">
        <x:f>Scenario_Data!U87</x:f>
        <x:v>-116.80000000000001</x:v>
      </x:c>
      <x:c r="AJ87" t="n">
        <x:f>2*(SQRT((Inputs!$C$52+(Scenario_Data!C87))^2+Inputs!$C$52^2-2*(Inputs!$C$52+(Scenario_Data!C87))*Inputs!$C$52*COS(SQRT((Scenario_Data!U87)^2+Inputs!$C$6^2)/Inputs!$C$52))*1000)/Inputs!$C$21*1000000</x:f>
        <x:v>925.2765339546444</x:v>
      </x:c>
      <x:c r="AK87" t="n">
        <x:f>Scenario_Data!V87</x:f>
        <x:v>-233.60000000000002</x:v>
      </x:c>
      <x:c r="AL87" t="n">
        <x:f>2*(SQRT((Inputs!$C$52+(Scenario_Data!D87))^2+Inputs!$C$52^2-2*(Inputs!$C$52+(Scenario_Data!D87))*Inputs!$C$52*COS(SQRT((Scenario_Data!V87)^2+Inputs!$C$6^2)/Inputs!$C$52))*1000)/Inputs!$C$21*1000000</x:f>
        <x:v>1802.2819043727304</x:v>
      </x:c>
      <x:c r="AM87" t="n">
        <x:f>Scenario_Data!W87</x:f>
        <x:v>-233.60000000000002</x:v>
      </x:c>
      <x:c r="AN87" t="n">
        <x:f>2*(SQRT((Inputs!$C$52+(Scenario_Data!E87))^2+Inputs!$C$52^2-2*(Inputs!$C$52+(Scenario_Data!E87))*Inputs!$C$52*COS(SQRT((Scenario_Data!W87)^2+Inputs!$C$6^2)/Inputs!$C$52))*1000)/Inputs!$C$21*1000000</x:f>
        <x:v>1772.5920499108024</x:v>
      </x:c>
      <x:c r="AP87" t="n">
        <x:f>Scenario_Data!T87</x:f>
        <x:v>-17.520000000000003</x:v>
      </x:c>
      <x:c r="AQ87" t="n">
        <x: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x:f>
        <x:v>2677.901102367137</x:v>
      </x:c>
      <x:c r="AR87" t="n">
        <x:f>Scenario_Data!U87</x:f>
        <x:v>-116.80000000000001</x:v>
      </x:c>
      <x:c r="AS87" t="n">
        <x: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x:f>
        <x:v>924.7866303079909</x:v>
      </x:c>
      <x:c r="AT87" t="n">
        <x:f>Scenario_Data!V87</x:f>
        <x:v>-233.60000000000002</x:v>
      </x:c>
      <x:c r="AU87" t="n">
        <x: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x:f>
        <x:v>1801.9356748527755</x:v>
      </x:c>
      <x:c r="AV87" t="n">
        <x:f>Scenario_Data!W87</x:f>
        <x:v>-233.60000000000002</x:v>
      </x:c>
      <x:c r="AW87" t="n">
        <x: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x:f>
        <x:v>1772.2724325966283</x:v>
      </x:c>
    </x:row>
    <x:row r="88">
      <x:c r="A88" t="n">
        <x:f>Chart_Data!K88</x:f>
        <x:v>-17</x:v>
      </x:c>
      <x:c r="B88" t="n">
        <x:f>Chart_Data!N88-Chart_Data!L88</x:f>
        <x:v>123.99875892548812</x:v>
      </x:c>
      <x:c r="D88" t="n">
        <x:f>Chart_Data!G88</x:f>
        <x:v>-17</x:v>
      </x:c>
      <x:c r="E88" t="n">
        <x:f>Chart_Data!H88</x:f>
        <x:v>381.37310246850825</x:v>
      </x:c>
      <x:c r="F88" t="n">
        <x:f>Chart_Data!I88</x:f>
        <x:v>381.37310246850825</x:v>
      </x:c>
      <x:c r="G88" t="n">
        <x:f>Chart_Data!J88</x:f>
        <x:v>-125.70874899839603</x:v>
      </x:c>
      <x:c r="I88" t="n">
        <x:f>Scenario_Data!A88</x:f>
        <x:v>-0.283</x:v>
      </x:c>
      <x:c r="J88" t="n">
        <x:f>Scenario_Data!H88-(((SQRT((Inputs!$C$52+(Inputs!$H$6))^2+Inputs!$C$52^2-2*(Inputs!$C$52+(Inputs!$H$6))*Inputs!$C$52*COS(SQRT((Scenario_Data!T88)^2+Inputs!$C$6^2)/Inputs!$C$52)))-(Inputs!$H$6))*1000/Inputs!$C$12)</x:f>
        <x:v>-0.5102690384285324</x:v>
      </x:c>
      <x:c r="K88" t="n">
        <x:f>Scenario_Data!I88-(((SQRT((Inputs!$C$52+(Inputs!$H$7))^2+Inputs!$C$52^2-2*(Inputs!$C$52+(Inputs!$H$7))*Inputs!$C$52*COS(SQRT((Scenario_Data!U88)^2+Inputs!$C$6^2)/Inputs!$C$52)))-(Inputs!$H$7))*1000/Inputs!$C$12)</x:f>
        <x:v>-9528.637373909565</x:v>
      </x:c>
      <x:c r="L88" t="n">
        <x:f>Scenario_Data!J88-(((SQRT((Inputs!$C$52+(Inputs!$H$8))^2+Inputs!$C$52^2-2*(Inputs!$C$52+(Inputs!$H$8))*Inputs!$C$52*COS(SQRT((Scenario_Data!V88)^2+Inputs!$C$6^2)/Inputs!$C$52)))-(Inputs!$H$8))*1000/Inputs!$C$12)</x:f>
        <x:v>-27549.64613181504</x:v>
      </x:c>
      <x:c r="M88" t="n">
        <x:f>Scenario_Data!K88-(((SQRT((Inputs!$C$52+(Inputs!$H$9))^2+Inputs!$C$52^2-2*(Inputs!$C$52+(Inputs!$H$9))*Inputs!$C$52*COS(SQRT((Scenario_Data!W88)^2+Inputs!$C$6^2)/Inputs!$C$52)))-(Inputs!$H$9))*1000/Inputs!$C$12)</x:f>
        <x:v>-29351.91580166448</x:v>
      </x:c>
      <x:c r="O88" t="n">
        <x:f>Scenario_Data!T88</x:f>
        <x:v>-16.979999999999997</x:v>
      </x:c>
      <x:c r="P88" t="n">
        <x:f>2*(Scenario_Data!B88*1000)/Inputs!$C$21*1000000</x:f>
        <x:v>2670.6499467708427</x:v>
      </x:c>
      <x:c r="Q88" t="n">
        <x:f>Scenario_Data!U88</x:f>
        <x:v>-113.19999999999999</x:v>
      </x:c>
      <x:c r="R88" t="n">
        <x:f>2*(Scenario_Data!C88*1000)/Inputs!$C$21*1000000</x:f>
        <x:v>428.5130148270775</x:v>
      </x:c>
      <x:c r="S88" t="n">
        <x:f>Scenario_Data!V88</x:f>
        <x:v>-226.39999999999998</x:v>
      </x:c>
      <x:c r="T88" t="n">
        <x:f>2*(Scenario_Data!D88*1000)/Inputs!$C$21*1000000</x:f>
        <x:v>749.090792670975</x:v>
      </x:c>
      <x:c r="U88" t="n">
        <x:f>Scenario_Data!W88</x:f>
        <x:v>-226.39999999999998</x:v>
      </x:c>
      <x:c r="V88" t="n">
        <x:f>2*(Scenario_Data!E88*1000)/Inputs!$C$21*1000000</x:f>
        <x:v>687.7209365954095</x:v>
      </x:c>
      <x:c r="X88" t="n">
        <x:f>Scenario_Data!T88</x:f>
        <x:v>-16.979999999999997</x:v>
      </x:c>
      <x:c r="Y88" t="n">
        <x: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x:f>
        <x:v>2671.4755777744185</x:v>
      </x:c>
      <x:c r="Z88" t="n">
        <x:f>Scenario_Data!U88</x:f>
        <x:v>-113.19999999999999</x:v>
      </x:c>
      <x:c r="AA88" t="n">
        <x: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x:f>
        <x:v>428.42468286207804</x:v>
      </x:c>
      <x:c r="AB88" t="n">
        <x:f>Scenario_Data!V88</x:f>
        <x:v>-226.39999999999998</x:v>
      </x:c>
      <x:c r="AC88" t="n">
        <x: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x:f>
        <x:v>748.9308676883384</x:v>
      </x:c>
      <x:c r="AD88" t="n">
        <x:f>Scenario_Data!W88</x:f>
        <x:v>-226.39999999999998</x:v>
      </x:c>
      <x:c r="AE88" t="n">
        <x: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x:f>
        <x:v>687.5610116127729</x:v>
      </x:c>
      <x:c r="AG88" t="n">
        <x:f>Scenario_Data!T88</x:f>
        <x:v>-16.979999999999997</x:v>
      </x:c>
      <x:c r="AH88" t="n">
        <x:f>2*(SQRT((Inputs!$C$52+(Scenario_Data!B88))^2+Inputs!$C$52^2-2*(Inputs!$C$52+(Scenario_Data!B88))*Inputs!$C$52*COS(SQRT((Scenario_Data!T88)^2+Inputs!$C$6^2)/Inputs!$C$52))*1000)/Inputs!$C$21*1000000</x:f>
        <x:v>2680.1946587476814</x:v>
      </x:c>
      <x:c r="AI88" t="n">
        <x:f>Scenario_Data!U88</x:f>
        <x:v>-113.19999999999999</x:v>
      </x:c>
      <x:c r="AJ88" t="n">
        <x:f>2*(SQRT((Inputs!$C$52+(Scenario_Data!C88))^2+Inputs!$C$52^2-2*(Inputs!$C$52+(Scenario_Data!C88))*Inputs!$C$52*COS(SQRT((Scenario_Data!U88)^2+Inputs!$C$6^2)/Inputs!$C$52))*1000)/Inputs!$C$21*1000000</x:f>
        <x:v>897.8190596262613</x:v>
      </x:c>
      <x:c r="AK88" t="n">
        <x:f>Scenario_Data!V88</x:f>
        <x:v>-226.39999999999998</x:v>
      </x:c>
      <x:c r="AL88" t="n">
        <x:f>2*(SQRT((Inputs!$C$52+(Scenario_Data!D88))^2+Inputs!$C$52^2-2*(Inputs!$C$52+(Scenario_Data!D88))*Inputs!$C$52*COS(SQRT((Scenario_Data!V88)^2+Inputs!$C$6^2)/Inputs!$C$52))*1000)/Inputs!$C$21*1000000</x:f>
        <x:v>1741.2416393615815</x:v>
      </x:c>
      <x:c r="AM88" t="n">
        <x:f>Scenario_Data!W88</x:f>
        <x:v>-226.39999999999998</x:v>
      </x:c>
      <x:c r="AN88" t="n">
        <x:f>2*(SQRT((Inputs!$C$52+(Scenario_Data!E88))^2+Inputs!$C$52^2-2*(Inputs!$C$52+(Scenario_Data!E88))*Inputs!$C$52*COS(SQRT((Scenario_Data!W88)^2+Inputs!$C$6^2)/Inputs!$C$52))*1000)/Inputs!$C$21*1000000</x:f>
        <x:v>1711.7711368171172</x:v>
      </x:c>
      <x:c r="AP88" t="n">
        <x:f>Scenario_Data!T88</x:f>
        <x:v>-16.979999999999997</x:v>
      </x:c>
      <x:c r="AQ88" t="n">
        <x: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x:f>
        <x:v>2677.5923280337583</x:v>
      </x:c>
      <x:c r="AR88" t="n">
        <x:f>Scenario_Data!U88</x:f>
        <x:v>-113.19999999999999</x:v>
      </x:c>
      <x:c r="AS88" t="n">
        <x: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x:f>
        <x:v>897.5024239250529</x:v>
      </x:c>
      <x:c r="AT88" t="n">
        <x:f>Scenario_Data!V88</x:f>
        <x:v>-226.39999999999998</x:v>
      </x:c>
      <x:c r="AU88" t="n">
        <x: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x:f>
        <x:v>1740.8922865861819</x:v>
      </x:c>
      <x:c r="AV88" t="n">
        <x:f>Scenario_Data!W88</x:f>
        <x:v>-226.39999999999998</x:v>
      </x:c>
      <x:c r="AW88" t="n">
        <x: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x:f>
        <x:v>1711.4500227839458</x:v>
      </x:c>
    </x:row>
    <x:row r="89">
      <x:c r="A89" t="n">
        <x:f>Chart_Data!K89</x:f>
        <x:v>-16.5</x:v>
      </x:c>
      <x:c r="B89" t="n">
        <x:f>Chart_Data!N89-Chart_Data!L89</x:f>
        <x:v>122.1642571318593</x:v>
      </x:c>
      <x:c r="D89" t="n">
        <x:f>Chart_Data!G89</x:f>
        <x:v>-16.5</x:v>
      </x:c>
      <x:c r="E89" t="n">
        <x:f>Chart_Data!H89</x:f>
        <x:v>387.1431058674635</x:v>
      </x:c>
      <x:c r="F89" t="n">
        <x:f>Chart_Data!I89</x:f>
        <x:v>387.1431058674635</x:v>
      </x:c>
      <x:c r="G89" t="n">
        <x:f>Chart_Data!J89</x:f>
        <x:v>-123.86861357235706</x:v>
      </x:c>
      <x:c r="I89" t="n">
        <x:f>Scenario_Data!A89</x:f>
        <x:v>-0.275</x:v>
      </x:c>
      <x:c r="J89" t="n">
        <x:f>Scenario_Data!H89-(((SQRT((Inputs!$C$52+(Inputs!$H$6))^2+Inputs!$C$52^2-2*(Inputs!$C$52+(Inputs!$H$6))*Inputs!$C$52*COS(SQRT((Scenario_Data!T89)^2+Inputs!$C$6^2)/Inputs!$C$52)))-(Inputs!$H$6))*1000/Inputs!$C$12)</x:f>
        <x:v>-0.4734191912100414</x:v>
      </x:c>
      <x:c r="K89" t="n">
        <x:f>Scenario_Data!I89-(((SQRT((Inputs!$C$52+(Inputs!$H$7))^2+Inputs!$C$52^2-2*(Inputs!$C$52+(Inputs!$H$7))*Inputs!$C$52*COS(SQRT((Scenario_Data!U89)^2+Inputs!$C$6^2)/Inputs!$C$52)))-(Inputs!$H$7))*1000/Inputs!$C$12)</x:f>
        <x:v>-8953.936813090862</x:v>
      </x:c>
      <x:c r="L89" t="n">
        <x:f>Scenario_Data!J89-(((SQRT((Inputs!$C$52+(Inputs!$H$8))^2+Inputs!$C$52^2-2*(Inputs!$C$52+(Inputs!$H$8))*Inputs!$C$52*COS(SQRT((Scenario_Data!V89)^2+Inputs!$C$6^2)/Inputs!$C$52)))-(Inputs!$H$8))*1000/Inputs!$C$12)</x:f>
        <x:v>-26088.809681649203</x:v>
      </x:c>
      <x:c r="M89" t="n">
        <x:f>Scenario_Data!K89-(((SQRT((Inputs!$C$52+(Inputs!$H$9))^2+Inputs!$C$52^2-2*(Inputs!$C$52+(Inputs!$H$9))*Inputs!$C$52*COS(SQRT((Scenario_Data!W89)^2+Inputs!$C$6^2)/Inputs!$C$52)))-(Inputs!$H$9))*1000/Inputs!$C$12)</x:f>
        <x:v>-27840.288392506118</x:v>
      </x:c>
      <x:c r="O89" t="n">
        <x:f>Scenario_Data!T89</x:f>
        <x:v>-16.5</x:v>
      </x:c>
      <x:c r="P89" t="n">
        <x:f>2*(Scenario_Data!B89*1000)/Inputs!$C$21*1000000</x:f>
        <x:v>2670.5308243611653</x:v>
      </x:c>
      <x:c r="Q89" t="n">
        <x:f>Scenario_Data!U89</x:f>
        <x:v>-110</x:v>
      </x:c>
      <x:c r="R89" t="n">
        <x:f>2*(Scenario_Data!C89*1000)/Inputs!$C$21*1000000</x:f>
        <x:v>417.6430949440363</x:v>
      </x:c>
      <x:c r="S89" t="n">
        <x:f>Scenario_Data!V89</x:f>
        <x:v>-220</x:v>
      </x:c>
      <x:c r="T89" t="n">
        <x:f>2*(Scenario_Data!D89*1000)/Inputs!$C$21*1000000</x:f>
        <x:v>720.3525113363593</x:v>
      </x:c>
      <x:c r="U89" t="n">
        <x:f>Scenario_Data!W89</x:f>
        <x:v>-220</x:v>
      </x:c>
      <x:c r="V89" t="n">
        <x:f>2*(Scenario_Data!E89*1000)/Inputs!$C$21*1000000</x:f>
        <x:v>658.6848492366009</x:v>
      </x:c>
      <x:c r="X89" t="n">
        <x:f>Scenario_Data!T89</x:f>
        <x:v>-16.5</x:v>
      </x:c>
      <x:c r="Y89" t="n">
        <x: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x:f>
        <x:v>2671.3571868013596</x:v>
      </x:c>
      <x:c r="Z89" t="n">
        <x:f>Scenario_Data!U89</x:f>
        <x:v>-110</x:v>
      </x:c>
      <x:c r="AA89" t="n">
        <x: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x:f>
        <x:v>417.67037608062077</x:v>
      </x:c>
      <x:c r="AB89" t="n">
        <x:f>Scenario_Data!V89</x:f>
        <x:v>-220</x:v>
      </x:c>
      <x:c r="AC89" t="n">
        <x: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x:f>
        <x:v>720.4332419129369</x:v>
      </x:c>
      <x:c r="AD89" t="n">
        <x:f>Scenario_Data!W89</x:f>
        <x:v>-220</x:v>
      </x:c>
      <x:c r="AE89" t="n">
        <x: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x:f>
        <x:v>658.7655798131786</x:v>
      </x:c>
      <x:c r="AG89" t="n">
        <x:f>Scenario_Data!T89</x:f>
        <x:v>-16.5</x:v>
      </x:c>
      <x:c r="AH89" t="n">
        <x:f>2*(SQRT((Inputs!$C$52+(Scenario_Data!B89))^2+Inputs!$C$52^2-2*(Inputs!$C$52+(Scenario_Data!B89))*Inputs!$C$52*COS(SQRT((Scenario_Data!T89)^2+Inputs!$C$6^2)/Inputs!$C$52))*1000)/Inputs!$C$21*1000000</x:f>
        <x:v>2679.9082221420913</x:v>
      </x:c>
      <x:c r="AI89" t="n">
        <x:f>Scenario_Data!U89</x:f>
        <x:v>-110</x:v>
      </x:c>
      <x:c r="AJ89" t="n">
        <x:f>2*(SQRT((Inputs!$C$52+(Scenario_Data!C89))^2+Inputs!$C$52^2-2*(Inputs!$C$52+(Scenario_Data!C89))*Inputs!$C$52*COS(SQRT((Scenario_Data!U89)^2+Inputs!$C$6^2)/Inputs!$C$52))*1000)/Inputs!$C$21*1000000</x:f>
        <x:v>873.6268737519111</x:v>
      </x:c>
      <x:c r="AK89" t="n">
        <x:f>Scenario_Data!V89</x:f>
        <x:v>-220</x:v>
      </x:c>
      <x:c r="AL89" t="n">
        <x:f>2*(SQRT((Inputs!$C$52+(Scenario_Data!D89))^2+Inputs!$C$52^2-2*(Inputs!$C$52+(Scenario_Data!D89))*Inputs!$C$52*COS(SQRT((Scenario_Data!V89)^2+Inputs!$C$6^2)/Inputs!$C$52))*1000)/Inputs!$C$21*1000000</x:f>
        <x:v>1687.557977658393</x:v>
      </x:c>
      <x:c r="AM89" t="n">
        <x:f>Scenario_Data!W89</x:f>
        <x:v>-220</x:v>
      </x:c>
      <x:c r="AN89" t="n">
        <x:f>2*(SQRT((Inputs!$C$52+(Scenario_Data!E89))^2+Inputs!$C$52^2-2*(Inputs!$C$52+(Scenario_Data!E89))*Inputs!$C$52*COS(SQRT((Scenario_Data!W89)^2+Inputs!$C$6^2)/Inputs!$C$52))*1000)/Inputs!$C$21*1000000</x:f>
        <x:v>1658.2850643618456</x:v>
      </x:c>
      <x:c r="AP89" t="n">
        <x:f>Scenario_Data!T89</x:f>
        <x:v>-16.5</x:v>
      </x:c>
      <x:c r="AQ89" t="n">
        <x: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x:f>
        <x:v>2677.336851587953</x:v>
      </x:c>
      <x:c r="AR89" t="n">
        <x:f>Scenario_Data!U89</x:f>
        <x:v>-110</x:v>
      </x:c>
      <x:c r="AS89" t="n">
        <x: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x:f>
        <x:v>873.2708000463136</x:v>
      </x:c>
      <x:c r="AT89" t="n">
        <x:f>Scenario_Data!V89</x:f>
        <x:v>-220</x:v>
      </x:c>
      <x:c r="AU89" t="n">
        <x: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x:f>
        <x:v>1687.4158648553757</x:v>
      </x:c>
      <x:c r="AV89" t="n">
        <x:f>Scenario_Data!W89</x:f>
        <x:v>-220</x:v>
      </x:c>
      <x:c r="AW89" t="n">
        <x: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x:f>
        <x:v>1658.1549567841441</x:v>
      </x:c>
    </x:row>
    <x:row r="90">
      <x:c r="A90" t="n">
        <x:f>Chart_Data!K90</x:f>
        <x:v>-16</x:v>
      </x:c>
      <x:c r="B90" t="n">
        <x:f>Chart_Data!N90-Chart_Data!L90</x:f>
        <x:v>95.69343337780924</x:v>
      </x:c>
      <x:c r="D90" t="n">
        <x:f>Chart_Data!G90</x:f>
        <x:v>-16</x:v>
      </x:c>
      <x:c r="E90" t="n">
        <x:f>Chart_Data!H90</x:f>
        <x:v>413.2956148642764</x:v>
      </x:c>
      <x:c r="F90" t="n">
        <x:f>Chart_Data!I90</x:f>
        <x:v>413.2956148642764</x:v>
      </x:c>
      <x:c r="G90" t="n">
        <x:f>Chart_Data!J90</x:f>
        <x:v>-97.48037396441562</x:v>
      </x:c>
      <x:c r="I90" t="n">
        <x:f>Scenario_Data!A90</x:f>
        <x:v>-0.267</x:v>
      </x:c>
      <x:c r="J90" t="n">
        <x:f>Scenario_Data!H90-(((SQRT((Inputs!$C$52+(Inputs!$H$6))^2+Inputs!$C$52^2-2*(Inputs!$C$52+(Inputs!$H$6))*Inputs!$C$52*COS(SQRT((Scenario_Data!T90)^2+Inputs!$C$6^2)/Inputs!$C$52)))-(Inputs!$H$6))*1000/Inputs!$C$12)</x:f>
        <x:v>-0.43857412502381976</x:v>
      </x:c>
      <x:c r="K90" t="n">
        <x:f>Scenario_Data!I90-(((SQRT((Inputs!$C$52+(Inputs!$H$7))^2+Inputs!$C$52^2-2*(Inputs!$C$52+(Inputs!$H$7))*Inputs!$C$52*COS(SQRT((Scenario_Data!U90)^2+Inputs!$C$6^2)/Inputs!$C$52)))-(Inputs!$H$7))*1000/Inputs!$C$12)</x:f>
        <x:v>-8394.704215810816</x:v>
      </x:c>
      <x:c r="L90" t="n">
        <x:f>Scenario_Data!J90-(((SQRT((Inputs!$C$52+(Inputs!$H$8))^2+Inputs!$C$52^2-2*(Inputs!$C$52+(Inputs!$H$8))*Inputs!$C$52*COS(SQRT((Scenario_Data!V90)^2+Inputs!$C$6^2)/Inputs!$C$52)))-(Inputs!$H$8))*1000/Inputs!$C$12)</x:f>
        <x:v>-24655.783322873118</x:v>
      </x:c>
      <x:c r="M90" t="n">
        <x:f>Scenario_Data!K90-(((SQRT((Inputs!$C$52+(Inputs!$H$9))^2+Inputs!$C$52^2-2*(Inputs!$C$52+(Inputs!$H$9))*Inputs!$C$52*COS(SQRT((Scenario_Data!W90)^2+Inputs!$C$6^2)/Inputs!$C$52)))-(Inputs!$H$9))*1000/Inputs!$C$12)</x:f>
        <x:v>-26355.92282022885</x:v>
      </x:c>
      <x:c r="O90" t="n">
        <x:f>Scenario_Data!T90</x:f>
        <x:v>-16.020000000000003</x:v>
      </x:c>
      <x:c r="P90" t="n">
        <x:f>2*(Scenario_Data!B90*1000)/Inputs!$C$21*1000000</x:f>
        <x:v>2670.4151176478226</x:v>
      </x:c>
      <x:c r="Q90" t="n">
        <x:f>Scenario_Data!U90</x:f>
        <x:v>-106.80000000000001</x:v>
      </x:c>
      <x:c r="R90" t="n">
        <x:f>2*(Scenario_Data!C90*1000)/Inputs!$C$21*1000000</x:f>
        <x:v>407.0848573515482</x:v>
      </x:c>
      <x:c r="S90" t="n">
        <x:f>Scenario_Data!V90</x:f>
        <x:v>-213.60000000000002</x:v>
      </x:c>
      <x:c r="T90" t="n">
        <x:f>2*(Scenario_Data!D90*1000)/Inputs!$C$21*1000000</x:f>
        <x:v>692.4382667425209</x:v>
      </x:c>
      <x:c r="U90" t="n">
        <x:f>Scenario_Data!W90</x:f>
        <x:v>-213.60000000000002</x:v>
      </x:c>
      <x:c r="V90" t="n">
        <x:f>2*(Scenario_Data!E90*1000)/Inputs!$C$21*1000000</x:f>
        <x:v>630.4813378594068</x:v>
      </x:c>
      <x:c r="X90" t="n">
        <x:f>Scenario_Data!T90</x:f>
        <x:v>-16.020000000000003</x:v>
      </x:c>
      <x:c r="Y90" t="n">
        <x: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x:f>
        <x:v>2671.224880020979</x:v>
      </x:c>
      <x:c r="Z90" t="n">
        <x:f>Scenario_Data!U90</x:f>
        <x:v>-106.80000000000001</x:v>
      </x:c>
      <x:c r="AA90" t="n">
        <x: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x:f>
        <x:v>406.7470273897068</x:v>
      </x:c>
      <x:c r="AB90" t="n">
        <x:f>Scenario_Data!V90</x:f>
        <x:v>-213.60000000000002</x:v>
      </x:c>
      <x:c r="AC90" t="n">
        <x: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x:f>
        <x:v>691.9670551954491</x:v>
      </x:c>
      <x:c r="AD90" t="n">
        <x:f>Scenario_Data!W90</x:f>
        <x:v>-213.60000000000002</x:v>
      </x:c>
      <x:c r="AE90" t="n">
        <x: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x:f>
        <x:v>630.010126312335</x:v>
      </x:c>
      <x:c r="AG90" t="n">
        <x:f>Scenario_Data!T90</x:f>
        <x:v>-16.020000000000003</x:v>
      </x:c>
      <x:c r="AH90" t="n">
        <x:f>2*(SQRT((Inputs!$C$52+(Scenario_Data!B90))^2+Inputs!$C$52^2-2*(Inputs!$C$52+(Scenario_Data!B90))*Inputs!$C$52*COS(SQRT((Scenario_Data!T90)^2+Inputs!$C$6^2)/Inputs!$C$52))*1000)/Inputs!$C$21*1000000</x:f>
        <x:v>2679.6299772752322</x:v>
      </x:c>
      <x:c r="AI90" t="n">
        <x:f>Scenario_Data!U90</x:f>
        <x:v>-106.80000000000001</x:v>
      </x:c>
      <x:c r="AJ90" t="n">
        <x:f>2*(SQRT((Inputs!$C$52+(Scenario_Data!C90))^2+Inputs!$C$52^2-2*(Inputs!$C$52+(Scenario_Data!C90))*Inputs!$C$52*COS(SQRT((Scenario_Data!U90)^2+Inputs!$C$6^2)/Inputs!$C$52))*1000)/Inputs!$C$21*1000000</x:f>
        <x:v>849.6386115770032</x:v>
      </x:c>
      <x:c r="AK90" t="n">
        <x:f>Scenario_Data!V90</x:f>
        <x:v>-213.60000000000002</x:v>
      </x:c>
      <x:c r="AL90" t="n">
        <x:f>2*(SQRT((Inputs!$C$52+(Scenario_Data!D90))^2+Inputs!$C$52^2-2*(Inputs!$C$52+(Scenario_Data!D90))*Inputs!$C$52*COS(SQRT((Scenario_Data!V90)^2+Inputs!$C$6^2)/Inputs!$C$52))*1000)/Inputs!$C$21*1000000</x:f>
        <x:v>1634.406668398929</x:v>
      </x:c>
      <x:c r="AM90" t="n">
        <x:f>Scenario_Data!W90</x:f>
        <x:v>-213.60000000000002</x:v>
      </x:c>
      <x:c r="AN90" t="n">
        <x:f>2*(SQRT((Inputs!$C$52+(Scenario_Data!E90))^2+Inputs!$C$52^2-2*(Inputs!$C$52+(Scenario_Data!E90))*Inputs!$C$52*COS(SQRT((Scenario_Data!W90)^2+Inputs!$C$6^2)/Inputs!$C$52))*1000)/Inputs!$C$21*1000000</x:f>
        <x:v>1605.3325327342354</x:v>
      </x:c>
      <x:c r="AP90" t="n">
        <x:f>Scenario_Data!T90</x:f>
        <x:v>-16.020000000000003</x:v>
      </x:c>
      <x:c r="AQ90" t="n">
        <x: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x:f>
        <x:v>2676.8935781249206</x:v>
      </x:c>
      <x:c r="AR90" t="n">
        <x:f>Scenario_Data!U90</x:f>
        <x:v>-106.80000000000001</x:v>
      </x:c>
      <x:c r="AS90" t="n">
        <x: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x:f>
        <x:v>849.1298418746225</x:v>
      </x:c>
      <x:c r="AT90" t="n">
        <x:f>Scenario_Data!V90</x:f>
        <x:v>-213.60000000000002</x:v>
      </x:c>
      <x:c r="AU90" t="n">
        <x: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x:f>
        <x:v>1633.9682240085044</x:v>
      </x:c>
      <x:c r="AV90" t="n">
        <x:f>Scenario_Data!W90</x:f>
        <x:v>-213.60000000000002</x:v>
      </x:c>
      <x:c r="AW90" t="n">
        <x: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x:f>
        <x:v>1604.932853763352</x:v>
      </x:c>
    </x:row>
    <x:row r="91">
      <x:c r="A91" t="n">
        <x:f>Chart_Data!K91</x:f>
        <x:v>-15.5</x:v>
      </x:c>
      <x:c r="B91" t="n">
        <x:f>Chart_Data!N91-Chart_Data!L91</x:f>
        <x:v>107.59636634063799</x:v>
      </x:c>
      <x:c r="D91" t="n">
        <x:f>Chart_Data!G91</x:f>
        <x:v>-15.5</x:v>
      </x:c>
      <x:c r="E91" t="n">
        <x:f>Chart_Data!H91</x:f>
        <x:v>405.1793484681727</x:v>
      </x:c>
      <x:c r="F91" t="n">
        <x:f>Chart_Data!I91</x:f>
        <x:v>405.1793484681727</x:v>
      </x:c>
      <x:c r="G91" t="n">
        <x:f>Chart_Data!J91</x:f>
        <x:v>-109.31712972071381</x:v>
      </x:c>
      <x:c r="I91" t="n">
        <x:f>Scenario_Data!A91</x:f>
        <x:v>-0.258</x:v>
      </x:c>
      <x:c r="J91" t="n">
        <x:f>Scenario_Data!H91-(((SQRT((Inputs!$C$52+(Inputs!$H$6))^2+Inputs!$C$52^2-2*(Inputs!$C$52+(Inputs!$H$6))*Inputs!$C$52*COS(SQRT((Scenario_Data!T91)^2+Inputs!$C$6^2)/Inputs!$C$52)))-(Inputs!$H$6))*1000/Inputs!$C$12)</x:f>
        <x:v>-0.4016673031354685</x:v>
      </x:c>
      <x:c r="K91" t="n">
        <x:f>Scenario_Data!I91-(((SQRT((Inputs!$C$52+(Inputs!$H$7))^2+Inputs!$C$52^2-2*(Inputs!$C$52+(Inputs!$H$7))*Inputs!$C$52*COS(SQRT((Scenario_Data!U91)^2+Inputs!$C$6^2)/Inputs!$C$52)))-(Inputs!$H$7))*1000/Inputs!$C$12)</x:f>
        <x:v>-7784.433251420131</x:v>
      </x:c>
      <x:c r="L91" t="n">
        <x:f>Scenario_Data!J91-(((SQRT((Inputs!$C$52+(Inputs!$H$8))^2+Inputs!$C$52^2-2*(Inputs!$C$52+(Inputs!$H$8))*Inputs!$C$52*COS(SQRT((Scenario_Data!V91)^2+Inputs!$C$6^2)/Inputs!$C$52)))-(Inputs!$H$8))*1000/Inputs!$C$12)</x:f>
        <x:v>-23078.113644632846</x:v>
      </x:c>
      <x:c r="M91" t="n">
        <x:f>Scenario_Data!K91-(((SQRT((Inputs!$C$52+(Inputs!$H$9))^2+Inputs!$C$52^2-2*(Inputs!$C$52+(Inputs!$H$9))*Inputs!$C$52*COS(SQRT((Scenario_Data!W91)^2+Inputs!$C$6^2)/Inputs!$C$52)))-(Inputs!$H$9))*1000/Inputs!$C$12)</x:f>
        <x:v>-24719.85672730935</x:v>
      </x:c>
      <x:c r="O91" t="n">
        <x:f>Scenario_Data!T91</x:f>
        <x:v>-15.480000000000004</x:v>
      </x:c>
      <x:c r="P91" t="n">
        <x:f>2*(Scenario_Data!B91*1000)/Inputs!$C$21*1000000</x:f>
        <x:v>2670.2890304198377</x:v>
      </x:c>
      <x:c r="Q91" t="n">
        <x:f>Scenario_Data!U91</x:f>
        <x:v>-103.19999999999999</x:v>
      </x:c>
      <x:c r="R91" t="n">
        <x:f>2*(Scenario_Data!C91*1000)/Inputs!$C$21*1000000</x:f>
        <x:v>395.5793977979259</x:v>
      </x:c>
      <x:c r="S91" t="n">
        <x:f>Scenario_Data!V91</x:f>
        <x:v>-206.39999999999998</x:v>
      </x:c>
      <x:c r="T91" t="n">
        <x:f>2*(Scenario_Data!D91*1000)/Inputs!$C$21*1000000</x:f>
        <x:v>662.0197229911632</x:v>
      </x:c>
      <x:c r="U91" t="n">
        <x:f>Scenario_Data!W91</x:f>
        <x:v>-206.39999999999998</x:v>
      </x:c>
      <x:c r="V91" t="n">
        <x:f>2*(Scenario_Data!E91*1000)/Inputs!$C$21*1000000</x:f>
        <x:v>599.7475760380869</x:v>
      </x:c>
      <x:c r="X91" t="n">
        <x:f>Scenario_Data!T91</x:f>
        <x:v>-15.480000000000004</x:v>
      </x:c>
      <x:c r="Y91" t="n">
        <x: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x:f>
        <x:v>2670.893062133703</x:v>
      </x:c>
      <x:c r="Z91" t="n">
        <x:f>Scenario_Data!U91</x:f>
        <x:v>-103.19999999999999</x:v>
      </x:c>
      <x:c r="AA91" t="n">
        <x: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x:f>
        <x:v>395.0892701821094</x:v>
      </x:c>
      <x:c r="AB91" t="n">
        <x:f>Scenario_Data!V91</x:f>
        <x:v>-206.39999999999998</x:v>
      </x:c>
      <x:c r="AC91" t="n">
        <x: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x:f>
        <x:v>661.6899994846148</x:v>
      </x:c>
      <x:c r="AD91" t="n">
        <x:f>Scenario_Data!W91</x:f>
        <x:v>-206.39999999999998</x:v>
      </x:c>
      <x:c r="AE91" t="n">
        <x: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x:f>
        <x:v>599.4178525315383</x:v>
      </x:c>
      <x:c r="AG91" t="n">
        <x:f>Scenario_Data!T91</x:f>
        <x:v>-15.480000000000004</x:v>
      </x:c>
      <x:c r="AH91" t="n">
        <x:f>2*(SQRT((Inputs!$C$52+(Scenario_Data!B91))^2+Inputs!$C$52^2-2*(Inputs!$C$52+(Scenario_Data!B91))*Inputs!$C$52*COS(SQRT((Scenario_Data!T91)^2+Inputs!$C$6^2)/Inputs!$C$52))*1000)/Inputs!$C$21*1000000</x:f>
        <x:v>2679.3267458137466</x:v>
      </x:c>
      <x:c r="AI91" t="n">
        <x:f>Scenario_Data!U91</x:f>
        <x:v>-103.19999999999999</x:v>
      </x:c>
      <x:c r="AJ91" t="n">
        <x:f>2*(SQRT((Inputs!$C$52+(Scenario_Data!C91))^2+Inputs!$C$52^2-2*(Inputs!$C$52+(Scenario_Data!C91))*Inputs!$C$52*COS(SQRT((Scenario_Data!U91)^2+Inputs!$C$6^2)/Inputs!$C$52))*1000)/Inputs!$C$21*1000000</x:f>
        <x:v>822.8987615597109</x:v>
      </x:c>
      <x:c r="AK91" t="n">
        <x:f>Scenario_Data!V91</x:f>
        <x:v>-206.39999999999998</x:v>
      </x:c>
      <x:c r="AL91" t="n">
        <x:f>2*(SQRT((Inputs!$C$52+(Scenario_Data!D91))^2+Inputs!$C$52^2-2*(Inputs!$C$52+(Scenario_Data!D91))*Inputs!$C$52*COS(SQRT((Scenario_Data!V91)^2+Inputs!$C$6^2)/Inputs!$C$52))*1000)/Inputs!$C$21*1000000</x:f>
        <x:v>1575.2382195812656</x:v>
      </x:c>
      <x:c r="AM91" t="n">
        <x:f>Scenario_Data!W91</x:f>
        <x:v>-206.39999999999998</x:v>
      </x:c>
      <x:c r="AN91" t="n">
        <x:f>2*(SQRT((Inputs!$C$52+(Scenario_Data!E91))^2+Inputs!$C$52^2-2*(Inputs!$C$52+(Scenario_Data!E91))*Inputs!$C$52*COS(SQRT((Scenario_Data!W91)^2+Inputs!$C$6^2)/Inputs!$C$52))*1000)/Inputs!$C$21*1000000</x:f>
        <x:v>1546.3874430517</x:v>
      </x:c>
      <x:c r="AP91" t="n">
        <x:f>Scenario_Data!T91</x:f>
        <x:v>-15.480000000000004</x:v>
      </x:c>
      <x:c r="AQ91" t="n">
        <x: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x:f>
        <x:v>2676.6826725277347</x:v>
      </x:c>
      <x:c r="AR91" t="n">
        <x:f>Scenario_Data!U91</x:f>
        <x:v>-103.19999999999999</x:v>
      </x:c>
      <x:c r="AS91" t="n">
        <x: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x:f>
        <x:v>822.3450160213688</x:v>
      </x:c>
      <x:c r="AT91" t="n">
        <x:f>Scenario_Data!V91</x:f>
        <x:v>-206.39999999999998</x:v>
      </x:c>
      <x:c r="AU91" t="n">
        <x: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x:f>
        <x:v>1574.9472856715226</x:v>
      </x:c>
      <x:c r="AV91" t="n">
        <x:f>Scenario_Data!W91</x:f>
        <x:v>-206.39999999999998</x:v>
      </x:c>
      <x:c r="AW91" t="n">
        <x: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x:f>
        <x:v>1546.1235434612527</x:v>
      </x:c>
    </x:row>
    <x:row r="92">
      <x:c r="A92" t="n">
        <x:f>Chart_Data!K92</x:f>
        <x:v>-15</x:v>
      </x:c>
      <x:c r="B92" t="n">
        <x:f>Chart_Data!N92-Chart_Data!L92</x:f>
        <x:v>88.756788598213</x:v>
      </x:c>
      <x:c r="D92" t="n">
        <x:f>Chart_Data!G92</x:f>
        <x:v>-15</x:v>
      </x:c>
      <x:c r="E92" t="n">
        <x:f>Chart_Data!H92</x:f>
        <x:v>416.63024006091615</x:v>
      </x:c>
      <x:c r="F92" t="n">
        <x:f>Chart_Data!I92</x:f>
        <x:v>416.63024006091615</x:v>
      </x:c>
      <x:c r="G92" t="n">
        <x:f>Chart_Data!J92</x:f>
        <x:v>-90.49530902944495</x:v>
      </x:c>
      <x:c r="I92" t="n">
        <x:f>Scenario_Data!A92</x:f>
        <x:v>-0.25</x:v>
      </x:c>
      <x:c r="J92" t="n">
        <x:f>Scenario_Data!H92-(((SQRT((Inputs!$C$52+(Inputs!$H$6))^2+Inputs!$C$52^2-2*(Inputs!$C$52+(Inputs!$H$6))*Inputs!$C$52*COS(SQRT((Scenario_Data!T92)^2+Inputs!$C$6^2)/Inputs!$C$52)))-(Inputs!$H$6))*1000/Inputs!$C$12)</x:f>
        <x:v>-0.37081187517208036</x:v>
      </x:c>
      <x:c r="K92" t="n">
        <x:f>Scenario_Data!I92-(((SQRT((Inputs!$C$52+(Inputs!$H$7))^2+Inputs!$C$52^2-2*(Inputs!$C$52+(Inputs!$H$7))*Inputs!$C$52*COS(SQRT((Scenario_Data!U92)^2+Inputs!$C$6^2)/Inputs!$C$52)))-(Inputs!$H$7))*1000/Inputs!$C$12)</x:f>
        <x:v>-7259.077562381237</x:v>
      </x:c>
      <x:c r="L92" t="n">
        <x:f>Scenario_Data!J92-(((SQRT((Inputs!$C$52+(Inputs!$H$8))^2+Inputs!$C$52^2-2*(Inputs!$C$52+(Inputs!$H$8))*Inputs!$C$52*COS(SQRT((Scenario_Data!V92)^2+Inputs!$C$6^2)/Inputs!$C$52)))-(Inputs!$H$8))*1000/Inputs!$C$12)</x:f>
        <x:v>-21707.520208299306</x:v>
      </x:c>
      <x:c r="M92" t="n">
        <x:f>Scenario_Data!K92-(((SQRT((Inputs!$C$52+(Inputs!$H$9))^2+Inputs!$C$52^2-2*(Inputs!$C$52+(Inputs!$H$9))*Inputs!$C$52*COS(SQRT((Scenario_Data!W92)^2+Inputs!$C$6^2)/Inputs!$C$52)))-(Inputs!$H$9))*1000/Inputs!$C$12)</x:f>
        <x:v>-23296.801058357276</x:v>
      </x:c>
      <x:c r="O92" t="n">
        <x:f>Scenario_Data!T92</x:f>
        <x:v>-15</x:v>
      </x:c>
      <x:c r="P92" t="n">
        <x:f>2*(Scenario_Data!B92*1000)/Inputs!$C$21*1000000</x:f>
        <x:v>2670.180582061207</x:v>
      </x:c>
      <x:c r="Q92" t="n">
        <x:f>Scenario_Data!U92</x:f>
        <x:v>-100</x:v>
      </x:c>
      <x:c r="R92" t="n">
        <x:f>2*(Scenario_Data!C92*1000)/Inputs!$C$21*1000000</x:f>
        <x:v>385.68348507286333</x:v>
      </x:c>
      <x:c r="S92" t="n">
        <x:f>Scenario_Data!V92</x:f>
        <x:v>-200</x:v>
      </x:c>
      <x:c r="T92" t="n">
        <x:f>2*(Scenario_Data!D92*1000)/Inputs!$C$21*1000000</x:f>
        <x:v>635.8565564714773</x:v>
      </x:c>
      <x:c r="U92" t="n">
        <x:f>Scenario_Data!W92</x:f>
        <x:v>-200</x:v>
      </x:c>
      <x:c r="V92" t="n">
        <x:f>2*(Scenario_Data!E92*1000)/Inputs!$C$21*1000000</x:f>
        <x:v>573.3132886218239</x:v>
      </x:c>
      <x:c r="X92" t="n">
        <x:f>Scenario_Data!T92</x:f>
        <x:v>-15</x:v>
      </x:c>
      <x:c r="Y92" t="n">
        <x: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x:f>
        <x:v>2670.784301778729</x:v>
      </x:c>
      <x:c r="Z92" t="n">
        <x:f>Scenario_Data!U92</x:f>
        <x:v>-100</x:v>
      </x:c>
      <x:c r="AA92" t="n">
        <x: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x:f>
        <x:v>385.3661380377797</x:v>
      </x:c>
      <x:c r="AB92" t="n">
        <x:f>Scenario_Data!V92</x:f>
        <x:v>-200</x:v>
      </x:c>
      <x:c r="AC92" t="n">
        <x: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x:f>
        <x:v>635.6982552438569</x:v>
      </x:c>
      <x:c r="AD92" t="n">
        <x:f>Scenario_Data!W92</x:f>
        <x:v>-200</x:v>
      </x:c>
      <x:c r="AE92" t="n">
        <x: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x:f>
        <x:v>573.1549873942034</x:v>
      </x:c>
      <x:c r="AG92" t="n">
        <x:f>Scenario_Data!T92</x:f>
        <x:v>-15</x:v>
      </x:c>
      <x:c r="AH92" t="n">
        <x:f>2*(SQRT((Inputs!$C$52+(Scenario_Data!B92))^2+Inputs!$C$52^2-2*(Inputs!$C$52+(Scenario_Data!B92))*Inputs!$C$52*COS(SQRT((Scenario_Data!T92)^2+Inputs!$C$6^2)/Inputs!$C$52))*1000)/Inputs!$C$21*1000000</x:f>
        <x:v>2679.065914532494</x:v>
      </x:c>
      <x:c r="AI92" t="n">
        <x:f>Scenario_Data!U92</x:f>
        <x:v>-100</x:v>
      </x:c>
      <x:c r="AJ92" t="n">
        <x:f>2*(SQRT((Inputs!$C$52+(Scenario_Data!C92))^2+Inputs!$C$52^2-2*(Inputs!$C$52+(Scenario_Data!C92))*Inputs!$C$52*COS(SQRT((Scenario_Data!U92)^2+Inputs!$C$6^2)/Inputs!$C$52))*1000)/Inputs!$C$21*1000000</x:f>
        <x:v>799.3530465257882</x:v>
      </x:c>
      <x:c r="AK92" t="n">
        <x:f>Scenario_Data!V92</x:f>
        <x:v>-200</x:v>
      </x:c>
      <x:c r="AL92" t="n">
        <x:f>2*(SQRT((Inputs!$C$52+(Scenario_Data!D92))^2+Inputs!$C$52^2-2*(Inputs!$C$52+(Scenario_Data!D92))*Inputs!$C$52*COS(SQRT((Scenario_Data!V92)^2+Inputs!$C$6^2)/Inputs!$C$52))*1000)/Inputs!$C$21*1000000</x:f>
        <x:v>1523.1929864371127</x:v>
      </x:c>
      <x:c r="AM92" t="n">
        <x:f>Scenario_Data!W92</x:f>
        <x:v>-200</x:v>
      </x:c>
      <x:c r="AN92" t="n">
        <x:f>2*(SQRT((Inputs!$C$52+(Scenario_Data!E92))^2+Inputs!$C$52^2-2*(Inputs!$C$52+(Scenario_Data!E92))*Inputs!$C$52*COS(SQRT((Scenario_Data!W92)^2+Inputs!$C$6^2)/Inputs!$C$52))*1000)/Inputs!$C$21*1000000</x:f>
        <x:v>1494.538848738704</x:v>
      </x:c>
      <x:c r="AP92" t="n">
        <x:f>Scenario_Data!T92</x:f>
        <x:v>-15</x:v>
      </x:c>
      <x:c r="AQ92" t="n">
        <x: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x:f>
        <x:v>2676.298054911225</x:v>
      </x:c>
      <x:c r="AR92" t="n">
        <x:f>Scenario_Data!U92</x:f>
        <x:v>-100</x:v>
      </x:c>
      <x:c r="AS92" t="n">
        <x: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x:f>
        <x:v>798.9000950122506</x:v>
      </x:c>
      <x:c r="AT92" t="n">
        <x:f>Scenario_Data!V92</x:f>
        <x:v>-200</x:v>
      </x:c>
      <x:c r="AU92" t="n">
        <x: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x:f>
        <x:v>1522.8401884505734</x:v>
      </x:c>
      <x:c r="AV92" t="n">
        <x:f>Scenario_Data!W92</x:f>
        <x:v>-200</x:v>
      </x:c>
      <x:c r="AW92" t="n">
        <x: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x:f>
        <x:v>1494.2203317731464</x:v>
      </x:c>
    </x:row>
    <x:row r="93">
      <x:c r="A93" t="n">
        <x:f>Chart_Data!K93</x:f>
        <x:v>-14.5</x:v>
      </x:c>
      <x:c r="B93" t="n">
        <x:f>Chart_Data!N93-Chart_Data!L93</x:f>
        <x:v>84.90823497062411</x:v>
      </x:c>
      <x:c r="D93" t="n">
        <x:f>Chart_Data!G93</x:f>
        <x:v>-14.5</x:v>
      </x:c>
      <x:c r="E93" t="n">
        <x:f>Chart_Data!H93</x:f>
        <x:v>425.31373753688456</x:v>
      </x:c>
      <x:c r="F93" t="n">
        <x:f>Chart_Data!I93</x:f>
        <x:v>425.31373753688456</x:v>
      </x:c>
      <x:c r="G93" t="n">
        <x:f>Chart_Data!J93</x:f>
        <x:v>-86.65248482679937</x:v>
      </x:c>
      <x:c r="I93" t="n">
        <x:f>Scenario_Data!A93</x:f>
        <x:v>-0.242</x:v>
      </x:c>
      <x:c r="J93" t="n">
        <x:f>Scenario_Data!H93-(((SQRT((Inputs!$C$52+(Inputs!$H$6))^2+Inputs!$C$52^2-2*(Inputs!$C$52+(Inputs!$H$6))*Inputs!$C$52*COS(SQRT((Scenario_Data!T93)^2+Inputs!$C$6^2)/Inputs!$C$52)))-(Inputs!$H$6))*1000/Inputs!$C$12)</x:f>
        <x:v>-0.3417117286797975</x:v>
      </x:c>
      <x:c r="K93" t="n">
        <x:f>Scenario_Data!I93-(((SQRT((Inputs!$C$52+(Inputs!$H$7))^2+Inputs!$C$52^2-2*(Inputs!$C$52+(Inputs!$H$7))*Inputs!$C$52*COS(SQRT((Scenario_Data!U93)^2+Inputs!$C$6^2)/Inputs!$C$52)))-(Inputs!$H$7))*1000/Inputs!$C$12)</x:f>
        <x:v>-6750.1435304916085</x:v>
      </x:c>
      <x:c r="L93" t="n">
        <x:f>Scenario_Data!J93-(((SQRT((Inputs!$C$52+(Inputs!$H$8))^2+Inputs!$C$52^2-2*(Inputs!$C$52+(Inputs!$H$8))*Inputs!$C$52*COS(SQRT((Scenario_Data!V93)^2+Inputs!$C$6^2)/Inputs!$C$52)))-(Inputs!$H$8))*1000/Inputs!$C$12)</x:f>
        <x:v>-20367.91707237235</x:v>
      </x:c>
      <x:c r="M93" t="n">
        <x:f>Scenario_Data!K93-(((SQRT((Inputs!$C$52+(Inputs!$H$9))^2+Inputs!$C$52^2-2*(Inputs!$C$52+(Inputs!$H$9))*Inputs!$C$52*COS(SQRT((Scenario_Data!W93)^2+Inputs!$C$6^2)/Inputs!$C$52)))-(Inputs!$H$9))*1000/Inputs!$C$12)</x:f>
        <x:v>-21904.22804430117</x:v>
      </x:c>
      <x:c r="O93" t="n">
        <x:f>Scenario_Data!T93</x:f>
        <x:v>-14.519999999999996</x:v>
      </x:c>
      <x:c r="P93" t="n">
        <x:f>2*(Scenario_Data!B93*1000)/Inputs!$C$21*1000000</x:f>
        <x:v>2670.075549398911</x:v>
      </x:c>
      <x:c r="Q93" t="n">
        <x:f>Scenario_Data!U93</x:f>
        <x:v>-96.80000000000001</x:v>
      </x:c>
      <x:c r="R93" t="n">
        <x:f>2*(Scenario_Data!C93*1000)/Inputs!$C$21*1000000</x:f>
        <x:v>376.09925463835384</x:v>
      </x:c>
      <x:c r="S93" t="n">
        <x:f>Scenario_Data!V93</x:f>
        <x:v>-193.60000000000002</x:v>
      </x:c>
      <x:c r="T93" t="n">
        <x:f>2*(Scenario_Data!D93*1000)/Inputs!$C$21*1000000</x:f>
        <x:v>610.5174266925688</x:v>
      </x:c>
      <x:c r="U93" t="n">
        <x:f>Scenario_Data!W93</x:f>
        <x:v>-193.60000000000002</x:v>
      </x:c>
      <x:c r="V93" t="n">
        <x:f>2*(Scenario_Data!E93*1000)/Inputs!$C$21*1000000</x:f>
        <x:v>547.7115771871754</x:v>
      </x:c>
      <x:c r="X93" t="n">
        <x:f>Scenario_Data!T93</x:f>
        <x:v>-14.519999999999996</x:v>
      </x:c>
      <x:c r="Y93" t="n">
        <x: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x:f>
        <x:v>2670.71087513689</x:v>
      </x:c>
      <x:c r="Z93" t="n">
        <x:f>Scenario_Data!U93</x:f>
        <x:v>-96.80000000000001</x:v>
      </x:c>
      <x:c r="AA93" t="n">
        <x: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x:f>
        <x:v>376.13515915351996</x:v>
      </x:c>
      <x:c r="AB93" t="n">
        <x:f>Scenario_Data!V93</x:f>
        <x:v>-193.60000000000002</x:v>
      </x:c>
      <x:c r="AC93" t="n">
        <x: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x:f>
        <x:v>609.849884961899</x:v>
      </x:c>
      <x:c r="AD93" t="n">
        <x:f>Scenario_Data!W93</x:f>
        <x:v>-193.60000000000002</x:v>
      </x:c>
      <x:c r="AE93" t="n">
        <x: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x:f>
        <x:v>547.0440354565055</x:v>
      </x:c>
      <x:c r="AG93" t="n">
        <x:f>Scenario_Data!T93</x:f>
        <x:v>-14.519999999999996</x:v>
      </x:c>
      <x:c r="AH93" t="n">
        <x:f>2*(SQRT((Inputs!$C$52+(Scenario_Data!B93))^2+Inputs!$C$52^2-2*(Inputs!$C$52+(Scenario_Data!B93))*Inputs!$C$52*COS(SQRT((Scenario_Data!T93)^2+Inputs!$C$6^2)/Inputs!$C$52))*1000)/Inputs!$C$21*1000000</x:f>
        <x:v>2678.813280652873</x:v>
      </x:c>
      <x:c r="AI93" t="n">
        <x:f>Scenario_Data!U93</x:f>
        <x:v>-96.80000000000001</x:v>
      </x:c>
      <x:c r="AJ93" t="n">
        <x:f>2*(SQRT((Inputs!$C$52+(Scenario_Data!C93))^2+Inputs!$C$52^2-2*(Inputs!$C$52+(Scenario_Data!C93))*Inputs!$C$52*COS(SQRT((Scenario_Data!U93)^2+Inputs!$C$6^2)/Inputs!$C$52))*1000)/Inputs!$C$21*1000000</x:f>
        <x:v>776.021326811133</x:v>
      </x:c>
      <x:c r="AK93" t="n">
        <x:f>Scenario_Data!V93</x:f>
        <x:v>-193.60000000000002</x:v>
      </x:c>
      <x:c r="AL93" t="n">
        <x:f>2*(SQRT((Inputs!$C$52+(Scenario_Data!D93))^2+Inputs!$C$52^2-2*(Inputs!$C$52+(Scenario_Data!D93))*Inputs!$C$52*COS(SQRT((Scenario_Data!V93)^2+Inputs!$C$6^2)/Inputs!$C$52))*1000)/Inputs!$C$21*1000000</x:f>
        <x:v>1471.657065923119</x:v>
      </x:c>
      <x:c r="AM93" t="n">
        <x:f>Scenario_Data!W93</x:f>
        <x:v>-193.60000000000002</x:v>
      </x:c>
      <x:c r="AN93" t="n">
        <x:f>2*(SQRT((Inputs!$C$52+(Scenario_Data!E93))^2+Inputs!$C$52^2-2*(Inputs!$C$52+(Scenario_Data!E93))*Inputs!$C$52*COS(SQRT((Scenario_Data!W93)^2+Inputs!$C$6^2)/Inputs!$C$52))*1000)/Inputs!$C$21*1000000</x:f>
        <x:v>1443.1960281662846</x:v>
      </x:c>
      <x:c r="AP93" t="n">
        <x:f>Scenario_Data!T93</x:f>
        <x:v>-14.519999999999996</x:v>
      </x:c>
      <x:c r="AQ93" t="n">
        <x: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x:f>
        <x:v>2676.0772755395565</x:v>
      </x:c>
      <x:c r="AR93" t="n">
        <x:f>Scenario_Data!U93</x:f>
        <x:v>-96.80000000000001</x:v>
      </x:c>
      <x:c r="AS93" t="n">
        <x: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x:f>
        <x:v>775.775665786726</x:v>
      </x:c>
      <x:c r="AT93" t="n">
        <x:f>Scenario_Data!V93</x:f>
        <x:v>-193.60000000000002</x:v>
      </x:c>
      <x:c r="AU93" t="n">
        <x: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x:f>
        <x:v>1471.2359482529555</x:v>
      </x:c>
      <x:c r="AV93" t="n">
        <x:f>Scenario_Data!W93</x:f>
        <x:v>-193.60000000000002</x:v>
      </x:c>
      <x:c r="AW93" t="n">
        <x: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x:f>
        <x:v>1442.817695131121</x:v>
      </x:c>
    </x:row>
    <x:row r="94">
      <x:c r="A94" t="n">
        <x:f>Chart_Data!K94</x:f>
        <x:v>-14</x:v>
      </x:c>
      <x:c r="B94" t="n">
        <x:f>Chart_Data!N94-Chart_Data!L94</x:f>
        <x:v>82.66882036124099</x:v>
      </x:c>
      <x:c r="D94" t="n">
        <x:f>Chart_Data!G94</x:f>
        <x:v>-14</x:v>
      </x:c>
      <x:c r="E94" t="n">
        <x:f>Chart_Data!H94</x:f>
        <x:v>420.9575928892744</x:v>
      </x:c>
      <x:c r="F94" t="n">
        <x:f>Chart_Data!I94</x:f>
        <x:v>420.9575928892744</x:v>
      </x:c>
      <x:c r="G94" t="n">
        <x:f>Chart_Data!J94</x:f>
        <x:v>-84.36597258140502</x:v>
      </x:c>
      <x:c r="I94" t="n">
        <x:f>Scenario_Data!A94</x:f>
        <x:v>-0.233</x:v>
      </x:c>
      <x:c r="J94" t="n">
        <x:f>Scenario_Data!H94-(((SQRT((Inputs!$C$52+(Inputs!$H$6))^2+Inputs!$C$52^2-2*(Inputs!$C$52+(Inputs!$H$6))*Inputs!$C$52*COS(SQRT((Scenario_Data!T94)^2+Inputs!$C$6^2)/Inputs!$C$52)))-(Inputs!$H$6))*1000/Inputs!$C$12)</x:f>
        <x:v>-0.3109789747541072</x:v>
      </x:c>
      <x:c r="K94" t="n">
        <x:f>Scenario_Data!I94-(((SQRT((Inputs!$C$52+(Inputs!$H$7))^2+Inputs!$C$52^2-2*(Inputs!$C$52+(Inputs!$H$7))*Inputs!$C$52*COS(SQRT((Scenario_Data!U94)^2+Inputs!$C$6^2)/Inputs!$C$52)))-(Inputs!$H$7))*1000/Inputs!$C$12)</x:f>
        <x:v>-6197.6076393513285</x:v>
      </x:c>
      <x:c r="L94" t="n">
        <x:f>Scenario_Data!J94-(((SQRT((Inputs!$C$52+(Inputs!$H$8))^2+Inputs!$C$52^2-2*(Inputs!$C$52+(Inputs!$H$8))*Inputs!$C$52*COS(SQRT((Scenario_Data!V94)^2+Inputs!$C$6^2)/Inputs!$C$52)))-(Inputs!$H$8))*1000/Inputs!$C$12)</x:f>
        <x:v>-18899.22242547247</x:v>
      </x:c>
      <x:c r="M94" t="n">
        <x:f>Scenario_Data!K94-(((SQRT((Inputs!$C$52+(Inputs!$H$9))^2+Inputs!$C$52^2-2*(Inputs!$C$52+(Inputs!$H$9))*Inputs!$C$52*COS(SQRT((Scenario_Data!W94)^2+Inputs!$C$6^2)/Inputs!$C$52)))-(Inputs!$H$9))*1000/Inputs!$C$12)</x:f>
        <x:v>-20375.352826851115</x:v>
      </x:c>
      <x:c r="O94" t="n">
        <x:f>Scenario_Data!T94</x:f>
        <x:v>-13.979999999999997</x:v>
      </x:c>
      <x:c r="P94" t="n">
        <x:f>2*(Scenario_Data!B94*1000)/Inputs!$C$21*1000000</x:f>
        <x:v>2669.9614704783535</x:v>
      </x:c>
      <x:c r="Q94" t="n">
        <x:f>Scenario_Data!U94</x:f>
        <x:v>-93.19999999999999</x:v>
      </x:c>
      <x:c r="R94" t="n">
        <x:f>2*(Scenario_Data!C94*1000)/Inputs!$C$21*1000000</x:f>
        <x:v>365.6895531374575</x:v>
      </x:c>
      <x:c r="S94" t="n">
        <x:f>Scenario_Data!V94</x:f>
        <x:v>-186.39999999999998</x:v>
      </x:c>
      <x:c r="T94" t="n">
        <x:f>2*(Scenario_Data!D94*1000)/Inputs!$C$21*1000000</x:f>
        <x:v>582.9958871080072</x:v>
      </x:c>
      <x:c r="U94" t="n">
        <x:f>Scenario_Data!W94</x:f>
        <x:v>-186.39999999999998</x:v>
      </x:c>
      <x:c r="V94" t="n">
        <x:f>2*(Scenario_Data!E94*1000)/Inputs!$C$21*1000000</x:f>
        <x:v>519.9048403012193</x:v>
      </x:c>
      <x:c r="X94" t="n">
        <x:f>Scenario_Data!T94</x:f>
        <x:v>-13.979999999999997</x:v>
      </x:c>
      <x:c r="Y94" t="n">
        <x: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x:f>
        <x:v>2670.5085985921796</x:v>
      </x:c>
      <x:c r="Z94" t="n">
        <x:f>Scenario_Data!U94</x:f>
        <x:v>-93.19999999999999</x:v>
      </x:c>
      <x:c r="AA94" t="n">
        <x: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x:f>
        <x:v>365.6912781317871</x:v>
      </x:c>
      <x:c r="AB94" t="n">
        <x:f>Scenario_Data!V94</x:f>
        <x:v>-186.39999999999998</x:v>
      </x:c>
      <x:c r="AC94" t="n">
        <x: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x:f>
        <x:v>582.8251281434001</x:v>
      </x:c>
      <x:c r="AD94" t="n">
        <x:f>Scenario_Data!W94</x:f>
        <x:v>-186.39999999999998</x:v>
      </x:c>
      <x:c r="AE94" t="n">
        <x: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x:f>
        <x:v>519.7340813366122</x:v>
      </x:c>
      <x:c r="AG94" t="n">
        <x:f>Scenario_Data!T94</x:f>
        <x:v>-13.979999999999997</x:v>
      </x:c>
      <x:c r="AH94" t="n">
        <x:f>2*(SQRT((Inputs!$C$52+(Scenario_Data!B94))^2+Inputs!$C$52^2-2*(Inputs!$C$52+(Scenario_Data!B94))*Inputs!$C$52*COS(SQRT((Scenario_Data!T94)^2+Inputs!$C$6^2)/Inputs!$C$52))*1000)/Inputs!$C$21*1000000</x:f>
        <x:v>2678.53886810944</x:v>
      </x:c>
      <x:c r="AI94" t="n">
        <x:f>Scenario_Data!U94</x:f>
        <x:v>-93.19999999999999</x:v>
      </x:c>
      <x:c r="AJ94" t="n">
        <x:f>2*(SQRT((Inputs!$C$52+(Scenario_Data!C94))^2+Inputs!$C$52^2-2*(Inputs!$C$52+(Scenario_Data!C94))*Inputs!$C$52*COS(SQRT((Scenario_Data!U94)^2+Inputs!$C$6^2)/Inputs!$C$52))*1000)/Inputs!$C$21*1000000</x:f>
        <x:v>750.0348628533561</x:v>
      </x:c>
      <x:c r="AK94" t="n">
        <x:f>Scenario_Data!V94</x:f>
        <x:v>-186.39999999999998</x:v>
      </x:c>
      <x:c r="AL94" t="n">
        <x:f>2*(SQRT((Inputs!$C$52+(Scenario_Data!D94))^2+Inputs!$C$52^2-2*(Inputs!$C$52+(Scenario_Data!D94))*Inputs!$C$52*COS(SQRT((Scenario_Data!V94)^2+Inputs!$C$6^2)/Inputs!$C$52))*1000)/Inputs!$C$21*1000000</x:f>
        <x:v>1414.279745381553</x:v>
      </x:c>
      <x:c r="AM94" t="n">
        <x:f>Scenario_Data!W94</x:f>
        <x:v>-186.39999999999998</x:v>
      </x:c>
      <x:c r="AN94" t="n">
        <x:f>2*(SQRT((Inputs!$C$52+(Scenario_Data!E94))^2+Inputs!$C$52^2-2*(Inputs!$C$52+(Scenario_Data!E94))*Inputs!$C$52*COS(SQRT((Scenario_Data!W94)^2+Inputs!$C$6^2)/Inputs!$C$52))*1000)/Inputs!$C$21*1000000</x:f>
        <x:v>1386.0293710733336</x:v>
      </x:c>
      <x:c r="AP94" t="n">
        <x:f>Scenario_Data!T94</x:f>
        <x:v>-13.979999999999997</x:v>
      </x:c>
      <x:c r="AQ94" t="n">
        <x: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x:f>
        <x:v>2675.7482372623963</x:v>
      </x:c>
      <x:c r="AR94" t="n">
        <x:f>Scenario_Data!U94</x:f>
        <x:v>-93.19999999999999</x:v>
      </x:c>
      <x:c r="AS94" t="n">
        <x: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x:f>
        <x:v>749.72198990354</x:v>
      </x:c>
      <x:c r="AT94" t="n">
        <x:f>Scenario_Data!V94</x:f>
        <x:v>-186.39999999999998</x:v>
      </x:c>
      <x:c r="AU94" t="n">
        <x: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x:f>
        <x:v>1413.9478129220597</x:v>
      </x:c>
      <x:c r="AV94" t="n">
        <x:f>Scenario_Data!W94</x:f>
        <x:v>-186.39999999999998</x:v>
      </x:c>
      <x:c r="AW94" t="n">
        <x: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x:f>
        <x:v>1385.7328673887378</x:v>
      </x:c>
    </x:row>
    <x:row r="95">
      <x:c r="A95" t="n">
        <x:f>Chart_Data!K95</x:f>
        <x:v>-13.5</x:v>
      </x:c>
      <x:c r="B95" t="n">
        <x:f>Chart_Data!N95-Chart_Data!L95</x:f>
        <x:v>59.371781486156976</x:v>
      </x:c>
      <x:c r="D95" t="n">
        <x:f>Chart_Data!G95</x:f>
        <x:v>-13.5</x:v>
      </x:c>
      <x:c r="E95" t="n">
        <x:f>Chart_Data!H95</x:f>
        <x:v>418.7700178970381</x:v>
      </x:c>
      <x:c r="F95" t="n">
        <x:f>Chart_Data!I95</x:f>
        <x:v>418.7700178970381</x:v>
      </x:c>
      <x:c r="G95" t="n">
        <x:f>Chart_Data!J95</x:f>
        <x:v>-61.03205493353448</x:v>
      </x:c>
      <x:c r="I95" t="n">
        <x:f>Scenario_Data!A95</x:f>
        <x:v>-0.225</x:v>
      </x:c>
      <x:c r="J95" t="n">
        <x:f>Scenario_Data!H95-(((SQRT((Inputs!$C$52+(Inputs!$H$6))^2+Inputs!$C$52^2-2*(Inputs!$C$52+(Inputs!$H$6))*Inputs!$C$52*COS(SQRT((Scenario_Data!T95)^2+Inputs!$C$6^2)/Inputs!$C$52)))-(Inputs!$H$6))*1000/Inputs!$C$12)</x:f>
        <x:v>-0.28536299915617747</x:v>
      </x:c>
      <x:c r="K95" t="n">
        <x:f>Scenario_Data!I95-(((SQRT((Inputs!$C$52+(Inputs!$H$7))^2+Inputs!$C$52^2-2*(Inputs!$C$52+(Inputs!$H$7))*Inputs!$C$52*COS(SQRT((Scenario_Data!U95)^2+Inputs!$C$6^2)/Inputs!$C$52)))-(Inputs!$H$7))*1000/Inputs!$C$12)</x:f>
        <x:v>-5724.600396393598</x:v>
      </x:c>
      <x:c r="L95" t="n">
        <x:f>Scenario_Data!J95-(((SQRT((Inputs!$C$52+(Inputs!$H$8))^2+Inputs!$C$52^2-2*(Inputs!$C$52+(Inputs!$H$8))*Inputs!$C$52*COS(SQRT((Scenario_Data!V95)^2+Inputs!$C$6^2)/Inputs!$C$52)))-(Inputs!$H$8))*1000/Inputs!$C$12)</x:f>
        <x:v>-17629.00388090052</x:v>
      </x:c>
      <x:c r="M95" t="n">
        <x:f>Scenario_Data!K95-(((SQRT((Inputs!$C$52+(Inputs!$H$9))^2+Inputs!$C$52^2-2*(Inputs!$C$52+(Inputs!$H$9))*Inputs!$C$52*COS(SQRT((Scenario_Data!W95)^2+Inputs!$C$6^2)/Inputs!$C$52)))-(Inputs!$H$9))*1000/Inputs!$C$12)</x:f>
        <x:v>-19051.132271649607</x:v>
      </x:c>
      <x:c r="O95" t="n">
        <x:f>Scenario_Data!T95</x:f>
        <x:v>-13.5</x:v>
      </x:c>
      <x:c r="P95" t="n">
        <x:f>2*(Scenario_Data!B95*1000)/Inputs!$C$21*1000000</x:f>
        <x:v>2669.863696170769</x:v>
      </x:c>
      <x:c r="Q95" t="n">
        <x:f>Scenario_Data!U95</x:f>
        <x:v>-90</x:v>
      </x:c>
      <x:c r="R95" t="n">
        <x:f>2*(Scenario_Data!C95*1000)/Inputs!$C$21*1000000</x:f>
        <x:v>356.7676475703735</x:v>
      </x:c>
      <x:c r="S95" t="n">
        <x:f>Scenario_Data!V95</x:f>
        <x:v>-180</x:v>
      </x:c>
      <x:c r="T95" t="n">
        <x:f>2*(Scenario_Data!D95*1000)/Inputs!$C$21*1000000</x:f>
        <x:v>559.4078354032508</x:v>
      </x:c>
      <x:c r="U95" t="n">
        <x:f>Scenario_Data!W95</x:f>
        <x:v>-180</x:v>
      </x:c>
      <x:c r="V95" t="n">
        <x:f>2*(Scenario_Data!E95*1000)/Inputs!$C$21*1000000</x:f>
        <x:v>496.0723528275018</x:v>
      </x:c>
      <x:c r="X95" t="n">
        <x:f>Scenario_Data!T95</x:f>
        <x:v>-13.5</x:v>
      </x:c>
      <x:c r="Y95" t="n">
        <x: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x:f>
        <x:v>2670.2708582144087</x:v>
      </x:c>
      <x:c r="Z95" t="n">
        <x:f>Scenario_Data!U95</x:f>
        <x:v>-90</x:v>
      </x:c>
      <x:c r="AA95" t="n">
        <x: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x:f>
        <x:v>356.4473590251376</x:v>
      </x:c>
      <x:c r="AB95" t="n">
        <x:f>Scenario_Data!V95</x:f>
        <x:v>-180</x:v>
      </x:c>
      <x:c r="AC95" t="n">
        <x: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x:f>
        <x:v>559.2121214109366</x:v>
      </x:c>
      <x:c r="AD95" t="n">
        <x:f>Scenario_Data!W95</x:f>
        <x:v>-180</x:v>
      </x:c>
      <x:c r="AE95" t="n">
        <x: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x:f>
        <x:v>495.87663883518746</x:v>
      </x:c>
      <x:c r="AG95" t="n">
        <x:f>Scenario_Data!T95</x:f>
        <x:v>-13.5</x:v>
      </x:c>
      <x:c r="AH95" t="n">
        <x:f>2*(SQRT((Inputs!$C$52+(Scenario_Data!B95))^2+Inputs!$C$52^2-2*(Inputs!$C$52+(Scenario_Data!B95))*Inputs!$C$52*COS(SQRT((Scenario_Data!T95)^2+Inputs!$C$6^2)/Inputs!$C$52))*1000)/Inputs!$C$21*1000000</x:f>
        <x:v>2678.3036592847507</x:v>
      </x:c>
      <x:c r="AI95" t="n">
        <x:f>Scenario_Data!U95</x:f>
        <x:v>-90</x:v>
      </x:c>
      <x:c r="AJ95" t="n">
        <x:f>2*(SQRT((Inputs!$C$52+(Scenario_Data!C95))^2+Inputs!$C$52^2-2*(Inputs!$C$52+(Scenario_Data!C95))*Inputs!$C$52*COS(SQRT((Scenario_Data!U95)^2+Inputs!$C$6^2)/Inputs!$C$52))*1000)/Inputs!$C$21*1000000</x:f>
        <x:v>727.1747453672517</x:v>
      </x:c>
      <x:c r="AK95" t="n">
        <x:f>Scenario_Data!V95</x:f>
        <x:v>-180</x:v>
      </x:c>
      <x:c r="AL95" t="n">
        <x:f>2*(SQRT((Inputs!$C$52+(Scenario_Data!D95))^2+Inputs!$C$52^2-2*(Inputs!$C$52+(Scenario_Data!D95))*Inputs!$C$52*COS(SQRT((Scenario_Data!V95)^2+Inputs!$C$6^2)/Inputs!$C$52))*1000)/Inputs!$C$21*1000000</x:f>
        <x:v>1363.804879466073</x:v>
      </x:c>
      <x:c r="AM95" t="n">
        <x:f>Scenario_Data!W95</x:f>
        <x:v>-180</x:v>
      </x:c>
      <x:c r="AN95" t="n">
        <x:f>2*(SQRT((Inputs!$C$52+(Scenario_Data!E95))^2+Inputs!$C$52^2-2*(Inputs!$C$52+(Scenario_Data!E95))*Inputs!$C$52*COS(SQRT((Scenario_Data!W95)^2+Inputs!$C$6^2)/Inputs!$C$52))*1000)/Inputs!$C$21*1000000</x:f>
        <x:v>1335.7335814317448</x:v>
      </x:c>
      <x:c r="AP95" t="n">
        <x:f>Scenario_Data!T95</x:f>
        <x:v>-13.5</x:v>
      </x:c>
      <x:c r="AQ95" t="n">
        <x: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x:f>
        <x:v>2675.521002594637</x:v>
      </x:c>
      <x:c r="AR95" t="n">
        <x:f>Scenario_Data!U95</x:f>
        <x:v>-90</x:v>
      </x:c>
      <x:c r="AS95" t="n">
        <x: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x:f>
        <x:v>726.8407684316289</x:v>
      </x:c>
      <x:c r="AT95" t="n">
        <x:f>Scenario_Data!V95</x:f>
        <x:v>-180</x:v>
      </x:c>
      <x:c r="AU95" t="n">
        <x: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x:f>
        <x:v>1363.4686402752502</x:v>
      </x:c>
      <x:c r="AV95" t="n">
        <x:f>Scenario_Data!W95</x:f>
        <x:v>-180</x:v>
      </x:c>
      <x:c r="AW95" t="n">
        <x: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x:f>
        <x:v>1335.4348399633955</x:v>
      </x:c>
    </x:row>
    <x:row r="96">
      <x:c r="A96" t="n">
        <x:f>Chart_Data!K96</x:f>
        <x:v>-13</x:v>
      </x:c>
      <x:c r="B96" t="n">
        <x:f>Chart_Data!N96-Chart_Data!L96</x:f>
        <x:v>62.40409195281097</x:v>
      </x:c>
      <x:c r="D96" t="n">
        <x:f>Chart_Data!G96</x:f>
        <x:v>-13</x:v>
      </x:c>
      <x:c r="E96" t="n">
        <x:f>Chart_Data!H96</x:f>
        <x:v>432.8844458249992</x:v>
      </x:c>
      <x:c r="F96" t="n">
        <x:f>Chart_Data!I96</x:f>
        <x:v>432.8844458249992</x:v>
      </x:c>
      <x:c r="G96" t="n">
        <x:f>Chart_Data!J96</x:f>
        <x:v>-64.09243482429542</x:v>
      </x:c>
      <x:c r="I96" t="n">
        <x:f>Scenario_Data!A96</x:f>
        <x:v>-0.217</x:v>
      </x:c>
      <x:c r="J96" t="n">
        <x:f>Scenario_Data!H96-(((SQRT((Inputs!$C$52+(Inputs!$H$6))^2+Inputs!$C$52^2-2*(Inputs!$C$52+(Inputs!$H$6))*Inputs!$C$52*COS(SQRT((Scenario_Data!T96)^2+Inputs!$C$6^2)/Inputs!$C$52)))-(Inputs!$H$6))*1000/Inputs!$C$12)</x:f>
        <x:v>-0.26127610188143535</x:v>
      </x:c>
      <x:c r="K96" t="n">
        <x:f>Scenario_Data!I96-(((SQRT((Inputs!$C$52+(Inputs!$H$7))^2+Inputs!$C$52^2-2*(Inputs!$C$52+(Inputs!$H$7))*Inputs!$C$52*COS(SQRT((Scenario_Data!U96)^2+Inputs!$C$6^2)/Inputs!$C$52)))-(Inputs!$H$7))*1000/Inputs!$C$12)</x:f>
        <x:v>-5268.987544536823</x:v>
      </x:c>
      <x:c r="L96" t="n">
        <x:f>Scenario_Data!J96-(((SQRT((Inputs!$C$52+(Inputs!$H$8))^2+Inputs!$C$52^2-2*(Inputs!$C$52+(Inputs!$H$8))*Inputs!$C$52*COS(SQRT((Scenario_Data!V96)^2+Inputs!$C$6^2)/Inputs!$C$52)))-(Inputs!$H$8))*1000/Inputs!$C$12)</x:f>
        <x:v>-16393.138607990768</x:v>
      </x:c>
      <x:c r="M96" t="n">
        <x:f>Scenario_Data!K96-(((SQRT((Inputs!$C$52+(Inputs!$H$9))^2+Inputs!$C$52^2-2*(Inputs!$C$52+(Inputs!$H$9))*Inputs!$C$52*COS(SQRT((Scenario_Data!W96)^2+Inputs!$C$6^2)/Inputs!$C$52)))-(Inputs!$H$9))*1000/Inputs!$C$12)</x:f>
        <x:v>-17760.80185039583</x:v>
      </x:c>
      <x:c r="O96" t="n">
        <x:f>Scenario_Data!T96</x:f>
        <x:v>-13.019999999999996</x:v>
      </x:c>
      <x:c r="P96" t="n">
        <x:f>2*(Scenario_Data!B96*1000)/Inputs!$C$21*1000000</x:f>
        <x:v>2669.769337559519</x:v>
      </x:c>
      <x:c r="Q96" t="n">
        <x:f>Scenario_Data!U96</x:f>
        <x:v>-86.80000000000001</x:v>
      </x:c>
      <x:c r="R96" t="n">
        <x:f>2*(Scenario_Data!C96*1000)/Inputs!$C$21*1000000</x:f>
        <x:v>348.1574242938427</x:v>
      </x:c>
      <x:c r="S96" t="n">
        <x:f>Scenario_Data!V96</x:f>
        <x:v>-173.60000000000002</x:v>
      </x:c>
      <x:c r="T96" t="n">
        <x:f>2*(Scenario_Data!D96*1000)/Inputs!$C$21*1000000</x:f>
        <x:v>536.6438204392722</x:v>
      </x:c>
      <x:c r="U96" t="n">
        <x:f>Scenario_Data!W96</x:f>
        <x:v>-173.60000000000002</x:v>
      </x:c>
      <x:c r="V96" t="n">
        <x:f>2*(Scenario_Data!E96*1000)/Inputs!$C$21*1000000</x:f>
        <x:v>473.0724413353988</x:v>
      </x:c>
      <x:c r="X96" t="n">
        <x:f>Scenario_Data!T96</x:f>
        <x:v>-13.019999999999996</x:v>
      </x:c>
      <x:c r="Y96" t="n">
        <x: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x:f>
        <x:v>2670.1536854385186</x:v>
      </x:c>
      <x:c r="Z96" t="n">
        <x:f>Scenario_Data!U96</x:f>
        <x:v>-86.80000000000001</x:v>
      </x:c>
      <x:c r="AA96" t="n">
        <x: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x:f>
        <x:v>347.79823047108033</x:v>
      </x:c>
      <x:c r="AB96" t="n">
        <x:f>Scenario_Data!V96</x:f>
        <x:v>-173.60000000000002</x:v>
      </x:c>
      <x:c r="AC96" t="n">
        <x: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x:f>
        <x:v>536.2003689690118</x:v>
      </x:c>
      <x:c r="AD96" t="n">
        <x:f>Scenario_Data!W96</x:f>
        <x:v>-173.60000000000002</x:v>
      </x:c>
      <x:c r="AE96" t="n">
        <x: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x:f>
        <x:v>472.6289898651386</x:v>
      </x:c>
      <x:c r="AG96" t="n">
        <x:f>Scenario_Data!T96</x:f>
        <x:v>-13.019999999999996</x:v>
      </x:c>
      <x:c r="AH96" t="n">
        <x:f>2*(SQRT((Inputs!$C$52+(Scenario_Data!B96))^2+Inputs!$C$52^2-2*(Inputs!$C$52+(Scenario_Data!B96))*Inputs!$C$52*COS(SQRT((Scenario_Data!T96)^2+Inputs!$C$6^2)/Inputs!$C$52))*1000)/Inputs!$C$21*1000000</x:f>
        <x:v>2678.0766529929315</x:v>
      </x:c>
      <x:c r="AI96" t="n">
        <x:f>Scenario_Data!U96</x:f>
        <x:v>-86.80000000000001</x:v>
      </x:c>
      <x:c r="AJ96" t="n">
        <x:f>2*(SQRT((Inputs!$C$52+(Scenario_Data!C96))^2+Inputs!$C$52^2-2*(Inputs!$C$52+(Scenario_Data!C96))*Inputs!$C$52*COS(SQRT((Scenario_Data!U96)^2+Inputs!$C$6^2)/Inputs!$C$52))*1000)/Inputs!$C$21*1000000</x:f>
        <x:v>704.5466168692386</x:v>
      </x:c>
      <x:c r="AK96" t="n">
        <x:f>Scenario_Data!V96</x:f>
        <x:v>-173.60000000000002</x:v>
      </x:c>
      <x:c r="AL96" t="n">
        <x:f>2*(SQRT((Inputs!$C$52+(Scenario_Data!D96))^2+Inputs!$C$52^2-2*(Inputs!$C$52+(Scenario_Data!D96))*Inputs!$C$52*COS(SQRT((Scenario_Data!V96)^2+Inputs!$C$6^2)/Inputs!$C$52))*1000)/Inputs!$C$21*1000000</x:f>
        <x:v>1313.820661862484</x:v>
      </x:c>
      <x:c r="AM96" t="n">
        <x:f>Scenario_Data!W96</x:f>
        <x:v>-173.60000000000002</x:v>
      </x:c>
      <x:c r="AN96" t="n">
        <x:f>2*(SQRT((Inputs!$C$52+(Scenario_Data!E96))^2+Inputs!$C$52^2-2*(Inputs!$C$52+(Scenario_Data!E96))*Inputs!$C$52*COS(SQRT((Scenario_Data!W96)^2+Inputs!$C$6^2)/Inputs!$C$52))*1000)/Inputs!$C$21*1000000</x:f>
        <x:v>1285.9182668026356</x:v>
      </x:c>
      <x:c r="AP96" t="n">
        <x:f>Scenario_Data!T96</x:f>
        <x:v>-13.019999999999996</x:v>
      </x:c>
      <x:c r="AQ96" t="n">
        <x: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x:f>
        <x:v>2675.243509673234</x:v>
      </x:c>
      <x:c r="AR96" t="n">
        <x:f>Scenario_Data!U96</x:f>
        <x:v>-86.80000000000001</x:v>
      </x:c>
      <x:c r="AS96" t="n">
        <x: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x:f>
        <x:v>704.1134347722967</x:v>
      </x:c>
      <x:c r="AT96" t="n">
        <x:f>Scenario_Data!V96</x:f>
        <x:v>-173.60000000000002</x:v>
      </x:c>
      <x:c r="AU96" t="n">
        <x: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x:f>
        <x:v>1313.3523256405263</x:v>
      </x:c>
      <x:c r="AV96" t="n">
        <x:f>Scenario_Data!W96</x:f>
        <x:v>-173.60000000000002</x:v>
      </x:c>
      <x:c r="AW96" t="n">
        <x: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x:f>
        <x:v>1285.5045115158039</x:v>
      </x:c>
    </x:row>
    <x:row r="97">
      <x:c r="A97" t="n">
        <x:f>Chart_Data!K97</x:f>
        <x:v>-12.5</x:v>
      </x:c>
      <x:c r="B97" t="n">
        <x:f>Chart_Data!N97-Chart_Data!L97</x:f>
        <x:v>68.46106537271447</x:v>
      </x:c>
      <x:c r="D97" t="n">
        <x:f>Chart_Data!G97</x:f>
        <x:v>-12.5</x:v>
      </x:c>
      <x:c r="E97" t="n">
        <x:f>Chart_Data!H97</x:f>
        <x:v>448.8683161255995</x:v>
      </x:c>
      <x:c r="F97" t="n">
        <x:f>Chart_Data!I97</x:f>
        <x:v>448.8683161255995</x:v>
      </x:c>
      <x:c r="G97" t="n">
        <x:f>Chart_Data!J97</x:f>
        <x:v>-70.18392228131138</x:v>
      </x:c>
      <x:c r="I97" t="n">
        <x:f>Scenario_Data!A97</x:f>
        <x:v>-0.208</x:v>
      </x:c>
      <x:c r="J97" t="n">
        <x:f>Scenario_Data!H97-(((SQRT((Inputs!$C$52+(Inputs!$H$6))^2+Inputs!$C$52^2-2*(Inputs!$C$52+(Inputs!$H$6))*Inputs!$C$52*COS(SQRT((Scenario_Data!T97)^2+Inputs!$C$6^2)/Inputs!$C$52)))-(Inputs!$H$6))*1000/Inputs!$C$12)</x:f>
        <x:v>-0.23592219111435497</x:v>
      </x:c>
      <x:c r="K97" t="n">
        <x:f>Scenario_Data!I97-(((SQRT((Inputs!$C$52+(Inputs!$H$7))^2+Inputs!$C$52^2-2*(Inputs!$C$52+(Inputs!$H$7))*Inputs!$C$52*COS(SQRT((Scenario_Data!U97)^2+Inputs!$C$6^2)/Inputs!$C$52)))-(Inputs!$H$7))*1000/Inputs!$C$12)</x:f>
        <x:v>-4777.603842826582</x:v>
      </x:c>
      <x:c r="L97" t="n">
        <x:f>Scenario_Data!J97-(((SQRT((Inputs!$C$52+(Inputs!$H$8))^2+Inputs!$C$52^2-2*(Inputs!$C$52+(Inputs!$H$8))*Inputs!$C$52*COS(SQRT((Scenario_Data!V97)^2+Inputs!$C$6^2)/Inputs!$C$52)))-(Inputs!$H$8))*1000/Inputs!$C$12)</x:f>
        <x:v>-15045.242230124342</x:v>
      </x:c>
      <x:c r="M97" t="n">
        <x:f>Scenario_Data!K97-(((SQRT((Inputs!$C$52+(Inputs!$H$9))^2+Inputs!$C$52^2-2*(Inputs!$C$52+(Inputs!$H$9))*Inputs!$C$52*COS(SQRT((Scenario_Data!W97)^2+Inputs!$C$6^2)/Inputs!$C$52)))-(Inputs!$H$9))*1000/Inputs!$C$12)</x:f>
        <x:v>-16351.096914099966</x:v>
      </x:c>
      <x:c r="O97" t="n">
        <x:f>Scenario_Data!T97</x:f>
        <x:v>-12.479999999999997</x:v>
      </x:c>
      <x:c r="P97" t="n">
        <x:f>2*(Scenario_Data!B97*1000)/Inputs!$C$21*1000000</x:f>
        <x:v>2669.6672669463883</x:v>
      </x:c>
      <x:c r="Q97" t="n">
        <x:f>Scenario_Data!U97</x:f>
        <x:v>-83.19999999999999</x:v>
      </x:c>
      <x:c r="R97" t="n">
        <x:f>2*(Scenario_Data!C97*1000)/Inputs!$C$21*1000000</x:f>
        <x:v>338.8434808456722</x:v>
      </x:c>
      <x:c r="S97" t="n">
        <x:f>Scenario_Data!V97</x:f>
        <x:v>-166.39999999999998</x:v>
      </x:c>
      <x:c r="T97" t="n">
        <x:f>2*(Scenario_Data!D97*1000)/Inputs!$C$21*1000000</x:f>
        <x:v>512.0192850215063</x:v>
      </x:c>
      <x:c r="U97" t="n">
        <x:f>Scenario_Data!W97</x:f>
        <x:v>-166.39999999999998</x:v>
      </x:c>
      <x:c r="V97" t="n">
        <x:f>2*(Scenario_Data!E97*1000)/Inputs!$C$21*1000000</x:f>
        <x:v>448.1927293848065</x:v>
      </x:c>
      <x:c r="X97" t="n">
        <x:f>Scenario_Data!T97</x:f>
        <x:v>-12.479999999999997</x:v>
      </x:c>
      <x:c r="Y97" t="n">
        <x: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x:f>
        <x:v>2670.140214189564</x:v>
      </x:c>
      <x:c r="Z97" t="n">
        <x:f>Scenario_Data!U97</x:f>
        <x:v>-83.19999999999999</x:v>
      </x:c>
      <x:c r="AA97" t="n">
        <x: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x:f>
        <x:v>338.4523662185665</x:v>
      </x:c>
      <x:c r="AB97" t="n">
        <x:f>Scenario_Data!V97</x:f>
        <x:v>-166.39999999999998</x:v>
      </x:c>
      <x:c r="AC97" t="n">
        <x: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x:f>
        <x:v>512.3169245672518</x:v>
      </x:c>
      <x:c r="AD97" t="n">
        <x:f>Scenario_Data!W97</x:f>
        <x:v>-166.39999999999998</x:v>
      </x:c>
      <x:c r="AE97" t="n">
        <x: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x:f>
        <x:v>448.49036893055205</x:v>
      </x:c>
      <x:c r="AG97" t="n">
        <x:f>Scenario_Data!T97</x:f>
        <x:v>-12.479999999999997</x:v>
      </x:c>
      <x:c r="AH97" t="n">
        <x:f>2*(SQRT((Inputs!$C$52+(Scenario_Data!B97))^2+Inputs!$C$52^2-2*(Inputs!$C$52+(Scenario_Data!B97))*Inputs!$C$52*COS(SQRT((Scenario_Data!T97)^2+Inputs!$C$6^2)/Inputs!$C$52))*1000)/Inputs!$C$21*1000000</x:f>
        <x:v>2677.8310774067595</x:v>
      </x:c>
      <x:c r="AI97" t="n">
        <x:f>Scenario_Data!U97</x:f>
        <x:v>-83.19999999999999</x:v>
      </x:c>
      <x:c r="AJ97" t="n">
        <x:f>2*(SQRT((Inputs!$C$52+(Scenario_Data!C97))^2+Inputs!$C$52^2-2*(Inputs!$C$52+(Scenario_Data!C97))*Inputs!$C$52*COS(SQRT((Scenario_Data!U97)^2+Inputs!$C$6^2)/Inputs!$C$52))*1000)/Inputs!$C$21*1000000</x:f>
        <x:v>679.3773518856626</x:v>
      </x:c>
      <x:c r="AK97" t="n">
        <x:f>Scenario_Data!V97</x:f>
        <x:v>-166.39999999999998</x:v>
      </x:c>
      <x:c r="AL97" t="n">
        <x:f>2*(SQRT((Inputs!$C$52+(Scenario_Data!D97))^2+Inputs!$C$52^2-2*(Inputs!$C$52+(Scenario_Data!D97))*Inputs!$C$52*COS(SQRT((Scenario_Data!V97)^2+Inputs!$C$6^2)/Inputs!$C$52))*1000)/Inputs!$C$21*1000000</x:f>
        <x:v>1258.1693986938863</x:v>
      </x:c>
      <x:c r="AM97" t="n">
        <x:f>Scenario_Data!W97</x:f>
        <x:v>-166.39999999999998</x:v>
      </x:c>
      <x:c r="AN97" t="n">
        <x:f>2*(SQRT((Inputs!$C$52+(Scenario_Data!E97))^2+Inputs!$C$52^2-2*(Inputs!$C$52+(Scenario_Data!E97))*Inputs!$C$52*COS(SQRT((Scenario_Data!W97)^2+Inputs!$C$6^2)/Inputs!$C$52))*1000)/Inputs!$C$21*1000000</x:f>
        <x:v>1230.4415066288307</x:v>
      </x:c>
      <x:c r="AP97" t="n">
        <x:f>Scenario_Data!T97</x:f>
        <x:v>-12.479999999999997</x:v>
      </x:c>
      <x:c r="AQ97" t="n">
        <x: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x:f>
        <x:v>2674.8308245474545</x:v>
      </x:c>
      <x:c r="AR97" t="n">
        <x:f>Scenario_Data!U97</x:f>
        <x:v>-83.19999999999999</x:v>
      </x:c>
      <x:c r="AS97" t="n">
        <x: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x:f>
        <x:v>678.7707236721552</x:v>
      </x:c>
      <x:c r="AT97" t="n">
        <x:f>Scenario_Data!V97</x:f>
        <x:v>-166.39999999999998</x:v>
      </x:c>
      <x:c r="AU97" t="n">
        <x: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x:f>
        <x:v>1257.9527051449093</x:v>
      </x:c>
      <x:c r="AV97" t="n">
        <x:f>Scenario_Data!W97</x:f>
        <x:v>-166.39999999999998</x:v>
      </x:c>
      <x:c r="AW97" t="n">
        <x: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x:f>
        <x:v>1230.251296014278</x:v>
      </x:c>
    </x:row>
    <x:row r="98">
      <x:c r="A98" t="n">
        <x:f>Chart_Data!K98</x:f>
        <x:v>-12</x:v>
      </x:c>
      <x:c r="B98" t="n">
        <x:f>Chart_Data!N98-Chart_Data!L98</x:f>
        <x:v>45.90303877391159</x:v>
      </x:c>
      <x:c r="D98" t="n">
        <x:f>Chart_Data!G98</x:f>
        <x:v>-12</x:v>
      </x:c>
      <x:c r="E98" t="n">
        <x:f>Chart_Data!H98</x:f>
        <x:v>437.9918993099811</x:v>
      </x:c>
      <x:c r="F98" t="n">
        <x:f>Chart_Data!I98</x:f>
        <x:v>437.9918993099811</x:v>
      </x:c>
      <x:c r="G98" t="n">
        <x:f>Chart_Data!J98</x:f>
        <x:v>-47.55794552962975</x:v>
      </x:c>
      <x:c r="I98" t="n">
        <x:f>Scenario_Data!A98</x:f>
        <x:v>-0.2</x:v>
      </x:c>
      <x:c r="J98" t="n">
        <x:f>Scenario_Data!H98-(((SQRT((Inputs!$C$52+(Inputs!$H$6))^2+Inputs!$C$52^2-2*(Inputs!$C$52+(Inputs!$H$6))*Inputs!$C$52*COS(SQRT((Scenario_Data!T98)^2+Inputs!$C$6^2)/Inputs!$C$52)))-(Inputs!$H$6))*1000/Inputs!$C$12)</x:f>
        <x:v>-0.21486365220766857</x:v>
      </x:c>
      <x:c r="K98" t="n">
        <x:f>Scenario_Data!I98-(((SQRT((Inputs!$C$52+(Inputs!$H$7))^2+Inputs!$C$52^2-2*(Inputs!$C$52+(Inputs!$H$7))*Inputs!$C$52*COS(SQRT((Scenario_Data!U98)^2+Inputs!$C$6^2)/Inputs!$C$52)))-(Inputs!$H$7))*1000/Inputs!$C$12)</x:f>
        <x:v>-4359.990199988479</x:v>
      </x:c>
      <x:c r="L98" t="n">
        <x:f>Scenario_Data!J98-(((SQRT((Inputs!$C$52+(Inputs!$H$8))^2+Inputs!$C$52^2-2*(Inputs!$C$52+(Inputs!$H$8))*Inputs!$C$52*COS(SQRT((Scenario_Data!V98)^2+Inputs!$C$6^2)/Inputs!$C$52)))-(Inputs!$H$8))*1000/Inputs!$C$12)</x:f>
        <x:v>-13886.103797269352</x:v>
      </x:c>
      <x:c r="M98" t="n">
        <x:f>Scenario_Data!K98-(((SQRT((Inputs!$C$52+(Inputs!$H$9))^2+Inputs!$C$52^2-2*(Inputs!$C$52+(Inputs!$H$9))*Inputs!$C$52*COS(SQRT((Scenario_Data!W98)^2+Inputs!$C$6^2)/Inputs!$C$52)))-(Inputs!$H$9))*1000/Inputs!$C$12)</x:f>
        <x:v>-15136.55814203358</x:v>
      </x:c>
      <x:c r="O98" t="n">
        <x:f>Scenario_Data!T98</x:f>
        <x:v>-12</x:v>
      </x:c>
      <x:c r="P98" t="n">
        <x:f>2*(Scenario_Data!B98*1000)/Inputs!$C$21*1000000</x:f>
        <x:v>2669.5801666898506</x:v>
      </x:c>
      <x:c r="Q98" t="n">
        <x:f>Scenario_Data!U98</x:f>
        <x:v>-80</x:v>
      </x:c>
      <x:c r="R98" t="n">
        <x:f>2*(Scenario_Data!C98*1000)/Inputs!$C$21*1000000</x:f>
        <x:v>330.8955824365668</x:v>
      </x:c>
      <x:c r="S98" t="n">
        <x:f>Scenario_Data!V98</x:f>
        <x:v>-160</x:v>
      </x:c>
      <x:c r="T98" t="n">
        <x:f>2*(Scenario_Data!D98*1000)/Inputs!$C$21*1000000</x:f>
        <x:v>491.00634813167994</x:v>
      </x:c>
      <x:c r="U98" t="n">
        <x:f>Scenario_Data!W98</x:f>
        <x:v>-160</x:v>
      </x:c>
      <x:c r="V98" t="n">
        <x:f>2*(Scenario_Data!E98*1000)/Inputs!$C$21*1000000</x:f>
        <x:v>426.9620418536346</x:v>
      </x:c>
      <x:c r="X98" t="n">
        <x:f>Scenario_Data!T98</x:f>
        <x:v>-12</x:v>
      </x:c>
      <x:c r="Y98" t="n">
        <x: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x:f>
        <x:v>2669.897439151252</x:v>
      </x:c>
      <x:c r="Z98" t="n">
        <x:f>Scenario_Data!U98</x:f>
        <x:v>-80</x:v>
      </x:c>
      <x:c r="AA98" t="n">
        <x: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x:f>
        <x:v>330.8155353836898</x:v>
      </x:c>
      <x:c r="AB98" t="n">
        <x:f>Scenario_Data!V98</x:f>
        <x:v>-160</x:v>
      </x:c>
      <x:c r="AC98" t="n">
        <x: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x:f>
        <x:v>490.8644375961172</x:v>
      </x:c>
      <x:c r="AD98" t="n">
        <x:f>Scenario_Data!W98</x:f>
        <x:v>-160</x:v>
      </x:c>
      <x:c r="AE98" t="n">
        <x: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x:f>
        <x:v>426.82013131807196</x:v>
      </x:c>
      <x:c r="AG98" t="n">
        <x:f>Scenario_Data!T98</x:f>
        <x:v>-12</x:v>
      </x:c>
      <x:c r="AH98" t="n">
        <x:f>2*(SQRT((Inputs!$C$52+(Scenario_Data!B98))^2+Inputs!$C$52^2-2*(Inputs!$C$52+(Scenario_Data!B98))*Inputs!$C$52*COS(SQRT((Scenario_Data!T98)^2+Inputs!$C$6^2)/Inputs!$C$52))*1000)/Inputs!$C$21*1000000</x:f>
        <x:v>2677.621506506962</x:v>
      </x:c>
      <x:c r="AI98" t="n">
        <x:f>Scenario_Data!U98</x:f>
        <x:v>-80</x:v>
      </x:c>
      <x:c r="AJ98" t="n">
        <x:f>2*(SQRT((Inputs!$C$52+(Scenario_Data!C98))^2+Inputs!$C$52^2-2*(Inputs!$C$52+(Scenario_Data!C98))*Inputs!$C$52*COS(SQRT((Scenario_Data!U98)^2+Inputs!$C$6^2)/Inputs!$C$52))*1000)/Inputs!$C$21*1000000</x:f>
        <x:v>657.2706885164247</x:v>
      </x:c>
      <x:c r="AK98" t="n">
        <x:f>Scenario_Data!V98</x:f>
        <x:v>-160</x:v>
      </x:c>
      <x:c r="AL98" t="n">
        <x:f>2*(SQRT((Inputs!$C$52+(Scenario_Data!D98))^2+Inputs!$C$52^2-2*(Inputs!$C$52+(Scenario_Data!D98))*Inputs!$C$52*COS(SQRT((Scenario_Data!V98)^2+Inputs!$C$6^2)/Inputs!$C$52))*1000)/Inputs!$C$21*1000000</x:f>
        <x:v>1209.2143519498034</x:v>
      </x:c>
      <x:c r="AM98" t="n">
        <x:f>Scenario_Data!W98</x:f>
        <x:v>-160</x:v>
      </x:c>
      <x:c r="AN98" t="n">
        <x:f>2*(SQRT((Inputs!$C$52+(Scenario_Data!E98))^2+Inputs!$C$52^2-2*(Inputs!$C$52+(Scenario_Data!E98))*Inputs!$C$52*COS(SQRT((Scenario_Data!W98)^2+Inputs!$C$6^2)/Inputs!$C$52))*1000)/Inputs!$C$21*1000000</x:f>
        <x:v>1181.6244054437507</x:v>
      </x:c>
      <x:c r="AP98" t="n">
        <x:f>Scenario_Data!T98</x:f>
        <x:v>-12</x:v>
      </x:c>
      <x:c r="AQ98" t="n">
        <x: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x:f>
        <x:v>2674.7105794245053</x:v>
      </x:c>
      <x:c r="AR98" t="n">
        <x:f>Scenario_Data!U98</x:f>
        <x:v>-80</x:v>
      </x:c>
      <x:c r="AS98" t="n">
        <x: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x:f>
        <x:v>656.7701971330839</x:v>
      </x:c>
      <x:c r="AT98" t="n">
        <x:f>Scenario_Data!V98</x:f>
        <x:v>-160</x:v>
      </x:c>
      <x:c r="AU98" t="n">
        <x: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x:f>
        <x:v>1208.883796960501</x:v>
      </x:c>
      <x:c r="AV98" t="n">
        <x:f>Scenario_Data!W98</x:f>
        <x:v>-160</x:v>
      </x:c>
      <x:c r="AW98" t="n">
        <x: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x:f>
        <x:v>1181.3360267787766</x:v>
      </x:c>
    </x:row>
    <x:row r="99">
      <x:c r="A99" t="n">
        <x:f>Chart_Data!K99</x:f>
        <x:v>-11.5</x:v>
      </x:c>
      <x:c r="B99" t="n">
        <x:f>Chart_Data!N99-Chart_Data!L99</x:f>
        <x:v>46.360067612850344</x:v>
      </x:c>
      <x:c r="D99" t="n">
        <x:f>Chart_Data!G99</x:f>
        <x:v>-11.5</x:v>
      </x:c>
      <x:c r="E99" t="n">
        <x:f>Chart_Data!H99</x:f>
        <x:v>458.910891472728</x:v>
      </x:c>
      <x:c r="F99" t="n">
        <x:f>Chart_Data!I99</x:f>
        <x:v>458.910891472728</x:v>
      </x:c>
      <x:c r="G99" t="n">
        <x:f>Chart_Data!J99</x:f>
        <x:v>-48.06780811544866</x:v>
      </x:c>
      <x:c r="I99" t="n">
        <x:f>Scenario_Data!A99</x:f>
        <x:v>-0.192</x:v>
      </x:c>
      <x:c r="J99" t="n">
        <x:f>Scenario_Data!H99-(((SQRT((Inputs!$C$52+(Inputs!$H$6))^2+Inputs!$C$52^2-2*(Inputs!$C$52+(Inputs!$H$6))*Inputs!$C$52*COS(SQRT((Scenario_Data!T99)^2+Inputs!$C$6^2)/Inputs!$C$52)))-(Inputs!$H$6))*1000/Inputs!$C$12)</x:f>
        <x:v>-0.1951314257202057</x:v>
      </x:c>
      <x:c r="K99" t="n">
        <x:f>Scenario_Data!I99-(((SQRT((Inputs!$C$52+(Inputs!$H$7))^2+Inputs!$C$52^2-2*(Inputs!$C$52+(Inputs!$H$7))*Inputs!$C$52*COS(SQRT((Scenario_Data!U99)^2+Inputs!$C$6^2)/Inputs!$C$52)))-(Inputs!$H$7))*1000/Inputs!$C$12)</x:f>
        <x:v>-3960.742176330219</x:v>
      </x:c>
      <x:c r="L99" t="n">
        <x:f>Scenario_Data!J99-(((SQRT((Inputs!$C$52+(Inputs!$H$8))^2+Inputs!$C$52^2-2*(Inputs!$C$52+(Inputs!$H$8))*Inputs!$C$52*COS(SQRT((Scenario_Data!V99)^2+Inputs!$C$6^2)/Inputs!$C$52)))-(Inputs!$H$8))*1000/Inputs!$C$12)</x:f>
        <x:v>-12764.866565310112</x:v>
      </x:c>
      <x:c r="M99" t="n">
        <x:f>Scenario_Data!K99-(((SQRT((Inputs!$C$52+(Inputs!$H$9))^2+Inputs!$C$52^2-2*(Inputs!$C$52+(Inputs!$H$9))*Inputs!$C$52*COS(SQRT((Scenario_Data!W99)^2+Inputs!$C$6^2)/Inputs!$C$52)))-(Inputs!$H$9))*1000/Inputs!$C$12)</x:f>
        <x:v>-13959.5036406426</x:v>
      </x:c>
      <x:c r="O99" t="n">
        <x:f>Scenario_Data!T99</x:f>
        <x:v>-11.519999999999996</x:v>
      </x:c>
      <x:c r="P99" t="n">
        <x:f>2*(Scenario_Data!B99*1000)/Inputs!$C$21*1000000</x:f>
        <x:v>2669.496482129647</x:v>
      </x:c>
      <x:c r="Q99" t="n">
        <x:f>Scenario_Data!U99</x:f>
        <x:v>-76.79999999999995</x:v>
      </x:c>
      <x:c r="R99" t="n">
        <x:f>2*(Scenario_Data!C99*1000)/Inputs!$C$21*1000000</x:f>
        <x:v>323.2593663180145</x:v>
      </x:c>
      <x:c r="S99" t="n">
        <x:f>Scenario_Data!V99</x:f>
        <x:v>-153.5999999999999</x:v>
      </x:c>
      <x:c r="T99" t="n">
        <x:f>2*(Scenario_Data!D99*1000)/Inputs!$C$21*1000000</x:f>
        <x:v>470.8174479826305</x:v>
      </x:c>
      <x:c r="U99" t="n">
        <x:f>Scenario_Data!W99</x:f>
        <x:v>-153.5999999999999</x:v>
      </x:c>
      <x:c r="V99" t="n">
        <x:f>2*(Scenario_Data!E99*1000)/Inputs!$C$21*1000000</x:f>
        <x:v>406.563930304077</x:v>
      </x:c>
      <x:c r="X99" t="n">
        <x:f>Scenario_Data!T99</x:f>
        <x:v>-11.519999999999996</x:v>
      </x:c>
      <x:c r="Y99" t="n">
        <x: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x:f>
        <x:v>2669.751857556238</x:v>
      </x:c>
      <x:c r="Z99" t="n">
        <x:f>Scenario_Data!U99</x:f>
        <x:v>-76.79999999999995</x:v>
      </x:c>
      <x:c r="AA99" t="n">
        <x: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x:f>
        <x:v>323.3793377034027</x:v>
      </x:c>
      <x:c r="AB99" t="n">
        <x:f>Scenario_Data!V99</x:f>
        <x:v>-153.5999999999999</x:v>
      </x:c>
      <x:c r="AC99" t="n">
        <x: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x:f>
        <x:v>470.8262366207247</x:v>
      </x:c>
      <x:c r="AD99" t="n">
        <x:f>Scenario_Data!W99</x:f>
        <x:v>-153.5999999999999</x:v>
      </x:c>
      <x:c r="AE99" t="n">
        <x: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x:f>
        <x:v>406.5727189421713</x:v>
      </x:c>
      <x:c r="AG99" t="n">
        <x:f>Scenario_Data!T99</x:f>
        <x:v>-11.519999999999996</x:v>
      </x:c>
      <x:c r="AH99" t="n">
        <x:f>2*(SQRT((Inputs!$C$52+(Scenario_Data!B99))^2+Inputs!$C$52^2-2*(Inputs!$C$52+(Scenario_Data!B99))*Inputs!$C$52*COS(SQRT((Scenario_Data!T99)^2+Inputs!$C$6^2)/Inputs!$C$52))*1000)/Inputs!$C$21*1000000</x:f>
        <x:v>2677.4201427373237</x:v>
      </x:c>
      <x:c r="AI99" t="n">
        <x:f>Scenario_Data!U99</x:f>
        <x:v>-76.79999999999995</x:v>
      </x:c>
      <x:c r="AJ99" t="n">
        <x:f>2*(SQRT((Inputs!$C$52+(Scenario_Data!C99))^2+Inputs!$C$52^2-2*(Inputs!$C$52+(Scenario_Data!C99))*Inputs!$C$52*COS(SQRT((Scenario_Data!U99)^2+Inputs!$C$6^2)/Inputs!$C$52))*1000)/Inputs!$C$21*1000000</x:f>
        <x:v>635.426085871894</x:v>
      </x:c>
      <x:c r="AK99" t="n">
        <x:f>Scenario_Data!V99</x:f>
        <x:v>-153.5999999999999</x:v>
      </x:c>
      <x:c r="AL99" t="n">
        <x:f>2*(SQRT((Inputs!$C$52+(Scenario_Data!D99))^2+Inputs!$C$52^2-2*(Inputs!$C$52+(Scenario_Data!D99))*Inputs!$C$52*COS(SQRT((Scenario_Data!V99)^2+Inputs!$C$6^2)/Inputs!$C$52))*1000)/Inputs!$C$21*1000000</x:f>
        <x:v>1160.7398106982935</x:v>
      </x:c>
      <x:c r="AM99" t="n">
        <x:f>Scenario_Data!W99</x:f>
        <x:v>-153.5999999999999</x:v>
      </x:c>
      <x:c r="AN99" t="n">
        <x:f>2*(SQRT((Inputs!$C$52+(Scenario_Data!E99))^2+Inputs!$C$52^2-2*(Inputs!$C$52+(Scenario_Data!E99))*Inputs!$C$52*COS(SQRT((Scenario_Data!W99)^2+Inputs!$C$6^2)/Inputs!$C$52))*1000)/Inputs!$C$21*1000000</x:f>
        <x:v>1133.2680310356866</x:v>
      </x:c>
      <x:c r="AP99" t="n">
        <x:f>Scenario_Data!T99</x:f>
        <x:v>-11.519999999999996</x:v>
      </x:c>
      <x:c r="AQ99" t="n">
        <x: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x:f>
        <x:v>2674.359012410629</x:v>
      </x:c>
      <x:c r="AR99" t="n">
        <x:f>Scenario_Data!U99</x:f>
        <x:v>-76.79999999999995</x:v>
      </x:c>
      <x:c r="AS99" t="n">
        <x: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x:f>
        <x:v>635.1547992334081</x:v>
      </x:c>
      <x:c r="AT99" t="n">
        <x:f>Scenario_Data!V99</x:f>
        <x:v>-153.5999999999999</x:v>
      </x:c>
      <x:c r="AU99" t="n">
        <x: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x:f>
        <x:v>1160.3541102258998</x:v>
      </x:c>
      <x:c r="AV99" t="n">
        <x:f>Scenario_Data!W99</x:f>
        <x:v>-153.5999999999999</x:v>
      </x:c>
      <x:c r="AW99" t="n">
        <x: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x:f>
        <x:v>1132.9336684812708</x:v>
      </x:c>
    </x:row>
    <x:row r="100">
      <x:c r="A100" t="n">
        <x:f>Chart_Data!K100</x:f>
        <x:v>-11</x:v>
      </x:c>
      <x:c r="B100" t="n">
        <x:f>Chart_Data!N100-Chart_Data!L100</x:f>
        <x:v>41.59395285740959</x:v>
      </x:c>
      <x:c r="D100" t="n">
        <x:f>Chart_Data!G100</x:f>
        <x:v>-11</x:v>
      </x:c>
      <x:c r="E100" t="n">
        <x:f>Chart_Data!H100</x:f>
        <x:v>462.5412492822977</x:v>
      </x:c>
      <x:c r="F100" t="n">
        <x:f>Chart_Data!I100</x:f>
        <x:v>462.5412492822977</x:v>
      </x:c>
      <x:c r="G100" t="n">
        <x:f>Chart_Data!J100</x:f>
        <x:v>-43.28983557333215</x:v>
      </x:c>
      <x:c r="I100" t="n">
        <x:f>Scenario_Data!A100</x:f>
        <x:v>-0.183</x:v>
      </x:c>
      <x:c r="J100" t="n">
        <x:f>Scenario_Data!H100-(((SQRT((Inputs!$C$52+(Inputs!$H$6))^2+Inputs!$C$52^2-2*(Inputs!$C$52+(Inputs!$H$6))*Inputs!$C$52*COS(SQRT((Scenario_Data!T100)^2+Inputs!$C$6^2)/Inputs!$C$52)))-(Inputs!$H$6))*1000/Inputs!$C$12)</x:f>
        <x:v>-0.17444351947665382</x:v>
      </x:c>
      <x:c r="K100" t="n">
        <x:f>Scenario_Data!I100-(((SQRT((Inputs!$C$52+(Inputs!$H$7))^2+Inputs!$C$52^2-2*(Inputs!$C$52+(Inputs!$H$7))*Inputs!$C$52*COS(SQRT((Scenario_Data!U100)^2+Inputs!$C$6^2)/Inputs!$C$52)))-(Inputs!$H$7))*1000/Inputs!$C$12)</x:f>
        <x:v>-3533.9191182778195</x:v>
      </x:c>
      <x:c r="L100" t="n">
        <x:f>Scenario_Data!J100-(((SQRT((Inputs!$C$52+(Inputs!$H$8))^2+Inputs!$C$52^2-2*(Inputs!$C$52+(Inputs!$H$8))*Inputs!$C$52*COS(SQRT((Scenario_Data!V100)^2+Inputs!$C$6^2)/Inputs!$C$52)))-(Inputs!$H$8))*1000/Inputs!$C$12)</x:f>
        <x:v>-11550.242027722496</x:v>
      </x:c>
      <x:c r="M100" t="n">
        <x:f>Scenario_Data!K100-(((SQRT((Inputs!$C$52+(Inputs!$H$9))^2+Inputs!$C$52^2-2*(Inputs!$C$52+(Inputs!$H$9))*Inputs!$C$52*COS(SQRT((Scenario_Data!W100)^2+Inputs!$C$6^2)/Inputs!$C$52)))-(Inputs!$H$9))*1000/Inputs!$C$12)</x:f>
        <x:v>-12681.604714695779</x:v>
      </x:c>
      <x:c r="O100" t="n">
        <x:f>Scenario_Data!T100</x:f>
        <x:v>-10.980000000000004</x:v>
      </x:c>
      <x:c r="P100" t="n">
        <x:f>2*(Scenario_Data!B100*1000)/Inputs!$C$21*1000000</x:f>
        <x:v>2669.406419823944</x:v>
      </x:c>
      <x:c r="Q100" t="n">
        <x:f>Scenario_Data!U100</x:f>
        <x:v>-73.20000000000005</x:v>
      </x:c>
      <x:c r="R100" t="n">
        <x:f>2*(Scenario_Data!C100*1000)/Inputs!$C$21*1000000</x:f>
        <x:v>315.04118092257016</x:v>
      </x:c>
      <x:c r="S100" t="n">
        <x:f>Scenario_Data!V100</x:f>
        <x:v>-146.4000000000001</x:v>
      </x:c>
      <x:c r="T100" t="n">
        <x:f>2*(Scenario_Data!D100*1000)/Inputs!$C$21*1000000</x:f>
        <x:v>449.08991673166133</x:v>
      </x:c>
      <x:c r="U100" t="n">
        <x:f>Scenario_Data!W100</x:f>
        <x:v>-146.4000000000001</x:v>
      </x:c>
      <x:c r="V100" t="n">
        <x:f>2*(Scenario_Data!E100*1000)/Inputs!$C$21*1000000</x:f>
        <x:v>384.6112432888491</x:v>
      </x:c>
      <x:c r="X100" t="n">
        <x:f>Scenario_Data!T100</x:f>
        <x:v>-10.980000000000004</x:v>
      </x:c>
      <x:c r="Y100" t="n">
        <x: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x:f>
        <x:v>2669.6399802909527</x:v>
      </x:c>
      <x:c r="Z100" t="n">
        <x:f>Scenario_Data!U100</x:f>
        <x:v>-73.20000000000005</x:v>
      </x:c>
      <x:c r="AA100" t="n">
        <x: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x:f>
        <x:v>314.94112454596194</x:v>
      </x:c>
      <x:c r="AB100" t="n">
        <x:f>Scenario_Data!V100</x:f>
        <x:v>-146.4000000000001</x:v>
      </x:c>
      <x:c r="AC100" t="n">
        <x: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x:f>
        <x:v>449.3851411697194</x:v>
      </x:c>
      <x:c r="AD100" t="n">
        <x:f>Scenario_Data!W100</x:f>
        <x:v>-146.4000000000001</x:v>
      </x:c>
      <x:c r="AE100" t="n">
        <x: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x:f>
        <x:v>384.90646772690724</x:v>
      </x:c>
      <x:c r="AG100" t="n">
        <x:f>Scenario_Data!T100</x:f>
        <x:v>-10.980000000000004</x:v>
      </x:c>
      <x:c r="AH100" t="n">
        <x:f>2*(SQRT((Inputs!$C$52+(Scenario_Data!B100))^2+Inputs!$C$52^2-2*(Inputs!$C$52+(Scenario_Data!B100))*Inputs!$C$52*COS(SQRT((Scenario_Data!T100)^2+Inputs!$C$6^2)/Inputs!$C$52))*1000)/Inputs!$C$21*1000000</x:f>
        <x:v>2677.2034202705154</x:v>
      </x:c>
      <x:c r="AI100" t="n">
        <x:f>Scenario_Data!U100</x:f>
        <x:v>-73.20000000000005</x:v>
      </x:c>
      <x:c r="AJ100" t="n">
        <x:f>2*(SQRT((Inputs!$C$52+(Scenario_Data!C100))^2+Inputs!$C$52^2-2*(Inputs!$C$52+(Scenario_Data!C100))*Inputs!$C$52*COS(SQRT((Scenario_Data!U100)^2+Inputs!$C$6^2)/Inputs!$C$52))*1000)/Inputs!$C$21*1000000</x:f>
        <x:v>611.1806207136659</x:v>
      </x:c>
      <x:c r="AK100" t="n">
        <x:f>Scenario_Data!V100</x:f>
        <x:v>-146.4000000000001</x:v>
      </x:c>
      <x:c r="AL100" t="n">
        <x:f>2*(SQRT((Inputs!$C$52+(Scenario_Data!D100))^2+Inputs!$C$52^2-2*(Inputs!$C$52+(Scenario_Data!D100))*Inputs!$C$52*COS(SQRT((Scenario_Data!V100)^2+Inputs!$C$6^2)/Inputs!$C$52))*1000)/Inputs!$C$21*1000000</x:f>
        <x:v>1106.77995128393</x:v>
      </x:c>
      <x:c r="AM100" t="n">
        <x:f>Scenario_Data!W100</x:f>
        <x:v>-146.4000000000001</x:v>
      </x:c>
      <x:c r="AN100" t="n">
        <x:f>2*(SQRT((Inputs!$C$52+(Scenario_Data!E100))^2+Inputs!$C$52^2-2*(Inputs!$C$52+(Scenario_Data!E100))*Inputs!$C$52*COS(SQRT((Scenario_Data!W100)^2+Inputs!$C$6^2)/Inputs!$C$52))*1000)/Inputs!$C$21*1000000</x:f>
        <x:v>1079.4124988914414</x:v>
      </x:c>
      <x:c r="AP100" t="n">
        <x:f>Scenario_Data!T100</x:f>
        <x:v>-10.980000000000004</x:v>
      </x:c>
      <x:c r="AQ100" t="n">
        <x: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x:f>
        <x:v>2674.190016568398</x:v>
      </x:c>
      <x:c r="AR100" t="n">
        <x:f>Scenario_Data!U100</x:f>
        <x:v>-73.20000000000005</x:v>
      </x:c>
      <x:c r="AS100" t="n">
        <x: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x:f>
        <x:v>610.8510113002076</x:v>
      </x:c>
      <x:c r="AT100" t="n">
        <x:f>Scenario_Data!V100</x:f>
        <x:v>-146.4000000000001</x:v>
      </x:c>
      <x:c r="AU100" t="n">
        <x: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x:f>
        <x:v>1106.563522654145</x:v>
      </x:c>
      <x:c r="AV100" t="n">
        <x:f>Scenario_Data!W100</x:f>
        <x:v>-146.4000000000001</x:v>
      </x:c>
      <x:c r="AW100" t="n">
        <x: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x:f>
        <x:v>1079.2262262421423</x:v>
      </x:c>
    </x:row>
    <x:row r="101">
      <x:c r="A101" t="n">
        <x:f>Chart_Data!K101</x:f>
        <x:v>-10.5</x:v>
      </x:c>
      <x:c r="B101" t="n">
        <x:f>Chart_Data!N101-Chart_Data!L101</x:f>
        <x:v>50.39733683997741</x:v>
      </x:c>
      <x:c r="D101" t="n">
        <x:f>Chart_Data!G101</x:f>
        <x:v>-10.5</x:v>
      </x:c>
      <x:c r="E101" t="n">
        <x:f>Chart_Data!H101</x:f>
        <x:v>470.10163194835394</x:v>
      </x:c>
      <x:c r="F101" t="n">
        <x:f>Chart_Data!I101</x:f>
        <x:v>470.10163194835394</x:v>
      </x:c>
      <x:c r="G101" t="n">
        <x:f>Chart_Data!J101</x:f>
        <x:v>-52.09631463655199</x:v>
      </x:c>
      <x:c r="I101" t="n">
        <x:f>Scenario_Data!A101</x:f>
        <x:v>-0.175</x:v>
      </x:c>
      <x:c r="J101" t="n">
        <x:f>Scenario_Data!H101-(((SQRT((Inputs!$C$52+(Inputs!$H$6))^2+Inputs!$C$52^2-2*(Inputs!$C$52+(Inputs!$H$6))*Inputs!$C$52*COS(SQRT((Scenario_Data!T101)^2+Inputs!$C$6^2)/Inputs!$C$52)))-(Inputs!$H$6))*1000/Inputs!$C$12)</x:f>
        <x:v>-0.15733377440119511</x:v>
      </x:c>
      <x:c r="K101" t="n">
        <x:f>Scenario_Data!I101-(((SQRT((Inputs!$C$52+(Inputs!$H$7))^2+Inputs!$C$52^2-2*(Inputs!$C$52+(Inputs!$H$7))*Inputs!$C$52*COS(SQRT((Scenario_Data!U101)^2+Inputs!$C$6^2)/Inputs!$C$52)))-(Inputs!$H$7))*1000/Inputs!$C$12)</x:f>
        <x:v>-3174.698779983293</x:v>
      </x:c>
      <x:c r="L101" t="n">
        <x:f>Scenario_Data!J101-(((SQRT((Inputs!$C$52+(Inputs!$H$8))^2+Inputs!$C$52^2-2*(Inputs!$C$52+(Inputs!$H$8))*Inputs!$C$52*COS(SQRT((Scenario_Data!V101)^2+Inputs!$C$6^2)/Inputs!$C$52)))-(Inputs!$H$8))*1000/Inputs!$C$12)</x:f>
        <x:v>-10513.46974524825</x:v>
      </x:c>
      <x:c r="M101" t="n">
        <x:f>Scenario_Data!K101-(((SQRT((Inputs!$C$52+(Inputs!$H$9))^2+Inputs!$C$52^2-2*(Inputs!$C$52+(Inputs!$H$9))*Inputs!$C$52*COS(SQRT((Scenario_Data!W101)^2+Inputs!$C$6^2)/Inputs!$C$52)))-(Inputs!$H$9))*1000/Inputs!$C$12)</x:f>
        <x:v>-11588.17818289464</x:v>
      </x:c>
      <x:c r="O101" t="n">
        <x:f>Scenario_Data!T101</x:f>
        <x:v>-10.5</x:v>
      </x:c>
      <x:c r="P101" t="n">
        <x:f>2*(Scenario_Data!B101*1000)/Inputs!$C$21*1000000</x:f>
        <x:v>2669.329993618452</x:v>
      </x:c>
      <x:c r="Q101" t="n">
        <x:f>Scenario_Data!U101</x:f>
        <x:v>-70</x:v>
      </x:c>
      <x:c r="R101" t="n">
        <x:f>2*(Scenario_Data!C101*1000)/Inputs!$C$21*1000000</x:f>
        <x:v>308.0672896714433</x:v>
      </x:c>
      <x:c r="S101" t="n">
        <x:f>Scenario_Data!V101</x:f>
        <x:v>-140</x:v>
      </x:c>
      <x:c r="T101" t="n">
        <x:f>2*(Scenario_Data!D101*1000)/Inputs!$C$21*1000000</x:f>
        <x:v>430.6520946567642</x:v>
      </x:c>
      <x:c r="U101" t="n">
        <x:f>Scenario_Data!W101</x:f>
        <x:v>-140</x:v>
      </x:c>
      <x:c r="V101" t="n">
        <x:f>2*(Scenario_Data!E101*1000)/Inputs!$C$21*1000000</x:f>
        <x:v>365.98235570022246</x:v>
      </x:c>
      <x:c r="X101" t="n">
        <x:f>Scenario_Data!T101</x:f>
        <x:v>-10.5</x:v>
      </x:c>
      <x:c r="Y101" t="n">
        <x: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x:f>
        <x:v>2669.6775428195497</x:v>
      </x:c>
      <x:c r="Z101" t="n">
        <x:f>Scenario_Data!U101</x:f>
        <x:v>-70</x:v>
      </x:c>
      <x:c r="AA101" t="n">
        <x: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x:f>
        <x:v>307.48456938359294</x:v>
      </x:c>
      <x:c r="AB101" t="n">
        <x:f>Scenario_Data!V101</x:f>
        <x:v>-140</x:v>
      </x:c>
      <x:c r="AC101" t="n">
        <x: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x:f>
        <x:v>430.3095956434267</x:v>
      </x:c>
      <x:c r="AD101" t="n">
        <x:f>Scenario_Data!W101</x:f>
        <x:v>-140</x:v>
      </x:c>
      <x:c r="AE101" t="n">
        <x: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x:f>
        <x:v>365.639856686885</x:v>
      </x:c>
      <x:c r="AG101" t="n">
        <x:f>Scenario_Data!T101</x:f>
        <x:v>-10.5</x:v>
      </x:c>
      <x:c r="AH101" t="n">
        <x:f>2*(SQRT((Inputs!$C$52+(Scenario_Data!B101))^2+Inputs!$C$52^2-2*(Inputs!$C$52+(Scenario_Data!B101))*Inputs!$C$52*COS(SQRT((Scenario_Data!T101)^2+Inputs!$C$6^2)/Inputs!$C$52))*1000)/Inputs!$C$21*1000000</x:f>
        <x:v>2677.019501093122</x:v>
      </x:c>
      <x:c r="AI101" t="n">
        <x:f>Scenario_Data!U101</x:f>
        <x:v>-70</x:v>
      </x:c>
      <x:c r="AJ101" t="n">
        <x:f>2*(SQRT((Inputs!$C$52+(Scenario_Data!C101))^2+Inputs!$C$52^2-2*(Inputs!$C$52+(Scenario_Data!C101))*Inputs!$C$52*COS(SQRT((Scenario_Data!U101)^2+Inputs!$C$6^2)/Inputs!$C$52))*1000)/Inputs!$C$21*1000000</x:f>
        <x:v>589.9393087491328</x:v>
      </x:c>
      <x:c r="AK101" t="n">
        <x:f>Scenario_Data!V101</x:f>
        <x:v>-140</x:v>
      </x:c>
      <x:c r="AL101" t="n">
        <x:f>2*(SQRT((Inputs!$C$52+(Scenario_Data!D101))^2+Inputs!$C$52^2-2*(Inputs!$C$52+(Scenario_Data!D101))*Inputs!$C$52*COS(SQRT((Scenario_Data!V101)^2+Inputs!$C$6^2)/Inputs!$C$52))*1000)/Inputs!$C$21*1000000</x:f>
        <x:v>1059.3278163208254</x:v>
      </x:c>
      <x:c r="AM101" t="n">
        <x:f>Scenario_Data!W101</x:f>
        <x:v>-140</x:v>
      </x:c>
      <x:c r="AN101" t="n">
        <x:f>2*(SQRT((Inputs!$C$52+(Scenario_Data!E101))^2+Inputs!$C$52^2-2*(Inputs!$C$52+(Scenario_Data!E101))*Inputs!$C$52*COS(SQRT((Scenario_Data!W101)^2+Inputs!$C$6^2)/Inputs!$C$52))*1000)/Inputs!$C$21*1000000</x:f>
        <x:v>1032.0225937697833</x:v>
      </x:c>
      <x:c r="AP101" t="n">
        <x:f>Scenario_Data!T101</x:f>
        <x:v>-10.5</x:v>
      </x:c>
      <x:c r="AQ101" t="n">
        <x: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x:f>
        <x:v>2673.894654942711</x:v>
      </x:c>
      <x:c r="AR101" t="n">
        <x:f>Scenario_Data!U101</x:f>
        <x:v>-70</x:v>
      </x:c>
      <x:c r="AS101" t="n">
        <x: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x:f>
        <x:v>589.2813068975925</x:v>
      </x:c>
      <x:c r="AT101" t="n">
        <x:f>Scenario_Data!V101</x:f>
        <x:v>-140</x:v>
      </x:c>
      <x:c r="AU101" t="n">
        <x: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x:f>
        <x:v>1058.8311599750984</x:v>
      </x:c>
      <x:c r="AV101" t="n">
        <x:f>Scenario_Data!W101</x:f>
        <x:v>-140</x:v>
      </x:c>
      <x:c r="AW101" t="n">
        <x: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x:f>
        <x:v>1031.5980886484233</x:v>
      </x:c>
    </x:row>
    <x:row r="102">
      <x:c r="A102" t="n">
        <x:f>Chart_Data!K102</x:f>
        <x:v>-10</x:v>
      </x:c>
      <x:c r="B102" t="n">
        <x:f>Chart_Data!N102-Chart_Data!L102</x:f>
        <x:v>47.74262749354</x:v>
      </x:c>
      <x:c r="D102" t="n">
        <x:f>Chart_Data!G102</x:f>
        <x:v>-10</x:v>
      </x:c>
      <x:c r="E102" t="n">
        <x:f>Chart_Data!H102</x:f>
        <x:v>471.5144848829251</x:v>
      </x:c>
      <x:c r="F102" t="n">
        <x:f>Chart_Data!I102</x:f>
        <x:v>471.5144848829251</x:v>
      </x:c>
      <x:c r="G102" t="n">
        <x:f>Chart_Data!J102</x:f>
        <x:v>-49.423131521111884</x:v>
      </x:c>
      <x:c r="I102" t="n">
        <x:f>Scenario_Data!A102</x:f>
        <x:v>-0.167</x:v>
      </x:c>
      <x:c r="J102" t="n">
        <x:f>Scenario_Data!H102-(((SQRT((Inputs!$C$52+(Inputs!$H$6))^2+Inputs!$C$52^2-2*(Inputs!$C$52+(Inputs!$H$6))*Inputs!$C$52*COS(SQRT((Scenario_Data!T102)^2+Inputs!$C$6^2)/Inputs!$C$52)))-(Inputs!$H$6))*1000/Inputs!$C$12)</x:f>
        <x:v>-0.14137113236063215</x:v>
      </x:c>
      <x:c r="K102" t="n">
        <x:f>Scenario_Data!I102-(((SQRT((Inputs!$C$52+(Inputs!$H$7))^2+Inputs!$C$52^2-2*(Inputs!$C$52+(Inputs!$H$7))*Inputs!$C$52*COS(SQRT((Scenario_Data!U102)^2+Inputs!$C$6^2)/Inputs!$C$52)))-(Inputs!$H$7))*1000/Inputs!$C$12)</x:f>
        <x:v>-2834.7671819467178</x:v>
      </x:c>
      <x:c r="L102" t="n">
        <x:f>Scenario_Data!J102-(((SQRT((Inputs!$C$52+(Inputs!$H$8))^2+Inputs!$C$52^2-2*(Inputs!$C$52+(Inputs!$H$8))*Inputs!$C$52*COS(SQRT((Scenario_Data!V102)^2+Inputs!$C$6^2)/Inputs!$C$52)))-(Inputs!$H$8))*1000/Inputs!$C$12)</x:f>
        <x:v>-9518.334244312478</x:v>
      </x:c>
      <x:c r="M102" t="n">
        <x:f>Scenario_Data!K102-(((SQRT((Inputs!$C$52+(Inputs!$H$9))^2+Inputs!$C$52^2-2*(Inputs!$C$52+(Inputs!$H$9))*Inputs!$C$52*COS(SQRT((Scenario_Data!W102)^2+Inputs!$C$6^2)/Inputs!$C$52)))-(Inputs!$H$9))*1000/Inputs!$C$12)</x:f>
        <x:v>-10536.017531248719</x:v>
      </x:c>
      <x:c r="O102" t="n">
        <x:f>Scenario_Data!T102</x:f>
        <x:v>-10.020000000000003</x:v>
      </x:c>
      <x:c r="P102" t="n">
        <x:f>2*(Scenario_Data!B102*1000)/Inputs!$C$21*1000000</x:f>
        <x:v>2669.256983109295</x:v>
      </x:c>
      <x:c r="Q102" t="n">
        <x:f>Scenario_Data!U102</x:f>
        <x:v>-66.80000000000001</x:v>
      </x:c>
      <x:c r="R102" t="n">
        <x:f>2*(Scenario_Data!C102*1000)/Inputs!$C$21*1000000</x:f>
        <x:v>301.40508071086964</x:v>
      </x:c>
      <x:c r="S102" t="n">
        <x:f>Scenario_Data!V102</x:f>
        <x:v>-133.60000000000002</x:v>
      </x:c>
      <x:c r="T102" t="n">
        <x:f>2*(Scenario_Data!D102*1000)/Inputs!$C$21*1000000</x:f>
        <x:v>413.03830932264486</x:v>
      </x:c>
      <x:c r="U102" t="n">
        <x:f>Scenario_Data!W102</x:f>
        <x:v>-133.60000000000002</x:v>
      </x:c>
      <x:c r="V102" t="n">
        <x:f>2*(Scenario_Data!E102*1000)/Inputs!$C$21*1000000</x:f>
        <x:v>348.1860440932107</x:v>
      </x:c>
      <x:c r="X102" t="n">
        <x:f>Scenario_Data!T102</x:f>
        <x:v>-10.020000000000003</x:v>
      </x:c>
      <x:c r="Y102" t="n">
        <x: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x:f>
        <x:v>2669.5329806107666</x:v>
      </x:c>
      <x:c r="Z102" t="n">
        <x:f>Scenario_Data!U102</x:f>
        <x:v>-66.80000000000001</x:v>
      </x:c>
      <x:c r="AA102" t="n">
        <x: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x:f>
        <x:v>300.7709446697845</x:v>
      </x:c>
      <x:c r="AB102" t="n">
        <x:f>Scenario_Data!V102</x:f>
        <x:v>-133.60000000000002</x:v>
      </x:c>
      <x:c r="AC102" t="n">
        <x: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x:f>
        <x:v>413.13501587361156</x:v>
      </x:c>
      <x:c r="AD102" t="n">
        <x:f>Scenario_Data!W102</x:f>
        <x:v>-133.60000000000002</x:v>
      </x:c>
      <x:c r="AE102" t="n">
        <x: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x:f>
        <x:v>348.2827506441774</x:v>
      </x:c>
      <x:c r="AG102" t="n">
        <x:f>Scenario_Data!T102</x:f>
        <x:v>-10.020000000000003</x:v>
      </x:c>
      <x:c r="AH102" t="n">
        <x:f>2*(SQRT((Inputs!$C$52+(Scenario_Data!B102))^2+Inputs!$C$52^2-2*(Inputs!$C$52+(Scenario_Data!B102))*Inputs!$C$52*COS(SQRT((Scenario_Data!T102)^2+Inputs!$C$6^2)/Inputs!$C$52))*1000)/Inputs!$C$21*1000000</x:f>
        <x:v>2676.843793107199</x:v>
      </x:c>
      <x:c r="AI102" t="n">
        <x:f>Scenario_Data!U102</x:f>
        <x:v>-66.80000000000001</x:v>
      </x:c>
      <x:c r="AJ102" t="n">
        <x:f>2*(SQRT((Inputs!$C$52+(Scenario_Data!C102))^2+Inputs!$C$52^2-2*(Inputs!$C$52+(Scenario_Data!C102))*Inputs!$C$52*COS(SQRT((Scenario_Data!U102)^2+Inputs!$C$6^2)/Inputs!$C$52))*1000)/Inputs!$C$21*1000000</x:f>
        <x:v>569.0088081002975</x:v>
      </x:c>
      <x:c r="AK102" t="n">
        <x:f>Scenario_Data!V102</x:f>
        <x:v>-133.60000000000002</x:v>
      </x:c>
      <x:c r="AL102" t="n">
        <x:f>2*(SQRT((Inputs!$C$52+(Scenario_Data!D102))^2+Inputs!$C$52^2-2*(Inputs!$C$52+(Scenario_Data!D102))*Inputs!$C$52*COS(SQRT((Scenario_Data!V102)^2+Inputs!$C$6^2)/Inputs!$C$52))*1000)/Inputs!$C$21*1000000</x:f>
        <x:v>1012.362240937457</x:v>
      </x:c>
      <x:c r="AM102" t="n">
        <x:f>Scenario_Data!W102</x:f>
        <x:v>-133.60000000000002</x:v>
      </x:c>
      <x:c r="AN102" t="n">
        <x:f>2*(SQRT((Inputs!$C$52+(Scenario_Data!E102))^2+Inputs!$C$52^2-2*(Inputs!$C$52+(Scenario_Data!E102))*Inputs!$C$52*COS(SQRT((Scenario_Data!W102)^2+Inputs!$C$6^2)/Inputs!$C$52))*1000)/Inputs!$C$21*1000000</x:f>
        <x:v>985.0850258038517</x:v>
      </x:c>
      <x:c r="AP102" t="n">
        <x:f>Scenario_Data!T102</x:f>
        <x:v>-10.020000000000003</x:v>
      </x:c>
      <x:c r="AQ102" t="n">
        <x: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x:f>
        <x:v>2673.759697209001</x:v>
      </x:c>
      <x:c r="AR102" t="n">
        <x:f>Scenario_Data!U102</x:f>
        <x:v>-66.80000000000001</x:v>
      </x:c>
      <x:c r="AS102" t="n">
        <x: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x:f>
        <x:v>568.2671800772529</x:v>
      </x:c>
      <x:c r="AT102" t="n">
        <x:f>Scenario_Data!V102</x:f>
        <x:v>-133.60000000000002</x:v>
      </x:c>
      <x:c r="AU102" t="n">
        <x: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x:f>
        <x:v>1012.0645953546137</x:v>
      </x:c>
      <x:c r="AV102" t="n">
        <x:f>Scenario_Data!W102</x:f>
        <x:v>-133.60000000000002</x:v>
      </x:c>
      <x:c r="AW102" t="n">
        <x: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x:f>
        <x:v>984.8323231675628</x:v>
      </x:c>
    </x:row>
    <x:row r="103">
      <x:c r="A103" t="n">
        <x:f>Chart_Data!K103</x:f>
        <x:v>-9.5</x:v>
      </x:c>
      <x:c r="B103" t="n">
        <x:f>Chart_Data!N103-Chart_Data!L103</x:f>
        <x:v>30.622778156968423</x:v>
      </x:c>
      <x:c r="D103" t="n">
        <x:f>Chart_Data!G103</x:f>
        <x:v>-9.5</x:v>
      </x:c>
      <x:c r="E103" t="n">
        <x:f>Chart_Data!H103</x:f>
        <x:v>470.5815738170562</x:v>
      </x:c>
      <x:c r="F103" t="n">
        <x:f>Chart_Data!I103</x:f>
        <x:v>470.5815738170562</x:v>
      </x:c>
      <x:c r="G103" t="n">
        <x:f>Chart_Data!J103</x:f>
        <x:v>-32.277557975083496</x:v>
      </x:c>
      <x:c r="I103" t="n">
        <x:f>Scenario_Data!A103</x:f>
        <x:v>-0.158</x:v>
      </x:c>
      <x:c r="J103" t="n">
        <x:f>Scenario_Data!H103-(((SQRT((Inputs!$C$52+(Inputs!$H$6))^2+Inputs!$C$52^2-2*(Inputs!$C$52+(Inputs!$H$6))*Inputs!$C$52*COS(SQRT((Scenario_Data!T103)^2+Inputs!$C$6^2)/Inputs!$C$52)))-(Inputs!$H$6))*1000/Inputs!$C$12)</x:f>
        <x:v>-0.12471921807230046</x:v>
      </x:c>
      <x:c r="K103" t="n">
        <x:f>Scenario_Data!I103-(((SQRT((Inputs!$C$52+(Inputs!$H$7))^2+Inputs!$C$52^2-2*(Inputs!$C$52+(Inputs!$H$7))*Inputs!$C$52*COS(SQRT((Scenario_Data!U103)^2+Inputs!$C$6^2)/Inputs!$C$52)))-(Inputs!$H$7))*1000/Inputs!$C$12)</x:f>
        <x:v>-2475.736579407454</x:v>
      </x:c>
      <x:c r="L103" t="n">
        <x:f>Scenario_Data!J103-(((SQRT((Inputs!$C$52+(Inputs!$H$8))^2+Inputs!$C$52^2-2*(Inputs!$C$52+(Inputs!$H$8))*Inputs!$C$52*COS(SQRT((Scenario_Data!V103)^2+Inputs!$C$6^2)/Inputs!$C$52)))-(Inputs!$H$8))*1000/Inputs!$C$12)</x:f>
        <x:v>-8450.11460672399</x:v>
      </x:c>
      <x:c r="M103" t="n">
        <x:f>Scenario_Data!K103-(((SQRT((Inputs!$C$52+(Inputs!$H$9))^2+Inputs!$C$52^2-2*(Inputs!$C$52+(Inputs!$H$9))*Inputs!$C$52*COS(SQRT((Scenario_Data!W103)^2+Inputs!$C$6^2)/Inputs!$C$52)))-(Inputs!$H$9))*1000/Inputs!$C$12)</x:f>
        <x:v>-9403.219768093775</x:v>
      </x:c>
      <x:c r="O103" t="n">
        <x:f>Scenario_Data!T103</x:f>
        <x:v>-9.480000000000004</x:v>
      </x:c>
      <x:c r="P103" t="n">
        <x:f>2*(Scenario_Data!B103*1000)/Inputs!$C$21*1000000</x:f>
        <x:v>2669.1789291110185</x:v>
      </x:c>
      <x:c r="Q103" t="n">
        <x:f>Scenario_Data!U103</x:f>
        <x:v>-63.19999999999999</x:v>
      </x:c>
      <x:c r="R103" t="n">
        <x:f>2*(Scenario_Data!C103*1000)/Inputs!$C$21*1000000</x:f>
        <x:v>294.2826533681511</x:v>
      </x:c>
      <x:c r="S103" t="n">
        <x:f>Scenario_Data!V103</x:f>
        <x:v>-126.39999999999998</x:v>
      </x:c>
      <x:c r="T103" t="n">
        <x:f>2*(Scenario_Data!D103*1000)/Inputs!$C$21*1000000</x:f>
        <x:v>394.2077822384711</x:v>
      </x:c>
      <x:c r="U103" t="n">
        <x:f>Scenario_Data!W103</x:f>
        <x:v>-126.39999999999998</x:v>
      </x:c>
      <x:c r="V103" t="n">
        <x:f>2*(Scenario_Data!E103*1000)/Inputs!$C$21*1000000</x:f>
        <x:v>329.160382013346</x:v>
      </x:c>
      <x:c r="X103" t="n">
        <x:f>Scenario_Data!T103</x:f>
        <x:v>-9.480000000000004</x:v>
      </x:c>
      <x:c r="Y103" t="n">
        <x: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x:f>
        <x:v>2669.511245132921</x:v>
      </x:c>
      <x:c r="Z103" t="n">
        <x:f>Scenario_Data!U103</x:f>
        <x:v>-63.19999999999999</x:v>
      </x:c>
      <x:c r="AA103" t="n">
        <x: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x:f>
        <x:v>294.23661277989663</x:v>
      </x:c>
      <x:c r="AB103" t="n">
        <x:f>Scenario_Data!V103</x:f>
        <x:v>-126.39999999999998</x:v>
      </x:c>
      <x:c r="AC103" t="n">
        <x: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x:f>
        <x:v>394.10574765913475</x:v>
      </x:c>
      <x:c r="AD103" t="n">
        <x:f>Scenario_Data!W103</x:f>
        <x:v>-126.39999999999998</x:v>
      </x:c>
      <x:c r="AE103" t="n">
        <x: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x:f>
        <x:v>329.0583474340097</x:v>
      </x:c>
      <x:c r="AG103" t="n">
        <x:f>Scenario_Data!T103</x:f>
        <x:v>-9.480000000000004</x:v>
      </x:c>
      <x:c r="AH103" t="n">
        <x:f>2*(SQRT((Inputs!$C$52+(Scenario_Data!B103))^2+Inputs!$C$52^2-2*(Inputs!$C$52+(Scenario_Data!B103))*Inputs!$C$52*COS(SQRT((Scenario_Data!T103)^2+Inputs!$C$6^2)/Inputs!$C$52))*1000)/Inputs!$C$21*1000000</x:f>
        <x:v>2676.655938037531</x:v>
      </x:c>
      <x:c r="AI103" t="n">
        <x:f>Scenario_Data!U103</x:f>
        <x:v>-63.19999999999999</x:v>
      </x:c>
      <x:c r="AJ103" t="n">
        <x:f>2*(SQRT((Inputs!$C$52+(Scenario_Data!C103))^2+Inputs!$C$52^2-2*(Inputs!$C$52+(Scenario_Data!C103))*Inputs!$C$52*COS(SQRT((Scenario_Data!U103)^2+Inputs!$C$6^2)/Inputs!$C$52))*1000)/Inputs!$C$21*1000000</x:f>
        <x:v>545.8599335087318</x:v>
      </x:c>
      <x:c r="AK103" t="n">
        <x:f>Scenario_Data!V103</x:f>
        <x:v>-126.39999999999998</x:v>
      </x:c>
      <x:c r="AL103" t="n">
        <x:f>2*(SQRT((Inputs!$C$52+(Scenario_Data!D103))^2+Inputs!$C$52^2-2*(Inputs!$C$52+(Scenario_Data!D103))*Inputs!$C$52*COS(SQRT((Scenario_Data!V103)^2+Inputs!$C$6^2)/Inputs!$C$52))*1000)/Inputs!$C$21*1000000</x:f>
        <x:v>960.117033428206</x:v>
      </x:c>
      <x:c r="AM103" t="n">
        <x:f>Scenario_Data!W103</x:f>
        <x:v>-126.39999999999998</x:v>
      </x:c>
      <x:c r="AN103" t="n">
        <x:f>2*(SQRT((Inputs!$C$52+(Scenario_Data!E103))^2+Inputs!$C$52^2-2*(Inputs!$C$52+(Scenario_Data!E103))*Inputs!$C$52*COS(SQRT((Scenario_Data!W103)^2+Inputs!$C$6^2)/Inputs!$C$52))*1000)/Inputs!$C$21*1000000</x:f>
        <x:v>932.8227451453487</x:v>
      </x:c>
      <x:c r="AP103" t="n">
        <x:f>Scenario_Data!T103</x:f>
        <x:v>-9.480000000000004</x:v>
      </x:c>
      <x:c r="AQ103" t="n">
        <x: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x:f>
        <x:v>2673.572737760398</x:v>
      </x:c>
      <x:c r="AR103" t="n">
        <x:f>Scenario_Data!U103</x:f>
        <x:v>-63.19999999999999</x:v>
      </x:c>
      <x:c r="AS103" t="n">
        <x: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x:f>
        <x:v>545.3235753259175</x:v>
      </x:c>
      <x:c r="AT103" t="n">
        <x:f>Scenario_Data!V103</x:f>
        <x:v>-126.39999999999998</x:v>
      </x:c>
      <x:c r="AU103" t="n">
        <x: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x:f>
        <x:v>959.6992490366466</x:v>
      </x:c>
      <x:c r="AV103" t="n">
        <x:f>Scenario_Data!W103</x:f>
        <x:v>-126.39999999999998</x:v>
      </x:c>
      <x:c r="AW103" t="n">
        <x: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x:f>
        <x:v>932.4708641756583</x:v>
      </x:c>
    </x:row>
    <x:row r="104">
      <x:c r="A104" t="n">
        <x:f>Chart_Data!K104</x:f>
        <x:v>-9</x:v>
      </x:c>
      <x:c r="B104" t="n">
        <x:f>Chart_Data!N104-Chart_Data!L104</x:f>
        <x:v>45.75306376780679</x:v>
      </x:c>
      <x:c r="D104" t="n">
        <x:f>Chart_Data!G104</x:f>
        <x:v>-9</x:v>
      </x:c>
      <x:c r="E104" t="n">
        <x:f>Chart_Data!H104</x:f>
        <x:v>480.618285675218</x:v>
      </x:c>
      <x:c r="F104" t="n">
        <x:f>Chart_Data!I104</x:f>
        <x:v>480.618285675218</x:v>
      </x:c>
      <x:c r="G104" t="n">
        <x:f>Chart_Data!J104</x:f>
        <x:v>-47.4214748383975</x:v>
      </x:c>
      <x:c r="I104" t="n">
        <x:f>Scenario_Data!A104</x:f>
        <x:v>-0.15</x:v>
      </x:c>
      <x:c r="J104" t="n">
        <x:f>Scenario_Data!H104-(((SQRT((Inputs!$C$52+(Inputs!$H$6))^2+Inputs!$C$52^2-2*(Inputs!$C$52+(Inputs!$H$6))*Inputs!$C$52*COS(SQRT((Scenario_Data!T104)^2+Inputs!$C$6^2)/Inputs!$C$52)))-(Inputs!$H$6))*1000/Inputs!$C$12)</x:f>
        <x:v>-0.11102336728663431</x:v>
      </x:c>
      <x:c r="K104" t="n">
        <x:f>Scenario_Data!I104-(((SQRT((Inputs!$C$52+(Inputs!$H$7))^2+Inputs!$C$52^2-2*(Inputs!$C$52+(Inputs!$H$7))*Inputs!$C$52*COS(SQRT((Scenario_Data!U104)^2+Inputs!$C$6^2)/Inputs!$C$52)))-(Inputs!$H$7))*1000/Inputs!$C$12)</x:f>
        <x:v>-2177.6671843117474</x:v>
      </x:c>
      <x:c r="L104" t="n">
        <x:f>Scenario_Data!J104-(((SQRT((Inputs!$C$52+(Inputs!$H$8))^2+Inputs!$C$52^2-2*(Inputs!$C$52+(Inputs!$H$8))*Inputs!$C$52*COS(SQRT((Scenario_Data!V104)^2+Inputs!$C$6^2)/Inputs!$C$52)))-(Inputs!$H$8))*1000/Inputs!$C$12)</x:f>
        <x:v>-7547.5826717634845</x:v>
      </x:c>
      <x:c r="M104" t="n">
        <x:f>Scenario_Data!K104-(((SQRT((Inputs!$C$52+(Inputs!$H$9))^2+Inputs!$C$52^2-2*(Inputs!$C$52+(Inputs!$H$9))*Inputs!$C$52*COS(SQRT((Scenario_Data!W104)^2+Inputs!$C$6^2)/Inputs!$C$52)))-(Inputs!$H$9))*1000/Inputs!$C$12)</x:f>
        <x:v>-8442.924503822665</x:v>
      </x:c>
      <x:c r="O104" t="n">
        <x:f>Scenario_Data!T104</x:f>
        <x:v>-9</x:v>
      </x:c>
      <x:c r="P104" t="n">
        <x:f>2*(Scenario_Data!B104*1000)/Inputs!$C$21*1000000</x:f>
        <x:v>2669.113176956573</x:v>
      </x:c>
      <x:c r="Q104" t="n">
        <x:f>Scenario_Data!U104</x:f>
        <x:v>-60</x:v>
      </x:c>
      <x:c r="R104" t="n">
        <x:f>2*(Scenario_Data!C104*1000)/Inputs!$C$21*1000000</x:f>
        <x:v>288.2827692750029</x:v>
      </x:c>
      <x:c r="S104" t="n">
        <x:f>Scenario_Data!V104</x:f>
        <x:v>-120</x:v>
      </x:c>
      <x:c r="T104" t="n">
        <x:f>2*(Scenario_Data!D104*1000)/Inputs!$C$21*1000000</x:f>
        <x:v>378.345074978504</x:v>
      </x:c>
      <x:c r="U104" t="n">
        <x:f>Scenario_Data!W104</x:f>
        <x:v>-120</x:v>
      </x:c>
      <x:c r="V104" t="n">
        <x:f>2*(Scenario_Data!E104*1000)/Inputs!$C$21*1000000</x:f>
        <x:v>313.13329436726525</x:v>
      </x:c>
      <x:c r="X104" t="n">
        <x:f>Scenario_Data!T104</x:f>
        <x:v>-9</x:v>
      </x:c>
      <x:c r="Y104" t="n">
        <x: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x:f>
        <x:v>2669.4295389835215</x:v>
      </x:c>
      <x:c r="Z104" t="n">
        <x:f>Scenario_Data!U104</x:f>
        <x:v>-60</x:v>
      </x:c>
      <x:c r="AA104" t="n">
        <x: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x:f>
        <x:v>288.2643279902816</x:v>
      </x:c>
      <x:c r="AB104" t="n">
        <x:f>Scenario_Data!V104</x:f>
        <x:v>-120</x:v>
      </x:c>
      <x:c r="AC104" t="n">
        <x: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x:f>
        <x:v>377.82373453094965</x:v>
      </x:c>
      <x:c r="AD104" t="n">
        <x:f>Scenario_Data!W104</x:f>
        <x:v>-120</x:v>
      </x:c>
      <x:c r="AE104" t="n">
        <x: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x:f>
        <x:v>312.6119539197109</x:v>
      </x:c>
      <x:c r="AG104" t="n">
        <x:f>Scenario_Data!T104</x:f>
        <x:v>-9</x:v>
      </x:c>
      <x:c r="AH104" t="n">
        <x:f>2*(SQRT((Inputs!$C$52+(Scenario_Data!B104))^2+Inputs!$C$52^2-2*(Inputs!$C$52+(Scenario_Data!B104))*Inputs!$C$52*COS(SQRT((Scenario_Data!T104)^2+Inputs!$C$6^2)/Inputs!$C$52))*1000)/Inputs!$C$21*1000000</x:f>
        <x:v>2676.4976827030932</x:v>
      </x:c>
      <x:c r="AI104" t="n">
        <x:f>Scenario_Data!U104</x:f>
        <x:v>-60</x:v>
      </x:c>
      <x:c r="AJ104" t="n">
        <x:f>2*(SQRT((Inputs!$C$52+(Scenario_Data!C104))^2+Inputs!$C$52^2-2*(Inputs!$C$52+(Scenario_Data!C104))*Inputs!$C$52*COS(SQRT((Scenario_Data!U104)^2+Inputs!$C$6^2)/Inputs!$C$52))*1000)/Inputs!$C$21*1000000</x:f>
        <x:v>525.6642714445533</x:v>
      </x:c>
      <x:c r="AK104" t="n">
        <x:f>Scenario_Data!V104</x:f>
        <x:v>-120</x:v>
      </x:c>
      <x:c r="AL104" t="n">
        <x:f>2*(SQRT((Inputs!$C$52+(Scenario_Data!D104))^2+Inputs!$C$52^2-2*(Inputs!$C$52+(Scenario_Data!D104))*Inputs!$C$52*COS(SQRT((Scenario_Data!V104)^2+Inputs!$C$6^2)/Inputs!$C$52))*1000)/Inputs!$C$21*1000000</x:f>
        <x:v>914.2150944754102</x:v>
      </x:c>
      <x:c r="AM104" t="n">
        <x:f>Scenario_Data!W104</x:f>
        <x:v>-120</x:v>
      </x:c>
      <x:c r="AN104" t="n">
        <x:f>2*(SQRT((Inputs!$C$52+(Scenario_Data!E104))^2+Inputs!$C$52^2-2*(Inputs!$C$52+(Scenario_Data!E104))*Inputs!$C$52*COS(SQRT((Scenario_Data!W104)^2+Inputs!$C$6^2)/Inputs!$C$52))*1000)/Inputs!$C$21*1000000</x:f>
        <x:v>886.8544947202699</x:v>
      </x:c>
      <x:c r="AP104" t="n">
        <x:f>Scenario_Data!T104</x:f>
        <x:v>-9</x:v>
      </x:c>
      <x:c r="AQ104" t="n">
        <x: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x:f>
        <x:v>2673.302473071738</x:v>
      </x:c>
      <x:c r="AR104" t="n">
        <x:f>Scenario_Data!U104</x:f>
        <x:v>-60</x:v>
      </x:c>
      <x:c r="AS104" t="n">
        <x: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x:f>
        <x:v>525.2418298323732</x:v>
      </x:c>
      <x:c r="AT104" t="n">
        <x:f>Scenario_Data!V104</x:f>
        <x:v>-120</x:v>
      </x:c>
      <x:c r="AU104" t="n">
        <x: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x:f>
        <x:v>913.7430465581227</x:v>
      </x:c>
      <x:c r="AV104" t="n">
        <x:f>Scenario_Data!W104</x:f>
        <x:v>-120</x:v>
      </x:c>
      <x:c r="AW104" t="n">
        <x: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x:f>
        <x:v>886.4597372531108</x:v>
      </x:c>
    </x:row>
    <x:row r="105">
      <x:c r="A105" t="n">
        <x:f>Chart_Data!K105</x:f>
        <x:v>-8.5</x:v>
      </x:c>
      <x:c r="B105" t="n">
        <x:f>Chart_Data!N105-Chart_Data!L105</x:f>
        <x:v>60.26909079725334</x:v>
      </x:c>
      <x:c r="D105" t="n">
        <x:f>Chart_Data!G105</x:f>
        <x:v>-8.5</x:v>
      </x:c>
      <x:c r="E105" t="n">
        <x:f>Chart_Data!H105</x:f>
        <x:v>460.6206107904381</x:v>
      </x:c>
      <x:c r="F105" t="n">
        <x:f>Chart_Data!I105</x:f>
        <x:v>460.6206107904381</x:v>
      </x:c>
      <x:c r="G105" t="n">
        <x:f>Chart_Data!J105</x:f>
        <x:v>-61.84832289166857</x:v>
      </x:c>
      <x:c r="I105" t="n">
        <x:f>Scenario_Data!A105</x:f>
        <x:v>-0.142</x:v>
      </x:c>
      <x:c r="J105" t="n">
        <x:f>Scenario_Data!H105-(((SQRT((Inputs!$C$52+(Inputs!$H$6))^2+Inputs!$C$52^2-2*(Inputs!$C$52+(Inputs!$H$6))*Inputs!$C$52*COS(SQRT((Scenario_Data!T105)^2+Inputs!$C$6^2)/Inputs!$C$52)))-(Inputs!$H$6))*1000/Inputs!$C$12)</x:f>
        <x:v>-0.09831908205035234</x:v>
      </x:c>
      <x:c r="K105" t="n">
        <x:f>Scenario_Data!I105-(((SQRT((Inputs!$C$52+(Inputs!$H$7))^2+Inputs!$C$52^2-2*(Inputs!$C$52+(Inputs!$H$7))*Inputs!$C$52*COS(SQRT((Scenario_Data!U105)^2+Inputs!$C$6^2)/Inputs!$C$52)))-(Inputs!$H$7))*1000/Inputs!$C$12)</x:f>
        <x:v>-1899.6570192596373</x:v>
      </x:c>
      <x:c r="L105" t="n">
        <x:f>Scenario_Data!J105-(((SQRT((Inputs!$C$52+(Inputs!$H$8))^2+Inputs!$C$52^2-2*(Inputs!$C$52+(Inputs!$H$8))*Inputs!$C$52*COS(SQRT((Scenario_Data!V105)^2+Inputs!$C$6^2)/Inputs!$C$52)))-(Inputs!$H$8))*1000/Inputs!$C$12)</x:f>
        <x:v>-6690.610806332428</x:v>
      </x:c>
      <x:c r="M105" t="n">
        <x:f>Scenario_Data!K105-(((SQRT((Inputs!$C$52+(Inputs!$H$9))^2+Inputs!$C$52^2-2*(Inputs!$C$52+(Inputs!$H$9))*Inputs!$C$52*COS(SQRT((Scenario_Data!W105)^2+Inputs!$C$6^2)/Inputs!$C$52)))-(Inputs!$H$9))*1000/Inputs!$C$12)</x:f>
        <x:v>-7527.867382246135</x:v>
      </x:c>
      <x:c r="O105" t="n">
        <x:f>Scenario_Data!T105</x:f>
        <x:v>-8.520000000000003</x:v>
      </x:c>
      <x:c r="P105" t="n">
        <x:f>2*(Scenario_Data!B105*1000)/Inputs!$C$21*1000000</x:f>
        <x:v>2669.050840498462</x:v>
      </x:c>
      <x:c r="Q105" t="n">
        <x:f>Scenario_Data!U105</x:f>
        <x:v>-56.80000000000001</x:v>
      </x:c>
      <x:c r="R105" t="n">
        <x:f>2*(Scenario_Data!C105*1000)/Inputs!$C$21*1000000</x:f>
        <x:v>282.5945674724079</x:v>
      </x:c>
      <x:c r="S105" t="n">
        <x:f>Scenario_Data!V105</x:f>
        <x:v>-113.60000000000002</x:v>
      </x:c>
      <x:c r="T105" t="n">
        <x:f>2*(Scenario_Data!D105*1000)/Inputs!$C$21*1000000</x:f>
        <x:v>363.30640445931436</x:v>
      </x:c>
      <x:c r="U105" t="n">
        <x:f>Scenario_Data!W105</x:f>
        <x:v>-113.60000000000002</x:v>
      </x:c>
      <x:c r="V105" t="n">
        <x:f>2*(Scenario_Data!E105*1000)/Inputs!$C$21*1000000</x:f>
        <x:v>297.9387827027991</x:v>
      </x:c>
      <x:c r="X105" t="n">
        <x:f>Scenario_Data!T105</x:f>
        <x:v>-8.520000000000003</x:v>
      </x:c>
      <x:c r="Y105" t="n">
        <x: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x:f>
        <x:v>2669.3804992497408</x:v>
      </x:c>
      <x:c r="Z105" t="n">
        <x:f>Scenario_Data!U105</x:f>
        <x:v>-56.80000000000001</x:v>
      </x:c>
      <x:c r="AA105" t="n">
        <x: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x:f>
        <x:v>282.2269644534581</x:v>
      </x:c>
      <x:c r="AB105" t="n">
        <x:f>Scenario_Data!V105</x:f>
        <x:v>-113.60000000000002</x:v>
      </x:c>
      <x:c r="AC105" t="n">
        <x: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x:f>
        <x:v>363.28651770825104</x:v>
      </x:c>
      <x:c r="AD105" t="n">
        <x:f>Scenario_Data!W105</x:f>
        <x:v>-113.60000000000002</x:v>
      </x:c>
      <x:c r="AE105" t="n">
        <x: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x:f>
        <x:v>297.91889595173575</x:v>
      </x:c>
      <x:c r="AG105" t="n">
        <x:f>Scenario_Data!T105</x:f>
        <x:v>-8.520000000000003</x:v>
      </x:c>
      <x:c r="AH105" t="n">
        <x:f>2*(SQRT((Inputs!$C$52+(Scenario_Data!B105))^2+Inputs!$C$52^2-2*(Inputs!$C$52+(Scenario_Data!B105))*Inputs!$C$52*COS(SQRT((Scenario_Data!T105)^2+Inputs!$C$6^2)/Inputs!$C$52))*1000)/Inputs!$C$21*1000000</x:f>
        <x:v>2676.3476420836173</x:v>
      </x:c>
      <x:c r="AI105" t="n">
        <x:f>Scenario_Data!U105</x:f>
        <x:v>-56.80000000000001</x:v>
      </x:c>
      <x:c r="AJ105" t="n">
        <x:f>2*(SQRT((Inputs!$C$52+(Scenario_Data!C105))^2+Inputs!$C$52^2-2*(Inputs!$C$52+(Scenario_Data!C105))*Inputs!$C$52*COS(SQRT((Scenario_Data!U105)^2+Inputs!$C$6^2)/Inputs!$C$52))*1000)/Inputs!$C$21*1000000</x:f>
        <x:v>505.85734229616077</x:v>
      </x:c>
      <x:c r="AK105" t="n">
        <x:f>Scenario_Data!V105</x:f>
        <x:v>-113.60000000000002</x:v>
      </x:c>
      <x:c r="AL105" t="n">
        <x:f>2*(SQRT((Inputs!$C$52+(Scenario_Data!D105))^2+Inputs!$C$52^2-2*(Inputs!$C$52+(Scenario_Data!D105))*Inputs!$C$52*COS(SQRT((Scenario_Data!V105)^2+Inputs!$C$6^2)/Inputs!$C$52))*1000)/Inputs!$C$21*1000000</x:f>
        <x:v>868.8370802822063</x:v>
      </x:c>
      <x:c r="AM105" t="n">
        <x:f>Scenario_Data!W105</x:f>
        <x:v>-113.60000000000002</x:v>
      </x:c>
      <x:c r="AN105" t="n">
        <x:f>2*(SQRT((Inputs!$C$52+(Scenario_Data!E105))^2+Inputs!$C$52^2-2*(Inputs!$C$52+(Scenario_Data!E105))*Inputs!$C$52*COS(SQRT((Scenario_Data!W105)^2+Inputs!$C$6^2)/Inputs!$C$52))*1000)/Inputs!$C$21*1000000</x:f>
        <x:v>841.3532788829367</x:v>
      </x:c>
      <x:c r="AP105" t="n">
        <x:f>Scenario_Data!T105</x:f>
        <x:v>-8.520000000000003</x:v>
      </x:c>
      <x:c r="AQ105" t="n">
        <x: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x:f>
        <x:v>2673.207375269783</x:v>
      </x:c>
      <x:c r="AR105" t="n">
        <x:f>Scenario_Data!U105</x:f>
        <x:v>-56.80000000000001</x:v>
      </x:c>
      <x:c r="AS105" t="n">
        <x: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x:f>
        <x:v>505.3303245017397</x:v>
      </x:c>
      <x:c r="AT105" t="n">
        <x:f>Scenario_Data!V105</x:f>
        <x:v>-113.60000000000002</x:v>
      </x:c>
      <x:c r="AU105" t="n">
        <x: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x:f>
        <x:v>868.5395491003828</x:v>
      </x:c>
      <x:c r="AV105" t="n">
        <x:f>Scenario_Data!W105</x:f>
        <x:v>-113.60000000000002</x:v>
      </x:c>
      <x:c r="AW105" t="n">
        <x: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x:f>
        <x:v>841.1061786695878</x:v>
      </x:c>
    </x:row>
    <x:row r="106">
      <x:c r="A106" t="n">
        <x:f>Chart_Data!K106</x:f>
        <x:v>-8</x:v>
      </x:c>
      <x:c r="B106" t="n">
        <x:f>Chart_Data!N106-Chart_Data!L106</x:f>
        <x:v>37.72928503169089</x:v>
      </x:c>
      <x:c r="D106" t="n">
        <x:f>Chart_Data!G106</x:f>
        <x:v>-8</x:v>
      </x:c>
      <x:c r="E106" t="n">
        <x:f>Chart_Data!H106</x:f>
        <x:v>475.6659223963138</x:v>
      </x:c>
      <x:c r="F106" t="n">
        <x:f>Chart_Data!I106</x:f>
        <x:v>475.6659223963138</x:v>
      </x:c>
      <x:c r="G106" t="n">
        <x:f>Chart_Data!J106</x:f>
        <x:v>-39.34099577037003</x:v>
      </x:c>
      <x:c r="I106" t="n">
        <x:f>Scenario_Data!A106</x:f>
        <x:v>-0.133</x:v>
      </x:c>
      <x:c r="J106" t="n">
        <x:f>Scenario_Data!H106-(((SQRT((Inputs!$C$52+(Inputs!$H$6))^2+Inputs!$C$52^2-2*(Inputs!$C$52+(Inputs!$H$6))*Inputs!$C$52*COS(SQRT((Scenario_Data!T106)^2+Inputs!$C$6^2)/Inputs!$C$52)))-(Inputs!$H$6))*1000/Inputs!$C$12)</x:f>
        <x:v>-0.08515635971855318</x:v>
      </x:c>
      <x:c r="K106" t="n">
        <x:f>Scenario_Data!I106-(((SQRT((Inputs!$C$52+(Inputs!$H$7))^2+Inputs!$C$52^2-2*(Inputs!$C$52+(Inputs!$H$7))*Inputs!$C$52*COS(SQRT((Scenario_Data!U106)^2+Inputs!$C$6^2)/Inputs!$C$52)))-(Inputs!$H$7))*1000/Inputs!$C$12)</x:f>
        <x:v>-1611.097851974435</x:v>
      </x:c>
      <x:c r="L106" t="n">
        <x:f>Scenario_Data!J106-(((SQRT((Inputs!$C$52+(Inputs!$H$8))^2+Inputs!$C$52^2-2*(Inputs!$C$52+(Inputs!$H$8))*Inputs!$C$52*COS(SQRT((Scenario_Data!V106)^2+Inputs!$C$6^2)/Inputs!$C$52)))-(Inputs!$H$8))*1000/Inputs!$C$12)</x:f>
        <x:v>-5782.586392976991</x:v>
      </x:c>
      <x:c r="M106" t="n">
        <x:f>Scenario_Data!K106-(((SQRT((Inputs!$C$52+(Inputs!$H$9))^2+Inputs!$C$52^2-2*(Inputs!$C$52+(Inputs!$H$9))*Inputs!$C$52*COS(SQRT((Scenario_Data!W106)^2+Inputs!$C$6^2)/Inputs!$C$52)))-(Inputs!$H$9))*1000/Inputs!$C$12)</x:f>
        <x:v>-6554.136414658264</x:v>
      </x:c>
      <x:c r="O106" t="n">
        <x:f>Scenario_Data!T106</x:f>
        <x:v>-7.980000000000004</x:v>
      </x:c>
      <x:c r="P106" t="n">
        <x:f>2*(Scenario_Data!B106*1000)/Inputs!$C$21*1000000</x:f>
        <x:v>2668.984794807613</x:v>
      </x:c>
      <x:c r="Q106" t="n">
        <x:f>Scenario_Data!U106</x:f>
        <x:v>-53.19999999999999</x:v>
      </x:c>
      <x:c r="R106" t="n">
        <x:f>2*(Scenario_Data!C106*1000)/Inputs!$C$21*1000000</x:f>
        <x:v>276.56789818241526</x:v>
      </x:c>
      <x:c r="S106" t="n">
        <x:f>Scenario_Data!V106</x:f>
        <x:v>-106.39999999999998</x:v>
      </x:c>
      <x:c r="T106" t="n">
        <x:f>2*(Scenario_Data!D106*1000)/Inputs!$C$21*1000000</x:f>
        <x:v>347.3728815419365</x:v>
      </x:c>
      <x:c r="U106" t="n">
        <x:f>Scenario_Data!W106</x:f>
        <x:v>-106.39999999999998</x:v>
      </x:c>
      <x:c r="V106" t="n">
        <x:f>2*(Scenario_Data!E106*1000)/Inputs!$C$21*1000000</x:f>
        <x:v>281.84014555829816</x:v>
      </x:c>
      <x:c r="X106" t="n">
        <x:f>Scenario_Data!T106</x:f>
        <x:v>-7.980000000000004</x:v>
      </x:c>
      <x:c r="Y106" t="n">
        <x: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x:f>
        <x:v>2669.298743883868</x:v>
      </x:c>
      <x:c r="Z106" t="n">
        <x:f>Scenario_Data!U106</x:f>
        <x:v>-53.19999999999999</x:v>
      </x:c>
      <x:c r="AA106" t="n">
        <x: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x:f>
        <x:v>276.2837891580153</x:v>
      </x:c>
      <x:c r="AB106" t="n">
        <x:f>Scenario_Data!V106</x:f>
        <x:v>-106.39999999999998</x:v>
      </x:c>
      <x:c r="AC106" t="n">
        <x: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x:f>
        <x:v>347.0216034279446</x:v>
      </x:c>
      <x:c r="AD106" t="n">
        <x:f>Scenario_Data!W106</x:f>
        <x:v>-106.39999999999998</x:v>
      </x:c>
      <x:c r="AE106" t="n">
        <x: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x:f>
        <x:v>281.48886744430627</x:v>
      </x:c>
      <x:c r="AG106" t="n">
        <x:f>Scenario_Data!T106</x:f>
        <x:v>-7.980000000000004</x:v>
      </x:c>
      <x:c r="AH106" t="n">
        <x:f>2*(SQRT((Inputs!$C$52+(Scenario_Data!B106))^2+Inputs!$C$52^2-2*(Inputs!$C$52+(Scenario_Data!B106))*Inputs!$C$52*COS(SQRT((Scenario_Data!T106)^2+Inputs!$C$6^2)/Inputs!$C$52))*1000)/Inputs!$C$21*1000000</x:f>
        <x:v>2676.188666798151</x:v>
      </x:c>
      <x:c r="AI106" t="n">
        <x:f>Scenario_Data!U106</x:f>
        <x:v>-53.19999999999999</x:v>
      </x:c>
      <x:c r="AJ106" t="n">
        <x:f>2*(SQRT((Inputs!$C$52+(Scenario_Data!C106))^2+Inputs!$C$52^2-2*(Inputs!$C$52+(Scenario_Data!C106))*Inputs!$C$52*COS(SQRT((Scenario_Data!U106)^2+Inputs!$C$6^2)/Inputs!$C$52))*1000)/Inputs!$C$21*1000000</x:f>
        <x:v>484.08118424505756</x:v>
      </x:c>
      <x:c r="AK106" t="n">
        <x:f>Scenario_Data!V106</x:f>
        <x:v>-106.39999999999998</x:v>
      </x:c>
      <x:c r="AL106" t="n">
        <x:f>2*(SQRT((Inputs!$C$52+(Scenario_Data!D106))^2+Inputs!$C$52^2-2*(Inputs!$C$52+(Scenario_Data!D106))*Inputs!$C$52*COS(SQRT((Scenario_Data!V106)^2+Inputs!$C$6^2)/Inputs!$C$52))*1000)/Inputs!$C$21*1000000</x:f>
        <x:v>818.4420076699244</x:v>
      </x:c>
      <x:c r="AM106" t="n">
        <x:f>Scenario_Data!W106</x:f>
        <x:v>-106.39999999999998</x:v>
      </x:c>
      <x:c r="AN106" t="n">
        <x:f>2*(SQRT((Inputs!$C$52+(Scenario_Data!E106))^2+Inputs!$C$52^2-2*(Inputs!$C$52+(Scenario_Data!E106))*Inputs!$C$52*COS(SQRT((Scenario_Data!W106)^2+Inputs!$C$6^2)/Inputs!$C$52))*1000)/Inputs!$C$21*1000000</x:f>
        <x:v>790.7392217429494</x:v>
      </x:c>
      <x:c r="AP106" t="n">
        <x:f>Scenario_Data!T106</x:f>
        <x:v>-7.980000000000004</x:v>
      </x:c>
      <x:c r="AQ106" t="n">
        <x: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x:f>
        <x:v>2673.1725556374686</x:v>
      </x:c>
      <x:c r="AR106" t="n">
        <x:f>Scenario_Data!U106</x:f>
        <x:v>-53.19999999999999</x:v>
      </x:c>
      <x:c r="AS106" t="n">
        <x: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x:f>
        <x:v>483.24555653411164</x:v>
      </x:c>
      <x:c r="AT106" t="n">
        <x:f>Scenario_Data!V106</x:f>
        <x:v>-106.39999999999998</x:v>
      </x:c>
      <x:c r="AU106" t="n">
        <x: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x:f>
        <x:v>817.9688649858522</x:v>
      </x:c>
      <x:c r="AV106" t="n">
        <x:f>Scenario_Data!W106</x:f>
        <x:v>-106.39999999999998</x:v>
      </x:c>
      <x:c r="AW106" t="n">
        <x: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x:f>
        <x:v>790.3494390057505</x:v>
      </x:c>
    </x:row>
    <x:row r="107">
      <x:c r="A107" t="n">
        <x:f>Chart_Data!K107</x:f>
        <x:v>-7.5</x:v>
      </x:c>
      <x:c r="B107" t="n">
        <x:f>Chart_Data!N107-Chart_Data!L107</x:f>
        <x:v>41.64822705623317</x:v>
      </x:c>
      <x:c r="D107" t="n">
        <x:f>Chart_Data!G107</x:f>
        <x:v>-7.5</x:v>
      </x:c>
      <x:c r="E107" t="n">
        <x:f>Chart_Data!H107</x:f>
        <x:v>470.2640951439132</x:v>
      </x:c>
      <x:c r="F107" t="n">
        <x:f>Chart_Data!I107</x:f>
        <x:v>470.2640951439132</x:v>
      </x:c>
      <x:c r="G107" t="n">
        <x:f>Chart_Data!J107</x:f>
        <x:v>-43.22381145165265</x:v>
      </x:c>
      <x:c r="I107" t="n">
        <x:f>Scenario_Data!A107</x:f>
        <x:v>-0.125</x:v>
      </x:c>
      <x:c r="J107" t="n">
        <x:f>Scenario_Data!H107-(((SQRT((Inputs!$C$52+(Inputs!$H$6))^2+Inputs!$C$52^2-2*(Inputs!$C$52+(Inputs!$H$6))*Inputs!$C$52*COS(SQRT((Scenario_Data!T107)^2+Inputs!$C$6^2)/Inputs!$C$52)))-(Inputs!$H$6))*1000/Inputs!$C$12)</x:f>
        <x:v>-0.07441357867173792</x:v>
      </x:c>
      <x:c r="K107" t="n">
        <x:f>Scenario_Data!I107-(((SQRT((Inputs!$C$52+(Inputs!$H$7))^2+Inputs!$C$52^2-2*(Inputs!$C$52+(Inputs!$H$7))*Inputs!$C$52*COS(SQRT((Scenario_Data!U107)^2+Inputs!$C$6^2)/Inputs!$C$52)))-(Inputs!$H$7))*1000/Inputs!$C$12)</x:f>
        <x:v>-1376.257653004077</x:v>
      </x:c>
      <x:c r="L107" t="n">
        <x:f>Scenario_Data!J107-(((SQRT((Inputs!$C$52+(Inputs!$H$8))^2+Inputs!$C$52^2-2*(Inputs!$C$52+(Inputs!$H$8))*Inputs!$C$52*COS(SQRT((Scenario_Data!V107)^2+Inputs!$C$6^2)/Inputs!$C$52)))-(Inputs!$H$8))*1000/Inputs!$C$12)</x:f>
        <x:v>-5026.741503405137</x:v>
      </x:c>
      <x:c r="M107" t="n">
        <x:f>Scenario_Data!K107-(((SQRT((Inputs!$C$52+(Inputs!$H$9))^2+Inputs!$C$52^2-2*(Inputs!$C$52+(Inputs!$H$9))*Inputs!$C$52*COS(SQRT((Scenario_Data!W107)^2+Inputs!$C$6^2)/Inputs!$C$52)))-(Inputs!$H$9))*1000/Inputs!$C$12)</x:f>
        <x:v>-5739.591971731104</x:v>
      </x:c>
      <x:c r="O107" t="n">
        <x:f>Scenario_Data!T107</x:f>
        <x:v>-7.5</x:v>
      </x:c>
      <x:c r="P107" t="n">
        <x:f>2*(Scenario_Data!B107*1000)/Inputs!$C$21*1000000</x:f>
        <x:v>2668.929716704214</x:v>
      </x:c>
      <x:c r="Q107" t="n">
        <x:f>Scenario_Data!U107</x:f>
        <x:v>-50</x:v>
      </x:c>
      <x:c r="R107" t="n">
        <x:f>2*(Scenario_Data!C107*1000)/Inputs!$C$21*1000000</x:f>
        <x:v>271.54202124724566</x:v>
      </x:c>
      <x:c r="S107" t="n">
        <x:f>Scenario_Data!V107</x:f>
        <x:v>-100</x:v>
      </x:c>
      <x:c r="T107" t="n">
        <x:f>2*(Scenario_Data!D107*1000)/Inputs!$C$21*1000000</x:f>
        <x:v>334.08528909689915</x:v>
      </x:c>
      <x:c r="U107" t="n">
        <x:f>Scenario_Data!W107</x:f>
        <x:v>-100</x:v>
      </x:c>
      <x:c r="V107" t="n">
        <x:f>2*(Scenario_Data!E107*1000)/Inputs!$C$21*1000000</x:f>
        <x:v>268.414857854763</x:v>
      </x:c>
      <x:c r="X107" t="n">
        <x:f>Scenario_Data!T107</x:f>
        <x:v>-7.5</x:v>
      </x:c>
      <x:c r="Y107" t="n">
        <x: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x:f>
        <x:v>2669.218074935372</x:v>
      </x:c>
      <x:c r="Z107" t="n">
        <x:f>Scenario_Data!U107</x:f>
        <x:v>-50</x:v>
      </x:c>
      <x:c r="AA107" t="n">
        <x: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x:f>
        <x:v>271.34832444874655</x:v>
      </x:c>
      <x:c r="AB107" t="n">
        <x:f>Scenario_Data!V107</x:f>
        <x:v>-100</x:v>
      </x:c>
      <x:c r="AC107" t="n">
        <x: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x:f>
        <x:v>333.7679420618156</x:v>
      </x:c>
      <x:c r="AD107" t="n">
        <x:f>Scenario_Data!W107</x:f>
        <x:v>-100</x:v>
      </x:c>
      <x:c r="AE107" t="n">
        <x: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x:f>
        <x:v>268.09751081967937</x:v>
      </x:c>
      <x:c r="AG107" t="n">
        <x:f>Scenario_Data!T107</x:f>
        <x:v>-7.5</x:v>
      </x:c>
      <x:c r="AH107" t="n">
        <x:f>2*(SQRT((Inputs!$C$52+(Scenario_Data!B107))^2+Inputs!$C$52^2-2*(Inputs!$C$52+(Scenario_Data!B107))*Inputs!$C$52*COS(SQRT((Scenario_Data!T107)^2+Inputs!$C$6^2)/Inputs!$C$52))*1000)/Inputs!$C$21*1000000</x:f>
        <x:v>2676.0560857448104</x:v>
      </x:c>
      <x:c r="AI107" t="n">
        <x:f>Scenario_Data!U107</x:f>
        <x:v>-50</x:v>
      </x:c>
      <x:c r="AJ107" t="n">
        <x:f>2*(SQRT((Inputs!$C$52+(Scenario_Data!C107))^2+Inputs!$C$52^2-2*(Inputs!$C$52+(Scenario_Data!C107))*Inputs!$C$52*COS(SQRT((Scenario_Data!U107)^2+Inputs!$C$6^2)/Inputs!$C$52))*1000)/Inputs!$C$21*1000000</x:f>
        <x:v>465.21831918360385</x:v>
      </x:c>
      <x:c r="AK107" t="n">
        <x:f>Scenario_Data!V107</x:f>
        <x:v>-100</x:v>
      </x:c>
      <x:c r="AL107" t="n">
        <x:f>2*(SQRT((Inputs!$C$52+(Scenario_Data!D107))^2+Inputs!$C$52^2-2*(Inputs!$C$52+(Scenario_Data!D107))*Inputs!$C$52*COS(SQRT((Scenario_Data!V107)^2+Inputs!$C$6^2)/Inputs!$C$52))*1000)/Inputs!$C$21*1000000</x:f>
        <x:v>774.2635773636083</x:v>
      </x:c>
      <x:c r="AM107" t="n">
        <x:f>Scenario_Data!W107</x:f>
        <x:v>-100</x:v>
      </x:c>
      <x:c r="AN107" t="n">
        <x:f>2*(SQRT((Inputs!$C$52+(Scenario_Data!E107))^2+Inputs!$C$52^2-2*(Inputs!$C$52+(Scenario_Data!E107))*Inputs!$C$52*COS(SQRT((Scenario_Data!W107)^2+Inputs!$C$6^2)/Inputs!$C$52))*1000)/Inputs!$C$21*1000000</x:f>
        <x:v>746.2816902643984</x:v>
      </x:c>
      <x:c r="AP107" t="n">
        <x:f>Scenario_Data!T107</x:f>
        <x:v>-7.5</x:v>
      </x:c>
      <x:c r="AQ107" t="n">
        <x: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x:f>
        <x:v>2672.9293325644585</x:v>
      </x:c>
      <x:c r="AR107" t="n">
        <x:f>Scenario_Data!U107</x:f>
        <x:v>-50</x:v>
      </x:c>
      <x:c r="AS107" t="n">
        <x: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x:f>
        <x:v>464.1818123077337</x:v>
      </x:c>
      <x:c r="AT107" t="n">
        <x:f>Scenario_Data!V107</x:f>
        <x:v>-100</x:v>
      </x:c>
      <x:c r="AU107" t="n">
        <x: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x:f>
        <x:v>773.8625324971048</x:v>
      </x:c>
      <x:c r="AV107" t="n">
        <x:f>Scenario_Data!W107</x:f>
        <x:v>-100</x:v>
      </x:c>
      <x:c r="AW107" t="n">
        <x: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x:f>
        <x:v>745.953527022406</x:v>
      </x:c>
    </x:row>
    <x:row r="108">
      <x:c r="A108" t="n">
        <x:f>Chart_Data!K108</x:f>
        <x:v>-7</x:v>
      </x:c>
      <x:c r="B108" t="n">
        <x:f>Chart_Data!N108-Chart_Data!L108</x:f>
        <x:v>46.5780342922273</x:v>
      </x:c>
      <x:c r="D108" t="n">
        <x:f>Chart_Data!G108</x:f>
        <x:v>-7</x:v>
      </x:c>
      <x:c r="E108" t="n">
        <x:f>Chart_Data!H108</x:f>
        <x:v>442.95708145426426</x:v>
      </x:c>
      <x:c r="F108" t="n">
        <x:f>Chart_Data!I108</x:f>
        <x:v>442.95708145426426</x:v>
      </x:c>
      <x:c r="G108" t="n">
        <x:f>Chart_Data!J108</x:f>
        <x:v>-48.04634011268098</x:v>
      </x:c>
      <x:c r="I108" t="n">
        <x:f>Scenario_Data!A108</x:f>
        <x:v>-0.117</x:v>
      </x:c>
      <x:c r="J108" t="n">
        <x:f>Scenario_Data!H108-(((SQRT((Inputs!$C$52+(Inputs!$H$6))^2+Inputs!$C$52^2-2*(Inputs!$C$52+(Inputs!$H$6))*Inputs!$C$52*COS(SQRT((Scenario_Data!T108)^2+Inputs!$C$6^2)/Inputs!$C$52)))-(Inputs!$H$6))*1000/Inputs!$C$12)</x:f>
        <x:v>-0.06453059099612801</x:v>
      </x:c>
      <x:c r="K108" t="n">
        <x:f>Scenario_Data!I108-(((SQRT((Inputs!$C$52+(Inputs!$H$7))^2+Inputs!$C$52^2-2*(Inputs!$C$52+(Inputs!$H$7))*Inputs!$C$52*COS(SQRT((Scenario_Data!U108)^2+Inputs!$C$6^2)/Inputs!$C$52)))-(Inputs!$H$7))*1000/Inputs!$C$12)</x:f>
        <x:v>-1161.8662425758666</x:v>
      </x:c>
      <x:c r="L108" t="n">
        <x:f>Scenario_Data!J108-(((SQRT((Inputs!$C$52+(Inputs!$H$8))^2+Inputs!$C$52^2-2*(Inputs!$C$52+(Inputs!$H$8))*Inputs!$C$52*COS(SQRT((Scenario_Data!V108)^2+Inputs!$C$6^2)/Inputs!$C$52)))-(Inputs!$H$8))*1000/Inputs!$C$12)</x:f>
        <x:v>-4320.543295968455</x:v>
      </x:c>
      <x:c r="M108" t="n">
        <x:f>Scenario_Data!K108-(((SQRT((Inputs!$C$52+(Inputs!$H$9))^2+Inputs!$C$52^2-2*(Inputs!$C$52+(Inputs!$H$9))*Inputs!$C$52*COS(SQRT((Scenario_Data!W108)^2+Inputs!$C$6^2)/Inputs!$C$52)))-(Inputs!$H$9))*1000/Inputs!$C$12)</x:f>
        <x:v>-4974.4518534386225</x:v>
      </x:c>
      <x:c r="O108" t="n">
        <x:f>Scenario_Data!T108</x:f>
        <x:v>-7.019999999999996</x:v>
      </x:c>
      <x:c r="P108" t="n">
        <x:f>2*(Scenario_Data!B108*1000)/Inputs!$C$21*1000000</x:f>
        <x:v>2668.8780542971494</x:v>
      </x:c>
      <x:c r="Q108" t="n">
        <x:f>Scenario_Data!U108</x:f>
        <x:v>-46.80000000000001</x:v>
      </x:c>
      <x:c r="R108" t="n">
        <x:f>2*(Scenario_Data!C108*1000)/Inputs!$C$21*1000000</x:f>
        <x:v>266.8278266026293</x:v>
      </x:c>
      <x:c r="S108" t="n">
        <x:f>Scenario_Data!V108</x:f>
        <x:v>-93.60000000000002</x:v>
      </x:c>
      <x:c r="T108" t="n">
        <x:f>2*(Scenario_Data!D108*1000)/Inputs!$C$21*1000000</x:f>
        <x:v>321.6217333926393</x:v>
      </x:c>
      <x:c r="U108" t="n">
        <x:f>Scenario_Data!W108</x:f>
        <x:v>-93.60000000000002</x:v>
      </x:c>
      <x:c r="V108" t="n">
        <x:f>2*(Scenario_Data!E108*1000)/Inputs!$C$21*1000000</x:f>
        <x:v>255.82214613284236</x:v>
      </x:c>
      <x:c r="X108" t="n">
        <x:f>Scenario_Data!T108</x:f>
        <x:v>-7.019999999999996</x:v>
      </x:c>
      <x:c r="Y108" t="n">
        <x: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x:f>
        <x:v>2669.21282651006</x:v>
      </x:c>
      <x:c r="Z108" t="n">
        <x:f>Scenario_Data!U108</x:f>
        <x:v>-46.80000000000001</x:v>
      </x:c>
      <x:c r="AA108" t="n">
        <x: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x:f>
        <x:v>266.4474931554244</x:v>
      </x:c>
      <x:c r="AB108" t="n">
        <x:f>Scenario_Data!V108</x:f>
        <x:v>-93.60000000000002</x:v>
      </x:c>
      <x:c r="AC108" t="n">
        <x: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x:f>
        <x:v>321.74541917953087</x:v>
      </x:c>
      <x:c r="AD108" t="n">
        <x:f>Scenario_Data!W108</x:f>
        <x:v>-93.60000000000002</x:v>
      </x:c>
      <x:c r="AE108" t="n">
        <x: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x:f>
        <x:v>255.945831919734</x:v>
      </x:c>
      <x:c r="AG108" t="n">
        <x:f>Scenario_Data!T108</x:f>
        <x:v>-7.019999999999996</x:v>
      </x:c>
      <x:c r="AH108" t="n">
        <x:f>2*(SQRT((Inputs!$C$52+(Scenario_Data!B108))^2+Inputs!$C$52^2-2*(Inputs!$C$52+(Scenario_Data!B108))*Inputs!$C$52*COS(SQRT((Scenario_Data!T108)^2+Inputs!$C$6^2)/Inputs!$C$52))*1000)/Inputs!$C$21*1000000</x:f>
        <x:v>2675.93172239053</x:v>
      </x:c>
      <x:c r="AI108" t="n">
        <x:f>Scenario_Data!U108</x:f>
        <x:v>-46.80000000000001</x:v>
      </x:c>
      <x:c r="AJ108" t="n">
        <x:f>2*(SQRT((Inputs!$C$52+(Scenario_Data!C108))^2+Inputs!$C$52^2-2*(Inputs!$C$52+(Scenario_Data!C108))*Inputs!$C$52*COS(SQRT((Scenario_Data!U108)^2+Inputs!$C$6^2)/Inputs!$C$52))*1000)/Inputs!$C$21*1000000</x:f>
        <x:v>446.86749403358624</x:v>
      </x:c>
      <x:c r="AK108" t="n">
        <x:f>Scenario_Data!V108</x:f>
        <x:v>-93.60000000000002</x:v>
      </x:c>
      <x:c r="AL108" t="n">
        <x:f>2*(SQRT((Inputs!$C$52+(Scenario_Data!D108))^2+Inputs!$C$52^2-2*(Inputs!$C$52+(Scenario_Data!D108))*Inputs!$C$52*COS(SQRT((Scenario_Data!V108)^2+Inputs!$C$6^2)/Inputs!$C$52))*1000)/Inputs!$C$21*1000000</x:f>
        <x:v>730.7097325562099</x:v>
      </x:c>
      <x:c r="AM108" t="n">
        <x:f>Scenario_Data!W108</x:f>
        <x:v>-93.60000000000002</x:v>
      </x:c>
      <x:c r="AN108" t="n">
        <x:f>2*(SQRT((Inputs!$C$52+(Scenario_Data!E108))^2+Inputs!$C$52^2-2*(Inputs!$C$52+(Scenario_Data!E108))*Inputs!$C$52*COS(SQRT((Scenario_Data!W108)^2+Inputs!$C$6^2)/Inputs!$C$52))*1000)/Inputs!$C$21*1000000</x:f>
        <x:v>702.354778608177</x:v>
      </x:c>
      <x:c r="AP108" t="n">
        <x:f>Scenario_Data!T108</x:f>
        <x:v>-7.019999999999996</x:v>
      </x:c>
      <x:c r="AQ108" t="n">
        <x: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x:f>
        <x:v>2672.888297210901</x:v>
      </x:c>
      <x:c r="AR108" t="n">
        <x:f>Scenario_Data!U108</x:f>
        <x:v>-46.80000000000001</x:v>
      </x:c>
      <x:c r="AS108" t="n">
        <x: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x:f>
        <x:v>445.93034998876044</x:v>
      </x:c>
      <x:c r="AT108" t="n">
        <x:f>Scenario_Data!V108</x:f>
        <x:v>-93.60000000000002</x:v>
      </x:c>
      <x:c r="AU108" t="n">
        <x: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x:f>
        <x:v>730.4506475657673</x:v>
      </x:c>
      <x:c r="AV108" t="n">
        <x:f>Scenario_Data!W108</x:f>
        <x:v>-93.60000000000002</x:v>
      </x:c>
      <x:c r="AW108" t="n">
        <x: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x:f>
        <x:v>702.144121054545</x:v>
      </x:c>
    </x:row>
    <x:row r="109">
      <x:c r="A109" t="n">
        <x:f>Chart_Data!K109</x:f>
        <x:v>-6.5</x:v>
      </x:c>
      <x:c r="B109" t="n">
        <x:f>Chart_Data!N109-Chart_Data!L109</x:f>
        <x:v>57.97037664669824</x:v>
      </x:c>
      <x:c r="D109" t="n">
        <x:f>Chart_Data!G109</x:f>
        <x:v>-6.5</x:v>
      </x:c>
      <x:c r="E109" t="n">
        <x:f>Chart_Data!H109</x:f>
        <x:v>455.8100478474453</x:v>
      </x:c>
      <x:c r="F109" t="n">
        <x:f>Chart_Data!I109</x:f>
        <x:v>455.8100478474453</x:v>
      </x:c>
      <x:c r="G109" t="n">
        <x:f>Chart_Data!J109</x:f>
        <x:v>-59.466303655605586</x:v>
      </x:c>
      <x:c r="I109" t="n">
        <x:f>Scenario_Data!A109</x:f>
        <x:v>-0.108</x:v>
      </x:c>
      <x:c r="J109" t="n">
        <x:f>Scenario_Data!H109-(((SQRT((Inputs!$C$52+(Inputs!$H$6))^2+Inputs!$C$52^2-2*(Inputs!$C$52+(Inputs!$H$6))*Inputs!$C$52*COS(SQRT((Scenario_Data!T109)^2+Inputs!$C$6^2)/Inputs!$C$52)))-(Inputs!$H$6))*1000/Inputs!$C$12)</x:f>
        <x:v>-0.05439381022904399</x:v>
      </x:c>
      <x:c r="K109" t="n">
        <x:f>Scenario_Data!I109-(((SQRT((Inputs!$C$52+(Inputs!$H$7))^2+Inputs!$C$52^2-2*(Inputs!$C$52+(Inputs!$H$7))*Inputs!$C$52*COS(SQRT((Scenario_Data!U109)^2+Inputs!$C$6^2)/Inputs!$C$52)))-(Inputs!$H$7))*1000/Inputs!$C$12)</x:f>
        <x:v>-945.0864313584152</x:v>
      </x:c>
      <x:c r="L109" t="n">
        <x:f>Scenario_Data!J109-(((SQRT((Inputs!$C$52+(Inputs!$H$8))^2+Inputs!$C$52^2-2*(Inputs!$C$52+(Inputs!$H$8))*Inputs!$C$52*COS(SQRT((Scenario_Data!V109)^2+Inputs!$C$6^2)/Inputs!$C$52)))-(Inputs!$H$8))*1000/Inputs!$C$12)</x:f>
        <x:v>-3587.063067524843</x:v>
      </x:c>
      <x:c r="M109" t="n">
        <x:f>Scenario_Data!K109-(((SQRT((Inputs!$C$52+(Inputs!$H$9))^2+Inputs!$C$52^2-2*(Inputs!$C$52+(Inputs!$H$9))*Inputs!$C$52*COS(SQRT((Scenario_Data!W109)^2+Inputs!$C$6^2)/Inputs!$C$52)))-(Inputs!$H$9))*1000/Inputs!$C$12)</x:f>
        <x:v>-4174.431723955735</x:v>
      </x:c>
      <x:c r="O109" t="n">
        <x:f>Scenario_Data!T109</x:f>
        <x:v>-6.479999999999997</x:v>
      </x:c>
      <x:c r="P109" t="n">
        <x:f>2*(Scenario_Data!B109*1000)/Inputs!$C$21*1000000</x:f>
        <x:v>2668.8240169137275</x:v>
      </x:c>
      <x:c r="Q109" t="n">
        <x:f>Scenario_Data!U109</x:f>
        <x:v>-43.19999999999999</x:v>
      </x:c>
      <x:c r="R109" t="n">
        <x:f>2*(Scenario_Data!C109*1000)/Inputs!$C$21*1000000</x:f>
        <x:v>261.89691536536253</x:v>
      </x:c>
      <x:c r="S109" t="n">
        <x:f>Scenario_Data!V109</x:f>
        <x:v>-86.39999999999998</x:v>
      </x:c>
      <x:c r="T109" t="n">
        <x:f>2*(Scenario_Data!D109*1000)/Inputs!$C$21*1000000</x:f>
        <x:v>308.58521464205745</x:v>
      </x:c>
      <x:c r="U109" t="n">
        <x:f>Scenario_Data!W109</x:f>
        <x:v>-86.39999999999998</x:v>
      </x:c>
      <x:c r="V109" t="n">
        <x:f>2*(Scenario_Data!E109*1000)/Inputs!$C$21*1000000</x:f>
        <x:v>242.6505339237053</x:v>
      </x:c>
      <x:c r="X109" t="n">
        <x:f>Scenario_Data!T109</x:f>
        <x:v>-6.479999999999997</x:v>
      </x:c>
      <x:c r="Y109" t="n">
        <x: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x:f>
        <x:v>2669.153662121398</x:v>
      </x:c>
      <x:c r="Z109" t="n">
        <x:f>Scenario_Data!U109</x:f>
        <x:v>-43.19999999999999</x:v>
      </x:c>
      <x:c r="AA109" t="n">
        <x: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x:f>
        <x:v>261.83320614424036</x:v>
      </x:c>
      <x:c r="AB109" t="n">
        <x:f>Scenario_Data!V109</x:f>
        <x:v>-86.39999999999998</x:v>
      </x:c>
      <x:c r="AC109" t="n">
        <x: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x:f>
        <x:v>308.0933863732902</x:v>
      </x:c>
      <x:c r="AD109" t="n">
        <x:f>Scenario_Data!W109</x:f>
        <x:v>-86.39999999999998</x:v>
      </x:c>
      <x:c r="AE109" t="n">
        <x: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x:f>
        <x:v>242.15870565493802</x:v>
      </x:c>
      <x:c r="AG109" t="n">
        <x:f>Scenario_Data!T109</x:f>
        <x:v>-6.479999999999997</x:v>
      </x:c>
      <x:c r="AH109" t="n">
        <x:f>2*(SQRT((Inputs!$C$52+(Scenario_Data!B109))^2+Inputs!$C$52^2-2*(Inputs!$C$52+(Scenario_Data!B109))*Inputs!$C$52*COS(SQRT((Scenario_Data!T109)^2+Inputs!$C$6^2)/Inputs!$C$52))*1000)/Inputs!$C$21*1000000</x:f>
        <x:v>2675.801637380072</x:v>
      </x:c>
      <x:c r="AI109" t="n">
        <x:f>Scenario_Data!U109</x:f>
        <x:v>-43.19999999999999</x:v>
      </x:c>
      <x:c r="AJ109" t="n">
        <x:f>2*(SQRT((Inputs!$C$52+(Scenario_Data!C109))^2+Inputs!$C$52^2-2*(Inputs!$C$52+(Scenario_Data!C109))*Inputs!$C$52*COS(SQRT((Scenario_Data!U109)^2+Inputs!$C$6^2)/Inputs!$C$52))*1000)/Inputs!$C$21*1000000</x:f>
        <x:v>426.90066876687405</x:v>
      </x:c>
      <x:c r="AK109" t="n">
        <x:f>Scenario_Data!V109</x:f>
        <x:v>-86.39999999999998</x:v>
      </x:c>
      <x:c r="AL109" t="n">
        <x:f>2*(SQRT((Inputs!$C$52+(Scenario_Data!D109))^2+Inputs!$C$52^2-2*(Inputs!$C$52+(Scenario_Data!D109))*Inputs!$C$52*COS(SQRT((Scenario_Data!V109)^2+Inputs!$C$6^2)/Inputs!$C$52))*1000)/Inputs!$C$21*1000000</x:f>
        <x:v>682.5280213875686</x:v>
      </x:c>
      <x:c r="AM109" t="n">
        <x:f>Scenario_Data!W109</x:f>
        <x:v>-86.39999999999998</x:v>
      </x:c>
      <x:c r="AN109" t="n">
        <x:f>2*(SQRT((Inputs!$C$52+(Scenario_Data!E109))^2+Inputs!$C$52^2-2*(Inputs!$C$52+(Scenario_Data!E109))*Inputs!$C$52*COS(SQRT((Scenario_Data!W109)^2+Inputs!$C$6^2)/Inputs!$C$52))*1000)/Inputs!$C$21*1000000</x:f>
        <x:v>653.6204124325454</x:v>
      </x:c>
      <x:c r="AP109" t="n">
        <x:f>Scenario_Data!T109</x:f>
        <x:v>-6.479999999999997</x:v>
      </x:c>
      <x:c r="AQ109" t="n">
        <x: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x:f>
        <x:v>2672.8488768179254</x:v>
      </x:c>
      <x:c r="AR109" t="n">
        <x:f>Scenario_Data!U109</x:f>
        <x:v>-43.19999999999999</x:v>
      </x:c>
      <x:c r="AS109" t="n">
        <x: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x:f>
        <x:v>426.13145439102254</x:v>
      </x:c>
      <x:c r="AT109" t="n">
        <x:f>Scenario_Data!V109</x:f>
        <x:v>-86.39999999999998</x:v>
      </x:c>
      <x:c r="AU109" t="n">
        <x: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x:f>
        <x:v>682.0960655809658</x:v>
      </x:c>
      <x:c r="AV109" t="n">
        <x:f>Scenario_Data!W109</x:f>
        <x:v>-86.39999999999998</x:v>
      </x:c>
      <x:c r="AW109" t="n">
        <x: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x:f>
        <x:v>653.271654028491</x:v>
      </x:c>
    </x:row>
    <x:row r="110">
      <x:c r="A110" t="n">
        <x:f>Chart_Data!K110</x:f>
        <x:v>-6</x:v>
      </x:c>
      <x:c r="B110" t="n">
        <x:f>Chart_Data!N110-Chart_Data!L110</x:f>
        <x:v>59.642862865837515</x:v>
      </x:c>
      <x:c r="D110" t="n">
        <x:f>Chart_Data!G110</x:f>
        <x:v>-6</x:v>
      </x:c>
      <x:c r="E110" t="n">
        <x:f>Chart_Data!H110</x:f>
        <x:v>447.7534427220802</x:v>
      </x:c>
      <x:c r="F110" t="n">
        <x:f>Chart_Data!I110</x:f>
        <x:v>447.7534427220802</x:v>
      </x:c>
      <x:c r="G110" t="n">
        <x:f>Chart_Data!J110</x:f>
        <x:v>-61.0986453608147</x:v>
      </x:c>
      <x:c r="I110" t="n">
        <x:f>Scenario_Data!A110</x:f>
        <x:v>-0.1</x:v>
      </x:c>
      <x:c r="J110" t="n">
        <x:f>Scenario_Data!H110-(((SQRT((Inputs!$C$52+(Inputs!$H$6))^2+Inputs!$C$52^2-2*(Inputs!$C$52+(Inputs!$H$6))*Inputs!$C$52*COS(SQRT((Scenario_Data!T110)^2+Inputs!$C$6^2)/Inputs!$C$52)))-(Inputs!$H$6))*1000/Inputs!$C$12)</x:f>
        <x:v>-0.04621763118234412</x:v>
      </x:c>
      <x:c r="K110" t="n">
        <x:f>Scenario_Data!I110-(((SQRT((Inputs!$C$52+(Inputs!$H$7))^2+Inputs!$C$52^2-2*(Inputs!$C$52+(Inputs!$H$7))*Inputs!$C$52*COS(SQRT((Scenario_Data!U110)^2+Inputs!$C$6^2)/Inputs!$C$52)))-(Inputs!$H$7))*1000/Inputs!$C$12)</x:f>
        <x:v>-773.9404461593731</x:v>
      </x:c>
      <x:c r="L110" t="n">
        <x:f>Scenario_Data!J110-(((SQRT((Inputs!$C$52+(Inputs!$H$8))^2+Inputs!$C$52^2-2*(Inputs!$C$52+(Inputs!$H$8))*Inputs!$C$52*COS(SQRT((Scenario_Data!V110)^2+Inputs!$C$6^2)/Inputs!$C$52)))-(Inputs!$H$8))*1000/Inputs!$C$12)</x:f>
        <x:v>-2990.7521080161314</x:v>
      </x:c>
      <x:c r="M110" t="n">
        <x:f>Scenario_Data!K110-(((SQRT((Inputs!$C$52+(Inputs!$H$9))^2+Inputs!$C$52^2-2*(Inputs!$C$52+(Inputs!$H$9))*Inputs!$C$52*COS(SQRT((Scenario_Data!W110)^2+Inputs!$C$6^2)/Inputs!$C$52)))-(Inputs!$H$9))*1000/Inputs!$C$12)</x:f>
        <x:v>-3518.8494159470647</x:v>
      </x:c>
      <x:c r="O110" t="n">
        <x:f>Scenario_Data!T110</x:f>
        <x:v>-6</x:v>
      </x:c>
      <x:c r="P110" t="n">
        <x:f>2*(Scenario_Data!B110*1000)/Inputs!$C$21*1000000</x:f>
        <x:v>2668.779612861375</x:v>
      </x:c>
      <x:c r="Q110" t="n">
        <x:f>Scenario_Data!U110</x:f>
        <x:v>-40</x:v>
      </x:c>
      <x:c r="R110" t="n">
        <x:f>2*(Scenario_Data!C110*1000)/Inputs!$C$21*1000000</x:f>
        <x:v>257.8450455881715</x:v>
      </x:c>
      <x:c r="S110" t="n">
        <x:f>Scenario_Data!V110</x:f>
        <x:v>-80</x:v>
      </x:c>
      <x:c r="T110" t="n">
        <x:f>2*(Scenario_Data!D110*1000)/Inputs!$C$21*1000000</x:f>
        <x:v>297.8727370119498</x:v>
      </x:c>
      <x:c r="U110" t="n">
        <x:f>Scenario_Data!W110</x:f>
        <x:v>-80</x:v>
      </x:c>
      <x:c r="V110" t="n">
        <x:f>2*(Scenario_Data!E110*1000)/Inputs!$C$21*1000000</x:f>
        <x:v>231.82704616271567</x:v>
      </x:c>
      <x:c r="X110" t="n">
        <x:f>Scenario_Data!T110</x:f>
        <x:v>-6</x:v>
      </x:c>
      <x:c r="Y110" t="n">
        <x: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x:f>
        <x:v>2669.1872191485268</x:v>
      </x:c>
      <x:c r="Z110" t="n">
        <x:f>Scenario_Data!U110</x:f>
        <x:v>-40</x:v>
      </x:c>
      <x:c r="AA110" t="n">
        <x: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x:f>
        <x:v>258.0534011370244</x:v>
      </x:c>
      <x:c r="AB110" t="n">
        <x:f>Scenario_Data!V110</x:f>
        <x:v>-80</x:v>
      </x:c>
      <x:c r="AC110" t="n">
        <x: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x:f>
        <x:v>297.7926899590728</x:v>
      </x:c>
      <x:c r="AD110" t="n">
        <x:f>Scenario_Data!W110</x:f>
        <x:v>-80</x:v>
      </x:c>
      <x:c r="AE110" t="n">
        <x: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x:f>
        <x:v>231.74699910983864</x:v>
      </x:c>
      <x:c r="AG110" t="n">
        <x:f>Scenario_Data!T110</x:f>
        <x:v>-6</x:v>
      </x:c>
      <x:c r="AH110" t="n">
        <x:f>2*(SQRT((Inputs!$C$52+(Scenario_Data!B110))^2+Inputs!$C$52^2-2*(Inputs!$C$52+(Scenario_Data!B110))*Inputs!$C$52*COS(SQRT((Scenario_Data!T110)^2+Inputs!$C$6^2)/Inputs!$C$52))*1000)/Inputs!$C$21*1000000</x:f>
        <x:v>2675.6947393589066</x:v>
      </x:c>
      <x:c r="AI110" t="n">
        <x:f>Scenario_Data!U110</x:f>
        <x:v>-40</x:v>
      </x:c>
      <x:c r="AJ110" t="n">
        <x:f>2*(SQRT((Inputs!$C$52+(Scenario_Data!C110))^2+Inputs!$C$52^2-2*(Inputs!$C$52+(Scenario_Data!C110))*Inputs!$C$52*COS(SQRT((Scenario_Data!U110)^2+Inputs!$C$6^2)/Inputs!$C$52))*1000)/Inputs!$C$21*1000000</x:f>
        <x:v>409.8223646341818</x:v>
      </x:c>
      <x:c r="AK110" t="n">
        <x:f>Scenario_Data!V110</x:f>
        <x:v>-80</x:v>
      </x:c>
      <x:c r="AL110" t="n">
        <x:f>2*(SQRT((Inputs!$C$52+(Scenario_Data!D110))^2+Inputs!$C$52^2-2*(Inputs!$C$52+(Scenario_Data!D110))*Inputs!$C$52*COS(SQRT((Scenario_Data!V110)^2+Inputs!$C$6^2)/Inputs!$C$52))*1000)/Inputs!$C$21*1000000</x:f>
        <x:v>640.5073835750494</x:v>
      </x:c>
      <x:c r="AM110" t="n">
        <x:f>Scenario_Data!W110</x:f>
        <x:v>-80</x:v>
      </x:c>
      <x:c r="AN110" t="n">
        <x:f>2*(SQRT((Inputs!$C$52+(Scenario_Data!E110))^2+Inputs!$C$52^2-2*(Inputs!$C$52+(Scenario_Data!E110))*Inputs!$C$52*COS(SQRT((Scenario_Data!W110)^2+Inputs!$C$6^2)/Inputs!$C$52))*1000)/Inputs!$C$21*1000000</x:f>
        <x:v>610.9686237412925</x:v>
      </x:c>
      <x:c r="AP110" t="n">
        <x:f>Scenario_Data!T110</x:f>
        <x:v>-6</x:v>
      </x:c>
      <x:c r="AQ110" t="n">
        <x: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x:f>
        <x:v>2672.7173618544525</x:v>
      </x:c>
      <x:c r="AR110" t="n">
        <x:f>Scenario_Data!U110</x:f>
        <x:v>-40</x:v>
      </x:c>
      <x:c r="AS110" t="n">
        <x: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x:f>
        <x:v>409.0096923375385</x:v>
      </x:c>
      <x:c r="AT110" t="n">
        <x:f>Scenario_Data!V110</x:f>
        <x:v>-80</x:v>
      </x:c>
      <x:c r="AU110" t="n">
        <x: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x:f>
        <x:v>640.0475870733427</x:v>
      </x:c>
      <x:c r="AV110" t="n">
        <x:f>Scenario_Data!W110</x:f>
        <x:v>-80</x:v>
      </x:c>
      <x:c r="AW110" t="n">
        <x: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x:f>
        <x:v>610.5993837127407</x:v>
      </x:c>
    </x:row>
    <x:row r="111">
      <x:c r="A111" t="n">
        <x:f>Chart_Data!K111</x:f>
        <x:v>-5.5</x:v>
      </x:c>
      <x:c r="B111" t="n">
        <x:f>Chart_Data!N111-Chart_Data!L111</x:f>
        <x:v>62.18129300695398</x:v>
      </x:c>
      <x:c r="D111" t="n">
        <x:f>Chart_Data!G111</x:f>
        <x:v>-5.5</x:v>
      </x:c>
      <x:c r="E111" t="n">
        <x:f>Chart_Data!H111</x:f>
        <x:v>437.23203216912464</x:v>
      </x:c>
      <x:c r="F111" t="n">
        <x:f>Chart_Data!I111</x:f>
        <x:v>437.23203216912464</x:v>
      </x:c>
      <x:c r="G111" t="n">
        <x:f>Chart_Data!J111</x:f>
        <x:v>-63.59054434613801</x:v>
      </x:c>
      <x:c r="I111" t="n">
        <x:f>Scenario_Data!A111</x:f>
        <x:v>-0.092</x:v>
      </x:c>
      <x:c r="J111" t="n">
        <x:f>Scenario_Data!H111-(((SQRT((Inputs!$C$52+(Inputs!$H$6))^2+Inputs!$C$52^2-2*(Inputs!$C$52+(Inputs!$H$6))*Inputs!$C$52*COS(SQRT((Scenario_Data!T111)^2+Inputs!$C$6^2)/Inputs!$C$52)))-(Inputs!$H$6))*1000/Inputs!$C$12)</x:f>
        <x:v>-0.038793322623632776</x:v>
      </x:c>
      <x:c r="K111" t="n">
        <x:f>Scenario_Data!I111-(((SQRT((Inputs!$C$52+(Inputs!$H$7))^2+Inputs!$C$52^2-2*(Inputs!$C$52+(Inputs!$H$7))*Inputs!$C$52*COS(SQRT((Scenario_Data!U111)^2+Inputs!$C$6^2)/Inputs!$C$52)))-(Inputs!$H$7))*1000/Inputs!$C$12)</x:f>
        <x:v>-622.7876519774909</x:v>
      </x:c>
      <x:c r="L111" t="n">
        <x:f>Scenario_Data!J111-(((SQRT((Inputs!$C$52+(Inputs!$H$8))^2+Inputs!$C$52^2-2*(Inputs!$C$52+(Inputs!$H$8))*Inputs!$C$52*COS(SQRT((Scenario_Data!V111)^2+Inputs!$C$6^2)/Inputs!$C$52)))-(Inputs!$H$8))*1000/Inputs!$C$12)</x:f>
        <x:v>-2448.174221919682</x:v>
      </x:c>
      <x:c r="M111" t="n">
        <x:f>Scenario_Data!K111-(((SQRT((Inputs!$C$52+(Inputs!$H$9))^2+Inputs!$C$52^2-2*(Inputs!$C$52+(Inputs!$H$9))*Inputs!$C$52*COS(SQRT((Scenario_Data!W111)^2+Inputs!$C$6^2)/Inputs!$C$52)))-(Inputs!$H$9))*1000/Inputs!$C$12)</x:f>
        <x:v>-2916.9995331569153</x:v>
      </x:c>
      <x:c r="O111" t="n">
        <x:f>Scenario_Data!T111</x:f>
        <x:v>-5.519999999999996</x:v>
      </x:c>
      <x:c r="P111" t="n">
        <x:f>2*(Scenario_Data!B111*1000)/Inputs!$C$21*1000000</x:f>
        <x:v>2668.738624505357</x:v>
      </x:c>
      <x:c r="Q111" t="n">
        <x:f>Scenario_Data!U111</x:f>
        <x:v>-36.80000000000001</x:v>
      </x:c>
      <x:c r="R111" t="n">
        <x:f>2*(Scenario_Data!C111*1000)/Inputs!$C$21*1000000</x:f>
        <x:v>254.1048581015337</x:v>
      </x:c>
      <x:c r="S111" t="n">
        <x:f>Scenario_Data!V111</x:f>
        <x:v>-73.60000000000002</x:v>
      </x:c>
      <x:c r="T111" t="n">
        <x:f>2*(Scenario_Data!D111*1000)/Inputs!$C$21*1000000</x:f>
        <x:v>287.98429612261964</x:v>
      </x:c>
      <x:c r="U111" t="n">
        <x:f>Scenario_Data!W111</x:f>
        <x:v>-73.60000000000002</x:v>
      </x:c>
      <x:c r="V111" t="n">
        <x:f>2*(Scenario_Data!E111*1000)/Inputs!$C$21*1000000</x:f>
        <x:v>221.8361343833407</x:v>
      </x:c>
      <x:c r="X111" t="n">
        <x:f>Scenario_Data!T111</x:f>
        <x:v>-5.519999999999996</x:v>
      </x:c>
      <x:c r="Y111" t="n">
        <x: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x:f>
        <x:v>2669.1819695313984</x:v>
      </x:c>
      <x:c r="Z111" t="n">
        <x:f>Scenario_Data!U111</x:f>
        <x:v>-36.80000000000001</x:v>
      </x:c>
      <x:c r="AA111" t="n">
        <x: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x:f>
        <x:v>254.26353690986213</x:v>
      </x:c>
      <x:c r="AB111" t="n">
        <x:f>Scenario_Data!V111</x:f>
        <x:v>-73.60000000000002</x:v>
      </x:c>
      <x:c r="AC111" t="n">
        <x: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x:f>
        <x:v>287.9944488822991</x:v>
      </x:c>
      <x:c r="AD111" t="n">
        <x:f>Scenario_Data!W111</x:f>
        <x:v>-73.60000000000002</x:v>
      </x:c>
      <x:c r="AE111" t="n">
        <x: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x:f>
        <x:v>221.84628714302016</x:v>
      </x:c>
      <x:c r="AG111" t="n">
        <x:f>Scenario_Data!T111</x:f>
        <x:v>-5.519999999999996</x:v>
      </x:c>
      <x:c r="AH111" t="n">
        <x:f>2*(SQRT((Inputs!$C$52+(Scenario_Data!B111))^2+Inputs!$C$52^2-2*(Inputs!$C$52+(Scenario_Data!B111))*Inputs!$C$52*COS(SQRT((Scenario_Data!T111)^2+Inputs!$C$6^2)/Inputs!$C$52))*1000)/Inputs!$C$21*1000000</x:f>
        <x:v>2675.596061480153</x:v>
      </x:c>
      <x:c r="AI111" t="n">
        <x:f>Scenario_Data!U111</x:f>
        <x:v>-36.80000000000001</x:v>
      </x:c>
      <x:c r="AJ111" t="n">
        <x:f>2*(SQRT((Inputs!$C$52+(Scenario_Data!C111))^2+Inputs!$C$52^2-2*(Inputs!$C$52+(Scenario_Data!C111))*Inputs!$C$52*COS(SQRT((Scenario_Data!U111)^2+Inputs!$C$6^2)/Inputs!$C$52))*1000)/Inputs!$C$21*1000000</x:f>
        <x:v>393.44746490213646</x:v>
      </x:c>
      <x:c r="AK111" t="n">
        <x:f>Scenario_Data!V111</x:f>
        <x:v>-73.60000000000002</x:v>
      </x:c>
      <x:c r="AL111" t="n">
        <x:f>2*(SQRT((Inputs!$C$52+(Scenario_Data!D111))^2+Inputs!$C$52^2-2*(Inputs!$C$52+(Scenario_Data!D111))*Inputs!$C$52*COS(SQRT((Scenario_Data!V111)^2+Inputs!$C$6^2)/Inputs!$C$52))*1000)/Inputs!$C$21*1000000</x:f>
        <x:v>599.3484103990154</x:v>
      </x:c>
      <x:c r="AM111" t="n">
        <x:f>Scenario_Data!W111</x:f>
        <x:v>-73.60000000000002</x:v>
      </x:c>
      <x:c r="AN111" t="n">
        <x:f>2*(SQRT((Inputs!$C$52+(Scenario_Data!E111))^2+Inputs!$C$52^2-2*(Inputs!$C$52+(Scenario_Data!E111))*Inputs!$C$52*COS(SQRT((Scenario_Data!W111)^2+Inputs!$C$6^2)/Inputs!$C$52))*1000)/Inputs!$C$21*1000000</x:f>
        <x:v>569.0227686817443</x:v>
      </x:c>
      <x:c r="AP111" t="n">
        <x:f>Scenario_Data!T111</x:f>
        <x:v>-5.519999999999996</x:v>
      </x:c>
      <x:c r="AQ111" t="n">
        <x: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x:f>
        <x:v>2672.777044222336</x:v>
      </x:c>
      <x:c r="AR111" t="n">
        <x:f>Scenario_Data!U111</x:f>
        <x:v>-36.80000000000001</x:v>
      </x:c>
      <x:c r="AS111" t="n">
        <x: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x:f>
        <x:v>392.42990322520836</x:v>
      </x:c>
      <x:c r="AT111" t="n">
        <x:f>Scenario_Data!V111</x:f>
        <x:v>-73.60000000000002</x:v>
      </x:c>
      <x:c r="AU111" t="n">
        <x: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x:f>
        <x:v>599.066176193741</x:v>
      </x:c>
      <x:c r="AV111" t="n">
        <x:f>Scenario_Data!W111</x:f>
        <x:v>-73.60000000000002</x:v>
      </x:c>
      <x:c r="AW111" t="n">
        <x: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x:f>
        <x:v>568.797072806705</x:v>
      </x:c>
    </x:row>
    <x:row r="112">
      <x:c r="A112" t="n">
        <x:f>Chart_Data!K112</x:f>
        <x:v>-5</x:v>
      </x:c>
      <x:c r="B112" t="n">
        <x:f>Chart_Data!N112-Chart_Data!L112</x:f>
        <x:v>72.28193903621099</x:v>
      </x:c>
      <x:c r="D112" t="n">
        <x:f>Chart_Data!G112</x:f>
        <x:v>-5</x:v>
      </x:c>
      <x:c r="E112" t="n">
        <x:f>Chart_Data!H112</x:f>
        <x:v>426.4950993655156</x:v>
      </x:c>
      <x:c r="F112" t="n">
        <x:f>Chart_Data!I112</x:f>
        <x:v>426.4950993655156</x:v>
      </x:c>
      <x:c r="G112" t="n">
        <x:f>Chart_Data!J112</x:f>
        <x:v>-73.64560445817172</x:v>
      </x:c>
      <x:c r="I112" t="n">
        <x:f>Scenario_Data!A112</x:f>
        <x:v>-0.083</x:v>
      </x:c>
      <x:c r="J112" t="n">
        <x:f>Scenario_Data!H112-(((SQRT((Inputs!$C$52+(Inputs!$H$6))^2+Inputs!$C$52^2-2*(Inputs!$C$52+(Inputs!$H$6))*Inputs!$C$52*COS(SQRT((Scenario_Data!T112)^2+Inputs!$C$6^2)/Inputs!$C$52)))-(Inputs!$H$6))*1000/Inputs!$C$12)</x:f>
        <x:v>-0.031303072409855304</x:v>
      </x:c>
      <x:c r="K112" t="n">
        <x:f>Scenario_Data!I112-(((SQRT((Inputs!$C$52+(Inputs!$H$7))^2+Inputs!$C$52^2-2*(Inputs!$C$52+(Inputs!$H$7))*Inputs!$C$52*COS(SQRT((Scenario_Data!U112)^2+Inputs!$C$6^2)/Inputs!$C$52)))-(Inputs!$H$7))*1000/Inputs!$C$12)</x:f>
        <x:v>-476.0772849904715</x:v>
      </x:c>
      <x:c r="L112" t="n">
        <x:f>Scenario_Data!J112-(((SQRT((Inputs!$C$52+(Inputs!$H$8))^2+Inputs!$C$52^2-2*(Inputs!$C$52+(Inputs!$H$8))*Inputs!$C$52*COS(SQRT((Scenario_Data!V112)^2+Inputs!$C$6^2)/Inputs!$C$52)))-(Inputs!$H$8))*1000/Inputs!$C$12)</x:f>
        <x:v>-1903.505948859045</x:v>
      </x:c>
      <x:c r="M112" t="n">
        <x:f>Scenario_Data!K112-(((SQRT((Inputs!$C$52+(Inputs!$H$9))^2+Inputs!$C$52^2-2*(Inputs!$C$52+(Inputs!$H$9))*Inputs!$C$52*COS(SQRT((Scenario_Data!W112)^2+Inputs!$C$6^2)/Inputs!$C$52)))-(Inputs!$H$9))*1000/Inputs!$C$12)</x:f>
        <x:v>-2305.8725854526674</x:v>
      </x:c>
      <x:c r="O112" t="n">
        <x:f>Scenario_Data!T112</x:f>
        <x:v>-4.979999999999997</x:v>
      </x:c>
      <x:c r="P112" t="n">
        <x:f>2*(Scenario_Data!B112*1000)/Inputs!$C$21*1000000</x:f>
        <x:v>2668.696595429362</x:v>
      </x:c>
      <x:c r="Q112" t="n">
        <x:f>Scenario_Data!U112</x:f>
        <x:v>-33.19999999999999</x:v>
      </x:c>
      <x:c r="R112" t="n">
        <x:f>2*(Scenario_Data!C112*1000)/Inputs!$C$21*1000000</x:f>
        <x:v>250.26970491699296</x:v>
      </x:c>
      <x:c r="S112" t="n">
        <x:f>Scenario_Data!V112</x:f>
        <x:v>-66.39999999999998</x:v>
      </x:c>
      <x:c r="T112" t="n">
        <x:f>2*(Scenario_Data!D112*1000)/Inputs!$C$21*1000000</x:f>
        <x:v>277.84478153883373</x:v>
      </x:c>
      <x:c r="U112" t="n">
        <x:f>Scenario_Data!W112</x:f>
        <x:v>-66.39999999999998</x:v>
      </x:c>
      <x:c r="V112" t="n">
        <x:f>2*(Scenario_Data!E112*1000)/Inputs!$C$21*1000000</x:f>
        <x:v>211.59154710956733</x:v>
      </x:c>
      <x:c r="X112" t="n">
        <x:f>Scenario_Data!T112</x:f>
        <x:v>-4.979999999999997</x:v>
      </x:c>
      <x:c r="Y112" t="n">
        <x: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x:f>
        <x:v>2669.1403160796563</x:v>
      </x:c>
      <x:c r="Z112" t="n">
        <x:f>Scenario_Data!U112</x:f>
        <x:v>-33.19999999999999</x:v>
      </x:c>
      <x:c r="AA112" t="n">
        <x: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x:f>
        <x:v>250.22595087297077</x:v>
      </x:c>
      <x:c r="AB112" t="n">
        <x:f>Scenario_Data!V112</x:f>
        <x:v>-66.39999999999998</x:v>
      </x:c>
      <x:c r="AC112" t="n">
        <x: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x:f>
        <x:v>277.34427520472127</x:v>
      </x:c>
      <x:c r="AD112" t="n">
        <x:f>Scenario_Data!W112</x:f>
        <x:v>-66.39999999999998</x:v>
      </x:c>
      <x:c r="AE112" t="n">
        <x: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x:f>
        <x:v>211.09104077545487</x:v>
      </x:c>
      <x:c r="AG112" t="n">
        <x:f>Scenario_Data!T112</x:f>
        <x:v>-4.979999999999997</x:v>
      </x:c>
      <x:c r="AH112" t="n">
        <x:f>2*(SQRT((Inputs!$C$52+(Scenario_Data!B112))^2+Inputs!$C$52^2-2*(Inputs!$C$52+(Scenario_Data!B112))*Inputs!$C$52*COS(SQRT((Scenario_Data!T112)^2+Inputs!$C$6^2)/Inputs!$C$52))*1000)/Inputs!$C$21*1000000</x:f>
        <x:v>2675.494875334485</x:v>
      </x:c>
      <x:c r="AI112" t="n">
        <x:f>Scenario_Data!U112</x:f>
        <x:v>-33.19999999999999</x:v>
      </x:c>
      <x:c r="AJ112" t="n">
        <x:f>2*(SQRT((Inputs!$C$52+(Scenario_Data!C112))^2+Inputs!$C$52^2-2*(Inputs!$C$52+(Scenario_Data!C112))*Inputs!$C$52*COS(SQRT((Scenario_Data!U112)^2+Inputs!$C$6^2)/Inputs!$C$52))*1000)/Inputs!$C$21*1000000</x:f>
        <x:v>375.9660695790947</x:v>
      </x:c>
      <x:c r="AK112" t="n">
        <x:f>Scenario_Data!V112</x:f>
        <x:v>-66.39999999999998</x:v>
      </x:c>
      <x:c r="AL112" t="n">
        <x:f>2*(SQRT((Inputs!$C$52+(Scenario_Data!D112))^2+Inputs!$C$52^2-2*(Inputs!$C$52+(Scenario_Data!D112))*Inputs!$C$52*COS(SQRT((Scenario_Data!V112)^2+Inputs!$C$6^2)/Inputs!$C$52))*1000)/Inputs!$C$21*1000000</x:f>
        <x:v>554.2362316751039</x:v>
      </x:c>
      <x:c r="AM112" t="n">
        <x:f>Scenario_Data!W112</x:f>
        <x:v>-66.39999999999998</x:v>
      </x:c>
      <x:c r="AN112" t="n">
        <x:f>2*(SQRT((Inputs!$C$52+(Scenario_Data!E112))^2+Inputs!$C$52^2-2*(Inputs!$C$52+(Scenario_Data!E112))*Inputs!$C$52*COS(SQRT((Scenario_Data!W112)^2+Inputs!$C$6^2)/Inputs!$C$52))*1000)/Inputs!$C$21*1000000</x:f>
        <x:v>522.8056693168993</x:v>
      </x:c>
      <x:c r="AP112" t="n">
        <x:f>Scenario_Data!T112</x:f>
        <x:v>-4.979999999999997</x:v>
      </x:c>
      <x:c r="AQ112" t="n">
        <x: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x:f>
        <x:v>2672.720653805265</x:v>
      </x:c>
      <x:c r="AR112" t="n">
        <x:f>Scenario_Data!U112</x:f>
        <x:v>-33.19999999999999</x:v>
      </x:c>
      <x:c r="AS112" t="n">
        <x: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x:f>
        <x:v>374.5318753864321</x:v>
      </x:c>
      <x:c r="AT112" t="n">
        <x:f>Scenario_Data!V112</x:f>
        <x:v>-66.39999999999998</x:v>
      </x:c>
      <x:c r="AU112" t="n">
        <x: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x:f>
        <x:v>553.4978964465374</x:v>
      </x:c>
      <x:c r="AV112" t="n">
        <x:f>Scenario_Data!W112</x:f>
        <x:v>-66.39999999999998</x:v>
      </x:c>
      <x:c r="AW112" t="n">
        <x: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x:f>
        <x:v>522.2177364636578</x:v>
      </x:c>
    </x:row>
    <x:row r="113">
      <x:c r="A113" t="n">
        <x:f>Chart_Data!K113</x:f>
        <x:v>-4.5</x:v>
      </x:c>
      <x:c r="B113" t="n">
        <x:f>Chart_Data!N113-Chart_Data!L113</x:f>
        <x:v>71.74572140008553</x:v>
      </x:c>
      <x:c r="D113" t="n">
        <x:f>Chart_Data!G113</x:f>
        <x:v>-4.5</x:v>
      </x:c>
      <x:c r="E113" t="n">
        <x:f>Chart_Data!H113</x:f>
        <x:v>423.30568039510905</x:v>
      </x:c>
      <x:c r="F113" t="n">
        <x:f>Chart_Data!I113</x:f>
        <x:v>423.30568039510905</x:v>
      </x:c>
      <x:c r="G113" t="n">
        <x:f>Chart_Data!J113</x:f>
        <x:v>-73.08935088189128</x:v>
      </x:c>
      <x:c r="I113" t="n">
        <x:f>Scenario_Data!A113</x:f>
        <x:v>-0.075</x:v>
      </x:c>
      <x:c r="J113" t="n">
        <x:f>Scenario_Data!H113-(((SQRT((Inputs!$C$52+(Inputs!$H$6))^2+Inputs!$C$52^2-2*(Inputs!$C$52+(Inputs!$H$6))*Inputs!$C$52*COS(SQRT((Scenario_Data!T113)^2+Inputs!$C$6^2)/Inputs!$C$52)))-(Inputs!$H$6))*1000/Inputs!$C$12)</x:f>
        <x:v>-0.025381627713954913</x:v>
      </x:c>
      <x:c r="K113" t="n">
        <x:f>Scenario_Data!I113-(((SQRT((Inputs!$C$52+(Inputs!$H$7))^2+Inputs!$C$52^2-2*(Inputs!$C$52+(Inputs!$H$7))*Inputs!$C$52*COS(SQRT((Scenario_Data!U113)^2+Inputs!$C$6^2)/Inputs!$C$52)))-(Inputs!$H$7))*1000/Inputs!$C$12)</x:f>
        <x:v>-365.6858715468552</x:v>
      </x:c>
      <x:c r="L113" t="n">
        <x:f>Scenario_Data!J113-(((SQRT((Inputs!$C$52+(Inputs!$H$8))^2+Inputs!$C$52^2-2*(Inputs!$C$52+(Inputs!$H$8))*Inputs!$C$52*COS(SQRT((Scenario_Data!V113)^2+Inputs!$C$6^2)/Inputs!$C$52)))-(Inputs!$H$8))*1000/Inputs!$C$12)</x:f>
        <x:v>-1478.9642244424758</x:v>
      </x:c>
      <x:c r="M113" t="n">
        <x:f>Scenario_Data!K113-(((SQRT((Inputs!$C$52+(Inputs!$H$9))^2+Inputs!$C$52^2-2*(Inputs!$C$52+(Inputs!$H$9))*Inputs!$C$52*COS(SQRT((Scenario_Data!W113)^2+Inputs!$C$6^2)/Inputs!$C$52)))-(Inputs!$H$9))*1000/Inputs!$C$12)</x:f>
        <x:v>-1822.7678078152858</x:v>
      </x:c>
      <x:c r="O113" t="n">
        <x:f>Scenario_Data!T113</x:f>
        <x:v>-4.5</x:v>
      </x:c>
      <x:c r="P113" t="n">
        <x:f>2*(Scenario_Data!B113*1000)/Inputs!$C$21*1000000</x:f>
        <x:v>2668.6628654280557</x:v>
      </x:c>
      <x:c r="Q113" t="n">
        <x:f>Scenario_Data!U113</x:f>
        <x:v>-30</x:v>
      </x:c>
      <x:c r="R113" t="n">
        <x:f>2*(Scenario_Data!C113*1000)/Inputs!$C$21*1000000</x:f>
        <x:v>247.19184229778054</x:v>
      </x:c>
      <x:c r="S113" t="n">
        <x:f>Scenario_Data!V113</x:f>
        <x:v>-60</x:v>
      </x:c>
      <x:c r="T113" t="n">
        <x:f>2*(Scenario_Data!D113*1000)/Inputs!$C$21*1000000</x:f>
        <x:v>269.7074187236558</x:v>
      </x:c>
      <x:c r="U113" t="n">
        <x:f>Scenario_Data!W113</x:f>
        <x:v>-60</x:v>
      </x:c>
      <x:c r="V113" t="n">
        <x:f>2*(Scenario_Data!E113*1000)/Inputs!$C$21*1000000</x:f>
        <x:v>203.36985929112333</x:v>
      </x:c>
      <x:c r="X113" t="n">
        <x:f>Scenario_Data!T113</x:f>
        <x:v>-4.5</x:v>
      </x:c>
      <x:c r="Y113" t="n">
        <x: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x:f>
        <x:v>2669.150465091966</x:v>
      </x:c>
      <x:c r="Z113" t="n">
        <x:f>Scenario_Data!U113</x:f>
        <x:v>-30</x:v>
      </x:c>
      <x:c r="AA113" t="n">
        <x: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x:f>
        <x:v>247.30870990646252</x:v>
      </x:c>
      <x:c r="AB113" t="n">
        <x:f>Scenario_Data!V113</x:f>
        <x:v>-60</x:v>
      </x:c>
      <x:c r="AC113" t="n">
        <x: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x:f>
        <x:v>269.6889774389345</x:v>
      </x:c>
      <x:c r="AD113" t="n">
        <x:f>Scenario_Data!W113</x:f>
        <x:v>-60</x:v>
      </x:c>
      <x:c r="AE113" t="n">
        <x: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x:f>
        <x:v>203.351418006402</x:v>
      </x:c>
      <x:c r="AG113" t="n">
        <x:f>Scenario_Data!T113</x:f>
        <x:v>-4.5</x:v>
      </x:c>
      <x:c r="AH113" t="n">
        <x:f>2*(SQRT((Inputs!$C$52+(Scenario_Data!B113))^2+Inputs!$C$52^2-2*(Inputs!$C$52+(Scenario_Data!B113))*Inputs!$C$52*COS(SQRT((Scenario_Data!T113)^2+Inputs!$C$6^2)/Inputs!$C$52))*1000)/Inputs!$C$21*1000000</x:f>
        <x:v>2675.413667405526</x:v>
      </x:c>
      <x:c r="AI113" t="n">
        <x:f>Scenario_Data!U113</x:f>
        <x:v>-30</x:v>
      </x:c>
      <x:c r="AJ113" t="n">
        <x:f>2*(SQRT((Inputs!$C$52+(Scenario_Data!C113))^2+Inputs!$C$52^2-2*(Inputs!$C$52+(Scenario_Data!C113))*Inputs!$C$52*COS(SQRT((Scenario_Data!U113)^2+Inputs!$C$6^2)/Inputs!$C$52))*1000)/Inputs!$C$21*1000000</x:f>
        <x:v>361.3628330842782</x:v>
      </x:c>
      <x:c r="AK113" t="n">
        <x:f>Scenario_Data!V113</x:f>
        <x:v>-60</x:v>
      </x:c>
      <x:c r="AL113" t="n">
        <x:f>2*(SQRT((Inputs!$C$52+(Scenario_Data!D113))^2+Inputs!$C$52^2-2*(Inputs!$C$52+(Scenario_Data!D113))*Inputs!$C$52*COS(SQRT((Scenario_Data!V113)^2+Inputs!$C$6^2)/Inputs!$C$52))*1000)/Inputs!$C$21*1000000</x:f>
        <x:v>515.385935947316</x:v>
      </x:c>
      <x:c r="AM113" t="n">
        <x:f>Scenario_Data!W113</x:f>
        <x:v>-60</x:v>
      </x:c>
      <x:c r="AN113" t="n">
        <x:f>2*(SQRT((Inputs!$C$52+(Scenario_Data!E113))^2+Inputs!$C$52^2-2*(Inputs!$C$52+(Scenario_Data!E113))*Inputs!$C$52*COS(SQRT((Scenario_Data!W113)^2+Inputs!$C$6^2)/Inputs!$C$52))*1000)/Inputs!$C$21*1000000</x:f>
        <x:v>482.7443088432838</x:v>
      </x:c>
      <x:c r="AP113" t="n">
        <x:f>Scenario_Data!T113</x:f>
        <x:v>-4.5</x:v>
      </x:c>
      <x:c r="AQ113" t="n">
        <x: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x:f>
        <x:v>2672.598639611109</x:v>
      </x:c>
      <x:c r="AR113" t="n">
        <x:f>Scenario_Data!U113</x:f>
        <x:v>-30</x:v>
      </x:c>
      <x:c r="AS113" t="n">
        <x: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x:f>
        <x:v>359.84961427998934</x:v>
      </x:c>
      <x:c r="AT113" t="n">
        <x:f>Scenario_Data!V113</x:f>
        <x:v>-60</x:v>
      </x:c>
      <x:c r="AU113" t="n">
        <x: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x:f>
        <x:v>514.9837762599814</x:v>
      </x:c>
      <x:c r="AV113" t="n">
        <x:f>Scenario_Data!W113</x:f>
        <x:v>-60</x:v>
      </x:c>
      <x:c r="AW113" t="n">
        <x: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x:f>
        <x:v>482.4244073104283</x:v>
      </x:c>
    </x:row>
    <x:row r="114">
      <x:c r="A114" t="n">
        <x:f>Chart_Data!K114</x:f>
        <x:v>-4</x:v>
      </x:c>
      <x:c r="B114" t="n">
        <x:f>Chart_Data!N114-Chart_Data!L114</x:f>
        <x:v>72.89334348716699</x:v>
      </x:c>
      <x:c r="D114" t="n">
        <x:f>Chart_Data!G114</x:f>
        <x:v>-4</x:v>
      </x:c>
      <x:c r="E114" t="n">
        <x:f>Chart_Data!H114</x:f>
        <x:v>426.0147467563934</x:v>
      </x:c>
      <x:c r="F114" t="n">
        <x:f>Chart_Data!I114</x:f>
        <x:v>426.0147467563934</x:v>
      </x:c>
      <x:c r="G114" t="n">
        <x:f>Chart_Data!J114</x:f>
        <x:v>-74.23673097551541</x:v>
      </x:c>
      <x:c r="I114" t="n">
        <x:f>Scenario_Data!A114</x:f>
        <x:v>-0.067</x:v>
      </x:c>
      <x:c r="J114" t="n">
        <x:f>Scenario_Data!H114-(((SQRT((Inputs!$C$52+(Inputs!$H$6))^2+Inputs!$C$52^2-2*(Inputs!$C$52+(Inputs!$H$6))*Inputs!$C$52*COS(SQRT((Scenario_Data!T114)^2+Inputs!$C$6^2)/Inputs!$C$52)))-(Inputs!$H$6))*1000/Inputs!$C$12)</x:f>
        <x:v>-0.02012804017840608</x:v>
      </x:c>
      <x:c r="K114" t="n">
        <x:f>Scenario_Data!I114-(((SQRT((Inputs!$C$52+(Inputs!$H$7))^2+Inputs!$C$52^2-2*(Inputs!$C$52+(Inputs!$H$7))*Inputs!$C$52*COS(SQRT((Scenario_Data!U114)^2+Inputs!$C$6^2)/Inputs!$C$52)))-(Inputs!$H$7))*1000/Inputs!$C$12)</x:f>
        <x:v>-273.20619150514904</x:v>
      </x:c>
      <x:c r="L114" t="n">
        <x:f>Scenario_Data!J114-(((SQRT((Inputs!$C$52+(Inputs!$H$8))^2+Inputs!$C$52^2-2*(Inputs!$C$52+(Inputs!$H$8))*Inputs!$C$52*COS(SQRT((Scenario_Data!V114)^2+Inputs!$C$6^2)/Inputs!$C$52)))-(Inputs!$H$8))*1000/Inputs!$C$12)</x:f>
        <x:v>-1111.366579203488</x:v>
      </x:c>
      <x:c r="M114" t="n">
        <x:f>Scenario_Data!K114-(((SQRT((Inputs!$C$52+(Inputs!$H$9))^2+Inputs!$C$52^2-2*(Inputs!$C$52+(Inputs!$H$9))*Inputs!$C$52*COS(SQRT((Scenario_Data!W114)^2+Inputs!$C$6^2)/Inputs!$C$52)))-(Inputs!$H$9))*1000/Inputs!$C$12)</x:f>
        <x:v>-1397.552072156148</x:v>
      </x:c>
      <x:c r="O114" t="n">
        <x:f>Scenario_Data!T114</x:f>
        <x:v>-4.019999999999996</x:v>
      </x:c>
      <x:c r="P114" t="n">
        <x:f>2*(Scenario_Data!B114*1000)/Inputs!$C$21*1000000</x:f>
        <x:v>2668.632551123084</x:v>
      </x:c>
      <x:c r="Q114" t="n">
        <x:f>Scenario_Data!U114</x:f>
        <x:v>-26.799999999999955</x:v>
      </x:c>
      <x:c r="R114" t="n">
        <x:f>2*(Scenario_Data!C114*1000)/Inputs!$C$21*1000000</x:f>
        <x:v>244.42566196912128</x:v>
      </x:c>
      <x:c r="S114" t="n">
        <x:f>Scenario_Data!V114</x:f>
        <x:v>-53.59999999999991</x:v>
      </x:c>
      <x:c r="T114" t="n">
        <x:f>2*(Scenario_Data!D114*1000)/Inputs!$C$21*1000000</x:f>
        <x:v>262.3940926492553</x:v>
      </x:c>
      <x:c r="U114" t="n">
        <x:f>Scenario_Data!W114</x:f>
        <x:v>-53.59999999999991</x:v>
      </x:c>
      <x:c r="V114" t="n">
        <x:f>2*(Scenario_Data!E114*1000)/Inputs!$C$21*1000000</x:f>
        <x:v>195.98074745429378</x:v>
      </x:c>
      <x:c r="X114" t="n">
        <x:f>Scenario_Data!T114</x:f>
        <x:v>-4.019999999999996</x:v>
      </x:c>
      <x:c r="Y114" t="n">
        <x: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x:f>
        <x:v>2669.116445149462</x:v>
      </x:c>
      <x:c r="Z114" t="n">
        <x:f>Scenario_Data!U114</x:f>
        <x:v>-26.799999999999955</x:v>
      </x:c>
      <x:c r="AA114" t="n">
        <x: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x:f>
        <x:v>244.89455924676798</x:v>
      </x:c>
      <x:c r="AB114" t="n">
        <x:f>Scenario_Data!V114</x:f>
        <x:v>-53.59999999999991</x:v>
      </x:c>
      <x:c r="AC114" t="n">
        <x: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x:f>
        <x:v>262.1373262830445</x:v>
      </x:c>
      <x:c r="AD114" t="n">
        <x:f>Scenario_Data!W114</x:f>
        <x:v>-53.59999999999991</x:v>
      </x:c>
      <x:c r="AE114" t="n">
        <x: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x:f>
        <x:v>195.72398108808298</x:v>
      </x:c>
      <x:c r="AG114" t="n">
        <x:f>Scenario_Data!T114</x:f>
        <x:v>-4.019999999999996</x:v>
      </x:c>
      <x:c r="AH114" t="n">
        <x:f>2*(SQRT((Inputs!$C$52+(Scenario_Data!B114))^2+Inputs!$C$52^2-2*(Inputs!$C$52+(Scenario_Data!B114))*Inputs!$C$52*COS(SQRT((Scenario_Data!T114)^2+Inputs!$C$6^2)/Inputs!$C$52))*1000)/Inputs!$C$21*1000000</x:f>
        <x:v>2675.340681520537</x:v>
      </x:c>
      <x:c r="AI114" t="n">
        <x:f>Scenario_Data!U114</x:f>
        <x:v>-26.799999999999955</x:v>
      </x:c>
      <x:c r="AJ114" t="n">
        <x:f>2*(SQRT((Inputs!$C$52+(Scenario_Data!C114))^2+Inputs!$C$52^2-2*(Inputs!$C$52+(Scenario_Data!C114))*Inputs!$C$52*COS(SQRT((Scenario_Data!U114)^2+Inputs!$C$6^2)/Inputs!$C$52))*1000)/Inputs!$C$21*1000000</x:f>
        <x:v>347.7451277079186</x:v>
      </x:c>
      <x:c r="AK114" t="n">
        <x:f>Scenario_Data!V114</x:f>
        <x:v>-53.59999999999991</x:v>
      </x:c>
      <x:c r="AL114" t="n">
        <x:f>2*(SQRT((Inputs!$C$52+(Scenario_Data!D114))^2+Inputs!$C$52^2-2*(Inputs!$C$52+(Scenario_Data!D114))*Inputs!$C$52*COS(SQRT((Scenario_Data!V114)^2+Inputs!$C$6^2)/Inputs!$C$52))*1000)/Inputs!$C$21*1000000</x:f>
        <x:v>477.9486297496659</x:v>
      </x:c>
      <x:c r="AM114" t="n">
        <x:f>Scenario_Data!W114</x:f>
        <x:v>-53.59999999999991</x:v>
      </x:c>
      <x:c r="AN114" t="n">
        <x:f>2*(SQRT((Inputs!$C$52+(Scenario_Data!E114))^2+Inputs!$C$52^2-2*(Inputs!$C$52+(Scenario_Data!E114))*Inputs!$C$52*COS(SQRT((Scenario_Data!W114)^2+Inputs!$C$6^2)/Inputs!$C$52))*1000)/Inputs!$C$21*1000000</x:f>
        <x:v>443.8466445893456</x:v>
      </x:c>
      <x:c r="AP114" t="n">
        <x:f>Scenario_Data!T114</x:f>
        <x:v>-4.019999999999996</x:v>
      </x:c>
      <x:c r="AQ114" t="n">
        <x: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x:f>
        <x:v>2672.6169862341135</x:v>
      </x:c>
      <x:c r="AR114" t="n">
        <x:f>Scenario_Data!U114</x:f>
        <x:v>-26.799999999999955</x:v>
      </x:c>
      <x:c r="AS114" t="n">
        <x: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x:f>
        <x:v>346.3884478023773</x:v>
      </x:c>
      <x:c r="AT114" t="n">
        <x:f>Scenario_Data!V114</x:f>
        <x:v>-53.59999999999991</x:v>
      </x:c>
      <x:c r="AU114" t="n">
        <x: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x:f>
        <x:v>477.1635303185421</x:v>
      </x:c>
      <x:c r="AV114" t="n">
        <x:f>Scenario_Data!W114</x:f>
        <x:v>-53.59999999999991</x:v>
      </x:c>
      <x:c r="AW114" t="n">
        <x: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x:f>
        <x:v>443.22219695033067</x:v>
      </x:c>
    </x:row>
    <x:row r="115">
      <x:c r="A115" t="n">
        <x:f>Chart_Data!K115</x:f>
        <x:v>-3.5</x:v>
      </x:c>
      <x:c r="B115" t="n">
        <x:f>Chart_Data!N115-Chart_Data!L115</x:f>
        <x:v>77.37954858592536</x:v>
      </x:c>
      <x:c r="D115" t="n">
        <x:f>Chart_Data!G115</x:f>
        <x:v>-3.5</x:v>
      </x:c>
      <x:c r="E115" t="n">
        <x:f>Chart_Data!H115</x:f>
        <x:v>404.9650488225026</x:v>
      </x:c>
      <x:c r="F115" t="n">
        <x:f>Chart_Data!I115</x:f>
        <x:v>404.9650488225026</x:v>
      </x:c>
      <x:c r="G115" t="n">
        <x:f>Chart_Data!J115</x:f>
        <x:v>-78.64906809360804</x:v>
      </x:c>
      <x:c r="I115" t="n">
        <x:f>Scenario_Data!A115</x:f>
        <x:v>-0.058</x:v>
      </x:c>
      <x:c r="J115" t="n">
        <x:f>Scenario_Data!H115-(((SQRT((Inputs!$C$52+(Inputs!$H$6))^2+Inputs!$C$52^2-2*(Inputs!$C$52+(Inputs!$H$6))*Inputs!$C$52*COS(SQRT((Scenario_Data!T115)^2+Inputs!$C$6^2)/Inputs!$C$52)))-(Inputs!$H$6))*1000/Inputs!$C$12)</x:f>
        <x:v>-0.014988976835297763</x:v>
      </x:c>
      <x:c r="K115" t="n">
        <x:f>Scenario_Data!I115-(((SQRT((Inputs!$C$52+(Inputs!$H$7))^2+Inputs!$C$52^2-2*(Inputs!$C$52+(Inputs!$H$7))*Inputs!$C$52*COS(SQRT((Scenario_Data!U115)^2+Inputs!$C$6^2)/Inputs!$C$52)))-(Inputs!$H$7))*1000/Inputs!$C$12)</x:f>
        <x:v>-189.13531467878693</x:v>
      </x:c>
      <x:c r="L115" t="n">
        <x:f>Scenario_Data!J115-(((SQRT((Inputs!$C$52+(Inputs!$H$8))^2+Inputs!$C$52^2-2*(Inputs!$C$52+(Inputs!$H$8))*Inputs!$C$52*COS(SQRT((Scenario_Data!V115)^2+Inputs!$C$6^2)/Inputs!$C$52)))-(Inputs!$H$8))*1000/Inputs!$C$12)</x:f>
        <x:v>-766.3118882481267</x:v>
      </x:c>
      <x:c r="M115" t="n">
        <x:f>Scenario_Data!K115-(((SQRT((Inputs!$C$52+(Inputs!$H$9))^2+Inputs!$C$52^2-2*(Inputs!$C$52+(Inputs!$H$9))*Inputs!$C$52*COS(SQRT((Scenario_Data!W115)^2+Inputs!$C$6^2)/Inputs!$C$52)))-(Inputs!$H$9))*1000/Inputs!$C$12)</x:f>
        <x:v>-989.6747178815604</x:v>
      </x:c>
      <x:c r="O115" t="n">
        <x:f>Scenario_Data!T115</x:f>
        <x:v>-3.480000000000004</x:v>
      </x:c>
      <x:c r="P115" t="n">
        <x:f>2*(Scenario_Data!B115*1000)/Inputs!$C$21*1000000</x:f>
        <x:v>2668.602530354516</x:v>
      </x:c>
      <x:c r="Q115" t="n">
        <x:f>Scenario_Data!U115</x:f>
        <x:v>-23.200000000000045</x:v>
      </x:c>
      <x:c r="R115" t="n">
        <x:f>2*(Scenario_Data!C115*1000)/Inputs!$C$21*1000000</x:f>
        <x:v>241.68626683730656</x:v>
      </x:c>
      <x:c r="S115" t="n">
        <x:f>Scenario_Data!V115</x:f>
        <x:v>-46.40000000000009</x:v>
      </x:c>
      <x:c r="T115" t="n">
        <x:f>2*(Scenario_Data!D115*1000)/Inputs!$C$21*1000000</x:f>
        <x:v>255.1515822322656</x:v>
      </x:c>
      <x:c r="U115" t="n">
        <x:f>Scenario_Data!W115</x:f>
        <x:v>-46.40000000000009</x:v>
      </x:c>
      <x:c r="V115" t="n">
        <x:f>2*(Scenario_Data!E115*1000)/Inputs!$C$21*1000000</x:f>
        <x:v>188.66318511588446</x:v>
      </x:c>
      <x:c r="X115" t="n">
        <x:f>Scenario_Data!T115</x:f>
        <x:v>-3.480000000000004</x:v>
      </x:c>
      <x:c r="Y115" t="n">
        <x: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x:f>
        <x:v>2669.071127146474</x:v>
      </x:c>
      <x:c r="Z115" t="n">
        <x:f>Scenario_Data!U115</x:f>
        <x:v>-23.200000000000045</x:v>
      </x:c>
      <x:c r="AA115" t="n">
        <x: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x:f>
        <x:v>242.50974664246002</x:v>
      </x:c>
      <x:c r="AB115" t="n">
        <x:f>Scenario_Data!V115</x:f>
        <x:v>-46.40000000000009</x:v>
      </x:c>
      <x:c r="AC115" t="n">
        <x: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x:f>
        <x:v>254.9051987890375</x:v>
      </x:c>
      <x:c r="AD115" t="n">
        <x:f>Scenario_Data!W115</x:f>
        <x:v>-46.40000000000009</x:v>
      </x:c>
      <x:c r="AE115" t="n">
        <x: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x:f>
        <x:v>188.41680167265642</x:v>
      </x:c>
      <x:c r="AG115" t="n">
        <x:f>Scenario_Data!T115</x:f>
        <x:v>-3.480000000000004</x:v>
      </x:c>
      <x:c r="AH115" t="n">
        <x:f>2*(SQRT((Inputs!$C$52+(Scenario_Data!B115))^2+Inputs!$C$52^2-2*(Inputs!$C$52+(Scenario_Data!B115))*Inputs!$C$52*COS(SQRT((Scenario_Data!T115)^2+Inputs!$C$6^2)/Inputs!$C$52))*1000)/Inputs!$C$21*1000000</x:f>
        <x:v>2675.2684009246454</x:v>
      </x:c>
      <x:c r="AI115" t="n">
        <x:f>Scenario_Data!U115</x:f>
        <x:v>-23.200000000000045</x:v>
      </x:c>
      <x:c r="AJ115" t="n">
        <x:f>2*(SQRT((Inputs!$C$52+(Scenario_Data!C115))^2+Inputs!$C$52^2-2*(Inputs!$C$52+(Scenario_Data!C115))*Inputs!$C$52*COS(SQRT((Scenario_Data!U115)^2+Inputs!$C$6^2)/Inputs!$C$52))*1000)/Inputs!$C$21*1000000</x:f>
        <x:v>333.7408733876195</x:v>
      </x:c>
      <x:c r="AK115" t="n">
        <x:f>Scenario_Data!V115</x:f>
        <x:v>-46.40000000000009</x:v>
      </x:c>
      <x:c r="AL115" t="n">
        <x:f>2*(SQRT((Inputs!$C$52+(Scenario_Data!D115))^2+Inputs!$C$52^2-2*(Inputs!$C$52+(Scenario_Data!D115))*Inputs!$C$52*COS(SQRT((Scenario_Data!V115)^2+Inputs!$C$6^2)/Inputs!$C$52))*1000)/Inputs!$C$21*1000000</x:f>
        <x:v>437.8992973190349</x:v>
      </x:c>
      <x:c r="AM115" t="n">
        <x:f>Scenario_Data!W115</x:f>
        <x:v>-46.40000000000009</x:v>
      </x:c>
      <x:c r="AN115" t="n">
        <x:f>2*(SQRT((Inputs!$C$52+(Scenario_Data!E115))^2+Inputs!$C$52^2-2*(Inputs!$C$52+(Scenario_Data!E115))*Inputs!$C$52*COS(SQRT((Scenario_Data!W115)^2+Inputs!$C$6^2)/Inputs!$C$52))*1000)/Inputs!$C$21*1000000</x:f>
        <x:v>401.81820551497754</x:v>
      </x:c>
      <x:c r="AP115" t="n">
        <x:f>Scenario_Data!T115</x:f>
        <x:v>-3.480000000000004</x:v>
      </x:c>
      <x:c r="AQ115" t="n">
        <x: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x:f>
        <x:v>2672.460019122305</x:v>
      </x:c>
      <x:c r="AR115" t="n">
        <x:f>Scenario_Data!U115</x:f>
        <x:v>-23.200000000000045</x:v>
      </x:c>
      <x:c r="AS115" t="n">
        <x: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x:f>
        <x:v>332.3135990985811</x:v>
      </x:c>
      <x:c r="AT115" t="n">
        <x:f>Scenario_Data!V115</x:f>
        <x:v>-46.40000000000009</x:v>
      </x:c>
      <x:c r="AU115" t="n">
        <x: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x:f>
        <x:v>437.0157822838088</x:v>
      </x:c>
      <x:c r="AV115" t="n">
        <x:f>Scenario_Data!W115</x:f>
        <x:v>-46.40000000000009</x:v>
      </x:c>
      <x:c r="AW115" t="n">
        <x: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x:f>
        <x:v>401.113136863523</x:v>
      </x:c>
    </x:row>
    <x:row r="116">
      <x:c r="A116" t="n">
        <x:f>Chart_Data!K116</x:f>
        <x:v>-3</x:v>
      </x:c>
      <x:c r="B116" t="n">
        <x:f>Chart_Data!N116-Chart_Data!L116</x:f>
        <x:v>66.3714884220658</x:v>
      </x:c>
      <x:c r="D116" t="n">
        <x:f>Chart_Data!G116</x:f>
        <x:v>-3</x:v>
      </x:c>
      <x:c r="E116" t="n">
        <x:f>Chart_Data!H116</x:f>
        <x:v>420.14741895617453</x:v>
      </x:c>
      <x:c r="F116" t="n">
        <x:f>Chart_Data!I116</x:f>
        <x:v>420.14741895617453</x:v>
      </x:c>
      <x:c r="G116" t="n">
        <x:f>Chart_Data!J116</x:f>
        <x:v>-67.68197739460362</x:v>
      </x:c>
      <x:c r="I116" t="n">
        <x:f>Scenario_Data!A116</x:f>
        <x:v>-0.05</x:v>
      </x:c>
      <x:c r="J116" t="n">
        <x:f>Scenario_Data!H116-(((SQRT((Inputs!$C$52+(Inputs!$H$6))^2+Inputs!$C$52^2-2*(Inputs!$C$52+(Inputs!$H$6))*Inputs!$C$52*COS(SQRT((Scenario_Data!T116)^2+Inputs!$C$6^2)/Inputs!$C$52)))-(Inputs!$H$6))*1000/Inputs!$C$12)</x:f>
        <x:v>-0.011085185236197503</x:v>
      </x:c>
      <x:c r="K116" t="n">
        <x:f>Scenario_Data!I116-(((SQRT((Inputs!$C$52+(Inputs!$H$7))^2+Inputs!$C$52^2-2*(Inputs!$C$52+(Inputs!$H$7))*Inputs!$C$52*COS(SQRT((Scenario_Data!U116)^2+Inputs!$C$6^2)/Inputs!$C$52)))-(Inputs!$H$7))*1000/Inputs!$C$12)</x:f>
        <x:v>-130.5838257490177</x:v>
      </x:c>
      <x:c r="L116" t="n">
        <x:f>Scenario_Data!J116-(((SQRT((Inputs!$C$52+(Inputs!$H$8))^2+Inputs!$C$52^2-2*(Inputs!$C$52+(Inputs!$H$8))*Inputs!$C$52*COS(SQRT((Scenario_Data!V116)^2+Inputs!$C$6^2)/Inputs!$C$52)))-(Inputs!$H$8))*1000/Inputs!$C$12)</x:f>
        <x:v>-520.010223424264</x:v>
      </x:c>
      <x:c r="M116" t="n">
        <x:f>Scenario_Data!K116-(((SQRT((Inputs!$C$52+(Inputs!$H$9))^2+Inputs!$C$52^2-2*(Inputs!$C$52+(Inputs!$H$9))*Inputs!$C$52*COS(SQRT((Scenario_Data!W116)^2+Inputs!$C$6^2)/Inputs!$C$52)))-(Inputs!$H$9))*1000/Inputs!$C$12)</x:f>
        <x:v>-690.4618564313296</x:v>
      </x:c>
      <x:c r="O116" t="n">
        <x:f>Scenario_Data!T116</x:f>
        <x:v>-3</x:v>
      </x:c>
      <x:c r="P116" t="n">
        <x:f>2*(Scenario_Data!B116*1000)/Inputs!$C$21*1000000</x:f>
        <x:v>2668.579474404256</x:v>
      </x:c>
      <x:c r="Q116" t="n">
        <x:f>Scenario_Data!U116</x:f>
        <x:v>-20</x:v>
      </x:c>
      <x:c r="R116" t="n">
        <x:f>2*(Scenario_Data!C116*1000)/Inputs!$C$21*1000000</x:f>
        <x:v>239.5824113760727</x:v>
      </x:c>
      <x:c r="S116" t="n">
        <x:f>Scenario_Data!V116</x:f>
        <x:v>-40</x:v>
      </x:c>
      <x:c r="T116" t="n">
        <x:f>2*(Scenario_Data!D116*1000)/Inputs!$C$21*1000000</x:f>
        <x:v>249.58933423201725</x:v>
      </x:c>
      <x:c r="U116" t="n">
        <x:f>Scenario_Data!W116</x:f>
        <x:v>-40</x:v>
      </x:c>
      <x:c r="V116" t="n">
        <x:f>2*(Scenario_Data!E116*1000)/Inputs!$C$21*1000000</x:f>
        <x:v>183.04329723998595</x:v>
      </x:c>
      <x:c r="X116" t="n">
        <x:f>Scenario_Data!T116</x:f>
        <x:v>-3</x:v>
      </x:c>
      <x:c r="Y116" t="n">
        <x: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x:f>
        <x:v>2669.0309999552733</x:v>
      </x:c>
      <x:c r="Z116" t="n">
        <x:f>Scenario_Data!U116</x:f>
        <x:v>-20</x:v>
      </x:c>
      <x:c r="AA116" t="n">
        <x: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x:f>
        <x:v>240.55860819468157</x:v>
      </x:c>
      <x:c r="AB116" t="n">
        <x:f>Scenario_Data!V116</x:f>
        <x:v>-40</x:v>
      </x:c>
      <x:c r="AC116" t="n">
        <x: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x:f>
        <x:v>249.79768978087017</x:v>
      </x:c>
      <x:c r="AD116" t="n">
        <x:f>Scenario_Data!W116</x:f>
        <x:v>-40</x:v>
      </x:c>
      <x:c r="AE116" t="n">
        <x: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x:f>
        <x:v>183.25165278883884</x:v>
      </x:c>
      <x:c r="AG116" t="n">
        <x:f>Scenario_Data!T116</x:f>
        <x:v>-3</x:v>
      </x:c>
      <x:c r="AH116" t="n">
        <x:f>2*(SQRT((Inputs!$C$52+(Scenario_Data!B116))^2+Inputs!$C$52^2-2*(Inputs!$C$52+(Scenario_Data!B116))*Inputs!$C$52*COS(SQRT((Scenario_Data!T116)^2+Inputs!$C$6^2)/Inputs!$C$52))*1000)/Inputs!$C$21*1000000</x:f>
        <x:v>2675.2128884537788</x:v>
      </x:c>
      <x:c r="AI116" t="n">
        <x:f>Scenario_Data!U116</x:f>
        <x:v>-20</x:v>
      </x:c>
      <x:c r="AJ116" t="n">
        <x:f>2*(SQRT((Inputs!$C$52+(Scenario_Data!C116))^2+Inputs!$C$52^2-2*(Inputs!$C$52+(Scenario_Data!C116))*Inputs!$C$52*COS(SQRT((Scenario_Data!U116)^2+Inputs!$C$6^2)/Inputs!$C$52))*1000)/Inputs!$C$21*1000000</x:f>
        <x:v>322.5932252064959</x:v>
      </x:c>
      <x:c r="AK116" t="n">
        <x:f>Scenario_Data!V116</x:f>
        <x:v>-40</x:v>
      </x:c>
      <x:c r="AL116" t="n">
        <x:f>2*(SQRT((Inputs!$C$52+(Scenario_Data!D116))^2+Inputs!$C$52^2-2*(Inputs!$C$52+(Scenario_Data!D116))*Inputs!$C$52*COS(SQRT((Scenario_Data!V116)^2+Inputs!$C$6^2)/Inputs!$C$52))*1000)/Inputs!$C$21*1000000</x:f>
        <x:v>404.5820446556752</x:v>
      </x:c>
      <x:c r="AM116" t="n">
        <x:f>Scenario_Data!W116</x:f>
        <x:v>-40</x:v>
      </x:c>
      <x:c r="AN116" t="n">
        <x:f>2*(SQRT((Inputs!$C$52+(Scenario_Data!E116))^2+Inputs!$C$52^2-2*(Inputs!$C$52+(Scenario_Data!E116))*Inputs!$C$52*COS(SQRT((Scenario_Data!W116)^2+Inputs!$C$6^2)/Inputs!$C$52))*1000)/Inputs!$C$21*1000000</x:f>
        <x:v>366.42028097133147</x:v>
      </x:c>
      <x:c r="AP116" t="n">
        <x:f>Scenario_Data!T116</x:f>
        <x:v>-3</x:v>
      </x:c>
      <x:c r="AQ116" t="n">
        <x: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x:f>
        <x:v>2672.4187092220745</x:v>
      </x:c>
      <x:c r="AR116" t="n">
        <x:f>Scenario_Data!U116</x:f>
        <x:v>-20</x:v>
      </x:c>
      <x:c r="AS116" t="n">
        <x: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x:f>
        <x:v>320.93709247243464</x:v>
      </x:c>
      <x:c r="AT116" t="n">
        <x:f>Scenario_Data!V116</x:f>
        <x:v>-40</x:v>
      </x:c>
      <x:c r="AU116" t="n">
        <x: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x:f>
        <x:v>403.78577502859594</x:v>
      </x:c>
      <x:c r="AV116" t="n">
        <x:f>Scenario_Data!W116</x:f>
        <x:v>-40</x:v>
      </x:c>
      <x:c r="AW116" t="n">
        <x: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x:f>
        <x:v>365.78076718889946</x:v>
      </x:c>
    </x:row>
    <x:row r="117">
      <x:c r="A117" t="n">
        <x:f>Chart_Data!K117</x:f>
        <x:v>-2.5</x:v>
      </x:c>
      <x:c r="B117" t="n">
        <x:f>Chart_Data!N117-Chart_Data!L117</x:f>
        <x:v>48.527075969164855</x:v>
      </x:c>
      <x:c r="D117" t="n">
        <x:f>Chart_Data!G117</x:f>
        <x:v>-2.5</x:v>
      </x:c>
      <x:c r="E117" t="n">
        <x:f>Chart_Data!H117</x:f>
        <x:v>420.97624209793275</x:v>
      </x:c>
      <x:c r="F117" t="n">
        <x:f>Chart_Data!I117</x:f>
        <x:v>420.97624209793275</x:v>
      </x:c>
      <x:c r="G117" t="n">
        <x:f>Chart_Data!J117</x:f>
        <x:v>-49.83449295863612</x:v>
      </x:c>
      <x:c r="I117" t="n">
        <x:f>Scenario_Data!A117</x:f>
        <x:v>-0.042</x:v>
      </x:c>
      <x:c r="J117" t="n">
        <x:f>Scenario_Data!H117-(((SQRT((Inputs!$C$52+(Inputs!$H$6))^2+Inputs!$C$52^2-2*(Inputs!$C$52+(Inputs!$H$6))*Inputs!$C$52*COS(SQRT((Scenario_Data!T117)^2+Inputs!$C$6^2)/Inputs!$C$52)))-(Inputs!$H$6))*1000/Inputs!$C$12)</x:f>
        <x:v>-0.007789207541122778</x:v>
      </x:c>
      <x:c r="K117" t="n">
        <x:f>Scenario_Data!I117-(((SQRT((Inputs!$C$52+(Inputs!$H$7))^2+Inputs!$C$52^2-2*(Inputs!$C$52+(Inputs!$H$7))*Inputs!$C$52*COS(SQRT((Scenario_Data!U117)^2+Inputs!$C$6^2)/Inputs!$C$52)))-(Inputs!$H$7))*1000/Inputs!$C$12)</x:f>
        <x:v>-85.53253798029891</x:v>
      </x:c>
      <x:c r="L117" t="n">
        <x:f>Scenario_Data!J117-(((SQRT((Inputs!$C$52+(Inputs!$H$8))^2+Inputs!$C$52^2-2*(Inputs!$C$52+(Inputs!$H$8))*Inputs!$C$52*COS(SQRT((Scenario_Data!V117)^2+Inputs!$C$6^2)/Inputs!$C$52)))-(Inputs!$H$8))*1000/Inputs!$C$12)</x:f>
        <x:v>-328.85027552274187</x:v>
      </x:c>
      <x:c r="M117" t="n">
        <x:f>Scenario_Data!K117-(((SQRT((Inputs!$C$52+(Inputs!$H$9))^2+Inputs!$C$52^2-2*(Inputs!$C$52+(Inputs!$H$9))*Inputs!$C$52*COS(SQRT((Scenario_Data!W117)^2+Inputs!$C$6^2)/Inputs!$C$52)))-(Inputs!$H$9))*1000/Inputs!$C$12)</x:f>
        <x:v>-450.68761011315837</x:v>
      </x:c>
      <x:c r="O117" t="n">
        <x:f>Scenario_Data!T117</x:f>
        <x:v>-2.520000000000003</x:v>
      </x:c>
      <x:c r="P117" t="n">
        <x:f>2*(Scenario_Data!B117*1000)/Inputs!$C$21*1000000</x:f>
        <x:v>2668.5598341503305</x:v>
      </x:c>
      <x:c r="Q117" t="n">
        <x:f>Scenario_Data!U117</x:f>
        <x:v>-16.80000000000001</x:v>
      </x:c>
      <x:c r="R117" t="n">
        <x:f>2*(Scenario_Data!C117*1000)/Inputs!$C$21*1000000</x:f>
        <x:v>237.7902382053921</x:v>
      </x:c>
      <x:c r="S117" t="n">
        <x:f>Scenario_Data!V117</x:f>
        <x:v>-33.60000000000002</x:v>
      </x:c>
      <x:c r="T117" t="n">
        <x:f>2*(Scenario_Data!D117*1000)/Inputs!$C$21*1000000</x:f>
        <x:v>244.85112297254656</x:v>
      </x:c>
      <x:c r="U117" t="n">
        <x:f>Scenario_Data!W117</x:f>
        <x:v>-33.60000000000002</x:v>
      </x:c>
      <x:c r="V117" t="n">
        <x:f>2*(Scenario_Data!E117*1000)/Inputs!$C$21*1000000</x:f>
        <x:v>178.25598534570207</x:v>
      </x:c>
      <x:c r="X117" t="n">
        <x:f>Scenario_Data!T117</x:f>
        <x:v>-2.520000000000003</x:v>
      </x:c>
      <x:c r="Y117" t="n">
        <x: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x:f>
        <x:v>2668.8889151109515</x:v>
      </x:c>
      <x:c r="Z117" t="n">
        <x:f>Scenario_Data!U117</x:f>
        <x:v>-16.80000000000001</x:v>
      </x:c>
      <x:c r="AA117" t="n">
        <x: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x:f>
        <x:v>238.60170190557463</x:v>
      </x:c>
      <x:c r="AB117" t="n">
        <x:f>Scenario_Data!V117</x:f>
        <x:v>-33.60000000000002</x:v>
      </x:c>
      <x:c r="AC117" t="n">
        <x: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x:f>
        <x:v>244.83703512320048</x:v>
      </x:c>
      <x:c r="AD117" t="n">
        <x:f>Scenario_Data!W117</x:f>
        <x:v>-33.60000000000002</x:v>
      </x:c>
      <x:c r="AE117" t="n">
        <x: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x:f>
        <x:v>178.24189749635596</x:v>
      </x:c>
      <x:c r="AG117" t="n">
        <x:f>Scenario_Data!T117</x:f>
        <x:v>-2.520000000000003</x:v>
      </x:c>
      <x:c r="AH117" t="n">
        <x:f>2*(SQRT((Inputs!$C$52+(Scenario_Data!B117))^2+Inputs!$C$52^2-2*(Inputs!$C$52+(Scenario_Data!B117))*Inputs!$C$52*COS(SQRT((Scenario_Data!T117)^2+Inputs!$C$6^2)/Inputs!$C$52))*1000)/Inputs!$C$21*1000000</x:f>
        <x:v>2675.165599385722</x:v>
      </x:c>
      <x:c r="AI117" t="n">
        <x:f>Scenario_Data!U117</x:f>
        <x:v>-16.80000000000001</x:v>
      </x:c>
      <x:c r="AJ117" t="n">
        <x:f>2*(SQRT((Inputs!$C$52+(Scenario_Data!C117))^2+Inputs!$C$52^2-2*(Inputs!$C$52+(Scenario_Data!C117))*Inputs!$C$52*COS(SQRT((Scenario_Data!U117)^2+Inputs!$C$6^2)/Inputs!$C$52))*1000)/Inputs!$C$21*1000000</x:f>
        <x:v>312.798084448728</x:v>
      </x:c>
      <x:c r="AK117" t="n">
        <x:f>Scenario_Data!V117</x:f>
        <x:v>-33.60000000000002</x:v>
      </x:c>
      <x:c r="AL117" t="n">
        <x:f>2*(SQRT((Inputs!$C$52+(Scenario_Data!D117))^2+Inputs!$C$52^2-2*(Inputs!$C$52+(Scenario_Data!D117))*Inputs!$C$52*COS(SQRT((Scenario_Data!V117)^2+Inputs!$C$6^2)/Inputs!$C$52))*1000)/Inputs!$C$21*1000000</x:f>
        <x:v>373.95808704286753</x:v>
      </x:c>
      <x:c r="AM117" t="n">
        <x:f>Scenario_Data!W117</x:f>
        <x:v>-33.60000000000002</x:v>
      </x:c>
      <x:c r="AN117" t="n">
        <x:f>2*(SQRT((Inputs!$C$52+(Scenario_Data!E117))^2+Inputs!$C$52^2-2*(Inputs!$C$52+(Scenario_Data!E117))*Inputs!$C$52*COS(SQRT((Scenario_Data!W117)^2+Inputs!$C$6^2)/Inputs!$C$52))*1000)/Inputs!$C$21*1000000</x:f>
        <x:v>333.41947696346216</x:v>
      </x:c>
      <x:c r="AP117" t="n">
        <x:f>Scenario_Data!T117</x:f>
        <x:v>-2.520000000000003</x:v>
      </x:c>
      <x:c r="AQ117" t="n">
        <x: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x:f>
        <x:v>2672.3765444545224</x:v>
      </x:c>
      <x:c r="AR117" t="n">
        <x:f>Scenario_Data!U117</x:f>
        <x:v>-16.80000000000001</x:v>
      </x:c>
      <x:c r="AS117" t="n">
        <x: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x:f>
        <x:v>310.87780289071844</x:v>
      </x:c>
      <x:c r="AT117" t="n">
        <x:f>Scenario_Data!V117</x:f>
        <x:v>-33.60000000000002</x:v>
      </x:c>
      <x:c r="AU117" t="n">
        <x: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x:f>
        <x:v>372.5309517744891</x:v>
      </x:c>
      <x:c r="AV117" t="n">
        <x:f>Scenario_Data!W117</x:f>
        <x:v>-33.60000000000002</x:v>
      </x:c>
      <x:c r="AW117" t="n">
        <x: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x:f>
        <x:v>332.263191455232</x:v>
      </x:c>
    </x:row>
    <x:row r="118">
      <x:c r="A118" t="n">
        <x:f>Chart_Data!K118</x:f>
        <x:v>-2</x:v>
      </x:c>
      <x:c r="B118" t="n">
        <x:f>Chart_Data!N118-Chart_Data!L118</x:f>
        <x:v>58.258002434762375</x:v>
      </x:c>
      <x:c r="D118" t="n">
        <x:f>Chart_Data!G118</x:f>
        <x:v>-2</x:v>
      </x:c>
      <x:c r="E118" t="n">
        <x:f>Chart_Data!H118</x:f>
        <x:v>435.98300826713626</x:v>
      </x:c>
      <x:c r="F118" t="n">
        <x:f>Chart_Data!I118</x:f>
        <x:v>435.98300826713626</x:v>
      </x:c>
      <x:c r="G118" t="n">
        <x:f>Chart_Data!J118</x:f>
        <x:v>-59.60727995622125</x:v>
      </x:c>
      <x:c r="I118" t="n">
        <x:f>Scenario_Data!A118</x:f>
        <x:v>-0.033</x:v>
      </x:c>
      <x:c r="J118" t="n">
        <x:f>Scenario_Data!H118-(((SQRT((Inputs!$C$52+(Inputs!$H$6))^2+Inputs!$C$52^2-2*(Inputs!$C$52+(Inputs!$H$6))*Inputs!$C$52*COS(SQRT((Scenario_Data!T118)^2+Inputs!$C$6^2)/Inputs!$C$52)))-(Inputs!$H$6))*1000/Inputs!$C$12)</x:f>
        <x:v>-0.00479024185108301</x:v>
      </x:c>
      <x:c r="K118" t="n">
        <x:f>Scenario_Data!I118-(((SQRT((Inputs!$C$52+(Inputs!$H$7))^2+Inputs!$C$52^2-2*(Inputs!$C$52+(Inputs!$H$7))*Inputs!$C$52*COS(SQRT((Scenario_Data!U118)^2+Inputs!$C$6^2)/Inputs!$C$52)))-(Inputs!$H$7))*1000/Inputs!$C$12)</x:f>
        <x:v>-48.70715008078969</x:v>
      </x:c>
      <x:c r="L118" t="n">
        <x:f>Scenario_Data!J118-(((SQRT((Inputs!$C$52+(Inputs!$H$8))^2+Inputs!$C$52^2-2*(Inputs!$C$52+(Inputs!$H$8))*Inputs!$C$52*COS(SQRT((Scenario_Data!V118)^2+Inputs!$C$6^2)/Inputs!$C$52)))-(Inputs!$H$8))*1000/Inputs!$C$12)</x:f>
        <x:v>-175.28477054044197</x:v>
      </x:c>
      <x:c r="M118" t="n">
        <x:f>Scenario_Data!K118-(((SQRT((Inputs!$C$52+(Inputs!$H$9))^2+Inputs!$C$52^2-2*(Inputs!$C$52+(Inputs!$H$9))*Inputs!$C$52*COS(SQRT((Scenario_Data!W118)^2+Inputs!$C$6^2)/Inputs!$C$52)))-(Inputs!$H$9))*1000/Inputs!$C$12)</x:f>
        <x:v>-249.93122636938642</x:v>
      </x:c>
      <x:c r="O118" t="n">
        <x:f>Scenario_Data!T118</x:f>
        <x:v>-1.980000000000004</x:v>
      </x:c>
      <x:c r="P118" t="n">
        <x:f>2*(Scenario_Data!B118*1000)/Inputs!$C$21*1000000</x:f>
        <x:v>2668.54182168919</x:v>
      </x:c>
      <x:c r="Q118" t="n">
        <x:f>Scenario_Data!U118</x:f>
        <x:v>-13.199999999999989</x:v>
      </x:c>
      <x:c r="R118" t="n">
        <x:f>2*(Scenario_Data!C118*1000)/Inputs!$C$21*1000000</x:f>
        <x:v>236.14660112630315</x:v>
      </x:c>
      <x:c r="S118" t="n">
        <x:f>Scenario_Data!V118</x:f>
        <x:v>-26.399999999999977</x:v>
      </x:c>
      <x:c r="T118" t="n">
        <x:f>2*(Scenario_Data!D118*1000)/Inputs!$C$21*1000000</x:f>
        <x:v>240.50561672235264</x:v>
      </x:c>
      <x:c r="U118" t="n">
        <x:f>Scenario_Data!W118</x:f>
        <x:v>-26.399999999999977</x:v>
      </x:c>
      <x:c r="V118" t="n">
        <x:f>2*(Scenario_Data!E118*1000)/Inputs!$C$21*1000000</x:f>
        <x:v>173.86544794265637</x:v>
      </x:c>
      <x:c r="X118" t="n">
        <x:f>Scenario_Data!T118</x:f>
        <x:v>-1.980000000000004</x:v>
      </x:c>
      <x:c r="Y118" t="n">
        <x: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x:f>
        <x:v>2668.8599671350553</x:v>
      </x:c>
      <x:c r="Z118" t="n">
        <x:f>Scenario_Data!U118</x:f>
        <x:v>-13.199999999999989</x:v>
      </x:c>
      <x:c r="AA118" t="n">
        <x: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x:f>
        <x:v>236.54055700599343</x:v>
      </x:c>
      <x:c r="AB118" t="n">
        <x:f>Scenario_Data!V118</x:f>
        <x:v>-26.399999999999977</x:v>
      </x:c>
      <x:c r="AC118" t="n">
        <x: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x:f>
        <x:v>241.1070862491305</x:v>
      </x:c>
      <x:c r="AD118" t="n">
        <x:f>Scenario_Data!W118</x:f>
        <x:v>-26.399999999999977</x:v>
      </x:c>
      <x:c r="AE118" t="n">
        <x: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x:f>
        <x:v>174.4669174694342</x:v>
      </x:c>
      <x:c r="AG118" t="n">
        <x:f>Scenario_Data!T118</x:f>
        <x:v>-1.980000000000004</x:v>
      </x:c>
      <x:c r="AH118" t="n">
        <x:f>2*(SQRT((Inputs!$C$52+(Scenario_Data!B118))^2+Inputs!$C$52^2-2*(Inputs!$C$52+(Scenario_Data!B118))*Inputs!$C$52*COS(SQRT((Scenario_Data!T118)^2+Inputs!$C$6^2)/Inputs!$C$52))*1000)/Inputs!$C$21*1000000</x:f>
        <x:v>2675.122229116734</x:v>
      </x:c>
      <x:c r="AI118" t="n">
        <x:f>Scenario_Data!U118</x:f>
        <x:v>-13.199999999999989</x:v>
      </x:c>
      <x:c r="AJ118" t="n">
        <x:f>2*(SQRT((Inputs!$C$52+(Scenario_Data!C118))^2+Inputs!$C$52^2-2*(Inputs!$C$52+(Scenario_Data!C118))*Inputs!$C$52*COS(SQRT((Scenario_Data!U118)^2+Inputs!$C$6^2)/Inputs!$C$52))*1000)/Inputs!$C$21*1000000</x:f>
        <x:v>303.54886988121996</x:v>
      </x:c>
      <x:c r="AK118" t="n">
        <x:f>Scenario_Data!V118</x:f>
        <x:v>-26.399999999999977</x:v>
      </x:c>
      <x:c r="AL118" t="n">
        <x:f>2*(SQRT((Inputs!$C$52+(Scenario_Data!D118))^2+Inputs!$C$52^2-2*(Inputs!$C$52+(Scenario_Data!D118))*Inputs!$C$52*COS(SQRT((Scenario_Data!V118)^2+Inputs!$C$6^2)/Inputs!$C$52))*1000)/Inputs!$C$21*1000000</x:f>
        <x:v>343.5612623013572</x:v>
      </x:c>
      <x:c r="AM118" t="n">
        <x:f>Scenario_Data!W118</x:f>
        <x:v>-26.399999999999977</x:v>
      </x:c>
      <x:c r="AN118" t="n">
        <x:f>2*(SQRT((Inputs!$C$52+(Scenario_Data!E118))^2+Inputs!$C$52^2-2*(Inputs!$C$52+(Scenario_Data!E118))*Inputs!$C$52*COS(SQRT((Scenario_Data!W118)^2+Inputs!$C$6^2)/Inputs!$C$52))*1000)/Inputs!$C$21*1000000</x:f>
        <x:v>300.07341715264386</x:v>
      </x:c>
      <x:c r="AP118" t="n">
        <x:f>Scenario_Data!T118</x:f>
        <x:v>-1.980000000000004</x:v>
      </x:c>
      <x:c r="AQ118" t="n">
        <x: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x:f>
        <x:v>2672.284988766312</x:v>
      </x:c>
      <x:c r="AR118" t="n">
        <x:f>Scenario_Data!U118</x:f>
        <x:v>-13.199999999999989</x:v>
      </x:c>
      <x:c r="AS118" t="n">
        <x: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x:f>
        <x:v>301.3571579191976</x:v>
      </x:c>
      <x:c r="AT118" t="n">
        <x:f>Scenario_Data!V118</x:f>
        <x:v>-26.399999999999977</x:v>
      </x:c>
      <x:c r="AU118" t="n">
        <x: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x:f>
        <x:v>342.2544609165582</x:v>
      </x:c>
      <x:c r="AV118" t="n">
        <x:f>Scenario_Data!W118</x:f>
        <x:v>-26.399999999999977</x:v>
      </x:c>
      <x:c r="AW118" t="n">
        <x: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x:f>
        <x:v>298.9985244554888</x:v>
      </x:c>
    </x:row>
    <x:row r="119">
      <x:c r="A119" t="n">
        <x:f>Chart_Data!K119</x:f>
        <x:v>-1.5</x:v>
      </x:c>
      <x:c r="B119" t="n">
        <x:f>Chart_Data!N119-Chart_Data!L119</x:f>
        <x:v>32.8240715860631</x:v>
      </x:c>
      <x:c r="D119" t="n">
        <x:f>Chart_Data!G119</x:f>
        <x:v>-1.5</x:v>
      </x:c>
      <x:c r="E119" t="n">
        <x:f>Chart_Data!H119</x:f>
        <x:v>431.10580672292525</x:v>
      </x:c>
      <x:c r="F119" t="n">
        <x:f>Chart_Data!I119</x:f>
        <x:v>431.10580672292525</x:v>
      </x:c>
      <x:c r="G119" t="n">
        <x:f>Chart_Data!J119</x:f>
        <x:v>-34.15455011761312</x:v>
      </x:c>
      <x:c r="I119" t="n">
        <x:f>Scenario_Data!A119</x:f>
        <x:v>-0.025</x:v>
      </x:c>
      <x:c r="J119" t="n">
        <x:f>Scenario_Data!H119-(((SQRT((Inputs!$C$52+(Inputs!$H$6))^2+Inputs!$C$52^2-2*(Inputs!$C$52+(Inputs!$H$6))*Inputs!$C$52*COS(SQRT((Scenario_Data!T119)^2+Inputs!$C$6^2)/Inputs!$C$52)))-(Inputs!$H$6))*1000/Inputs!$C$12)</x:f>
        <x:v>-0.0027419606900593863</x:v>
      </x:c>
      <x:c r="K119" t="n">
        <x:f>Scenario_Data!I119-(((SQRT((Inputs!$C$52+(Inputs!$H$7))^2+Inputs!$C$52^2-2*(Inputs!$C$52+(Inputs!$H$7))*Inputs!$C$52*COS(SQRT((Scenario_Data!U119)^2+Inputs!$C$6^2)/Inputs!$C$52)))-(Inputs!$H$7))*1000/Inputs!$C$12)</x:f>
        <x:v>-26.20922916708696</x:v>
      </x:c>
      <x:c r="L119" t="n">
        <x:f>Scenario_Data!J119-(((SQRT((Inputs!$C$52+(Inputs!$H$8))^2+Inputs!$C$52^2-2*(Inputs!$C$52+(Inputs!$H$8))*Inputs!$C$52*COS(SQRT((Scenario_Data!V119)^2+Inputs!$C$6^2)/Inputs!$C$52)))-(Inputs!$H$8))*1000/Inputs!$C$12)</x:f>
        <x:v>-86.79473246431189</x:v>
      </x:c>
      <x:c r="M119" t="n">
        <x:f>Scenario_Data!K119-(((SQRT((Inputs!$C$52+(Inputs!$H$9))^2+Inputs!$C$52^2-2*(Inputs!$C$52+(Inputs!$H$9))*Inputs!$C$52*COS(SQRT((Scenario_Data!W119)^2+Inputs!$C$6^2)/Inputs!$C$52)))-(Inputs!$H$9))*1000/Inputs!$C$12)</x:f>
        <x:v>-128.3739092290234</x:v>
      </x:c>
      <x:c r="O119" t="n">
        <x:f>Scenario_Data!T119</x:f>
        <x:v>-1.5</x:v>
      </x:c>
      <x:c r="P119" t="n">
        <x:f>2*(Scenario_Data!B119*1000)/Inputs!$C$21*1000000</x:f>
        <x:v>2668.5294397899765</x:v>
      </x:c>
      <x:c r="Q119" t="n">
        <x:f>Scenario_Data!U119</x:f>
        <x:v>-10</x:v>
      </x:c>
      <x:c r="R119" t="n">
        <x:f>2*(Scenario_Data!C119*1000)/Inputs!$C$21*1000000</x:f>
        <x:v>235.01675282304802</x:v>
      </x:c>
      <x:c r="S119" t="n">
        <x:f>Scenario_Data!V119</x:f>
        <x:v>-20</x:v>
      </x:c>
      <x:c r="T119" t="n">
        <x:f>2*(Scenario_Data!D119*1000)/Inputs!$C$21*1000000</x:f>
        <x:v>237.51848353703414</x:v>
      </x:c>
      <x:c r="U119" t="n">
        <x:f>Scenario_Data!W119</x:f>
        <x:v>-20</x:v>
      </x:c>
      <x:c r="V119" t="n">
        <x:f>2*(Scenario_Data!E119*1000)/Inputs!$C$21*1000000</x:f>
        <x:v>170.8473600093035</x:v>
      </x:c>
      <x:c r="X119" t="n">
        <x:f>Scenario_Data!T119</x:f>
        <x:v>-1.5</x:v>
      </x:c>
      <x:c r="Y119" t="n">
        <x: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x:f>
        <x:v>2668.757294422114</x:v>
      </x:c>
      <x:c r="Z119" t="n">
        <x:f>Scenario_Data!U119</x:f>
        <x:v>-10</x:v>
      </x:c>
      <x:c r="AA119" t="n">
        <x: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x:f>
        <x:v>235.34646846600202</x:v>
      </x:c>
      <x:c r="AB119" t="n">
        <x:f>Scenario_Data!V119</x:f>
        <x:v>-20</x:v>
      </x:c>
      <x:c r="AC119" t="n">
        <x: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x:f>
        <x:v>238.49468035564297</x:v>
      </x:c>
      <x:c r="AD119" t="n">
        <x:f>Scenario_Data!W119</x:f>
        <x:v>-20</x:v>
      </x:c>
      <x:c r="AE119" t="n">
        <x: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x:f>
        <x:v>171.82355682791237</x:v>
      </x:c>
      <x:c r="AG119" t="n">
        <x:f>Scenario_Data!T119</x:f>
        <x:v>-1.5</x:v>
      </x:c>
      <x:c r="AH119" t="n">
        <x:f>2*(SQRT((Inputs!$C$52+(Scenario_Data!B119))^2+Inputs!$C$52^2-2*(Inputs!$C$52+(Scenario_Data!B119))*Inputs!$C$52*COS(SQRT((Scenario_Data!T119)^2+Inputs!$C$6^2)/Inputs!$C$52))*1000)/Inputs!$C$21*1000000</x:f>
        <x:v>2675.092415773223</x:v>
      </x:c>
      <x:c r="AI119" t="n">
        <x:f>Scenario_Data!U119</x:f>
        <x:v>-10</x:v>
      </x:c>
      <x:c r="AJ119" t="n">
        <x:f>2*(SQRT((Inputs!$C$52+(Scenario_Data!C119))^2+Inputs!$C$52^2-2*(Inputs!$C$52+(Scenario_Data!C119))*Inputs!$C$52*COS(SQRT((Scenario_Data!U119)^2+Inputs!$C$6^2)/Inputs!$C$52))*1000)/Inputs!$C$21*1000000</x:f>
        <x:v>297.0306183683265</x:v>
      </x:c>
      <x:c r="AK119" t="n">
        <x:f>Scenario_Data!V119</x:f>
        <x:v>-20</x:v>
      </x:c>
      <x:c r="AL119" t="n">
        <x:f>2*(SQRT((Inputs!$C$52+(Scenario_Data!D119))^2+Inputs!$C$52^2-2*(Inputs!$C$52+(Scenario_Data!D119))*Inputs!$C$52*COS(SQRT((Scenario_Data!V119)^2+Inputs!$C$6^2)/Inputs!$C$52))*1000)/Inputs!$C$21*1000000</x:f>
        <x:v>321.0492876738631</x:v>
      </x:c>
      <x:c r="AM119" t="n">
        <x:f>Scenario_Data!W119</x:f>
        <x:v>-20</x:v>
      </x:c>
      <x:c r="AN119" t="n">
        <x:f>2*(SQRT((Inputs!$C$52+(Scenario_Data!E119))^2+Inputs!$C$52^2-2*(Inputs!$C$52+(Scenario_Data!E119))*Inputs!$C$52*COS(SQRT((Scenario_Data!W119)^2+Inputs!$C$6^2)/Inputs!$C$52))*1000)/Inputs!$C$21*1000000</x:f>
        <x:v>274.8715173653501</x:v>
      </x:c>
      <x:c r="AP119" t="n">
        <x:f>Scenario_Data!T119</x:f>
        <x:v>-1.5</x:v>
      </x:c>
      <x:c r="AQ119" t="n">
        <x: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x:f>
        <x:v>2672.22526340349</x:v>
      </x:c>
      <x:c r="AR119" t="n">
        <x:f>Scenario_Data!U119</x:f>
        <x:v>-10</x:v>
      </x:c>
      <x:c r="AS119" t="n">
        <x: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x:f>
        <x:v>294.56495100596084</x:v>
      </x:c>
      <x:c r="AT119" t="n">
        <x:f>Scenario_Data!V119</x:f>
        <x:v>-20</x:v>
      </x:c>
      <x:c r="AU119" t="n">
        <x: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x:f>
        <x:v>319.39972411695146</x:v>
      </x:c>
      <x:c r="AV119" t="n">
        <x:f>Scenario_Data!W119</x:f>
        <x:v>-20</x:v>
      </x:c>
      <x:c r="AW119" t="n">
        <x: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x:f>
        <x:v>273.4933998987209</x:v>
      </x:c>
    </x:row>
    <x:row r="120">
      <x:c r="A120" t="n">
        <x:f>Chart_Data!K120</x:f>
        <x:v>-1</x:v>
      </x:c>
      <x:c r="B120" t="n">
        <x:f>Chart_Data!N120-Chart_Data!L120</x:f>
        <x:v>36.90745807012206</x:v>
      </x:c>
      <x:c r="D120" t="n">
        <x:f>Chart_Data!G120</x:f>
        <x:v>-1</x:v>
      </x:c>
      <x:c r="E120" t="n">
        <x:f>Chart_Data!H120</x:f>
        <x:v>440.9944102420088</x:v>
      </x:c>
      <x:c r="F120" t="n">
        <x:f>Chart_Data!I120</x:f>
        <x:v>440.9944102420088</x:v>
      </x:c>
      <x:c r="G120" t="n">
        <x:f>Chart_Data!J120</x:f>
        <x:v>-38.26579288799343</x:v>
      </x:c>
      <x:c r="I120" t="n">
        <x:f>Scenario_Data!A120</x:f>
        <x:v>-0.017</x:v>
      </x:c>
      <x:c r="J120" t="n">
        <x:f>Scenario_Data!H120-(((SQRT((Inputs!$C$52+(Inputs!$H$6))^2+Inputs!$C$52^2-2*(Inputs!$C$52+(Inputs!$H$6))*Inputs!$C$52*COS(SQRT((Scenario_Data!T120)^2+Inputs!$C$6^2)/Inputs!$C$52)))-(Inputs!$H$6))*1000/Inputs!$C$12)</x:f>
        <x:v>-0.0012654526615278883</x:v>
      </x:c>
      <x:c r="K120" t="n">
        <x:f>Scenario_Data!I120-(((SQRT((Inputs!$C$52+(Inputs!$H$7))^2+Inputs!$C$52^2-2*(Inputs!$C$52+(Inputs!$H$7))*Inputs!$C$52*COS(SQRT((Scenario_Data!U120)^2+Inputs!$C$6^2)/Inputs!$C$52)))-(Inputs!$H$7))*1000/Inputs!$C$12)</x:f>
        <x:v>-11.501173772391667</x:v>
      </x:c>
      <x:c r="L120" t="n">
        <x:f>Scenario_Data!J120-(((SQRT((Inputs!$C$52+(Inputs!$H$8))^2+Inputs!$C$52^2-2*(Inputs!$C$52+(Inputs!$H$8))*Inputs!$C$52*COS(SQRT((Scenario_Data!V120)^2+Inputs!$C$6^2)/Inputs!$C$52)))-(Inputs!$H$8))*1000/Inputs!$C$12)</x:f>
        <x:v>-34.56744155919023</x:v>
      </x:c>
      <x:c r="M120" t="n">
        <x:f>Scenario_Data!K120-(((SQRT((Inputs!$C$52+(Inputs!$H$9))^2+Inputs!$C$52^2-2*(Inputs!$C$52+(Inputs!$H$9))*Inputs!$C$52*COS(SQRT((Scenario_Data!W120)^2+Inputs!$C$6^2)/Inputs!$C$52)))-(Inputs!$H$9))*1000/Inputs!$C$12)</x:f>
        <x:v>-52.890554438504296</x:v>
      </x:c>
      <x:c r="O120" t="n">
        <x:f>Scenario_Data!T120</x:f>
        <x:v>-1.0200000000000031</x:v>
      </x:c>
      <x:c r="P120" t="n">
        <x:f>2*(Scenario_Data!B120*1000)/Inputs!$C$21*1000000</x:f>
        <x:v>2668.520473587097</x:v>
      </x:c>
      <x:c r="Q120" t="n">
        <x:f>Scenario_Data!U120</x:f>
        <x:v>-6.800000000000011</x:v>
      </x:c>
      <x:c r="R120" t="n">
        <x:f>2*(Scenario_Data!C120*1000)/Inputs!$C$21*1000000</x:f>
        <x:v>234.19858681034597</x:v>
      </x:c>
      <x:c r="S120" t="n">
        <x:f>Scenario_Data!V120</x:f>
        <x:v>-13.600000000000023</x:v>
      </x:c>
      <x:c r="T120" t="n">
        <x:f>2*(Scenario_Data!D120*1000)/Inputs!$C$21*1000000</x:f>
        <x:v>235.35538709249317</x:v>
      </x:c>
      <x:c r="U120" t="n">
        <x:f>Scenario_Data!W120</x:f>
        <x:v>-13.600000000000023</x:v>
      </x:c>
      <x:c r="V120" t="n">
        <x:f>2*(Scenario_Data!E120*1000)/Inputs!$C$21*1000000</x:f>
        <x:v>168.6618480575652</x:v>
      </x:c>
      <x:c r="X120" t="n">
        <x:f>Scenario_Data!T120</x:f>
        <x:v>-1.0200000000000031</x:v>
      </x:c>
      <x:c r="Y120" t="n">
        <x: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x:f>
        <x:v>2668.624622707822</x:v>
      </x:c>
      <x:c r="Z120" t="n">
        <x:f>Scenario_Data!U120</x:f>
        <x:v>-6.800000000000011</x:v>
      </x:c>
      <x:c r="AA120" t="n">
        <x: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x:f>
        <x:v>234.6431742328078</x:v>
      </x:c>
      <x:c r="AB120" t="n">
        <x:f>Scenario_Data!V120</x:f>
        <x:v>-13.600000000000023</x:v>
      </x:c>
      <x:c r="AC120" t="n">
        <x: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x:f>
        <x:v>235.9173120128643</x:v>
      </x:c>
      <x:c r="AD120" t="n">
        <x:f>Scenario_Data!W120</x:f>
        <x:v>-13.600000000000023</x:v>
      </x:c>
      <x:c r="AE120" t="n">
        <x: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x:f>
        <x:v>169.22377297793633</x:v>
      </x:c>
      <x:c r="AG120" t="n">
        <x:f>Scenario_Data!T120</x:f>
        <x:v>-1.0200000000000031</x:v>
      </x:c>
      <x:c r="AH120" t="n">
        <x:f>2*(SQRT((Inputs!$C$52+(Scenario_Data!B120))^2+Inputs!$C$52^2-2*(Inputs!$C$52+(Scenario_Data!B120))*Inputs!$C$52*COS(SQRT((Scenario_Data!T120)^2+Inputs!$C$6^2)/Inputs!$C$52))*1000)/Inputs!$C$21*1000000</x:f>
        <x:v>2675.0708266480583</x:v>
      </x:c>
      <x:c r="AI120" t="n">
        <x:f>Scenario_Data!U120</x:f>
        <x:v>-6.800000000000011</x:v>
      </x:c>
      <x:c r="AJ120" t="n">
        <x:f>2*(SQRT((Inputs!$C$52+(Scenario_Data!C120))^2+Inputs!$C$52^2-2*(Inputs!$C$52+(Scenario_Data!C120))*Inputs!$C$52*COS(SQRT((Scenario_Data!U120)^2+Inputs!$C$6^2)/Inputs!$C$52))*1000)/Inputs!$C$21*1000000</x:f>
        <x:v>292.2232293769202</x:v>
      </x:c>
      <x:c r="AK120" t="n">
        <x:f>Scenario_Data!V120</x:f>
        <x:v>-13.600000000000023</x:v>
      </x:c>
      <x:c r="AL120" t="n">
        <x:f>2*(SQRT((Inputs!$C$52+(Scenario_Data!D120))^2+Inputs!$C$52^2-2*(Inputs!$C$52+(Scenario_Data!D120))*Inputs!$C$52*COS(SQRT((Scenario_Data!V120)^2+Inputs!$C$6^2)/Inputs!$C$52))*1000)/Inputs!$C$21*1000000</x:f>
        <x:v>303.73346224026676</x:v>
      </x:c>
      <x:c r="AM120" t="n">
        <x:f>Scenario_Data!W120</x:f>
        <x:v>-13.600000000000023</x:v>
      </x:c>
      <x:c r="AN120" t="n">
        <x:f>2*(SQRT((Inputs!$C$52+(Scenario_Data!E120))^2+Inputs!$C$52^2-2*(Inputs!$C$52+(Scenario_Data!E120))*Inputs!$C$52*COS(SQRT((Scenario_Data!W120)^2+Inputs!$C$6^2)/Inputs!$C$52))*1000)/Inputs!$C$21*1000000</x:f>
        <x:v>255.10349072494134</x:v>
      </x:c>
      <x:c r="AP120" t="n">
        <x:f>Scenario_Data!T120</x:f>
        <x:v>-1.0200000000000031</x:v>
      </x:c>
      <x:c r="AQ120" t="n">
        <x: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x:f>
        <x:v>2672.0265961152877</x:v>
      </x:c>
      <x:c r="AR120" t="n">
        <x:f>Scenario_Data!U120</x:f>
        <x:v>-6.800000000000011</x:v>
      </x:c>
      <x:c r="AS120" t="n">
        <x: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x:f>
        <x:v>289.8283648752175</x:v>
      </x:c>
      <x:c r="AT120" t="n">
        <x:f>Scenario_Data!V120</x:f>
        <x:v>-13.600000000000023</x:v>
      </x:c>
      <x:c r="AU120" t="n">
        <x: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x:f>
        <x:v>301.59997247160845</x:v>
      </x:c>
      <x:c r="AV120" t="n">
        <x:f>Scenario_Data!W120</x:f>
        <x:v>-13.600000000000023</x:v>
      </x:c>
      <x:c r="AW120" t="n">
        <x: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x:f>
        <x:v>253.29273098341292</x:v>
      </x:c>
    </x:row>
    <x:row r="121">
      <x:c r="A121" t="n">
        <x:f>Chart_Data!K121</x:f>
        <x:v>-0.5</x:v>
      </x:c>
      <x:c r="B121" t="n">
        <x:f>Chart_Data!N121-Chart_Data!L121</x:f>
        <x:v>14.490732066080454</x:v>
      </x:c>
      <x:c r="D121" t="n">
        <x:f>Chart_Data!G121</x:f>
        <x:v>-0.5</x:v>
      </x:c>
      <x:c r="E121" t="n">
        <x:f>Chart_Data!H121</x:f>
        <x:v>474.23278667183286</x:v>
      </x:c>
      <x:c r="F121" t="n">
        <x:f>Chart_Data!I121</x:f>
        <x:v>474.23278667183286</x:v>
      </x:c>
      <x:c r="G121" t="n">
        <x:f>Chart_Data!J121</x:f>
        <x:v>-15.949828195457984</x:v>
      </x:c>
      <x:c r="I121" t="n">
        <x:f>Scenario_Data!A121</x:f>
        <x:v>-0.008</x:v>
      </x:c>
      <x:c r="J121" t="n">
        <x:f>Scenario_Data!H121-(((SQRT((Inputs!$C$52+(Inputs!$H$6))^2+Inputs!$C$52^2-2*(Inputs!$C$52+(Inputs!$H$6))*Inputs!$C$52*COS(SQRT((Scenario_Data!T121)^2+Inputs!$C$6^2)/Inputs!$C$52)))-(Inputs!$H$6))*1000/Inputs!$C$12)</x:f>
        <x:v>-0.0002798786321136504</x:v>
      </x:c>
      <x:c r="K121" t="n">
        <x:f>Scenario_Data!I121-(((SQRT((Inputs!$C$52+(Inputs!$H$7))^2+Inputs!$C$52^2-2*(Inputs!$C$52+(Inputs!$H$7))*Inputs!$C$52*COS(SQRT((Scenario_Data!U121)^2+Inputs!$C$6^2)/Inputs!$C$52)))-(Inputs!$H$7))*1000/Inputs!$C$12)</x:f>
        <x:v>-2.4515400940208565</x:v>
      </x:c>
      <x:c r="L121" t="n">
        <x:f>Scenario_Data!J121-(((SQRT((Inputs!$C$52+(Inputs!$H$8))^2+Inputs!$C$52^2-2*(Inputs!$C$52+(Inputs!$H$8))*Inputs!$C$52*COS(SQRT((Scenario_Data!V121)^2+Inputs!$C$6^2)/Inputs!$C$52)))-(Inputs!$H$8))*1000/Inputs!$C$12)</x:f>
        <x:v>-6.7016754171791035</x:v>
      </x:c>
      <x:c r="M121" t="n">
        <x:f>Scenario_Data!K121-(((SQRT((Inputs!$C$52+(Inputs!$H$9))^2+Inputs!$C$52^2-2*(Inputs!$C$52+(Inputs!$H$9))*Inputs!$C$52*COS(SQRT((Scenario_Data!W121)^2+Inputs!$C$6^2)/Inputs!$C$52)))-(Inputs!$H$9))*1000/Inputs!$C$12)</x:f>
        <x:v>-10.54136055730396</x:v>
      </x:c>
      <x:c r="O121" t="n">
        <x:f>Scenario_Data!T121</x:f>
        <x:v>-0.480000000000004</x:v>
      </x:c>
      <x:c r="P121" t="n">
        <x:f>2*(Scenario_Data!B121*1000)/Inputs!$C$21*1000000</x:f>
        <x:v>2668.514469433384</x:v>
      </x:c>
      <x:c r="Q121" t="n">
        <x:f>Scenario_Data!U121</x:f>
        <x:v>-3.1999999999999886</x:v>
      </x:c>
      <x:c r="R121" t="n">
        <x:f>2*(Scenario_Data!C121*1000)/Inputs!$C$21*1000000</x:f>
        <x:v>233.65070778398297</x:v>
      </x:c>
      <x:c r="S121" t="n">
        <x:f>Scenario_Data!V121</x:f>
        <x:v>-6.399999999999977</x:v>
      </x:c>
      <x:c r="T121" t="n">
        <x:f>2*(Scenario_Data!D121*1000)/Inputs!$C$21*1000000</x:f>
        <x:v>233.9068850090952</x:v>
      </x:c>
      <x:c r="U121" t="n">
        <x:f>Scenario_Data!W121</x:f>
        <x:v>-6.399999999999977</x:v>
      </x:c>
      <x:c r="V121" t="n">
        <x:f>2*(Scenario_Data!E121*1000)/Inputs!$C$21*1000000</x:f>
        <x:v>167.19833558988333</x:v>
      </x:c>
      <x:c r="X121" t="n">
        <x:f>Scenario_Data!T121</x:f>
        <x:v>-0.480000000000004</x:v>
      </x:c>
      <x:c r="Y121" t="n">
        <x: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x:f>
        <x:v>2668.6746994182126</x:v>
      </x:c>
      <x:c r="Z121" t="n">
        <x:f>Scenario_Data!U121</x:f>
        <x:v>-3.1999999999999886</x:v>
      </x:c>
      <x:c r="AA121" t="n">
        <x: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x:f>
        <x:v>234.10344532166638</x:v>
      </x:c>
      <x:c r="AB121" t="n">
        <x:f>Scenario_Data!V121</x:f>
        <x:v>-6.399999999999977</x:v>
      </x:c>
      <x:c r="AC121" t="n">
        <x: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x:f>
        <x:v>234.34957585937047</x:v>
      </x:c>
      <x:c r="AD121" t="n">
        <x:f>Scenario_Data!W121</x:f>
        <x:v>-6.399999999999977</x:v>
      </x:c>
      <x:c r="AE121" t="n">
        <x: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x:f>
        <x:v>167.6410264401586</x:v>
      </x:c>
      <x:c r="AG121" t="n">
        <x:f>Scenario_Data!T121</x:f>
        <x:v>-0.480000000000004</x:v>
      </x:c>
      <x:c r="AH121" t="n">
        <x:f>2*(SQRT((Inputs!$C$52+(Scenario_Data!B121))^2+Inputs!$C$52^2-2*(Inputs!$C$52+(Scenario_Data!B121))*Inputs!$C$52*COS(SQRT((Scenario_Data!T121)^2+Inputs!$C$6^2)/Inputs!$C$52))*1000)/Inputs!$C$21*1000000</x:f>
        <x:v>2675.0563695731153</x:v>
      </x:c>
      <x:c r="AI121" t="n">
        <x:f>Scenario_Data!U121</x:f>
        <x:v>-3.1999999999999886</x:v>
      </x:c>
      <x:c r="AJ121" t="n">
        <x:f>2*(SQRT((Inputs!$C$52+(Scenario_Data!C121))^2+Inputs!$C$52^2-2*(Inputs!$C$52+(Scenario_Data!C121))*Inputs!$C$52*COS(SQRT((Scenario_Data!U121)^2+Inputs!$C$6^2)/Inputs!$C$52))*1000)/Inputs!$C$21*1000000</x:f>
        <x:v>288.96093772220826</x:v>
      </x:c>
      <x:c r="AK121" t="n">
        <x:f>Scenario_Data!V121</x:f>
        <x:v>-6.399999999999977</x:v>
      </x:c>
      <x:c r="AL121" t="n">
        <x:f>2*(SQRT((Inputs!$C$52+(Scenario_Data!D121))^2+Inputs!$C$52^2-2*(Inputs!$C$52+(Scenario_Data!D121))*Inputs!$C$52*COS(SQRT((Scenario_Data!V121)^2+Inputs!$C$6^2)/Inputs!$C$52))*1000)/Inputs!$C$21*1000000</x:f>
        <x:v>291.57635730626026</x:v>
      </x:c>
      <x:c r="AM121" t="n">
        <x:f>Scenario_Data!W121</x:f>
        <x:v>-6.399999999999977</x:v>
      </x:c>
      <x:c r="AN121" t="n">
        <x:f>2*(SQRT((Inputs!$C$52+(Scenario_Data!E121))^2+Inputs!$C$52^2-2*(Inputs!$C$52+(Scenario_Data!E121))*Inputs!$C$52*COS(SQRT((Scenario_Data!W121)^2+Inputs!$C$6^2)/Inputs!$C$52))*1000)/Inputs!$C$21*1000000</x:f>
        <x:v>240.97664531965657</x:v>
      </x:c>
      <x:c r="AP121" t="n">
        <x:f>Scenario_Data!T121</x:f>
        <x:v>-0.480000000000004</x:v>
      </x:c>
      <x:c r="AQ121" t="n">
        <x: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x:f>
        <x:v>2671.9704462755117</x:v>
      </x:c>
      <x:c r="AR121" t="n">
        <x:f>Scenario_Data!U121</x:f>
        <x:v>-3.1999999999999886</x:v>
      </x:c>
      <x:c r="AS121" t="n">
        <x: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x:f>
        <x:v>286.6768082586119</x:v>
      </x:c>
      <x:c r="AT121" t="n">
        <x:f>Scenario_Data!V121</x:f>
        <x:v>-6.399999999999977</x:v>
      </x:c>
      <x:c r="AU121" t="n">
        <x: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x:f>
        <x:v>289.2412791527174</x:v>
      </x:c>
      <x:c r="AV121" t="n">
        <x:f>Scenario_Data!W121</x:f>
        <x:v>-6.399999999999977</x:v>
      </x:c>
      <x:c r="AW121" t="n">
        <x: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x:f>
        <x:v>238.96678499620614</x:v>
      </x:c>
    </x:row>
    <x:row r="122">
      <x:c r="A122" t="n">
        <x:f>Chart_Data!K122</x:f>
        <x:v>0</x:v>
      </x:c>
      <x:c r="B122" t="n">
        <x:f>Chart_Data!N122-Chart_Data!L122</x:f>
        <x:v>3.4704730016699727</x:v>
      </x:c>
      <x:c r="D122" t="n">
        <x:f>Chart_Data!G122</x:f>
        <x:v>0</x:v>
      </x:c>
      <x:c r="E122" t="n">
        <x:f>Chart_Data!H122</x:f>
        <x:v>480.44802858922253</x:v>
      </x:c>
      <x:c r="F122" t="n">
        <x:f>Chart_Data!I122</x:f>
        <x:v>480.44802858922253</x:v>
      </x:c>
      <x:c r="G122" t="n">
        <x:f>Chart_Data!J122</x:f>
        <x:v>-4.948127387128106</x:v>
      </x:c>
      <x:c r="I122" t="n">
        <x:f>Scenario_Data!A122</x:f>
        <x:v>0</x:v>
      </x:c>
      <x:c r="J122" t="n">
        <x:f>Scenario_Data!H122-(((SQRT((Inputs!$C$52+(Inputs!$H$6))^2+Inputs!$C$52^2-2*(Inputs!$C$52+(Inputs!$H$6))*Inputs!$C$52*COS(SQRT((Scenario_Data!T122)^2+Inputs!$C$6^2)/Inputs!$C$52)))-(Inputs!$H$6))*1000/Inputs!$C$12)</x:f>
        <x:v>0</x:v>
      </x:c>
      <x:c r="K122" t="n">
        <x:f>Scenario_Data!I122-(((SQRT((Inputs!$C$52+(Inputs!$H$7))^2+Inputs!$C$52^2-2*(Inputs!$C$52+(Inputs!$H$7))*Inputs!$C$52*COS(SQRT((Scenario_Data!U122)^2+Inputs!$C$6^2)/Inputs!$C$52)))-(Inputs!$H$7))*1000/Inputs!$C$12)</x:f>
        <x:v>0</x:v>
      </x:c>
      <x:c r="L122" t="n">
        <x:f>Scenario_Data!J122-(((SQRT((Inputs!$C$52+(Inputs!$H$8))^2+Inputs!$C$52^2-2*(Inputs!$C$52+(Inputs!$H$8))*Inputs!$C$52*COS(SQRT((Scenario_Data!V122)^2+Inputs!$C$6^2)/Inputs!$C$52)))-(Inputs!$H$8))*1000/Inputs!$C$12)</x:f>
        <x:v>0</x:v>
      </x:c>
      <x:c r="M122" t="n">
        <x:f>Scenario_Data!K122-(((SQRT((Inputs!$C$52+(Inputs!$H$9))^2+Inputs!$C$52^2-2*(Inputs!$C$52+(Inputs!$H$9))*Inputs!$C$52*COS(SQRT((Scenario_Data!W122)^2+Inputs!$C$6^2)/Inputs!$C$52)))-(Inputs!$H$9))*1000/Inputs!$C$12)</x:f>
        <x:v>0</x:v>
      </x:c>
      <x:c r="O122" t="n">
        <x:f>Scenario_Data!T122</x:f>
        <x:v>0</x:v>
      </x:c>
      <x:c r="P122" t="n">
        <x:f>2*(Scenario_Data!B122*1000)/Inputs!$C$21*1000000</x:f>
        <x:v>2668.5127615852166</x:v>
      </x:c>
      <x:c r="Q122" t="n">
        <x:f>Scenario_Data!U122</x:f>
        <x:v>0</x:v>
      </x:c>
      <x:c r="R122" t="n">
        <x:f>2*(Scenario_Data!C122*1000)/Inputs!$C$21*1000000</x:f>
        <x:v>233.49486663870644</x:v>
      </x:c>
      <x:c r="S122" t="n">
        <x:f>Scenario_Data!V122</x:f>
        <x:v>0</x:v>
      </x:c>
      <x:c r="T122" t="n">
        <x:f>2*(Scenario_Data!D122*1000)/Inputs!$C$21*1000000</x:f>
        <x:v>233.49486663870644</x:v>
      </x:c>
      <x:c r="U122" t="n">
        <x:f>Scenario_Data!W122</x:f>
        <x:v>0</x:v>
      </x:c>
      <x:c r="V122" t="n">
        <x:f>2*(Scenario_Data!E122*1000)/Inputs!$C$21*1000000</x:f>
        <x:v>166.78204759907604</x:v>
      </x:c>
      <x:c r="X122" t="n">
        <x:f>Scenario_Data!T122</x:f>
        <x:v>0</x:v>
      </x:c>
      <x:c r="Y122" t="n">
        <x: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x:f>
        <x:v>2668.545771937913</x:v>
      </x:c>
      <x:c r="Z122" t="n">
        <x:f>Scenario_Data!U122</x:f>
        <x:v>0</x:v>
      </x:c>
      <x:c r="AA122" t="n">
        <x: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x:f>
        <x:v>233.52787699140268</x:v>
      </x:c>
      <x:c r="AB122" t="n">
        <x:f>Scenario_Data!V122</x:f>
        <x:v>0</x:v>
      </x:c>
      <x:c r="AC122" t="n">
        <x: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x:f>
        <x:v>233.52787699140268</x:v>
      </x:c>
      <x:c r="AD122" t="n">
        <x:f>Scenario_Data!W122</x:f>
        <x:v>0</x:v>
      </x:c>
      <x:c r="AE122" t="n">
        <x: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x:f>
        <x:v>166.81505795177227</x:v>
      </x:c>
      <x:c r="AG122" t="n">
        <x:f>Scenario_Data!T122</x:f>
        <x:v>0</x:v>
      </x:c>
      <x:c r="AH122" t="n">
        <x:f>2*(SQRT((Inputs!$C$52+(Scenario_Data!B122))^2+Inputs!$C$52^2-2*(Inputs!$C$52+(Scenario_Data!B122))*Inputs!$C$52*COS(SQRT((Scenario_Data!T122)^2+Inputs!$C$6^2)/Inputs!$C$52))*1000)/Inputs!$C$21*1000000</x:f>
        <x:v>2675.0522573279914</x:v>
      </x:c>
      <x:c r="AI122" t="n">
        <x:f>Scenario_Data!U122</x:f>
        <x:v>0</x:v>
      </x:c>
      <x:c r="AJ122" t="n">
        <x:f>2*(SQRT((Inputs!$C$52+(Scenario_Data!C122))^2+Inputs!$C$52^2-2*(Inputs!$C$52+(Scenario_Data!C122))*Inputs!$C$52*COS(SQRT((Scenario_Data!U122)^2+Inputs!$C$6^2)/Inputs!$C$52))*1000)/Inputs!$C$21*1000000</x:f>
        <x:v>288.0264897465142</x:v>
      </x:c>
      <x:c r="AK122" t="n">
        <x:f>Scenario_Data!V122</x:f>
        <x:v>0</x:v>
      </x:c>
      <x:c r="AL122" t="n">
        <x:f>2*(SQRT((Inputs!$C$52+(Scenario_Data!D122))^2+Inputs!$C$52^2-2*(Inputs!$C$52+(Scenario_Data!D122))*Inputs!$C$52*COS(SQRT((Scenario_Data!V122)^2+Inputs!$C$6^2)/Inputs!$C$52))*1000)/Inputs!$C$21*1000000</x:f>
        <x:v>288.0264897465142</x:v>
      </x:c>
      <x:c r="AM122" t="n">
        <x:f>Scenario_Data!W122</x:f>
        <x:v>0</x:v>
      </x:c>
      <x:c r="AN122" t="n">
        <x:f>2*(SQRT((Inputs!$C$52+(Scenario_Data!E122))^2+Inputs!$C$52^2-2*(Inputs!$C$52+(Scenario_Data!E122))*Inputs!$C$52*COS(SQRT((Scenario_Data!W122)^2+Inputs!$C$6^2)/Inputs!$C$52))*1000)/Inputs!$C$21*1000000</x:f>
        <x:v>236.80676373491008</x:v>
      </x:c>
      <x:c r="AP122" t="n">
        <x:f>Scenario_Data!T122</x:f>
        <x:v>0</x:v>
      </x:c>
      <x:c r="AQ122" t="n">
        <x: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x:f>
        <x:v>2671.8569109380314</x:v>
      </x:c>
      <x:c r="AR122" t="n">
        <x:f>Scenario_Data!U122</x:f>
        <x:v>0</x:v>
      </x:c>
      <x:c r="AS122" t="n">
        <x: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x:f>
        <x:v>285.44962589236945</x:v>
      </x:c>
      <x:c r="AT122" t="n">
        <x:f>Scenario_Data!V122</x:f>
        <x:v>0</x:v>
      </x:c>
      <x:c r="AU122" t="n">
        <x: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x:f>
        <x:v>285.44962589236945</x:v>
      </x:c>
      <x:c r="AV122" t="n">
        <x:f>Scenario_Data!W122</x:f>
        <x:v>0</x:v>
      </x:c>
      <x:c r="AW122" t="n">
        <x: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x:f>
        <x:v>234.57893136334926</x:v>
      </x:c>
    </x:row>
    <x:row r="123">
      <x:c r="A123" t="n">
        <x:f>Chart_Data!K123</x:f>
        <x:v>0.5</x:v>
      </x:c>
      <x:c r="B123" t="n">
        <x:f>Chart_Data!N123-Chart_Data!L123</x:f>
        <x:v>-3.744887298194101</x:v>
      </x:c>
      <x:c r="D123" t="n">
        <x:f>Chart_Data!G123</x:f>
        <x:v>0.5</x:v>
      </x:c>
      <x:c r="E123" t="n">
        <x:f>Chart_Data!H123</x:f>
        <x:v>482.7451811280071</x:v>
      </x:c>
      <x:c r="F123" t="n">
        <x:f>Chart_Data!I123</x:f>
        <x:v>482.7451811280071</x:v>
      </x:c>
      <x:c r="G123" t="n">
        <x:f>Chart_Data!J123</x:f>
        <x:v>2.259569132321303</x:v>
      </x:c>
      <x:c r="I123" t="n">
        <x:f>Scenario_Data!A123</x:f>
        <x:v>0.008</x:v>
      </x:c>
      <x:c r="J123" t="n">
        <x:f>Scenario_Data!H123-(((SQRT((Inputs!$C$52+(Inputs!$H$6))^2+Inputs!$C$52^2-2*(Inputs!$C$52+(Inputs!$H$6))*Inputs!$C$52*COS(SQRT((Scenario_Data!T123)^2+Inputs!$C$6^2)/Inputs!$C$52)))-(Inputs!$H$6))*1000/Inputs!$C$12)</x:f>
        <x:v>-0.0002798786321136504</x:v>
      </x:c>
      <x:c r="K123" t="n">
        <x:f>Scenario_Data!I123-(((SQRT((Inputs!$C$52+(Inputs!$H$7))^2+Inputs!$C$52^2-2*(Inputs!$C$52+(Inputs!$H$7))*Inputs!$C$52*COS(SQRT((Scenario_Data!U123)^2+Inputs!$C$6^2)/Inputs!$C$52)))-(Inputs!$H$7))*1000/Inputs!$C$12)</x:f>
        <x:v>-2.4515400940208565</x:v>
      </x:c>
      <x:c r="L123" t="n">
        <x:f>Scenario_Data!J123-(((SQRT((Inputs!$C$52+(Inputs!$H$8))^2+Inputs!$C$52^2-2*(Inputs!$C$52+(Inputs!$H$8))*Inputs!$C$52*COS(SQRT((Scenario_Data!V123)^2+Inputs!$C$6^2)/Inputs!$C$52)))-(Inputs!$H$8))*1000/Inputs!$C$12)</x:f>
        <x:v>-6.7016754171791035</x:v>
      </x:c>
      <x:c r="M123" t="n">
        <x:f>Scenario_Data!K123-(((SQRT((Inputs!$C$52+(Inputs!$H$9))^2+Inputs!$C$52^2-2*(Inputs!$C$52+(Inputs!$H$9))*Inputs!$C$52*COS(SQRT((Scenario_Data!W123)^2+Inputs!$C$6^2)/Inputs!$C$52)))-(Inputs!$H$9))*1000/Inputs!$C$12)</x:f>
        <x:v>-10.54136055730396</x:v>
      </x:c>
      <x:c r="O123" t="n">
        <x:f>Scenario_Data!T123</x:f>
        <x:v>0.480000000000004</x:v>
      </x:c>
      <x:c r="P123" t="n">
        <x:f>2*(Scenario_Data!B123*1000)/Inputs!$C$21*1000000</x:f>
        <x:v>2668.514469433384</x:v>
      </x:c>
      <x:c r="Q123" t="n">
        <x:f>Scenario_Data!U123</x:f>
        <x:v>3.1999999999999886</x:v>
      </x:c>
      <x:c r="R123" t="n">
        <x:f>2*(Scenario_Data!C123*1000)/Inputs!$C$21*1000000</x:f>
        <x:v>233.65070778398297</x:v>
      </x:c>
      <x:c r="S123" t="n">
        <x:f>Scenario_Data!V123</x:f>
        <x:v>6.399999999999977</x:v>
      </x:c>
      <x:c r="T123" t="n">
        <x:f>2*(Scenario_Data!D123*1000)/Inputs!$C$21*1000000</x:f>
        <x:v>233.9068850090952</x:v>
      </x:c>
      <x:c r="U123" t="n">
        <x:f>Scenario_Data!W123</x:f>
        <x:v>6.399999999999977</x:v>
      </x:c>
      <x:c r="V123" t="n">
        <x:f>2*(Scenario_Data!E123*1000)/Inputs!$C$21*1000000</x:f>
        <x:v>167.19833558988333</x:v>
      </x:c>
      <x:c r="X123" t="n">
        <x:f>Scenario_Data!T123</x:f>
        <x:v>0.480000000000004</x:v>
      </x:c>
      <x:c r="Y123" t="n">
        <x: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x:f>
        <x:v>2668.422832501423</x:v>
      </x:c>
      <x:c r="Z123" t="n">
        <x:f>Scenario_Data!U123</x:f>
        <x:v>3.1999999999999886</x:v>
      </x:c>
      <x:c r="AA123" t="n">
        <x: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x:f>
        <x:v>233.03942030536456</x:v>
      </x:c>
      <x:c r="AB123" t="n">
        <x:f>Scenario_Data!V123</x:f>
        <x:v>6.399999999999977</x:v>
      </x:c>
      <x:c r="AC123" t="n">
        <x: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x:f>
        <x:v>233.45037452297623</x:v>
      </x:c>
      <x:c r="AD123" t="n">
        <x:f>Scenario_Data!W123</x:f>
        <x:v>6.399999999999977</x:v>
      </x:c>
      <x:c r="AE123" t="n">
        <x: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x:f>
        <x:v>166.7418251037643</x:v>
      </x:c>
      <x:c r="AG123" t="n">
        <x:f>Scenario_Data!T123</x:f>
        <x:v>0.480000000000004</x:v>
      </x:c>
      <x:c r="AH123" t="n">
        <x:f>2*(SQRT((Inputs!$C$52+(Scenario_Data!B123))^2+Inputs!$C$52^2-2*(Inputs!$C$52+(Scenario_Data!B123))*Inputs!$C$52*COS(SQRT((Scenario_Data!T123)^2+Inputs!$C$6^2)/Inputs!$C$52))*1000)/Inputs!$C$21*1000000</x:f>
        <x:v>2675.0563695731153</x:v>
      </x:c>
      <x:c r="AI123" t="n">
        <x:f>Scenario_Data!U123</x:f>
        <x:v>3.1999999999999886</x:v>
      </x:c>
      <x:c r="AJ123" t="n">
        <x:f>2*(SQRT((Inputs!$C$52+(Scenario_Data!C123))^2+Inputs!$C$52^2-2*(Inputs!$C$52+(Scenario_Data!C123))*Inputs!$C$52*COS(SQRT((Scenario_Data!U123)^2+Inputs!$C$6^2)/Inputs!$C$52))*1000)/Inputs!$C$21*1000000</x:f>
        <x:v>288.96093772220826</x:v>
      </x:c>
      <x:c r="AK123" t="n">
        <x:f>Scenario_Data!V123</x:f>
        <x:v>6.399999999999977</x:v>
      </x:c>
      <x:c r="AL123" t="n">
        <x:f>2*(SQRT((Inputs!$C$52+(Scenario_Data!D123))^2+Inputs!$C$52^2-2*(Inputs!$C$52+(Scenario_Data!D123))*Inputs!$C$52*COS(SQRT((Scenario_Data!V123)^2+Inputs!$C$6^2)/Inputs!$C$52))*1000)/Inputs!$C$21*1000000</x:f>
        <x:v>291.57635730626026</x:v>
      </x:c>
      <x:c r="AM123" t="n">
        <x:f>Scenario_Data!W123</x:f>
        <x:v>6.399999999999977</x:v>
      </x:c>
      <x:c r="AN123" t="n">
        <x:f>2*(SQRT((Inputs!$C$52+(Scenario_Data!E123))^2+Inputs!$C$52^2-2*(Inputs!$C$52+(Scenario_Data!E123))*Inputs!$C$52*COS(SQRT((Scenario_Data!W123)^2+Inputs!$C$6^2)/Inputs!$C$52))*1000)/Inputs!$C$21*1000000</x:f>
        <x:v>240.97664531965657</x:v>
      </x:c>
      <x:c r="AP123" t="n">
        <x:f>Scenario_Data!T123</x:f>
        <x:v>0.480000000000004</x:v>
      </x:c>
      <x:c r="AQ123" t="n">
        <x: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x:f>
        <x:v>2671.734762465316</x:v>
      </x:c>
      <x:c r="AR123" t="n">
        <x:f>Scenario_Data!U123</x:f>
        <x:v>3.1999999999999886</x:v>
      </x:c>
      <x:c r="AS123" t="n">
        <x: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x:f>
        <x:v>285.94379017860734</x:v>
      </x:c>
      <x:c r="AT123" t="n">
        <x:f>Scenario_Data!V123</x:f>
        <x:v>6.399999999999977</x:v>
      </x:c>
      <x:c r="AU123" t="n">
        <x: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x:f>
        <x:v>288.7955768368026</x:v>
      </x:c>
      <x:c r="AV123" t="n">
        <x:f>Scenario_Data!W123</x:f>
        <x:v>6.399999999999977</x:v>
      </x:c>
      <x:c r="AW123" t="n">
        <x: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x:f>
        <x:v>238.58427038631453</x:v>
      </x:c>
    </x:row>
    <x:row r="124">
      <x:c r="A124" t="n">
        <x:f>Chart_Data!K124</x:f>
        <x:v>1</x:v>
      </x:c>
      <x:c r="B124" t="n">
        <x:f>Chart_Data!N124-Chart_Data!L124</x:f>
        <x:v>-44.60929521056897</x:v>
      </x:c>
      <x:c r="D124" t="n">
        <x:f>Chart_Data!G124</x:f>
        <x:v>1</x:v>
      </x:c>
      <x:c r="E124" t="n">
        <x:f>Chart_Data!H124</x:f>
        <x:v>497.58165314697214</x:v>
      </x:c>
      <x:c r="F124" t="n">
        <x:f>Chart_Data!I124</x:f>
        <x:v>497.58165314697214</x:v>
      </x:c>
      <x:c r="G124" t="n">
        <x:f>Chart_Data!J124</x:f>
        <x:v>43.07644622126787</x:v>
      </x:c>
      <x:c r="I124" t="n">
        <x:f>Scenario_Data!A124</x:f>
        <x:v>0.017</x:v>
      </x:c>
      <x:c r="J124" t="n">
        <x:f>Scenario_Data!H124-(((SQRT((Inputs!$C$52+(Inputs!$H$6))^2+Inputs!$C$52^2-2*(Inputs!$C$52+(Inputs!$H$6))*Inputs!$C$52*COS(SQRT((Scenario_Data!T124)^2+Inputs!$C$6^2)/Inputs!$C$52)))-(Inputs!$H$6))*1000/Inputs!$C$12)</x:f>
        <x:v>-0.0012654526615278883</x:v>
      </x:c>
      <x:c r="K124" t="n">
        <x:f>Scenario_Data!I124-(((SQRT((Inputs!$C$52+(Inputs!$H$7))^2+Inputs!$C$52^2-2*(Inputs!$C$52+(Inputs!$H$7))*Inputs!$C$52*COS(SQRT((Scenario_Data!U124)^2+Inputs!$C$6^2)/Inputs!$C$52)))-(Inputs!$H$7))*1000/Inputs!$C$12)</x:f>
        <x:v>-11.501173772391667</x:v>
      </x:c>
      <x:c r="L124" t="n">
        <x:f>Scenario_Data!J124-(((SQRT((Inputs!$C$52+(Inputs!$H$8))^2+Inputs!$C$52^2-2*(Inputs!$C$52+(Inputs!$H$8))*Inputs!$C$52*COS(SQRT((Scenario_Data!V124)^2+Inputs!$C$6^2)/Inputs!$C$52)))-(Inputs!$H$8))*1000/Inputs!$C$12)</x:f>
        <x:v>-34.56744155918659</x:v>
      </x:c>
      <x:c r="M124" t="n">
        <x:f>Scenario_Data!K124-(((SQRT((Inputs!$C$52+(Inputs!$H$9))^2+Inputs!$C$52^2-2*(Inputs!$C$52+(Inputs!$H$9))*Inputs!$C$52*COS(SQRT((Scenario_Data!W124)^2+Inputs!$C$6^2)/Inputs!$C$52)))-(Inputs!$H$9))*1000/Inputs!$C$12)</x:f>
        <x:v>-52.89055443850248</x:v>
      </x:c>
      <x:c r="O124" t="n">
        <x:f>Scenario_Data!T124</x:f>
        <x:v>1.019999999999996</x:v>
      </x:c>
      <x:c r="P124" t="n">
        <x:f>2*(Scenario_Data!B124*1000)/Inputs!$C$21*1000000</x:f>
        <x:v>2668.520473587097</x:v>
      </x:c>
      <x:c r="Q124" t="n">
        <x:f>Scenario_Data!U124</x:f>
        <x:v>6.7999999999999545</x:v>
      </x:c>
      <x:c r="R124" t="n">
        <x:f>2*(Scenario_Data!C124*1000)/Inputs!$C$21*1000000</x:f>
        <x:v>234.19858681034597</x:v>
      </x:c>
      <x:c r="S124" t="n">
        <x:f>Scenario_Data!V124</x:f>
        <x:v>13.599999999999909</x:v>
      </x:c>
      <x:c r="T124" t="n">
        <x:f>2*(Scenario_Data!D124*1000)/Inputs!$C$21*1000000</x:f>
        <x:v>235.35538709249312</x:v>
      </x:c>
      <x:c r="U124" t="n">
        <x:f>Scenario_Data!W124</x:f>
        <x:v>13.599999999999909</x:v>
      </x:c>
      <x:c r="V124" t="n">
        <x:f>2*(Scenario_Data!E124*1000)/Inputs!$C$21*1000000</x:f>
        <x:v>168.66184805756518</x:v>
      </x:c>
      <x:c r="X124" t="n">
        <x:f>Scenario_Data!T124</x:f>
        <x:v>1.019999999999996</x:v>
      </x:c>
      <x:c r="Y124" t="n">
        <x: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x:f>
        <x:v>2668.2784457720195</x:v>
      </x:c>
      <x:c r="Z124" t="n">
        <x:f>Scenario_Data!U124</x:f>
        <x:v>6.7999999999999545</x:v>
      </x:c>
      <x:c r="AA124" t="n">
        <x: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x:f>
        <x:v>233.69251190455986</x:v>
      </x:c>
      <x:c r="AB124" t="n">
        <x:f>Scenario_Data!V124</x:f>
        <x:v>13.599999999999909</x:v>
      </x:c>
      <x:c r="AC124" t="n">
        <x: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x:f>
        <x:v>235.19841567119786</x:v>
      </x:c>
      <x:c r="AD124" t="n">
        <x:f>Scenario_Data!W124</x:f>
        <x:v>13.599999999999909</x:v>
      </x:c>
      <x:c r="AE124" t="n">
        <x: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x:f>
        <x:v>168.50487663626993</x:v>
      </x:c>
      <x:c r="AG124" t="n">
        <x:f>Scenario_Data!T124</x:f>
        <x:v>1.019999999999996</x:v>
      </x:c>
      <x:c r="AH124" t="n">
        <x:f>2*(SQRT((Inputs!$C$52+(Scenario_Data!B124))^2+Inputs!$C$52^2-2*(Inputs!$C$52+(Scenario_Data!B124))*Inputs!$C$52*COS(SQRT((Scenario_Data!T124)^2+Inputs!$C$6^2)/Inputs!$C$52))*1000)/Inputs!$C$21*1000000</x:f>
        <x:v>2675.0708266480583</x:v>
      </x:c>
      <x:c r="AI124" t="n">
        <x:f>Scenario_Data!U124</x:f>
        <x:v>6.7999999999999545</x:v>
      </x:c>
      <x:c r="AJ124" t="n">
        <x:f>2*(SQRT((Inputs!$C$52+(Scenario_Data!C124))^2+Inputs!$C$52^2-2*(Inputs!$C$52+(Scenario_Data!C124))*Inputs!$C$52*COS(SQRT((Scenario_Data!U124)^2+Inputs!$C$6^2)/Inputs!$C$52))*1000)/Inputs!$C$21*1000000</x:f>
        <x:v>292.2232293769202</x:v>
      </x:c>
      <x:c r="AK124" t="n">
        <x:f>Scenario_Data!V124</x:f>
        <x:v>13.599999999999909</x:v>
      </x:c>
      <x:c r="AL124" t="n">
        <x:f>2*(SQRT((Inputs!$C$52+(Scenario_Data!D124))^2+Inputs!$C$52^2-2*(Inputs!$C$52+(Scenario_Data!D124))*Inputs!$C$52*COS(SQRT((Scenario_Data!V124)^2+Inputs!$C$6^2)/Inputs!$C$52))*1000)/Inputs!$C$21*1000000</x:f>
        <x:v>303.73346224026676</x:v>
      </x:c>
      <x:c r="AM124" t="n">
        <x:f>Scenario_Data!W124</x:f>
        <x:v>13.599999999999909</x:v>
      </x:c>
      <x:c r="AN124" t="n">
        <x:f>2*(SQRT((Inputs!$C$52+(Scenario_Data!E124))^2+Inputs!$C$52^2-2*(Inputs!$C$52+(Scenario_Data!E124))*Inputs!$C$52*COS(SQRT((Scenario_Data!W124)^2+Inputs!$C$6^2)/Inputs!$C$52))*1000)/Inputs!$C$21*1000000</x:f>
        <x:v>255.10349072494134</x:v>
      </x:c>
      <x:c r="AP124" t="n">
        <x:f>Scenario_Data!T124</x:f>
        <x:v>1.019999999999996</x:v>
      </x:c>
      <x:c r="AQ124" t="n">
        <x: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x:f>
        <x:v>2671.6247904009706</x:v>
      </x:c>
      <x:c r="AR124" t="n">
        <x:f>Scenario_Data!U124</x:f>
        <x:v>6.7999999999999545</x:v>
      </x:c>
      <x:c r="AS124" t="n">
        <x: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x:f>
        <x:v>289.50463278641934</x:v>
      </x:c>
      <x:c r="AT124" t="n">
        <x:f>Scenario_Data!V124</x:f>
        <x:v>13.599999999999909</x:v>
      </x:c>
      <x:c r="AU124" t="n">
        <x: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x:f>
        <x:v>301.63298762212946</x:v>
      </x:c>
      <x:c r="AV124" t="n">
        <x:f>Scenario_Data!W124</x:f>
        <x:v>13.599999999999909</x:v>
      </x:c>
      <x:c r="AW124" t="n">
        <x: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x:f>
        <x:v>253.320686057891</x:v>
      </x:c>
    </x:row>
    <x:row r="125">
      <x:c r="A125" t="n">
        <x:f>Chart_Data!K125</x:f>
        <x:v>1.5</x:v>
      </x:c>
      <x:c r="B125" t="n">
        <x:f>Chart_Data!N125-Chart_Data!L125</x:f>
        <x:v>-48.41044167320268</x:v>
      </x:c>
      <x:c r="D125" t="n">
        <x:f>Chart_Data!G125</x:f>
        <x:v>1.5</x:v>
      </x:c>
      <x:c r="E125" t="n">
        <x:f>Chart_Data!H125</x:f>
        <x:v>516.864115303311</x:v>
      </x:c>
      <x:c r="F125" t="n">
        <x:f>Chart_Data!I125</x:f>
        <x:v>516.864115303311</x:v>
      </x:c>
      <x:c r="G125" t="n">
        <x:f>Chart_Data!J125</x:f>
        <x:v>46.8149548284789</x:v>
      </x:c>
      <x:c r="I125" t="n">
        <x:f>Scenario_Data!A125</x:f>
        <x:v>0.025</x:v>
      </x:c>
      <x:c r="J125" t="n">
        <x:f>Scenario_Data!H125-(((SQRT((Inputs!$C$52+(Inputs!$H$6))^2+Inputs!$C$52^2-2*(Inputs!$C$52+(Inputs!$H$6))*Inputs!$C$52*COS(SQRT((Scenario_Data!T125)^2+Inputs!$C$6^2)/Inputs!$C$52)))-(Inputs!$H$6))*1000/Inputs!$C$12)</x:f>
        <x:v>-0.0027419606900593863</x:v>
      </x:c>
      <x:c r="K125" t="n">
        <x:f>Scenario_Data!I125-(((SQRT((Inputs!$C$52+(Inputs!$H$7))^2+Inputs!$C$52^2-2*(Inputs!$C$52+(Inputs!$H$7))*Inputs!$C$52*COS(SQRT((Scenario_Data!U125)^2+Inputs!$C$6^2)/Inputs!$C$52)))-(Inputs!$H$7))*1000/Inputs!$C$12)</x:f>
        <x:v>-26.20922916708696</x:v>
      </x:c>
      <x:c r="L125" t="n">
        <x:f>Scenario_Data!J125-(((SQRT((Inputs!$C$52+(Inputs!$H$8))^2+Inputs!$C$52^2-2*(Inputs!$C$52+(Inputs!$H$8))*Inputs!$C$52*COS(SQRT((Scenario_Data!V125)^2+Inputs!$C$6^2)/Inputs!$C$52)))-(Inputs!$H$8))*1000/Inputs!$C$12)</x:f>
        <x:v>-86.79473246430734</x:v>
      </x:c>
      <x:c r="M125" t="n">
        <x:f>Scenario_Data!K125-(((SQRT((Inputs!$C$52+(Inputs!$H$9))^2+Inputs!$C$52^2-2*(Inputs!$C$52+(Inputs!$H$9))*Inputs!$C$52*COS(SQRT((Scenario_Data!W125)^2+Inputs!$C$6^2)/Inputs!$C$52)))-(Inputs!$H$9))*1000/Inputs!$C$12)</x:f>
        <x:v>-128.37390922901977</x:v>
      </x:c>
      <x:c r="O125" t="n">
        <x:f>Scenario_Data!T125</x:f>
        <x:v>1.499999999999993</x:v>
      </x:c>
      <x:c r="P125" t="n">
        <x:f>2*(Scenario_Data!B125*1000)/Inputs!$C$21*1000000</x:f>
        <x:v>2668.5294397899765</x:v>
      </x:c>
      <x:c r="Q125" t="n">
        <x:f>Scenario_Data!U125</x:f>
        <x:v>9.999999999999943</x:v>
      </x:c>
      <x:c r="R125" t="n">
        <x:f>2*(Scenario_Data!C125*1000)/Inputs!$C$21*1000000</x:f>
        <x:v>235.01675282304802</x:v>
      </x:c>
      <x:c r="S125" t="n">
        <x:f>Scenario_Data!V125</x:f>
        <x:v>19.999999999999886</x:v>
      </x:c>
      <x:c r="T125" t="n">
        <x:f>2*(Scenario_Data!D125*1000)/Inputs!$C$21*1000000</x:f>
        <x:v>237.51848353703411</x:v>
      </x:c>
      <x:c r="U125" t="n">
        <x:f>Scenario_Data!W125</x:f>
        <x:v>19.999999999999886</x:v>
      </x:c>
      <x:c r="V125" t="n">
        <x:f>2*(Scenario_Data!E125*1000)/Inputs!$C$21*1000000</x:f>
        <x:v>170.84736000930343</x:v>
      </x:c>
      <x:c r="X125" t="n">
        <x:f>Scenario_Data!T125</x:f>
        <x:v>1.499999999999993</x:v>
      </x:c>
      <x:c r="Y125" t="n">
        <x: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x:f>
        <x:v>2668.2171240293146</x:v>
      </x:c>
      <x:c r="Z125" t="n">
        <x:f>Scenario_Data!U125</x:f>
        <x:v>9.999999999999943</x:v>
      </x:c>
      <x:c r="AA125" t="n">
        <x: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x:f>
        <x:v>235.07392198175725</x:v>
      </x:c>
      <x:c r="AB125" t="n">
        <x:f>Scenario_Data!V125</x:f>
        <x:v>19.999999999999886</x:v>
      </x:c>
      <x:c r="AC125" t="n">
        <x: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x:f>
        <x:v>237.0225960137918</x:v>
      </x:c>
      <x:c r="AD125" t="n">
        <x:f>Scenario_Data!W125</x:f>
        <x:v>19.999999999999886</x:v>
      </x:c>
      <x:c r="AE125" t="n">
        <x: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x:f>
        <x:v>170.3514724860612</x:v>
      </x:c>
      <x:c r="AG125" t="n">
        <x:f>Scenario_Data!T125</x:f>
        <x:v>1.499999999999993</x:v>
      </x:c>
      <x:c r="AH125" t="n">
        <x:f>2*(SQRT((Inputs!$C$52+(Scenario_Data!B125))^2+Inputs!$C$52^2-2*(Inputs!$C$52+(Scenario_Data!B125))*Inputs!$C$52*COS(SQRT((Scenario_Data!T125)^2+Inputs!$C$6^2)/Inputs!$C$52))*1000)/Inputs!$C$21*1000000</x:f>
        <x:v>2675.092415773223</x:v>
      </x:c>
      <x:c r="AI125" t="n">
        <x:f>Scenario_Data!U125</x:f>
        <x:v>9.999999999999943</x:v>
      </x:c>
      <x:c r="AJ125" t="n">
        <x:f>2*(SQRT((Inputs!$C$52+(Scenario_Data!C125))^2+Inputs!$C$52^2-2*(Inputs!$C$52+(Scenario_Data!C125))*Inputs!$C$52*COS(SQRT((Scenario_Data!U125)^2+Inputs!$C$6^2)/Inputs!$C$52))*1000)/Inputs!$C$21*1000000</x:f>
        <x:v>297.0306183683265</x:v>
      </x:c>
      <x:c r="AK125" t="n">
        <x:f>Scenario_Data!V125</x:f>
        <x:v>19.999999999999886</x:v>
      </x:c>
      <x:c r="AL125" t="n">
        <x:f>2*(SQRT((Inputs!$C$52+(Scenario_Data!D125))^2+Inputs!$C$52^2-2*(Inputs!$C$52+(Scenario_Data!D125))*Inputs!$C$52*COS(SQRT((Scenario_Data!V125)^2+Inputs!$C$6^2)/Inputs!$C$52))*1000)/Inputs!$C$21*1000000</x:f>
        <x:v>321.0492876738631</x:v>
      </x:c>
      <x:c r="AM125" t="n">
        <x:f>Scenario_Data!W125</x:f>
        <x:v>19.999999999999886</x:v>
      </x:c>
      <x:c r="AN125" t="n">
        <x:f>2*(SQRT((Inputs!$C$52+(Scenario_Data!E125))^2+Inputs!$C$52^2-2*(Inputs!$C$52+(Scenario_Data!E125))*Inputs!$C$52*COS(SQRT((Scenario_Data!W125)^2+Inputs!$C$6^2)/Inputs!$C$52))*1000)/Inputs!$C$21*1000000</x:f>
        <x:v>274.8715173653501</x:v>
      </x:c>
      <x:c r="AP125" t="n">
        <x:f>Scenario_Data!T125</x:f>
        <x:v>1.499999999999993</x:v>
      </x:c>
      <x:c r="AQ125" t="n">
        <x: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x:f>
        <x:v>2671.654913496507</x:v>
      </x:c>
      <x:c r="AR125" t="n">
        <x:f>Scenario_Data!U125</x:f>
        <x:v>9.999999999999943</x:v>
      </x:c>
      <x:c r="AS125" t="n">
        <x: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x:f>
        <x:v>294.65525229787505</x:v>
      </x:c>
      <x:c r="AT125" t="n">
        <x:f>Scenario_Data!V125</x:f>
        <x:v>19.999999999999886</x:v>
      </x:c>
      <x:c r="AU125" t="n">
        <x: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x:f>
        <x:v>318.9091927078766</x:v>
      </x:c>
      <x:c r="AV125" t="n">
        <x:f>Scenario_Data!W125</x:f>
        <x:v>19.999999999999886</x:v>
      </x:c>
      <x:c r="AW125" t="n">
        <x: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x:f>
        <x:v>273.0846489801912</x:v>
      </x:c>
    </x:row>
    <x:row r="126">
      <x:c r="A126" t="n">
        <x:f>Chart_Data!K126</x:f>
        <x:v>2</x:v>
      </x:c>
      <x:c r="B126" t="n">
        <x:f>Chart_Data!N126-Chart_Data!L126</x:f>
        <x:v>-67.2127716143965</x:v>
      </x:c>
      <x:c r="D126" t="n">
        <x:f>Chart_Data!G126</x:f>
        <x:v>2</x:v>
      </x:c>
      <x:c r="E126" t="n">
        <x:f>Chart_Data!H126</x:f>
        <x:v>534.5064840723982</x:v>
      </x:c>
      <x:c r="F126" t="n">
        <x:f>Chart_Data!I126</x:f>
        <x:v>534.5064840723982</x:v>
      </x:c>
      <x:c r="G126" t="n">
        <x:f>Chart_Data!J126</x:f>
        <x:v>65.55817790320465</x:v>
      </x:c>
      <x:c r="I126" t="n">
        <x:f>Scenario_Data!A126</x:f>
        <x:v>0.033</x:v>
      </x:c>
      <x:c r="J126" t="n">
        <x:f>Scenario_Data!H126-(((SQRT((Inputs!$C$52+(Inputs!$H$6))^2+Inputs!$C$52^2-2*(Inputs!$C$52+(Inputs!$H$6))*Inputs!$C$52*COS(SQRT((Scenario_Data!T126)^2+Inputs!$C$6^2)/Inputs!$C$52)))-(Inputs!$H$6))*1000/Inputs!$C$12)</x:f>
        <x:v>-0.00479024185108301</x:v>
      </x:c>
      <x:c r="K126" t="n">
        <x:f>Scenario_Data!I126-(((SQRT((Inputs!$C$52+(Inputs!$H$7))^2+Inputs!$C$52^2-2*(Inputs!$C$52+(Inputs!$H$7))*Inputs!$C$52*COS(SQRT((Scenario_Data!U126)^2+Inputs!$C$6^2)/Inputs!$C$52)))-(Inputs!$H$7))*1000/Inputs!$C$12)</x:f>
        <x:v>-48.70715008078969</x:v>
      </x:c>
      <x:c r="L126" t="n">
        <x:f>Scenario_Data!J126-(((SQRT((Inputs!$C$52+(Inputs!$H$8))^2+Inputs!$C$52^2-2*(Inputs!$C$52+(Inputs!$H$8))*Inputs!$C$52*COS(SQRT((Scenario_Data!V126)^2+Inputs!$C$6^2)/Inputs!$C$52)))-(Inputs!$H$8))*1000/Inputs!$C$12)</x:f>
        <x:v>-175.28477054044197</x:v>
      </x:c>
      <x:c r="M126" t="n">
        <x:f>Scenario_Data!K126-(((SQRT((Inputs!$C$52+(Inputs!$H$9))^2+Inputs!$C$52^2-2*(Inputs!$C$52+(Inputs!$H$9))*Inputs!$C$52*COS(SQRT((Scenario_Data!W126)^2+Inputs!$C$6^2)/Inputs!$C$52)))-(Inputs!$H$9))*1000/Inputs!$C$12)</x:f>
        <x:v>-249.93122636938642</x:v>
      </x:c>
      <x:c r="O126" t="n">
        <x:f>Scenario_Data!T126</x:f>
        <x:v>1.9799999999999969</x:v>
      </x:c>
      <x:c r="P126" t="n">
        <x:f>2*(Scenario_Data!B126*1000)/Inputs!$C$21*1000000</x:f>
        <x:v>2668.54182168919</x:v>
      </x:c>
      <x:c r="Q126" t="n">
        <x:f>Scenario_Data!U126</x:f>
        <x:v>13.199999999999989</x:v>
      </x:c>
      <x:c r="R126" t="n">
        <x:f>2*(Scenario_Data!C126*1000)/Inputs!$C$21*1000000</x:f>
        <x:v>236.14660112630315</x:v>
      </x:c>
      <x:c r="S126" t="n">
        <x:f>Scenario_Data!V126</x:f>
        <x:v>26.399999999999977</x:v>
      </x:c>
      <x:c r="T126" t="n">
        <x:f>2*(Scenario_Data!D126*1000)/Inputs!$C$21*1000000</x:f>
        <x:v>240.50561672235264</x:v>
      </x:c>
      <x:c r="U126" t="n">
        <x:f>Scenario_Data!W126</x:f>
        <x:v>26.399999999999977</x:v>
      </x:c>
      <x:c r="V126" t="n">
        <x:f>2*(Scenario_Data!E126*1000)/Inputs!$C$21*1000000</x:f>
        <x:v>173.86544794265637</x:v>
      </x:c>
      <x:c r="X126" t="n">
        <x:f>Scenario_Data!T126</x:f>
        <x:v>1.9799999999999969</x:v>
      </x:c>
      <x:c r="Y126" t="n">
        <x: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x:f>
        <x:v>2668.1155856737228</x:v>
      </x:c>
      <x:c r="Z126" t="n">
        <x:f>Scenario_Data!U126</x:f>
        <x:v>13.199999999999989</x:v>
      </x:c>
      <x:c r="AA126" t="n">
        <x: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x:f>
        <x:v>236.07895498772078</x:v>
      </x:c>
      <x:c r="AB126" t="n">
        <x:f>Scenario_Data!V126</x:f>
        <x:v>26.399999999999977</x:v>
      </x:c>
      <x:c r="AC126" t="n">
        <x: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x:f>
        <x:v>240.0956500649409</x:v>
      </x:c>
      <x:c r="AD126" t="n">
        <x:f>Scenario_Data!W126</x:f>
        <x:v>26.399999999999977</x:v>
      </x:c>
      <x:c r="AE126" t="n">
        <x: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x:f>
        <x:v>173.45548128524464</x:v>
      </x:c>
      <x:c r="AG126" t="n">
        <x:f>Scenario_Data!T126</x:f>
        <x:v>1.9799999999999969</x:v>
      </x:c>
      <x:c r="AH126" t="n">
        <x:f>2*(SQRT((Inputs!$C$52+(Scenario_Data!B126))^2+Inputs!$C$52^2-2*(Inputs!$C$52+(Scenario_Data!B126))*Inputs!$C$52*COS(SQRT((Scenario_Data!T126)^2+Inputs!$C$6^2)/Inputs!$C$52))*1000)/Inputs!$C$21*1000000</x:f>
        <x:v>2675.122229116734</x:v>
      </x:c>
      <x:c r="AI126" t="n">
        <x:f>Scenario_Data!U126</x:f>
        <x:v>13.199999999999989</x:v>
      </x:c>
      <x:c r="AJ126" t="n">
        <x:f>2*(SQRT((Inputs!$C$52+(Scenario_Data!C126))^2+Inputs!$C$52^2-2*(Inputs!$C$52+(Scenario_Data!C126))*Inputs!$C$52*COS(SQRT((Scenario_Data!U126)^2+Inputs!$C$6^2)/Inputs!$C$52))*1000)/Inputs!$C$21*1000000</x:f>
        <x:v>303.54886988121996</x:v>
      </x:c>
      <x:c r="AK126" t="n">
        <x:f>Scenario_Data!V126</x:f>
        <x:v>26.399999999999977</x:v>
      </x:c>
      <x:c r="AL126" t="n">
        <x:f>2*(SQRT((Inputs!$C$52+(Scenario_Data!D126))^2+Inputs!$C$52^2-2*(Inputs!$C$52+(Scenario_Data!D126))*Inputs!$C$52*COS(SQRT((Scenario_Data!V126)^2+Inputs!$C$6^2)/Inputs!$C$52))*1000)/Inputs!$C$21*1000000</x:f>
        <x:v>343.5612623013572</x:v>
      </x:c>
      <x:c r="AM126" t="n">
        <x:f>Scenario_Data!W126</x:f>
        <x:v>26.399999999999977</x:v>
      </x:c>
      <x:c r="AN126" t="n">
        <x:f>2*(SQRT((Inputs!$C$52+(Scenario_Data!E126))^2+Inputs!$C$52^2-2*(Inputs!$C$52+(Scenario_Data!E126))*Inputs!$C$52*COS(SQRT((Scenario_Data!W126)^2+Inputs!$C$6^2)/Inputs!$C$52))*1000)/Inputs!$C$21*1000000</x:f>
        <x:v>300.07341715264386</x:v>
      </x:c>
      <x:c r="AP126" t="n">
        <x:f>Scenario_Data!T126</x:f>
        <x:v>1.9799999999999969</x:v>
      </x:c>
      <x:c r="AQ126" t="n">
        <x: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x:f>
        <x:v>2671.55448128243</x:v>
      </x:c>
      <x:c r="AR126" t="n">
        <x:f>Scenario_Data!U126</x:f>
        <x:v>13.199999999999989</x:v>
      </x:c>
      <x:c r="AS126" t="n">
        <x: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x:f>
        <x:v>301.38085055997664</x:v>
      </x:c>
      <x:c r="AT126" t="n">
        <x:f>Scenario_Data!V126</x:f>
        <x:v>26.399999999999977</x:v>
      </x:c>
      <x:c r="AU126" t="n">
        <x: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x:f>
        <x:v>341.8770920620382</x:v>
      </x:c>
      <x:c r="AV126" t="n">
        <x:f>Scenario_Data!W126</x:f>
        <x:v>26.399999999999977</x:v>
      </x:c>
      <x:c r="AW126" t="n">
        <x: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x:f>
        <x:v>298.68879997180886</x:v>
      </x:c>
    </x:row>
    <x:row r="127">
      <x:c r="A127" t="n">
        <x:f>Chart_Data!K127</x:f>
        <x:v>2.5</x:v>
      </x:c>
      <x:c r="B127" t="n">
        <x:f>Chart_Data!N127-Chart_Data!L127</x:f>
        <x:v>-72.60871904789826</x:v>
      </x:c>
      <x:c r="D127" t="n">
        <x:f>Chart_Data!G127</x:f>
        <x:v>2.5</x:v>
      </x:c>
      <x:c r="E127" t="n">
        <x:f>Chart_Data!H127</x:f>
        <x:v>549.7308148691991</x:v>
      </x:c>
      <x:c r="F127" t="n">
        <x:f>Chart_Data!I127</x:f>
        <x:v>549.7308148691991</x:v>
      </x:c>
      <x:c r="G127" t="n">
        <x:f>Chart_Data!J127</x:f>
        <x:v>70.90088362648228</x:v>
      </x:c>
      <x:c r="I127" t="n">
        <x:f>Scenario_Data!A127</x:f>
        <x:v>0.042</x:v>
      </x:c>
      <x:c r="J127" t="n">
        <x:f>Scenario_Data!H127-(((SQRT((Inputs!$C$52+(Inputs!$H$6))^2+Inputs!$C$52^2-2*(Inputs!$C$52+(Inputs!$H$6))*Inputs!$C$52*COS(SQRT((Scenario_Data!T127)^2+Inputs!$C$6^2)/Inputs!$C$52)))-(Inputs!$H$6))*1000/Inputs!$C$12)</x:f>
        <x:v>-0.007789207541122778</x:v>
      </x:c>
      <x:c r="K127" t="n">
        <x:f>Scenario_Data!I127-(((SQRT((Inputs!$C$52+(Inputs!$H$7))^2+Inputs!$C$52^2-2*(Inputs!$C$52+(Inputs!$H$7))*Inputs!$C$52*COS(SQRT((Scenario_Data!U127)^2+Inputs!$C$6^2)/Inputs!$C$52)))-(Inputs!$H$7))*1000/Inputs!$C$12)</x:f>
        <x:v>-85.53253798029891</x:v>
      </x:c>
      <x:c r="L127" t="n">
        <x:f>Scenario_Data!J127-(((SQRT((Inputs!$C$52+(Inputs!$H$8))^2+Inputs!$C$52^2-2*(Inputs!$C$52+(Inputs!$H$8))*Inputs!$C$52*COS(SQRT((Scenario_Data!V127)^2+Inputs!$C$6^2)/Inputs!$C$52)))-(Inputs!$H$8))*1000/Inputs!$C$12)</x:f>
        <x:v>-328.85027552274187</x:v>
      </x:c>
      <x:c r="M127" t="n">
        <x:f>Scenario_Data!K127-(((SQRT((Inputs!$C$52+(Inputs!$H$9))^2+Inputs!$C$52^2-2*(Inputs!$C$52+(Inputs!$H$9))*Inputs!$C$52*COS(SQRT((Scenario_Data!W127)^2+Inputs!$C$6^2)/Inputs!$C$52)))-(Inputs!$H$9))*1000/Inputs!$C$12)</x:f>
        <x:v>-450.68761011315837</x:v>
      </x:c>
      <x:c r="O127" t="n">
        <x:f>Scenario_Data!T127</x:f>
        <x:v>2.520000000000003</x:v>
      </x:c>
      <x:c r="P127" t="n">
        <x:f>2*(Scenario_Data!B127*1000)/Inputs!$C$21*1000000</x:f>
        <x:v>2668.5598341503305</x:v>
      </x:c>
      <x:c r="Q127" t="n">
        <x:f>Scenario_Data!U127</x:f>
        <x:v>16.80000000000001</x:v>
      </x:c>
      <x:c r="R127" t="n">
        <x:f>2*(Scenario_Data!C127*1000)/Inputs!$C$21*1000000</x:f>
        <x:v>237.7902382053921</x:v>
      </x:c>
      <x:c r="S127" t="n">
        <x:f>Scenario_Data!V127</x:f>
        <x:v>33.60000000000002</x:v>
      </x:c>
      <x:c r="T127" t="n">
        <x:f>2*(Scenario_Data!D127*1000)/Inputs!$C$21*1000000</x:f>
        <x:v>244.85112297254656</x:v>
      </x:c>
      <x:c r="U127" t="n">
        <x:f>Scenario_Data!W127</x:f>
        <x:v>33.60000000000002</x:v>
      </x:c>
      <x:c r="V127" t="n">
        <x:f>2*(Scenario_Data!E127*1000)/Inputs!$C$21*1000000</x:f>
        <x:v>178.25598534570207</x:v>
      </x:c>
      <x:c r="X127" t="n">
        <x:f>Scenario_Data!T127</x:f>
        <x:v>2.520000000000003</x:v>
      </x:c>
      <x:c r="Y127" t="n">
        <x: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x:f>
        <x:v>2668.10404084736</x:v>
      </x:c>
      <x:c r="Z127" t="n">
        <x:f>Scenario_Data!U127</x:f>
        <x:v>16.80000000000001</x:v>
      </x:c>
      <x:c r="AA127" t="n">
        <x: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x:f>
        <x:v>237.32784196765127</x:v>
      </x:c>
      <x:c r="AB127" t="n">
        <x:f>Scenario_Data!V127</x:f>
        <x:v>33.60000000000002</x:v>
      </x:c>
      <x:c r="AC127" t="n">
        <x: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x:f>
        <x:v>244.71146714319235</x:v>
      </x:c>
      <x:c r="AD127" t="n">
        <x:f>Scenario_Data!W127</x:f>
        <x:v>33.60000000000002</x:v>
      </x:c>
      <x:c r="AE127" t="n">
        <x: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x:f>
        <x:v>178.1163295163478</x:v>
      </x:c>
      <x:c r="AG127" t="n">
        <x:f>Scenario_Data!T127</x:f>
        <x:v>2.520000000000003</x:v>
      </x:c>
      <x:c r="AH127" t="n">
        <x:f>2*(SQRT((Inputs!$C$52+(Scenario_Data!B127))^2+Inputs!$C$52^2-2*(Inputs!$C$52+(Scenario_Data!B127))*Inputs!$C$52*COS(SQRT((Scenario_Data!T127)^2+Inputs!$C$6^2)/Inputs!$C$52))*1000)/Inputs!$C$21*1000000</x:f>
        <x:v>2675.165599385722</x:v>
      </x:c>
      <x:c r="AI127" t="n">
        <x:f>Scenario_Data!U127</x:f>
        <x:v>16.80000000000001</x:v>
      </x:c>
      <x:c r="AJ127" t="n">
        <x:f>2*(SQRT((Inputs!$C$52+(Scenario_Data!C127))^2+Inputs!$C$52^2-2*(Inputs!$C$52+(Scenario_Data!C127))*Inputs!$C$52*COS(SQRT((Scenario_Data!U127)^2+Inputs!$C$6^2)/Inputs!$C$52))*1000)/Inputs!$C$21*1000000</x:f>
        <x:v>312.798084448728</x:v>
      </x:c>
      <x:c r="AK127" t="n">
        <x:f>Scenario_Data!V127</x:f>
        <x:v>33.60000000000002</x:v>
      </x:c>
      <x:c r="AL127" t="n">
        <x:f>2*(SQRT((Inputs!$C$52+(Scenario_Data!D127))^2+Inputs!$C$52^2-2*(Inputs!$C$52+(Scenario_Data!D127))*Inputs!$C$52*COS(SQRT((Scenario_Data!V127)^2+Inputs!$C$6^2)/Inputs!$C$52))*1000)/Inputs!$C$21*1000000</x:f>
        <x:v>373.95808704286753</x:v>
      </x:c>
      <x:c r="AM127" t="n">
        <x:f>Scenario_Data!W127</x:f>
        <x:v>33.60000000000002</x:v>
      </x:c>
      <x:c r="AN127" t="n">
        <x:f>2*(SQRT((Inputs!$C$52+(Scenario_Data!E127))^2+Inputs!$C$52^2-2*(Inputs!$C$52+(Scenario_Data!E127))*Inputs!$C$52*COS(SQRT((Scenario_Data!W127)^2+Inputs!$C$6^2)/Inputs!$C$52))*1000)/Inputs!$C$21*1000000</x:f>
        <x:v>333.41947696346216</x:v>
      </x:c>
      <x:c r="AP127" t="n">
        <x:f>Scenario_Data!T127</x:f>
        <x:v>2.520000000000003</x:v>
      </x:c>
      <x:c r="AQ127" t="n">
        <x: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x:f>
        <x:v>2671.5552629166887</x:v>
      </x:c>
      <x:c r="AR127" t="n">
        <x:f>Scenario_Data!U127</x:f>
        <x:v>16.80000000000001</x:v>
      </x:c>
      <x:c r="AS127" t="n">
        <x: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x:f>
        <x:v>310.74079426450356</x:v>
      </x:c>
      <x:c r="AT127" t="n">
        <x:f>Scenario_Data!V127</x:f>
        <x:v>33.60000000000002</x:v>
      </x:c>
      <x:c r="AU127" t="n">
        <x: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x:f>
        <x:v>372.99975846273446</x:v>
      </x:c>
      <x:c r="AV127" t="n">
        <x:f>Scenario_Data!W127</x:f>
        <x:v>33.60000000000002</x:v>
      </x:c>
      <x:c r="AW127" t="n">
        <x: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x:f>
        <x:v>332.64252675411603</x:v>
      </x:c>
    </x:row>
    <x:row r="128">
      <x:c r="A128" t="n">
        <x:f>Chart_Data!K128</x:f>
        <x:v>3</x:v>
      </x:c>
      <x:c r="B128" t="n">
        <x:f>Chart_Data!N128-Chart_Data!L128</x:f>
        <x:v>-83.7958295141508</x:v>
      </x:c>
      <x:c r="D128" t="n">
        <x:f>Chart_Data!G128</x:f>
        <x:v>3</x:v>
      </x:c>
      <x:c r="E128" t="n">
        <x:f>Chart_Data!H128</x:f>
        <x:v>536.8431041026216</x:v>
      </x:c>
      <x:c r="F128" t="n">
        <x:f>Chart_Data!I128</x:f>
        <x:v>536.8431041026216</x:v>
      </x:c>
      <x:c r="G128" t="n">
        <x:f>Chart_Data!J128</x:f>
        <x:v>82.12086586426281</x:v>
      </x:c>
      <x:c r="I128" t="n">
        <x:f>Scenario_Data!A128</x:f>
        <x:v>0.05</x:v>
      </x:c>
      <x:c r="J128" t="n">
        <x:f>Scenario_Data!H128-(((SQRT((Inputs!$C$52+(Inputs!$H$6))^2+Inputs!$C$52^2-2*(Inputs!$C$52+(Inputs!$H$6))*Inputs!$C$52*COS(SQRT((Scenario_Data!T128)^2+Inputs!$C$6^2)/Inputs!$C$52)))-(Inputs!$H$6))*1000/Inputs!$C$12)</x:f>
        <x:v>-0.011085185236197503</x:v>
      </x:c>
      <x:c r="K128" t="n">
        <x:f>Scenario_Data!I128-(((SQRT((Inputs!$C$52+(Inputs!$H$7))^2+Inputs!$C$52^2-2*(Inputs!$C$52+(Inputs!$H$7))*Inputs!$C$52*COS(SQRT((Scenario_Data!U128)^2+Inputs!$C$6^2)/Inputs!$C$52)))-(Inputs!$H$7))*1000/Inputs!$C$12)</x:f>
        <x:v>-130.5838257490177</x:v>
      </x:c>
      <x:c r="L128" t="n">
        <x:f>Scenario_Data!J128-(((SQRT((Inputs!$C$52+(Inputs!$H$8))^2+Inputs!$C$52^2-2*(Inputs!$C$52+(Inputs!$H$8))*Inputs!$C$52*COS(SQRT((Scenario_Data!V128)^2+Inputs!$C$6^2)/Inputs!$C$52)))-(Inputs!$H$8))*1000/Inputs!$C$12)</x:f>
        <x:v>-520.010223424264</x:v>
      </x:c>
      <x:c r="M128" t="n">
        <x:f>Scenario_Data!K128-(((SQRT((Inputs!$C$52+(Inputs!$H$9))^2+Inputs!$C$52^2-2*(Inputs!$C$52+(Inputs!$H$9))*Inputs!$C$52*COS(SQRT((Scenario_Data!W128)^2+Inputs!$C$6^2)/Inputs!$C$52)))-(Inputs!$H$9))*1000/Inputs!$C$12)</x:f>
        <x:v>-690.4618564313296</x:v>
      </x:c>
      <x:c r="O128" t="n">
        <x:f>Scenario_Data!T128</x:f>
        <x:v>3</x:v>
      </x:c>
      <x:c r="P128" t="n">
        <x:f>2*(Scenario_Data!B128*1000)/Inputs!$C$21*1000000</x:f>
        <x:v>2668.579474404256</x:v>
      </x:c>
      <x:c r="Q128" t="n">
        <x:f>Scenario_Data!U128</x:f>
        <x:v>20</x:v>
      </x:c>
      <x:c r="R128" t="n">
        <x:f>2*(Scenario_Data!C128*1000)/Inputs!$C$21*1000000</x:f>
        <x:v>239.5824113760727</x:v>
      </x:c>
      <x:c r="S128" t="n">
        <x:f>Scenario_Data!V128</x:f>
        <x:v>40</x:v>
      </x:c>
      <x:c r="T128" t="n">
        <x:f>2*(Scenario_Data!D128*1000)/Inputs!$C$21*1000000</x:f>
        <x:v>249.58933423201725</x:v>
      </x:c>
      <x:c r="U128" t="n">
        <x:f>Scenario_Data!W128</x:f>
        <x:v>40</x:v>
      </x:c>
      <x:c r="V128" t="n">
        <x:f>2*(Scenario_Data!E128*1000)/Inputs!$C$21*1000000</x:f>
        <x:v>183.04329723998595</x:v>
      </x:c>
      <x:c r="X128" t="n">
        <x:f>Scenario_Data!T128</x:f>
        <x:v>3</x:v>
      </x:c>
      <x:c r="Y128" t="n">
        <x: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x:f>
        <x:v>2668.031622957878</x:v>
      </x:c>
      <x:c r="Z128" t="n">
        <x:f>Scenario_Data!U128</x:f>
        <x:v>20</x:v>
      </x:c>
      <x:c r="AA128" t="n">
        <x: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x:f>
        <x:v>239.08652386019065</x:v>
      </x:c>
      <x:c r="AB128" t="n">
        <x:f>Scenario_Data!V128</x:f>
        <x:v>40</x:v>
      </x:c>
      <x:c r="AC128" t="n">
        <x: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x:f>
        <x:v>249.14725446361194</x:v>
      </x:c>
      <x:c r="AD128" t="n">
        <x:f>Scenario_Data!W128</x:f>
        <x:v>40</x:v>
      </x:c>
      <x:c r="AE128" t="n">
        <x: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x:f>
        <x:v>182.6012174715806</x:v>
      </x:c>
      <x:c r="AG128" t="n">
        <x:f>Scenario_Data!T128</x:f>
        <x:v>3</x:v>
      </x:c>
      <x:c r="AH128" t="n">
        <x:f>2*(SQRT((Inputs!$C$52+(Scenario_Data!B128))^2+Inputs!$C$52^2-2*(Inputs!$C$52+(Scenario_Data!B128))*Inputs!$C$52*COS(SQRT((Scenario_Data!T128)^2+Inputs!$C$6^2)/Inputs!$C$52))*1000)/Inputs!$C$21*1000000</x:f>
        <x:v>2675.2128884537788</x:v>
      </x:c>
      <x:c r="AI128" t="n">
        <x:f>Scenario_Data!U128</x:f>
        <x:v>20</x:v>
      </x:c>
      <x:c r="AJ128" t="n">
        <x:f>2*(SQRT((Inputs!$C$52+(Scenario_Data!C128))^2+Inputs!$C$52^2-2*(Inputs!$C$52+(Scenario_Data!C128))*Inputs!$C$52*COS(SQRT((Scenario_Data!U128)^2+Inputs!$C$6^2)/Inputs!$C$52))*1000)/Inputs!$C$21*1000000</x:f>
        <x:v>322.5932252064959</x:v>
      </x:c>
      <x:c r="AK128" t="n">
        <x:f>Scenario_Data!V128</x:f>
        <x:v>40</x:v>
      </x:c>
      <x:c r="AL128" t="n">
        <x:f>2*(SQRT((Inputs!$C$52+(Scenario_Data!D128))^2+Inputs!$C$52^2-2*(Inputs!$C$52+(Scenario_Data!D128))*Inputs!$C$52*COS(SQRT((Scenario_Data!V128)^2+Inputs!$C$6^2)/Inputs!$C$52))*1000)/Inputs!$C$21*1000000</x:f>
        <x:v>404.5820446556752</x:v>
      </x:c>
      <x:c r="AM128" t="n">
        <x:f>Scenario_Data!W128</x:f>
        <x:v>40</x:v>
      </x:c>
      <x:c r="AN128" t="n">
        <x:f>2*(SQRT((Inputs!$C$52+(Scenario_Data!E128))^2+Inputs!$C$52^2-2*(Inputs!$C$52+(Scenario_Data!E128))*Inputs!$C$52*COS(SQRT((Scenario_Data!W128)^2+Inputs!$C$6^2)/Inputs!$C$52))*1000)/Inputs!$C$21*1000000</x:f>
        <x:v>366.42028097133147</x:v>
      </x:c>
      <x:c r="AP128" t="n">
        <x:f>Scenario_Data!T128</x:f>
        <x:v>3</x:v>
      </x:c>
      <x:c r="AQ128" t="n">
        <x: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x:f>
        <x:v>2671.6426309227986</x:v>
      </x:c>
      <x:c r="AR128" t="n">
        <x:f>Scenario_Data!U128</x:f>
        <x:v>20</x:v>
      </x:c>
      <x:c r="AS128" t="n">
        <x: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x:f>
        <x:v>320.44458185581664</x:v>
      </x:c>
      <x:c r="AT128" t="n">
        <x:f>Scenario_Data!V128</x:f>
        <x:v>40</x:v>
      </x:c>
      <x:c r="AU128" t="n">
        <x: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x:f>
        <x:v>403.35525783550514</x:v>
      </x:c>
      <x:c r="AV128" t="n">
        <x:f>Scenario_Data!W128</x:f>
        <x:v>40</x:v>
      </x:c>
      <x:c r="AW128" t="n">
        <x: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x:f>
        <x:v>365.43560445237125</x:v>
      </x:c>
    </x:row>
    <x:row r="129">
      <x:c r="A129" t="n">
        <x:f>Chart_Data!K129</x:f>
        <x:v>3.5</x:v>
      </x:c>
      <x:c r="B129" t="n">
        <x:f>Chart_Data!N129-Chart_Data!L129</x:f>
        <x:v>-100.3817455303992</x:v>
      </x:c>
      <x:c r="D129" t="n">
        <x:f>Chart_Data!G129</x:f>
        <x:v>3.5</x:v>
      </x:c>
      <x:c r="E129" t="n">
        <x:f>Chart_Data!H129</x:f>
        <x:v>562.919019674553</x:v>
      </x:c>
      <x:c r="F129" t="n">
        <x:f>Chart_Data!I129</x:f>
        <x:v>562.919019674553</x:v>
      </x:c>
      <x:c r="G129" t="n">
        <x:f>Chart_Data!J129</x:f>
        <x:v>98.61636326587373</x:v>
      </x:c>
      <x:c r="I129" t="n">
        <x:f>Scenario_Data!A129</x:f>
        <x:v>0.058</x:v>
      </x:c>
      <x:c r="J129" t="n">
        <x:f>Scenario_Data!H129-(((SQRT((Inputs!$C$52+(Inputs!$H$6))^2+Inputs!$C$52^2-2*(Inputs!$C$52+(Inputs!$H$6))*Inputs!$C$52*COS(SQRT((Scenario_Data!T129)^2+Inputs!$C$6^2)/Inputs!$C$52)))-(Inputs!$H$6))*1000/Inputs!$C$12)</x:f>
        <x:v>-0.014988976835297763</x:v>
      </x:c>
      <x:c r="K129" t="n">
        <x:f>Scenario_Data!I129-(((SQRT((Inputs!$C$52+(Inputs!$H$7))^2+Inputs!$C$52^2-2*(Inputs!$C$52+(Inputs!$H$7))*Inputs!$C$52*COS(SQRT((Scenario_Data!U129)^2+Inputs!$C$6^2)/Inputs!$C$52)))-(Inputs!$H$7))*1000/Inputs!$C$12)</x:f>
        <x:v>-189.13531467878693</x:v>
      </x:c>
      <x:c r="L129" t="n">
        <x:f>Scenario_Data!J129-(((SQRT((Inputs!$C$52+(Inputs!$H$8))^2+Inputs!$C$52^2-2*(Inputs!$C$52+(Inputs!$H$8))*Inputs!$C$52*COS(SQRT((Scenario_Data!V129)^2+Inputs!$C$6^2)/Inputs!$C$52)))-(Inputs!$H$8))*1000/Inputs!$C$12)</x:f>
        <x:v>-766.3118882481267</x:v>
      </x:c>
      <x:c r="M129" t="n">
        <x:f>Scenario_Data!K129-(((SQRT((Inputs!$C$52+(Inputs!$H$9))^2+Inputs!$C$52^2-2*(Inputs!$C$52+(Inputs!$H$9))*Inputs!$C$52*COS(SQRT((Scenario_Data!W129)^2+Inputs!$C$6^2)/Inputs!$C$52)))-(Inputs!$H$9))*1000/Inputs!$C$12)</x:f>
        <x:v>-989.6747178815604</x:v>
      </x:c>
      <x:c r="O129" t="n">
        <x:f>Scenario_Data!T129</x:f>
        <x:v>3.480000000000004</x:v>
      </x:c>
      <x:c r="P129" t="n">
        <x:f>2*(Scenario_Data!B129*1000)/Inputs!$C$21*1000000</x:f>
        <x:v>2668.602530354516</x:v>
      </x:c>
      <x:c r="Q129" t="n">
        <x:f>Scenario_Data!U129</x:f>
        <x:v>23.200000000000045</x:v>
      </x:c>
      <x:c r="R129" t="n">
        <x:f>2*(Scenario_Data!C129*1000)/Inputs!$C$21*1000000</x:f>
        <x:v>241.68626683730656</x:v>
      </x:c>
      <x:c r="S129" t="n">
        <x:f>Scenario_Data!V129</x:f>
        <x:v>46.40000000000009</x:v>
      </x:c>
      <x:c r="T129" t="n">
        <x:f>2*(Scenario_Data!D129*1000)/Inputs!$C$21*1000000</x:f>
        <x:v>255.1515822322656</x:v>
      </x:c>
      <x:c r="U129" t="n">
        <x:f>Scenario_Data!W129</x:f>
        <x:v>46.40000000000009</x:v>
      </x:c>
      <x:c r="V129" t="n">
        <x:f>2*(Scenario_Data!E129*1000)/Inputs!$C$21*1000000</x:f>
        <x:v>188.66318511588446</x:v>
      </x:c>
      <x:c r="X129" t="n">
        <x:f>Scenario_Data!T129</x:f>
        <x:v>3.480000000000004</x:v>
      </x:c>
      <x:c r="Y129" t="n">
        <x: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x:f>
        <x:v>2667.9465338834552</x:v>
      </x:c>
      <x:c r="Z129" t="n">
        <x:f>Scenario_Data!U129</x:f>
        <x:v>23.200000000000045</x:v>
      </x:c>
      <x:c r="AA129" t="n">
        <x: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x:f>
        <x:v>241.24252251869171</x:v>
      </x:c>
      <x:c r="AB129" t="n">
        <x:f>Scenario_Data!V129</x:f>
        <x:v>46.40000000000009</x:v>
      </x:c>
      <x:c r="AC129" t="n">
        <x: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x:f>
        <x:v>255.2187398952393</x:v>
      </x:c>
      <x:c r="AD129" t="n">
        <x:f>Scenario_Data!W129</x:f>
        <x:v>46.40000000000009</x:v>
      </x:c>
      <x:c r="AE129" t="n">
        <x: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x:f>
        <x:v>188.73034277885816</x:v>
      </x:c>
      <x:c r="AG129" t="n">
        <x:f>Scenario_Data!T129</x:f>
        <x:v>3.480000000000004</x:v>
      </x:c>
      <x:c r="AH129" t="n">
        <x:f>2*(SQRT((Inputs!$C$52+(Scenario_Data!B129))^2+Inputs!$C$52^2-2*(Inputs!$C$52+(Scenario_Data!B129))*Inputs!$C$52*COS(SQRT((Scenario_Data!T129)^2+Inputs!$C$6^2)/Inputs!$C$52))*1000)/Inputs!$C$21*1000000</x:f>
        <x:v>2675.2684009246454</x:v>
      </x:c>
      <x:c r="AI129" t="n">
        <x:f>Scenario_Data!U129</x:f>
        <x:v>23.200000000000045</x:v>
      </x:c>
      <x:c r="AJ129" t="n">
        <x:f>2*(SQRT((Inputs!$C$52+(Scenario_Data!C129))^2+Inputs!$C$52^2-2*(Inputs!$C$52+(Scenario_Data!C129))*Inputs!$C$52*COS(SQRT((Scenario_Data!U129)^2+Inputs!$C$6^2)/Inputs!$C$52))*1000)/Inputs!$C$21*1000000</x:f>
        <x:v>333.7408733876195</x:v>
      </x:c>
      <x:c r="AK129" t="n">
        <x:f>Scenario_Data!V129</x:f>
        <x:v>46.40000000000009</x:v>
      </x:c>
      <x:c r="AL129" t="n">
        <x:f>2*(SQRT((Inputs!$C$52+(Scenario_Data!D129))^2+Inputs!$C$52^2-2*(Inputs!$C$52+(Scenario_Data!D129))*Inputs!$C$52*COS(SQRT((Scenario_Data!V129)^2+Inputs!$C$6^2)/Inputs!$C$52))*1000)/Inputs!$C$21*1000000</x:f>
        <x:v>437.8992973190349</x:v>
      </x:c>
      <x:c r="AM129" t="n">
        <x:f>Scenario_Data!W129</x:f>
        <x:v>46.40000000000009</x:v>
      </x:c>
      <x:c r="AN129" t="n">
        <x:f>2*(SQRT((Inputs!$C$52+(Scenario_Data!E129))^2+Inputs!$C$52^2-2*(Inputs!$C$52+(Scenario_Data!E129))*Inputs!$C$52*COS(SQRT((Scenario_Data!W129)^2+Inputs!$C$6^2)/Inputs!$C$52))*1000)/Inputs!$C$21*1000000</x:f>
        <x:v>401.81820551497754</x:v>
      </x:c>
      <x:c r="AP129" t="n">
        <x:f>Scenario_Data!T129</x:f>
        <x:v>3.480000000000004</x:v>
      </x:c>
      <x:c r="AQ129" t="n">
        <x: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x:f>
        <x:v>2671.5287542409565</x:v>
      </x:c>
      <x:c r="AR129" t="n">
        <x:f>Scenario_Data!U129</x:f>
        <x:v>23.200000000000045</x:v>
      </x:c>
      <x:c r="AS129" t="n">
        <x: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x:f>
        <x:v>331.6458641659622</x:v>
      </x:c>
      <x:c r="AT129" t="n">
        <x:f>Scenario_Data!V129</x:f>
        <x:v>46.40000000000009</x:v>
      </x:c>
      <x:c r="AU129" t="n">
        <x: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x:f>
        <x:v>437.3422960859125</x:v>
      </x:c>
      <x:c r="AV129" t="n">
        <x:f>Scenario_Data!W129</x:f>
        <x:v>46.40000000000009</x:v>
      </x:c>
      <x:c r="AW129" t="n">
        <x: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x:f>
        <x:v>401.37349365440116</x:v>
      </x:c>
    </x:row>
    <x:row r="130">
      <x:c r="A130" t="n">
        <x:f>Chart_Data!K130</x:f>
        <x:v>4</x:v>
      </x:c>
      <x:c r="B130" t="n">
        <x:f>Chart_Data!N130-Chart_Data!L130</x:f>
        <x:v>-98.13487225773548</x:v>
      </x:c>
      <x:c r="D130" t="n">
        <x:f>Chart_Data!G130</x:f>
        <x:v>4</x:v>
      </x:c>
      <x:c r="E130" t="n">
        <x:f>Chart_Data!H130</x:f>
        <x:v>561.6697690573507</x:v>
      </x:c>
      <x:c r="F130" t="n">
        <x:f>Chart_Data!I130</x:f>
        <x:v>561.6697690573507</x:v>
      </x:c>
      <x:c r="G130" t="n">
        <x:f>Chart_Data!J130</x:f>
        <x:v>96.36311355528144</x:v>
      </x:c>
      <x:c r="I130" t="n">
        <x:f>Scenario_Data!A130</x:f>
        <x:v>0.067</x:v>
      </x:c>
      <x:c r="J130" t="n">
        <x:f>Scenario_Data!H130-(((SQRT((Inputs!$C$52+(Inputs!$H$6))^2+Inputs!$C$52^2-2*(Inputs!$C$52+(Inputs!$H$6))*Inputs!$C$52*COS(SQRT((Scenario_Data!T130)^2+Inputs!$C$6^2)/Inputs!$C$52)))-(Inputs!$H$6))*1000/Inputs!$C$12)</x:f>
        <x:v>-0.02012804017840608</x:v>
      </x:c>
      <x:c r="K130" t="n">
        <x:f>Scenario_Data!I130-(((SQRT((Inputs!$C$52+(Inputs!$H$7))^2+Inputs!$C$52^2-2*(Inputs!$C$52+(Inputs!$H$7))*Inputs!$C$52*COS(SQRT((Scenario_Data!U130)^2+Inputs!$C$6^2)/Inputs!$C$52)))-(Inputs!$H$7))*1000/Inputs!$C$12)</x:f>
        <x:v>-273.20619150514904</x:v>
      </x:c>
      <x:c r="L130" t="n">
        <x:f>Scenario_Data!J130-(((SQRT((Inputs!$C$52+(Inputs!$H$8))^2+Inputs!$C$52^2-2*(Inputs!$C$52+(Inputs!$H$8))*Inputs!$C$52*COS(SQRT((Scenario_Data!V130)^2+Inputs!$C$6^2)/Inputs!$C$52)))-(Inputs!$H$8))*1000/Inputs!$C$12)</x:f>
        <x:v>-1111.366579203488</x:v>
      </x:c>
      <x:c r="M130" t="n">
        <x:f>Scenario_Data!K130-(((SQRT((Inputs!$C$52+(Inputs!$H$9))^2+Inputs!$C$52^2-2*(Inputs!$C$52+(Inputs!$H$9))*Inputs!$C$52*COS(SQRT((Scenario_Data!W130)^2+Inputs!$C$6^2)/Inputs!$C$52)))-(Inputs!$H$9))*1000/Inputs!$C$12)</x:f>
        <x:v>-1397.552072156148</x:v>
      </x:c>
      <x:c r="O130" t="n">
        <x:f>Scenario_Data!T130</x:f>
        <x:v>4.019999999999996</x:v>
      </x:c>
      <x:c r="P130" t="n">
        <x:f>2*(Scenario_Data!B130*1000)/Inputs!$C$21*1000000</x:f>
        <x:v>2668.632551123084</x:v>
      </x:c>
      <x:c r="Q130" t="n">
        <x:f>Scenario_Data!U130</x:f>
        <x:v>26.799999999999955</x:v>
      </x:c>
      <x:c r="R130" t="n">
        <x:f>2*(Scenario_Data!C130*1000)/Inputs!$C$21*1000000</x:f>
        <x:v>244.42566196912128</x:v>
      </x:c>
      <x:c r="S130" t="n">
        <x:f>Scenario_Data!V130</x:f>
        <x:v>53.59999999999991</x:v>
      </x:c>
      <x:c r="T130" t="n">
        <x:f>2*(Scenario_Data!D130*1000)/Inputs!$C$21*1000000</x:f>
        <x:v>262.3940926492553</x:v>
      </x:c>
      <x:c r="U130" t="n">
        <x:f>Scenario_Data!W130</x:f>
        <x:v>53.59999999999991</x:v>
      </x:c>
      <x:c r="V130" t="n">
        <x:f>2*(Scenario_Data!E130*1000)/Inputs!$C$21*1000000</x:f>
        <x:v>195.98074745429378</x:v>
      </x:c>
      <x:c r="X130" t="n">
        <x:f>Scenario_Data!T130</x:f>
        <x:v>4.019999999999996</x:v>
      </x:c>
      <x:c r="Y130" t="n">
        <x: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x:f>
        <x:v>2668.0413136983166</x:v>
      </x:c>
      <x:c r="Z130" t="n">
        <x:f>Scenario_Data!U130</x:f>
        <x:v>26.799999999999955</x:v>
      </x:c>
      <x:c r="AA130" t="n">
        <x: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x:f>
        <x:v>243.91411166454145</x:v>
      </x:c>
      <x:c r="AB130" t="n">
        <x:f>Scenario_Data!V130</x:f>
        <x:v>53.59999999999991</x:v>
      </x:c>
      <x:c r="AC130" t="n">
        <x: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x:f>
        <x:v>262.3743325123983</x:v>
      </x:c>
      <x:c r="AD130" t="n">
        <x:f>Scenario_Data!W130</x:f>
        <x:v>53.59999999999991</x:v>
      </x:c>
      <x:c r="AE130" t="n">
        <x: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x:f>
        <x:v>195.9609873174368</x:v>
      </x:c>
      <x:c r="AG130" t="n">
        <x:f>Scenario_Data!T130</x:f>
        <x:v>4.019999999999996</x:v>
      </x:c>
      <x:c r="AH130" t="n">
        <x:f>2*(SQRT((Inputs!$C$52+(Scenario_Data!B130))^2+Inputs!$C$52^2-2*(Inputs!$C$52+(Scenario_Data!B130))*Inputs!$C$52*COS(SQRT((Scenario_Data!T130)^2+Inputs!$C$6^2)/Inputs!$C$52))*1000)/Inputs!$C$21*1000000</x:f>
        <x:v>2675.340681520537</x:v>
      </x:c>
      <x:c r="AI130" t="n">
        <x:f>Scenario_Data!U130</x:f>
        <x:v>26.799999999999955</x:v>
      </x:c>
      <x:c r="AJ130" t="n">
        <x:f>2*(SQRT((Inputs!$C$52+(Scenario_Data!C130))^2+Inputs!$C$52^2-2*(Inputs!$C$52+(Scenario_Data!C130))*Inputs!$C$52*COS(SQRT((Scenario_Data!U130)^2+Inputs!$C$6^2)/Inputs!$C$52))*1000)/Inputs!$C$21*1000000</x:f>
        <x:v>347.7451277079186</x:v>
      </x:c>
      <x:c r="AK130" t="n">
        <x:f>Scenario_Data!V130</x:f>
        <x:v>53.59999999999991</x:v>
      </x:c>
      <x:c r="AL130" t="n">
        <x:f>2*(SQRT((Inputs!$C$52+(Scenario_Data!D130))^2+Inputs!$C$52^2-2*(Inputs!$C$52+(Scenario_Data!D130))*Inputs!$C$52*COS(SQRT((Scenario_Data!V130)^2+Inputs!$C$6^2)/Inputs!$C$52))*1000)/Inputs!$C$21*1000000</x:f>
        <x:v>477.9486297496659</x:v>
      </x:c>
      <x:c r="AM130" t="n">
        <x:f>Scenario_Data!W130</x:f>
        <x:v>53.59999999999991</x:v>
      </x:c>
      <x:c r="AN130" t="n">
        <x:f>2*(SQRT((Inputs!$C$52+(Scenario_Data!E130))^2+Inputs!$C$52^2-2*(Inputs!$C$52+(Scenario_Data!E130))*Inputs!$C$52*COS(SQRT((Scenario_Data!W130)^2+Inputs!$C$6^2)/Inputs!$C$52))*1000)/Inputs!$C$21*1000000</x:f>
        <x:v>443.8466445893456</x:v>
      </x:c>
      <x:c r="AP130" t="n">
        <x:f>Scenario_Data!T130</x:f>
        <x:v>4.019999999999996</x:v>
      </x:c>
      <x:c r="AQ130" t="n">
        <x: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x:f>
        <x:v>2671.7164768981124</x:v>
      </x:c>
      <x:c r="AR130" t="n">
        <x:f>Scenario_Data!U130</x:f>
        <x:v>26.799999999999955</x:v>
      </x:c>
      <x:c r="AS130" t="n">
        <x: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x:f>
        <x:v>346.1259254691169</x:v>
      </x:c>
      <x:c r="AT130" t="n">
        <x:f>Scenario_Data!V130</x:f>
        <x:v>53.59999999999991</x:v>
      </x:c>
      <x:c r="AU130" t="n">
        <x: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x:f>
        <x:v>477.3110002130046</x:v>
      </x:c>
      <x:c r="AV130" t="n">
        <x:f>Scenario_Data!W130</x:f>
        <x:v>53.59999999999991</x:v>
      </x:c>
      <x:c r="AW130" t="n">
        <x: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x:f>
        <x:v>443.33938132861306</x:v>
      </x:c>
    </x:row>
    <x:row r="131">
      <x:c r="A131" t="n">
        <x:f>Chart_Data!K131</x:f>
        <x:v>4.5</x:v>
      </x:c>
      <x:c r="B131" t="n">
        <x:f>Chart_Data!N131-Chart_Data!L131</x:f>
        <x:v>-84.32559173968934</x:v>
      </x:c>
      <x:c r="D131" t="n">
        <x:f>Chart_Data!G131</x:f>
        <x:v>4.5</x:v>
      </x:c>
      <x:c r="E131" t="n">
        <x:f>Chart_Data!H131</x:f>
        <x:v>568.6436382247327</x:v>
      </x:c>
      <x:c r="F131" t="n">
        <x:f>Chart_Data!I131</x:f>
        <x:v>568.6436382247327</x:v>
      </x:c>
      <x:c r="G131" t="n">
        <x:f>Chart_Data!J131</x:f>
        <x:v>82.51998590748882</x:v>
      </x:c>
      <x:c r="I131" t="n">
        <x:f>Scenario_Data!A131</x:f>
        <x:v>0.075</x:v>
      </x:c>
      <x:c r="J131" t="n">
        <x:f>Scenario_Data!H131-(((SQRT((Inputs!$C$52+(Inputs!$H$6))^2+Inputs!$C$52^2-2*(Inputs!$C$52+(Inputs!$H$6))*Inputs!$C$52*COS(SQRT((Scenario_Data!T131)^2+Inputs!$C$6^2)/Inputs!$C$52)))-(Inputs!$H$6))*1000/Inputs!$C$12)</x:f>
        <x:v>-0.025381627713954913</x:v>
      </x:c>
      <x:c r="K131" t="n">
        <x:f>Scenario_Data!I131-(((SQRT((Inputs!$C$52+(Inputs!$H$7))^2+Inputs!$C$52^2-2*(Inputs!$C$52+(Inputs!$H$7))*Inputs!$C$52*COS(SQRT((Scenario_Data!U131)^2+Inputs!$C$6^2)/Inputs!$C$52)))-(Inputs!$H$7))*1000/Inputs!$C$12)</x:f>
        <x:v>-365.6858715468552</x:v>
      </x:c>
      <x:c r="L131" t="n">
        <x:f>Scenario_Data!J131-(((SQRT((Inputs!$C$52+(Inputs!$H$8))^2+Inputs!$C$52^2-2*(Inputs!$C$52+(Inputs!$H$8))*Inputs!$C$52*COS(SQRT((Scenario_Data!V131)^2+Inputs!$C$6^2)/Inputs!$C$52)))-(Inputs!$H$8))*1000/Inputs!$C$12)</x:f>
        <x:v>-1478.9642244424758</x:v>
      </x:c>
      <x:c r="M131" t="n">
        <x:f>Scenario_Data!K131-(((SQRT((Inputs!$C$52+(Inputs!$H$9))^2+Inputs!$C$52^2-2*(Inputs!$C$52+(Inputs!$H$9))*Inputs!$C$52*COS(SQRT((Scenario_Data!W131)^2+Inputs!$C$6^2)/Inputs!$C$52)))-(Inputs!$H$9))*1000/Inputs!$C$12)</x:f>
        <x:v>-1822.7678078152858</x:v>
      </x:c>
      <x:c r="O131" t="n">
        <x:f>Scenario_Data!T131</x:f>
        <x:v>4.5</x:v>
      </x:c>
      <x:c r="P131" t="n">
        <x:f>2*(Scenario_Data!B131*1000)/Inputs!$C$21*1000000</x:f>
        <x:v>2668.6628654280557</x:v>
      </x:c>
      <x:c r="Q131" t="n">
        <x:f>Scenario_Data!U131</x:f>
        <x:v>30</x:v>
      </x:c>
      <x:c r="R131" t="n">
        <x:f>2*(Scenario_Data!C131*1000)/Inputs!$C$21*1000000</x:f>
        <x:v>247.19184229778054</x:v>
      </x:c>
      <x:c r="S131" t="n">
        <x:f>Scenario_Data!V131</x:f>
        <x:v>60</x:v>
      </x:c>
      <x:c r="T131" t="n">
        <x:f>2*(Scenario_Data!D131*1000)/Inputs!$C$21*1000000</x:f>
        <x:v>269.7074187236558</x:v>
      </x:c>
      <x:c r="U131" t="n">
        <x:f>Scenario_Data!W131</x:f>
        <x:v>60</x:v>
      </x:c>
      <x:c r="V131" t="n">
        <x:f>2*(Scenario_Data!E131*1000)/Inputs!$C$21*1000000</x:f>
        <x:v>203.36985929112333</x:v>
      </x:c>
      <x:c r="X131" t="n">
        <x:f>Scenario_Data!T131</x:f>
        <x:v>4.5</x:v>
      </x:c>
      <x:c r="Y131" t="n">
        <x: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x:f>
        <x:v>2668.112351339356</x:v>
      </x:c>
      <x:c r="Z131" t="n">
        <x:f>Scenario_Data!U131</x:f>
        <x:v>30</x:v>
      </x:c>
      <x:c r="AA131" t="n">
        <x: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x:f>
        <x:v>247.1125933494017</x:v>
      </x:c>
      <x:c r="AB131" t="n">
        <x:f>Scenario_Data!V131</x:f>
        <x:v>60</x:v>
      </x:c>
      <x:c r="AC131" t="n">
        <x: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x:f>
        <x:v>269.49464398527886</x:v>
      </x:c>
      <x:c r="AD131" t="n">
        <x:f>Scenario_Data!W131</x:f>
        <x:v>60</x:v>
      </x:c>
      <x:c r="AE131" t="n">
        <x: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x:f>
        <x:v>203.15708455274637</x:v>
      </x:c>
      <x:c r="AG131" t="n">
        <x:f>Scenario_Data!T131</x:f>
        <x:v>4.5</x:v>
      </x:c>
      <x:c r="AH131" t="n">
        <x:f>2*(SQRT((Inputs!$C$52+(Scenario_Data!B131))^2+Inputs!$C$52^2-2*(Inputs!$C$52+(Scenario_Data!B131))*Inputs!$C$52*COS(SQRT((Scenario_Data!T131)^2+Inputs!$C$6^2)/Inputs!$C$52))*1000)/Inputs!$C$21*1000000</x:f>
        <x:v>2675.413667405526</x:v>
      </x:c>
      <x:c r="AI131" t="n">
        <x:f>Scenario_Data!U131</x:f>
        <x:v>30</x:v>
      </x:c>
      <x:c r="AJ131" t="n">
        <x:f>2*(SQRT((Inputs!$C$52+(Scenario_Data!C131))^2+Inputs!$C$52^2-2*(Inputs!$C$52+(Scenario_Data!C131))*Inputs!$C$52*COS(SQRT((Scenario_Data!U131)^2+Inputs!$C$6^2)/Inputs!$C$52))*1000)/Inputs!$C$21*1000000</x:f>
        <x:v>361.3628330842782</x:v>
      </x:c>
      <x:c r="AK131" t="n">
        <x:f>Scenario_Data!V131</x:f>
        <x:v>60</x:v>
      </x:c>
      <x:c r="AL131" t="n">
        <x:f>2*(SQRT((Inputs!$C$52+(Scenario_Data!D131))^2+Inputs!$C$52^2-2*(Inputs!$C$52+(Scenario_Data!D131))*Inputs!$C$52*COS(SQRT((Scenario_Data!V131)^2+Inputs!$C$6^2)/Inputs!$C$52))*1000)/Inputs!$C$21*1000000</x:f>
        <x:v>515.385935947316</x:v>
      </x:c>
      <x:c r="AM131" t="n">
        <x:f>Scenario_Data!W131</x:f>
        <x:v>60</x:v>
      </x:c>
      <x:c r="AN131" t="n">
        <x:f>2*(SQRT((Inputs!$C$52+(Scenario_Data!E131))^2+Inputs!$C$52^2-2*(Inputs!$C$52+(Scenario_Data!E131))*Inputs!$C$52*COS(SQRT((Scenario_Data!W131)^2+Inputs!$C$6^2)/Inputs!$C$52))*1000)/Inputs!$C$21*1000000</x:f>
        <x:v>482.7443088432838</x:v>
      </x:c>
      <x:c r="AP131" t="n">
        <x:f>Scenario_Data!T131</x:f>
        <x:v>4.5</x:v>
      </x:c>
      <x:c r="AQ131" t="n">
        <x: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x:f>
        <x:v>2671.6321310975477</x:v>
      </x:c>
      <x:c r="AR131" t="n">
        <x:f>Scenario_Data!U131</x:f>
        <x:v>30</x:v>
      </x:c>
      <x:c r="AS131" t="n">
        <x: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x:f>
        <x:v>360.2018669174499</x:v>
      </x:c>
      <x:c r="AT131" t="n">
        <x:f>Scenario_Data!V131</x:f>
        <x:v>60</x:v>
      </x:c>
      <x:c r="AU131" t="n">
        <x: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x:f>
        <x:v>514.7823373735504</x:v>
      </x:c>
      <x:c r="AV131" t="n">
        <x:f>Scenario_Data!W131</x:f>
        <x:v>60</x:v>
      </x:c>
      <x:c r="AW131" t="n">
        <x: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x:f>
        <x:v>482.26431149858644</x:v>
      </x:c>
    </x:row>
    <x:row r="132">
      <x:c r="A132" t="n">
        <x:f>Chart_Data!K132</x:f>
        <x:v>5</x:v>
      </x:c>
      <x:c r="B132" t="n">
        <x:f>Chart_Data!N132-Chart_Data!L132</x:f>
        <x:v>-100.70506580081894</x:v>
      </x:c>
      <x:c r="D132" t="n">
        <x:f>Chart_Data!G132</x:f>
        <x:v>5</x:v>
      </x:c>
      <x:c r="E132" t="n">
        <x:f>Chart_Data!H132</x:f>
        <x:v>548.8146920903409</x:v>
      </x:c>
      <x:c r="F132" t="n">
        <x:f>Chart_Data!I132</x:f>
        <x:v>548.8146920903409</x:v>
      </x:c>
      <x:c r="G132" t="n">
        <x:f>Chart_Data!J132</x:f>
        <x:v>98.94976350623145</x:v>
      </x:c>
      <x:c r="I132" t="n">
        <x:f>Scenario_Data!A132</x:f>
        <x:v>0.083</x:v>
      </x:c>
      <x:c r="J132" t="n">
        <x:f>Scenario_Data!H132-(((SQRT((Inputs!$C$52+(Inputs!$H$6))^2+Inputs!$C$52^2-2*(Inputs!$C$52+(Inputs!$H$6))*Inputs!$C$52*COS(SQRT((Scenario_Data!T132)^2+Inputs!$C$6^2)/Inputs!$C$52)))-(Inputs!$H$6))*1000/Inputs!$C$12)</x:f>
        <x:v>-0.031303072409855304</x:v>
      </x:c>
      <x:c r="K132" t="n">
        <x:f>Scenario_Data!I132-(((SQRT((Inputs!$C$52+(Inputs!$H$7))^2+Inputs!$C$52^2-2*(Inputs!$C$52+(Inputs!$H$7))*Inputs!$C$52*COS(SQRT((Scenario_Data!U132)^2+Inputs!$C$6^2)/Inputs!$C$52)))-(Inputs!$H$7))*1000/Inputs!$C$12)</x:f>
        <x:v>-476.0772849904715</x:v>
      </x:c>
      <x:c r="L132" t="n">
        <x:f>Scenario_Data!J132-(((SQRT((Inputs!$C$52+(Inputs!$H$8))^2+Inputs!$C$52^2-2*(Inputs!$C$52+(Inputs!$H$8))*Inputs!$C$52*COS(SQRT((Scenario_Data!V132)^2+Inputs!$C$6^2)/Inputs!$C$52)))-(Inputs!$H$8))*1000/Inputs!$C$12)</x:f>
        <x:v>-1903.505948859045</x:v>
      </x:c>
      <x:c r="M132" t="n">
        <x:f>Scenario_Data!K132-(((SQRT((Inputs!$C$52+(Inputs!$H$9))^2+Inputs!$C$52^2-2*(Inputs!$C$52+(Inputs!$H$9))*Inputs!$C$52*COS(SQRT((Scenario_Data!W132)^2+Inputs!$C$6^2)/Inputs!$C$52)))-(Inputs!$H$9))*1000/Inputs!$C$12)</x:f>
        <x:v>-2305.8725854526674</x:v>
      </x:c>
      <x:c r="O132" t="n">
        <x:f>Scenario_Data!T132</x:f>
        <x:v>4.980000000000004</x:v>
      </x:c>
      <x:c r="P132" t="n">
        <x:f>2*(Scenario_Data!B132*1000)/Inputs!$C$21*1000000</x:f>
        <x:v>2668.696595429362</x:v>
      </x:c>
      <x:c r="Q132" t="n">
        <x:f>Scenario_Data!U132</x:f>
        <x:v>33.19999999999999</x:v>
      </x:c>
      <x:c r="R132" t="n">
        <x:f>2*(Scenario_Data!C132*1000)/Inputs!$C$21*1000000</x:f>
        <x:v>250.26970491699296</x:v>
      </x:c>
      <x:c r="S132" t="n">
        <x:f>Scenario_Data!V132</x:f>
        <x:v>66.39999999999998</x:v>
      </x:c>
      <x:c r="T132" t="n">
        <x:f>2*(Scenario_Data!D132*1000)/Inputs!$C$21*1000000</x:f>
        <x:v>277.84478153883373</x:v>
      </x:c>
      <x:c r="U132" t="n">
        <x:f>Scenario_Data!W132</x:f>
        <x:v>66.39999999999998</x:v>
      </x:c>
      <x:c r="V132" t="n">
        <x:f>2*(Scenario_Data!E132*1000)/Inputs!$C$21*1000000</x:f>
        <x:v>211.59154710956733</x:v>
      </x:c>
      <x:c r="X132" t="n">
        <x:f>Scenario_Data!T132</x:f>
        <x:v>4.980000000000004</x:v>
      </x:c>
      <x:c r="Y132" t="n">
        <x: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x:f>
        <x:v>2668.024044371162</x:v>
      </x:c>
      <x:c r="Z132" t="n">
        <x:f>Scenario_Data!U132</x:f>
        <x:v>33.19999999999999</x:v>
      </x:c>
      <x:c r="AA132" t="n">
        <x: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x:f>
        <x:v>250.2681978626065</x:v>
      </x:c>
      <x:c r="AB132" t="n">
        <x:f>Scenario_Data!V132</x:f>
        <x:v>66.39999999999998</x:v>
      </x:c>
      <x:c r="AC132" t="n">
        <x: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x:f>
        <x:v>278.0034259719433</x:v>
      </x:c>
      <x:c r="AD132" t="n">
        <x:f>Scenario_Data!W132</x:f>
        <x:v>66.39999999999998</x:v>
      </x:c>
      <x:c r="AE132" t="n">
        <x: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x:f>
        <x:v>211.7501915426769</x:v>
      </x:c>
      <x:c r="AG132" t="n">
        <x:f>Scenario_Data!T132</x:f>
        <x:v>4.980000000000004</x:v>
      </x:c>
      <x:c r="AH132" t="n">
        <x:f>2*(SQRT((Inputs!$C$52+(Scenario_Data!B132))^2+Inputs!$C$52^2-2*(Inputs!$C$52+(Scenario_Data!B132))*Inputs!$C$52*COS(SQRT((Scenario_Data!T132)^2+Inputs!$C$6^2)/Inputs!$C$52))*1000)/Inputs!$C$21*1000000</x:f>
        <x:v>2675.494875334485</x:v>
      </x:c>
      <x:c r="AI132" t="n">
        <x:f>Scenario_Data!U132</x:f>
        <x:v>33.19999999999999</x:v>
      </x:c>
      <x:c r="AJ132" t="n">
        <x:f>2*(SQRT((Inputs!$C$52+(Scenario_Data!C132))^2+Inputs!$C$52^2-2*(Inputs!$C$52+(Scenario_Data!C132))*Inputs!$C$52*COS(SQRT((Scenario_Data!U132)^2+Inputs!$C$6^2)/Inputs!$C$52))*1000)/Inputs!$C$21*1000000</x:f>
        <x:v>375.9660695790947</x:v>
      </x:c>
      <x:c r="AK132" t="n">
        <x:f>Scenario_Data!V132</x:f>
        <x:v>66.39999999999998</x:v>
      </x:c>
      <x:c r="AL132" t="n">
        <x:f>2*(SQRT((Inputs!$C$52+(Scenario_Data!D132))^2+Inputs!$C$52^2-2*(Inputs!$C$52+(Scenario_Data!D132))*Inputs!$C$52*COS(SQRT((Scenario_Data!V132)^2+Inputs!$C$6^2)/Inputs!$C$52))*1000)/Inputs!$C$21*1000000</x:f>
        <x:v>554.2362316751039</x:v>
      </x:c>
      <x:c r="AM132" t="n">
        <x:f>Scenario_Data!W132</x:f>
        <x:v>66.39999999999998</x:v>
      </x:c>
      <x:c r="AN132" t="n">
        <x:f>2*(SQRT((Inputs!$C$52+(Scenario_Data!E132))^2+Inputs!$C$52^2-2*(Inputs!$C$52+(Scenario_Data!E132))*Inputs!$C$52*COS(SQRT((Scenario_Data!W132)^2+Inputs!$C$6^2)/Inputs!$C$52))*1000)/Inputs!$C$21*1000000</x:f>
        <x:v>522.8056693168993</x:v>
      </x:c>
      <x:c r="AP132" t="n">
        <x:f>Scenario_Data!T132</x:f>
        <x:v>4.980000000000004</x:v>
      </x:c>
      <x:c r="AQ132" t="n">
        <x: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x:f>
        <x:v>2671.7859679590338</x:v>
      </x:c>
      <x:c r="AR132" t="n">
        <x:f>Scenario_Data!U132</x:f>
        <x:v>33.19999999999999</x:v>
      </x:c>
      <x:c r="AS132" t="n">
        <x: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x:f>
        <x:v>374.979174132014</x:v>
      </x:c>
      <x:c r="AT132" t="n">
        <x:f>Scenario_Data!V132</x:f>
        <x:v>66.39999999999998</x:v>
      </x:c>
      <x:c r="AU132" t="n">
        <x: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x:f>
        <x:v>553.9006055367959</x:v>
      </x:c>
      <x:c r="AV132" t="n">
        <x:f>Scenario_Data!W132</x:f>
        <x:v>66.39999999999998</x:v>
      </x:c>
      <x:c r="AW132" t="n">
        <x: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x:f>
        <x:v>522.5382572248163</x:v>
      </x:c>
    </x:row>
    <x:row r="133">
      <x:c r="A133" t="n">
        <x:f>Chart_Data!K133</x:f>
        <x:v>5.5</x:v>
      </x:c>
      <x:c r="B133" t="n">
        <x:f>Chart_Data!N133-Chart_Data!L133</x:f>
        <x:v>-98.853802750613</x:v>
      </x:c>
      <x:c r="D133" t="n">
        <x:f>Chart_Data!G133</x:f>
        <x:v>5.5</x:v>
      </x:c>
      <x:c r="E133" t="n">
        <x:f>Chart_Data!H133</x:f>
        <x:v>539.5212853164131</x:v>
      </x:c>
      <x:c r="F133" t="n">
        <x:f>Chart_Data!I133</x:f>
        <x:v>539.5212853164131</x:v>
      </x:c>
      <x:c r="G133" t="n">
        <x:f>Chart_Data!J133</x:f>
        <x:v>97.11441747768895</x:v>
      </x:c>
      <x:c r="I133" t="n">
        <x:f>Scenario_Data!A133</x:f>
        <x:v>0.092</x:v>
      </x:c>
      <x:c r="J133" t="n">
        <x:f>Scenario_Data!H133-(((SQRT((Inputs!$C$52+(Inputs!$H$6))^2+Inputs!$C$52^2-2*(Inputs!$C$52+(Inputs!$H$6))*Inputs!$C$52*COS(SQRT((Scenario_Data!T133)^2+Inputs!$C$6^2)/Inputs!$C$52)))-(Inputs!$H$6))*1000/Inputs!$C$12)</x:f>
        <x:v>-0.038793322623632776</x:v>
      </x:c>
      <x:c r="K133" t="n">
        <x:f>Scenario_Data!I133-(((SQRT((Inputs!$C$52+(Inputs!$H$7))^2+Inputs!$C$52^2-2*(Inputs!$C$52+(Inputs!$H$7))*Inputs!$C$52*COS(SQRT((Scenario_Data!U133)^2+Inputs!$C$6^2)/Inputs!$C$52)))-(Inputs!$H$7))*1000/Inputs!$C$12)</x:f>
        <x:v>-622.7876519774909</x:v>
      </x:c>
      <x:c r="L133" t="n">
        <x:f>Scenario_Data!J133-(((SQRT((Inputs!$C$52+(Inputs!$H$8))^2+Inputs!$C$52^2-2*(Inputs!$C$52+(Inputs!$H$8))*Inputs!$C$52*COS(SQRT((Scenario_Data!V133)^2+Inputs!$C$6^2)/Inputs!$C$52)))-(Inputs!$H$8))*1000/Inputs!$C$12)</x:f>
        <x:v>-2448.174221919682</x:v>
      </x:c>
      <x:c r="M133" t="n">
        <x:f>Scenario_Data!K133-(((SQRT((Inputs!$C$52+(Inputs!$H$9))^2+Inputs!$C$52^2-2*(Inputs!$C$52+(Inputs!$H$9))*Inputs!$C$52*COS(SQRT((Scenario_Data!W133)^2+Inputs!$C$6^2)/Inputs!$C$52)))-(Inputs!$H$9))*1000/Inputs!$C$12)</x:f>
        <x:v>-2916.9995331569153</x:v>
      </x:c>
      <x:c r="O133" t="n">
        <x:f>Scenario_Data!T133</x:f>
        <x:v>5.52000000000001</x:v>
      </x:c>
      <x:c r="P133" t="n">
        <x:f>2*(Scenario_Data!B133*1000)/Inputs!$C$21*1000000</x:f>
        <x:v>2668.738624505357</x:v>
      </x:c>
      <x:c r="Q133" t="n">
        <x:f>Scenario_Data!U133</x:f>
        <x:v>36.80000000000001</x:v>
      </x:c>
      <x:c r="R133" t="n">
        <x:f>2*(Scenario_Data!C133*1000)/Inputs!$C$21*1000000</x:f>
        <x:v>254.1048581015337</x:v>
      </x:c>
      <x:c r="S133" t="n">
        <x:f>Scenario_Data!V133</x:f>
        <x:v>73.60000000000002</x:v>
      </x:c>
      <x:c r="T133" t="n">
        <x:f>2*(Scenario_Data!D133*1000)/Inputs!$C$21*1000000</x:f>
        <x:v>287.98429612261964</x:v>
      </x:c>
      <x:c r="U133" t="n">
        <x:f>Scenario_Data!W133</x:f>
        <x:v>73.60000000000002</x:v>
      </x:c>
      <x:c r="V133" t="n">
        <x:f>2*(Scenario_Data!E133*1000)/Inputs!$C$21*1000000</x:f>
        <x:v>221.8361343833407</x:v>
      </x:c>
      <x:c r="X133" t="n">
        <x:f>Scenario_Data!T133</x:f>
        <x:v>5.52000000000001</x:v>
      </x:c>
      <x:c r="Y133" t="n">
        <x: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x:f>
        <x:v>2668.1188396643256</x:v>
      </x:c>
      <x:c r="Z133" t="n">
        <x:f>Scenario_Data!U133</x:f>
        <x:v>36.80000000000001</x:v>
      </x:c>
      <x:c r="AA133" t="n">
        <x: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x:f>
        <x:v>253.68974248855739</x:v>
      </x:c>
      <x:c r="AB133" t="n">
        <x:f>Scenario_Data!V133</x:f>
        <x:v>73.60000000000002</x:v>
      </x:c>
      <x:c r="AC133" t="n">
        <x: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x:f>
        <x:v>287.8679845367436</x:v>
      </x:c>
      <x:c r="AD133" t="n">
        <x:f>Scenario_Data!W133</x:f>
        <x:v>73.60000000000002</x:v>
      </x:c>
      <x:c r="AE133" t="n">
        <x: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x:f>
        <x:v>221.71982279746464</x:v>
      </x:c>
      <x:c r="AG133" t="n">
        <x:f>Scenario_Data!T133</x:f>
        <x:v>5.52000000000001</x:v>
      </x:c>
      <x:c r="AH133" t="n">
        <x:f>2*(SQRT((Inputs!$C$52+(Scenario_Data!B133))^2+Inputs!$C$52^2-2*(Inputs!$C$52+(Scenario_Data!B133))*Inputs!$C$52*COS(SQRT((Scenario_Data!T133)^2+Inputs!$C$6^2)/Inputs!$C$52))*1000)/Inputs!$C$21*1000000</x:f>
        <x:v>2675.596061480153</x:v>
      </x:c>
      <x:c r="AI133" t="n">
        <x:f>Scenario_Data!U133</x:f>
        <x:v>36.80000000000001</x:v>
      </x:c>
      <x:c r="AJ133" t="n">
        <x:f>2*(SQRT((Inputs!$C$52+(Scenario_Data!C133))^2+Inputs!$C$52^2-2*(Inputs!$C$52+(Scenario_Data!C133))*Inputs!$C$52*COS(SQRT((Scenario_Data!U133)^2+Inputs!$C$6^2)/Inputs!$C$52))*1000)/Inputs!$C$21*1000000</x:f>
        <x:v>393.44746490213646</x:v>
      </x:c>
      <x:c r="AK133" t="n">
        <x:f>Scenario_Data!V133</x:f>
        <x:v>73.60000000000002</x:v>
      </x:c>
      <x:c r="AL133" t="n">
        <x:f>2*(SQRT((Inputs!$C$52+(Scenario_Data!D133))^2+Inputs!$C$52^2-2*(Inputs!$C$52+(Scenario_Data!D133))*Inputs!$C$52*COS(SQRT((Scenario_Data!V133)^2+Inputs!$C$6^2)/Inputs!$C$52))*1000)/Inputs!$C$21*1000000</x:f>
        <x:v>599.3484103990154</x:v>
      </x:c>
      <x:c r="AM133" t="n">
        <x:f>Scenario_Data!W133</x:f>
        <x:v>73.60000000000002</x:v>
      </x:c>
      <x:c r="AN133" t="n">
        <x:f>2*(SQRT((Inputs!$C$52+(Scenario_Data!E133))^2+Inputs!$C$52^2-2*(Inputs!$C$52+(Scenario_Data!E133))*Inputs!$C$52*COS(SQRT((Scenario_Data!W133)^2+Inputs!$C$6^2)/Inputs!$C$52))*1000)/Inputs!$C$21*1000000</x:f>
        <x:v>569.0227686817443</x:v>
      </x:c>
      <x:c r="AP133" t="n">
        <x:f>Scenario_Data!T133</x:f>
        <x:v>5.52000000000001</x:v>
      </x:c>
      <x:c r="AQ133" t="n">
        <x: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x:f>
        <x:v>2672.0025883219796</x:v>
      </x:c>
      <x:c r="AR133" t="n">
        <x:f>Scenario_Data!U133</x:f>
        <x:v>36.80000000000001</x:v>
      </x:c>
      <x:c r="AS133" t="n">
        <x: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x:f>
        <x:v>392.2776829264379</x:v>
      </x:c>
      <x:c r="AT133" t="n">
        <x:f>Scenario_Data!V133</x:f>
        <x:v>73.60000000000002</x:v>
      </x:c>
      <x:c r="AU133" t="n">
        <x: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x:f>
        <x:v>598.7767662365345</x:v>
      </x:c>
      <x:c r="AV133" t="n">
        <x:f>Scenario_Data!W133</x:f>
        <x:v>73.60000000000002</x:v>
      </x:c>
      <x:c r="AW133" t="n">
        <x: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x:f>
        <x:v>568.565823552878</x:v>
      </x:c>
    </x:row>
    <x:row r="134">
      <x:c r="A134" t="n">
        <x:f>Chart_Data!K134</x:f>
        <x:v>6</x:v>
      </x:c>
      <x:c r="B134" t="n">
        <x:f>Chart_Data!N134-Chart_Data!L134</x:f>
        <x:v>-72.07812022820997</x:v>
      </x:c>
      <x:c r="D134" t="n">
        <x:f>Chart_Data!G134</x:f>
        <x:v>6</x:v>
      </x:c>
      <x:c r="E134" t="n">
        <x:f>Chart_Data!H134</x:f>
        <x:v>533.6920620973987</x:v>
      </x:c>
      <x:c r="F134" t="n">
        <x:f>Chart_Data!I134</x:f>
        <x:v>533.6920620973987</x:v>
      </x:c>
      <x:c r="G134" t="n">
        <x:f>Chart_Data!J134</x:f>
        <x:v>70.34255347941284</x:v>
      </x:c>
      <x:c r="I134" t="n">
        <x:f>Scenario_Data!A134</x:f>
        <x:v>0.1</x:v>
      </x:c>
      <x:c r="J134" t="n">
        <x:f>Scenario_Data!H134-(((SQRT((Inputs!$C$52+(Inputs!$H$6))^2+Inputs!$C$52^2-2*(Inputs!$C$52+(Inputs!$H$6))*Inputs!$C$52*COS(SQRT((Scenario_Data!T134)^2+Inputs!$C$6^2)/Inputs!$C$52)))-(Inputs!$H$6))*1000/Inputs!$C$12)</x:f>
        <x:v>-0.04621763118234412</x:v>
      </x:c>
      <x:c r="K134" t="n">
        <x:f>Scenario_Data!I134-(((SQRT((Inputs!$C$52+(Inputs!$H$7))^2+Inputs!$C$52^2-2*(Inputs!$C$52+(Inputs!$H$7))*Inputs!$C$52*COS(SQRT((Scenario_Data!U134)^2+Inputs!$C$6^2)/Inputs!$C$52)))-(Inputs!$H$7))*1000/Inputs!$C$12)</x:f>
        <x:v>-773.9404461593822</x:v>
      </x:c>
      <x:c r="L134" t="n">
        <x:f>Scenario_Data!J134-(((SQRT((Inputs!$C$52+(Inputs!$H$8))^2+Inputs!$C$52^2-2*(Inputs!$C$52+(Inputs!$H$8))*Inputs!$C$52*COS(SQRT((Scenario_Data!V134)^2+Inputs!$C$6^2)/Inputs!$C$52)))-(Inputs!$H$8))*1000/Inputs!$C$12)</x:f>
        <x:v>-2990.7521080161423</x:v>
      </x:c>
      <x:c r="M134" t="n">
        <x:f>Scenario_Data!K134-(((SQRT((Inputs!$C$52+(Inputs!$H$9))^2+Inputs!$C$52^2-2*(Inputs!$C$52+(Inputs!$H$9))*Inputs!$C$52*COS(SQRT((Scenario_Data!W134)^2+Inputs!$C$6^2)/Inputs!$C$52)))-(Inputs!$H$9))*1000/Inputs!$C$12)</x:f>
        <x:v>-3518.8494159470793</x:v>
      </x:c>
      <x:c r="O134" t="n">
        <x:f>Scenario_Data!T134</x:f>
        <x:v>6</x:v>
      </x:c>
      <x:c r="P134" t="n">
        <x:f>2*(Scenario_Data!B134*1000)/Inputs!$C$21*1000000</x:f>
        <x:v>2668.779612861375</x:v>
      </x:c>
      <x:c r="Q134" t="n">
        <x:f>Scenario_Data!U134</x:f>
        <x:v>40.00000000000006</x:v>
      </x:c>
      <x:c r="R134" t="n">
        <x:f>2*(Scenario_Data!C134*1000)/Inputs!$C$21*1000000</x:f>
        <x:v>257.8450455881716</x:v>
      </x:c>
      <x:c r="S134" t="n">
        <x:f>Scenario_Data!V134</x:f>
        <x:v>80.00000000000011</x:v>
      </x:c>
      <x:c r="T134" t="n">
        <x:f>2*(Scenario_Data!D134*1000)/Inputs!$C$21*1000000</x:f>
        <x:v>297.87273701195</x:v>
      </x:c>
      <x:c r="U134" t="n">
        <x:f>Scenario_Data!W134</x:f>
        <x:v>80.00000000000011</x:v>
      </x:c>
      <x:c r="V134" t="n">
        <x:f>2*(Scenario_Data!E134*1000)/Inputs!$C$21*1000000</x:f>
        <x:v>231.82704616271587</x:v>
      </x:c>
      <x:c r="X134" t="n">
        <x:f>Scenario_Data!T134</x:f>
        <x:v>6</x:v>
      </x:c>
      <x:c r="Y134" t="n">
        <x: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x:f>
        <x:v>2668.310337857269</x:v>
      </x:c>
      <x:c r="Z134" t="n">
        <x:f>Scenario_Data!U134</x:f>
        <x:v>40.00000000000006</x:v>
      </x:c>
      <x:c r="AA134" t="n">
        <x: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x:f>
        <x:v>257.40296582102707</x:v>
      </x:c>
      <x:c r="AB134" t="n">
        <x:f>Scenario_Data!V134</x:f>
        <x:v>80.00000000000011</x:v>
      </x:c>
      <x:c r="AC134" t="n">
        <x: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x:f>
        <x:v>297.5514467080143</x:v>
      </x:c>
      <x:c r="AD134" t="n">
        <x:f>Scenario_Data!W134</x:f>
        <x:v>80.00000000000011</x:v>
      </x:c>
      <x:c r="AE134" t="n">
        <x: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x:f>
        <x:v>231.5057558587802</x:v>
      </x:c>
      <x:c r="AG134" t="n">
        <x:f>Scenario_Data!T134</x:f>
        <x:v>6</x:v>
      </x:c>
      <x:c r="AH134" t="n">
        <x:f>2*(SQRT((Inputs!$C$52+(Scenario_Data!B134))^2+Inputs!$C$52^2-2*(Inputs!$C$52+(Scenario_Data!B134))*Inputs!$C$52*COS(SQRT((Scenario_Data!T134)^2+Inputs!$C$6^2)/Inputs!$C$52))*1000)/Inputs!$C$21*1000000</x:f>
        <x:v>2675.6947393589066</x:v>
      </x:c>
      <x:c r="AI134" t="n">
        <x:f>Scenario_Data!U134</x:f>
        <x:v>40.00000000000006</x:v>
      </x:c>
      <x:c r="AJ134" t="n">
        <x:f>2*(SQRT((Inputs!$C$52+(Scenario_Data!C134))^2+Inputs!$C$52^2-2*(Inputs!$C$52+(Scenario_Data!C134))*Inputs!$C$52*COS(SQRT((Scenario_Data!U134)^2+Inputs!$C$6^2)/Inputs!$C$52))*1000)/Inputs!$C$21*1000000</x:f>
        <x:v>409.8223646341818</x:v>
      </x:c>
      <x:c r="AK134" t="n">
        <x:f>Scenario_Data!V134</x:f>
        <x:v>80.00000000000011</x:v>
      </x:c>
      <x:c r="AL134" t="n">
        <x:f>2*(SQRT((Inputs!$C$52+(Scenario_Data!D134))^2+Inputs!$C$52^2-2*(Inputs!$C$52+(Scenario_Data!D134))*Inputs!$C$52*COS(SQRT((Scenario_Data!V134)^2+Inputs!$C$6^2)/Inputs!$C$52))*1000)/Inputs!$C$21*1000000</x:f>
        <x:v>640.5073835750494</x:v>
      </x:c>
      <x:c r="AM134" t="n">
        <x:f>Scenario_Data!W134</x:f>
        <x:v>80.00000000000011</x:v>
      </x:c>
      <x:c r="AN134" t="n">
        <x:f>2*(SQRT((Inputs!$C$52+(Scenario_Data!E134))^2+Inputs!$C$52^2-2*(Inputs!$C$52+(Scenario_Data!E134))*Inputs!$C$52*COS(SQRT((Scenario_Data!W134)^2+Inputs!$C$6^2)/Inputs!$C$52))*1000)/Inputs!$C$21*1000000</x:f>
        <x:v>610.9686237412925</x:v>
      </x:c>
      <x:c r="AP134" t="n">
        <x:f>Scenario_Data!T134</x:f>
        <x:v>6</x:v>
      </x:c>
      <x:c r="AQ134" t="n">
        <x: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x:f>
        <x:v>2672.145907617792</x:v>
      </x:c>
      <x:c r="AR134" t="n">
        <x:f>Scenario_Data!U134</x:f>
        <x:v>40.00000000000006</x:v>
      </x:c>
      <x:c r="AS134" t="n">
        <x: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x:f>
        <x:v>408.57024154816395</x:v>
      </x:c>
      <x:c r="AT134" t="n">
        <x:f>Scenario_Data!V134</x:f>
        <x:v>80.00000000000011</x:v>
      </x:c>
      <x:c r="AU134" t="n">
        <x: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x:f>
        <x:v>640.0379285550378</x:v>
      </x:c>
      <x:c r="AV134" t="n">
        <x:f>Scenario_Data!W134</x:f>
        <x:v>80.00000000000011</x:v>
      </x:c>
      <x:c r="AW134" t="n">
        <x: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x:f>
        <x:v>610.5916323677442</x:v>
      </x:c>
    </x:row>
    <x:row r="135">
      <x:c r="A135" t="n">
        <x:f>Chart_Data!K135</x:f>
        <x:v>6.5</x:v>
      </x:c>
      <x:c r="B135" t="n">
        <x:f>Chart_Data!N135-Chart_Data!L135</x:f>
        <x:v>-79.36936471450957</x:v>
      </x:c>
      <x:c r="D135" t="n">
        <x:f>Chart_Data!G135</x:f>
        <x:v>6.5</x:v>
      </x:c>
      <x:c r="E135" t="n">
        <x:f>Chart_Data!H135</x:f>
        <x:v>524.4263848132822</x:v>
      </x:c>
      <x:c r="F135" t="n">
        <x:f>Chart_Data!I135</x:f>
        <x:v>524.4263848132822</x:v>
      </x:c>
      <x:c r="G135" t="n">
        <x:f>Chart_Data!J135</x:f>
        <x:v>77.64795080795966</x:v>
      </x:c>
      <x:c r="I135" t="n">
        <x:f>Scenario_Data!A135</x:f>
        <x:v>0.108</x:v>
      </x:c>
      <x:c r="J135" t="n">
        <x:f>Scenario_Data!H135-(((SQRT((Inputs!$C$52+(Inputs!$H$6))^2+Inputs!$C$52^2-2*(Inputs!$C$52+(Inputs!$H$6))*Inputs!$C$52*COS(SQRT((Scenario_Data!T135)^2+Inputs!$C$6^2)/Inputs!$C$52)))-(Inputs!$H$6))*1000/Inputs!$C$12)</x:f>
        <x:v>-0.05439381022904399</x:v>
      </x:c>
      <x:c r="K135" t="n">
        <x:f>Scenario_Data!I135-(((SQRT((Inputs!$C$52+(Inputs!$H$7))^2+Inputs!$C$52^2-2*(Inputs!$C$52+(Inputs!$H$7))*Inputs!$C$52*COS(SQRT((Scenario_Data!U135)^2+Inputs!$C$6^2)/Inputs!$C$52)))-(Inputs!$H$7))*1000/Inputs!$C$12)</x:f>
        <x:v>-945.0864313584188</x:v>
      </x:c>
      <x:c r="L135" t="n">
        <x:f>Scenario_Data!J135-(((SQRT((Inputs!$C$52+(Inputs!$H$8))^2+Inputs!$C$52^2-2*(Inputs!$C$52+(Inputs!$H$8))*Inputs!$C$52*COS(SQRT((Scenario_Data!V135)^2+Inputs!$C$6^2)/Inputs!$C$52)))-(Inputs!$H$8))*1000/Inputs!$C$12)</x:f>
        <x:v>-3587.0630675248613</x:v>
      </x:c>
      <x:c r="M135" t="n">
        <x:f>Scenario_Data!K135-(((SQRT((Inputs!$C$52+(Inputs!$H$9))^2+Inputs!$C$52^2-2*(Inputs!$C$52+(Inputs!$H$9))*Inputs!$C$52*COS(SQRT((Scenario_Data!W135)^2+Inputs!$C$6^2)/Inputs!$C$52)))-(Inputs!$H$9))*1000/Inputs!$C$12)</x:f>
        <x:v>-4174.4317239557495</x:v>
      </x:c>
      <x:c r="O135" t="n">
        <x:f>Scenario_Data!T135</x:f>
        <x:v>6.480000000000004</x:v>
      </x:c>
      <x:c r="P135" t="n">
        <x:f>2*(Scenario_Data!B135*1000)/Inputs!$C$21*1000000</x:f>
        <x:v>2668.8240169137275</x:v>
      </x:c>
      <x:c r="Q135" t="n">
        <x:f>Scenario_Data!U135</x:f>
        <x:v>43.200000000000045</x:v>
      </x:c>
      <x:c r="R135" t="n">
        <x:f>2*(Scenario_Data!C135*1000)/Inputs!$C$21*1000000</x:f>
        <x:v>261.8969153653626</x:v>
      </x:c>
      <x:c r="S135" t="n">
        <x:f>Scenario_Data!V135</x:f>
        <x:v>86.40000000000009</x:v>
      </x:c>
      <x:c r="T135" t="n">
        <x:f>2*(Scenario_Data!D135*1000)/Inputs!$C$21*1000000</x:f>
        <x:v>308.5852146420577</x:v>
      </x:c>
      <x:c r="U135" t="n">
        <x:f>Scenario_Data!W135</x:f>
        <x:v>86.40000000000009</x:v>
      </x:c>
      <x:c r="V135" t="n">
        <x:f>2*(Scenario_Data!E135*1000)/Inputs!$C$21*1000000</x:f>
        <x:v>242.65053392370547</x:v>
      </x:c>
      <x:c r="X135" t="n">
        <x:f>Scenario_Data!T135</x:f>
        <x:v>6.480000000000004</x:v>
      </x:c>
      <x:c r="Y135" t="n">
        <x: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x:f>
        <x:v>2668.3499734017573</x:v>
      </x:c>
      <x:c r="Z135" t="n">
        <x:f>Scenario_Data!U135</x:f>
        <x:v>43.200000000000045</x:v>
      </x:c>
      <x:c r="AA135" t="n">
        <x: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x:f>
        <x:v>261.6567098799098</x:v>
      </x:c>
      <x:c r="AB135" t="n">
        <x:f>Scenario_Data!V135</x:f>
        <x:v>86.40000000000009</x:v>
      </x:c>
      <x:c r="AC135" t="n">
        <x: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x:f>
        <x:v>308.68111860671877</x:v>
      </x:c>
      <x:c r="AD135" t="n">
        <x:f>Scenario_Data!W135</x:f>
        <x:v>86.40000000000009</x:v>
      </x:c>
      <x:c r="AE135" t="n">
        <x: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x:f>
        <x:v>242.74643788836661</x:v>
      </x:c>
      <x:c r="AG135" t="n">
        <x:f>Scenario_Data!T135</x:f>
        <x:v>6.480000000000004</x:v>
      </x:c>
      <x:c r="AH135" t="n">
        <x:f>2*(SQRT((Inputs!$C$52+(Scenario_Data!B135))^2+Inputs!$C$52^2-2*(Inputs!$C$52+(Scenario_Data!B135))*Inputs!$C$52*COS(SQRT((Scenario_Data!T135)^2+Inputs!$C$6^2)/Inputs!$C$52))*1000)/Inputs!$C$21*1000000</x:f>
        <x:v>2675.801637380072</x:v>
      </x:c>
      <x:c r="AI135" t="n">
        <x:f>Scenario_Data!U135</x:f>
        <x:v>43.200000000000045</x:v>
      </x:c>
      <x:c r="AJ135" t="n">
        <x:f>2*(SQRT((Inputs!$C$52+(Scenario_Data!C135))^2+Inputs!$C$52^2-2*(Inputs!$C$52+(Scenario_Data!C135))*Inputs!$C$52*COS(SQRT((Scenario_Data!U135)^2+Inputs!$C$6^2)/Inputs!$C$52))*1000)/Inputs!$C$21*1000000</x:f>
        <x:v>426.90066876687405</x:v>
      </x:c>
      <x:c r="AK135" t="n">
        <x:f>Scenario_Data!V135</x:f>
        <x:v>86.40000000000009</x:v>
      </x:c>
      <x:c r="AL135" t="n">
        <x:f>2*(SQRT((Inputs!$C$52+(Scenario_Data!D135))^2+Inputs!$C$52^2-2*(Inputs!$C$52+(Scenario_Data!D135))*Inputs!$C$52*COS(SQRT((Scenario_Data!V135)^2+Inputs!$C$6^2)/Inputs!$C$52))*1000)/Inputs!$C$21*1000000</x:f>
        <x:v>682.5280213875686</x:v>
      </x:c>
      <x:c r="AM135" t="n">
        <x:f>Scenario_Data!W135</x:f>
        <x:v>86.40000000000009</x:v>
      </x:c>
      <x:c r="AN135" t="n">
        <x:f>2*(SQRT((Inputs!$C$52+(Scenario_Data!E135))^2+Inputs!$C$52^2-2*(Inputs!$C$52+(Scenario_Data!E135))*Inputs!$C$52*COS(SQRT((Scenario_Data!W135)^2+Inputs!$C$6^2)/Inputs!$C$52))*1000)/Inputs!$C$21*1000000</x:f>
        <x:v>653.6204124325454</x:v>
      </x:c>
      <x:c r="AP135" t="n">
        <x:f>Scenario_Data!T135</x:f>
        <x:v>6.480000000000004</x:v>
      </x:c>
      <x:c r="AQ135" t="n">
        <x: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x:f>
        <x:v>2672.262088376571</x:v>
      </x:c>
      <x:c r="AR135" t="n">
        <x:f>Scenario_Data!U135</x:f>
        <x:v>43.200000000000045</x:v>
      </x:c>
      <x:c r="AS135" t="n">
        <x: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x:f>
        <x:v>425.93971816821346</x:v>
      </x:c>
      <x:c r="AT135" t="n">
        <x:f>Scenario_Data!V135</x:f>
        <x:v>86.40000000000009</x:v>
      </x:c>
      <x:c r="AU135" t="n">
        <x: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x:f>
        <x:v>682.1647345655422</x:v>
      </x:c>
      <x:c r="AV135" t="n">
        <x:f>Scenario_Data!W135</x:f>
        <x:v>86.40000000000009</x:v>
      </x:c>
      <x:c r="AW135" t="n">
        <x: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x:f>
        <x:v>653.3270706754272</x:v>
      </x:c>
    </x:row>
    <x:row r="136">
      <x:c r="A136" t="n">
        <x:f>Chart_Data!K136</x:f>
        <x:v>7</x:v>
      </x:c>
      <x:c r="B136" t="n">
        <x:f>Chart_Data!N136-Chart_Data!L136</x:f>
        <x:v>-68.68735869698332</x:v>
      </x:c>
      <x:c r="D136" t="n">
        <x:f>Chart_Data!G136</x:f>
        <x:v>7</x:v>
      </x:c>
      <x:c r="E136" t="n">
        <x:f>Chart_Data!H136</x:f>
        <x:v>534.4078318791427</x:v>
      </x:c>
      <x:c r="F136" t="n">
        <x:f>Chart_Data!I136</x:f>
        <x:v>534.4078318791427</x:v>
      </x:c>
      <x:c r="G136" t="n">
        <x:f>Chart_Data!J136</x:f>
        <x:v>66.91550989906084</x:v>
      </x:c>
      <x:c r="I136" t="n">
        <x:f>Scenario_Data!A136</x:f>
        <x:v>0.117</x:v>
      </x:c>
      <x:c r="J136" t="n">
        <x:f>Scenario_Data!H136-(((SQRT((Inputs!$C$52+(Inputs!$H$6))^2+Inputs!$C$52^2-2*(Inputs!$C$52+(Inputs!$H$6))*Inputs!$C$52*COS(SQRT((Scenario_Data!T136)^2+Inputs!$C$6^2)/Inputs!$C$52)))-(Inputs!$H$6))*1000/Inputs!$C$12)</x:f>
        <x:v>-0.06453059099612801</x:v>
      </x:c>
      <x:c r="K136" t="n">
        <x:f>Scenario_Data!I136-(((SQRT((Inputs!$C$52+(Inputs!$H$7))^2+Inputs!$C$52^2-2*(Inputs!$C$52+(Inputs!$H$7))*Inputs!$C$52*COS(SQRT((Scenario_Data!U136)^2+Inputs!$C$6^2)/Inputs!$C$52)))-(Inputs!$H$7))*1000/Inputs!$C$12)</x:f>
        <x:v>-1161.8662425758666</x:v>
      </x:c>
      <x:c r="L136" t="n">
        <x:f>Scenario_Data!J136-(((SQRT((Inputs!$C$52+(Inputs!$H$8))^2+Inputs!$C$52^2-2*(Inputs!$C$52+(Inputs!$H$8))*Inputs!$C$52*COS(SQRT((Scenario_Data!V136)^2+Inputs!$C$6^2)/Inputs!$C$52)))-(Inputs!$H$8))*1000/Inputs!$C$12)</x:f>
        <x:v>-4320.543295968455</x:v>
      </x:c>
      <x:c r="M136" t="n">
        <x:f>Scenario_Data!K136-(((SQRT((Inputs!$C$52+(Inputs!$H$9))^2+Inputs!$C$52^2-2*(Inputs!$C$52+(Inputs!$H$9))*Inputs!$C$52*COS(SQRT((Scenario_Data!W136)^2+Inputs!$C$6^2)/Inputs!$C$52)))-(Inputs!$H$9))*1000/Inputs!$C$12)</x:f>
        <x:v>-4974.4518534386225</x:v>
      </x:c>
      <x:c r="O136" t="n">
        <x:f>Scenario_Data!T136</x:f>
        <x:v>7.019999999999996</x:v>
      </x:c>
      <x:c r="P136" t="n">
        <x:f>2*(Scenario_Data!B136*1000)/Inputs!$C$21*1000000</x:f>
        <x:v>2668.8780542971494</x:v>
      </x:c>
      <x:c r="Q136" t="n">
        <x:f>Scenario_Data!U136</x:f>
        <x:v>46.80000000000001</x:v>
      </x:c>
      <x:c r="R136" t="n">
        <x:f>2*(Scenario_Data!C136*1000)/Inputs!$C$21*1000000</x:f>
        <x:v>266.8278266026293</x:v>
      </x:c>
      <x:c r="S136" t="n">
        <x:f>Scenario_Data!V136</x:f>
        <x:v>93.60000000000002</x:v>
      </x:c>
      <x:c r="T136" t="n">
        <x:f>2*(Scenario_Data!D136*1000)/Inputs!$C$21*1000000</x:f>
        <x:v>321.6217333926393</x:v>
      </x:c>
      <x:c r="U136" t="n">
        <x:f>Scenario_Data!W136</x:f>
        <x:v>93.60000000000002</x:v>
      </x:c>
      <x:c r="V136" t="n">
        <x:f>2*(Scenario_Data!E136*1000)/Inputs!$C$21*1000000</x:f>
        <x:v>255.82214613284236</x:v>
      </x:c>
      <x:c r="X136" t="n">
        <x:f>Scenario_Data!T136</x:f>
        <x:v>7.019999999999996</x:v>
      </x:c>
      <x:c r="Y136" t="n">
        <x: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x:f>
        <x:v>2668.4165060223545</x:v>
      </x:c>
      <x:c r="Z136" t="n">
        <x:f>Scenario_Data!U136</x:f>
        <x:v>46.80000000000001</x:v>
      </x:c>
      <x:c r="AA136" t="n">
        <x: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x:f>
        <x:v>266.87097786523987</x:v>
      </x:c>
      <x:c r="AB136" t="n">
        <x:f>Scenario_Data!V136</x:f>
        <x:v>93.60000000000002</x:v>
      </x:c>
      <x:c r="AC136" t="n">
        <x: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x:f>
        <x:v>321.2488938952046</x:v>
      </x:c>
      <x:c r="AD136" t="n">
        <x:f>Scenario_Data!W136</x:f>
        <x:v>93.60000000000002</x:v>
      </x:c>
      <x:c r="AE136" t="n">
        <x: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x:f>
        <x:v>255.4493066354077</x:v>
      </x:c>
      <x:c r="AG136" t="n">
        <x:f>Scenario_Data!T136</x:f>
        <x:v>7.019999999999996</x:v>
      </x:c>
      <x:c r="AH136" t="n">
        <x:f>2*(SQRT((Inputs!$C$52+(Scenario_Data!B136))^2+Inputs!$C$52^2-2*(Inputs!$C$52+(Scenario_Data!B136))*Inputs!$C$52*COS(SQRT((Scenario_Data!T136)^2+Inputs!$C$6^2)/Inputs!$C$52))*1000)/Inputs!$C$21*1000000</x:f>
        <x:v>2675.93172239053</x:v>
      </x:c>
      <x:c r="AI136" t="n">
        <x:f>Scenario_Data!U136</x:f>
        <x:v>46.80000000000001</x:v>
      </x:c>
      <x:c r="AJ136" t="n">
        <x:f>2*(SQRT((Inputs!$C$52+(Scenario_Data!C136))^2+Inputs!$C$52^2-2*(Inputs!$C$52+(Scenario_Data!C136))*Inputs!$C$52*COS(SQRT((Scenario_Data!U136)^2+Inputs!$C$6^2)/Inputs!$C$52))*1000)/Inputs!$C$21*1000000</x:f>
        <x:v>446.86749403358624</x:v>
      </x:c>
      <x:c r="AK136" t="n">
        <x:f>Scenario_Data!V136</x:f>
        <x:v>93.60000000000002</x:v>
      </x:c>
      <x:c r="AL136" t="n">
        <x:f>2*(SQRT((Inputs!$C$52+(Scenario_Data!D136))^2+Inputs!$C$52^2-2*(Inputs!$C$52+(Scenario_Data!D136))*Inputs!$C$52*COS(SQRT((Scenario_Data!V136)^2+Inputs!$C$6^2)/Inputs!$C$52))*1000)/Inputs!$C$21*1000000</x:f>
        <x:v>730.7097325562099</x:v>
      </x:c>
      <x:c r="AM136" t="n">
        <x:f>Scenario_Data!W136</x:f>
        <x:v>93.60000000000002</x:v>
      </x:c>
      <x:c r="AN136" t="n">
        <x:f>2*(SQRT((Inputs!$C$52+(Scenario_Data!E136))^2+Inputs!$C$52^2-2*(Inputs!$C$52+(Scenario_Data!E136))*Inputs!$C$52*COS(SQRT((Scenario_Data!W136)^2+Inputs!$C$6^2)/Inputs!$C$52))*1000)/Inputs!$C$21*1000000</x:f>
        <x:v>702.354778608177</x:v>
      </x:c>
      <x:c r="AP136" t="n">
        <x:f>Scenario_Data!T136</x:f>
        <x:v>7.019999999999996</x:v>
      </x:c>
      <x:c r="AQ136" t="n">
        <x: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x:f>
        <x:v>2672.4787069540553</x:v>
      </x:c>
      <x:c r="AR136" t="n">
        <x:f>Scenario_Data!U136</x:f>
        <x:v>46.80000000000001</x:v>
      </x:c>
      <x:c r="AS136" t="n">
        <x: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x:f>
        <x:v>446.3421213823275</x:v>
      </x:c>
      <x:c r="AT136" t="n">
        <x:f>Scenario_Data!V136</x:f>
        <x:v>93.60000000000002</x:v>
      </x:c>
      <x:c r="AU136" t="n">
        <x: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x:f>
        <x:v>730.1679277696081</x:v>
      </x:c>
      <x:c r="AV136" t="n">
        <x:f>Scenario_Data!W136</x:f>
        <x:v>93.60000000000002</x:v>
      </x:c>
      <x:c r="AW136" t="n">
        <x: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x:f>
        <x:v>701.9144007435814</x:v>
      </x:c>
    </x:row>
    <x:row r="137">
      <x:c r="A137" t="n">
        <x:f>Chart_Data!K137</x:f>
        <x:v>7.5</x:v>
      </x:c>
      <x:c r="B137" t="n">
        <x:f>Chart_Data!N137-Chart_Data!L137</x:f>
        <x:v>-57.88906159607785</x:v>
      </x:c>
      <x:c r="D137" t="n">
        <x:f>Chart_Data!G137</x:f>
        <x:v>7.5</x:v>
      </x:c>
      <x:c r="E137" t="n">
        <x:f>Chart_Data!H137</x:f>
        <x:v>503.48380224840304</x:v>
      </x:c>
      <x:c r="F137" t="n">
        <x:f>Chart_Data!I137</x:f>
        <x:v>503.48380224840304</x:v>
      </x:c>
      <x:c r="G137" t="n">
        <x:f>Chart_Data!J137</x:f>
        <x:v>56.202037436945574</x:v>
      </x:c>
      <x:c r="I137" t="n">
        <x:f>Scenario_Data!A137</x:f>
        <x:v>0.125</x:v>
      </x:c>
      <x:c r="J137" t="n">
        <x:f>Scenario_Data!H137-(((SQRT((Inputs!$C$52+(Inputs!$H$6))^2+Inputs!$C$52^2-2*(Inputs!$C$52+(Inputs!$H$6))*Inputs!$C$52*COS(SQRT((Scenario_Data!T137)^2+Inputs!$C$6^2)/Inputs!$C$52)))-(Inputs!$H$6))*1000/Inputs!$C$12)</x:f>
        <x:v>-0.07441357867173792</x:v>
      </x:c>
      <x:c r="K137" t="n">
        <x:f>Scenario_Data!I137-(((SQRT((Inputs!$C$52+(Inputs!$H$7))^2+Inputs!$C$52^2-2*(Inputs!$C$52+(Inputs!$H$7))*Inputs!$C$52*COS(SQRT((Scenario_Data!U137)^2+Inputs!$C$6^2)/Inputs!$C$52)))-(Inputs!$H$7))*1000/Inputs!$C$12)</x:f>
        <x:v>-1376.257653004077</x:v>
      </x:c>
      <x:c r="L137" t="n">
        <x:f>Scenario_Data!J137-(((SQRT((Inputs!$C$52+(Inputs!$H$8))^2+Inputs!$C$52^2-2*(Inputs!$C$52+(Inputs!$H$8))*Inputs!$C$52*COS(SQRT((Scenario_Data!V137)^2+Inputs!$C$6^2)/Inputs!$C$52)))-(Inputs!$H$8))*1000/Inputs!$C$12)</x:f>
        <x:v>-5026.741503405137</x:v>
      </x:c>
      <x:c r="M137" t="n">
        <x:f>Scenario_Data!K137-(((SQRT((Inputs!$C$52+(Inputs!$H$9))^2+Inputs!$C$52^2-2*(Inputs!$C$52+(Inputs!$H$9))*Inputs!$C$52*COS(SQRT((Scenario_Data!W137)^2+Inputs!$C$6^2)/Inputs!$C$52)))-(Inputs!$H$9))*1000/Inputs!$C$12)</x:f>
        <x:v>-5739.591971731104</x:v>
      </x:c>
      <x:c r="O137" t="n">
        <x:f>Scenario_Data!T137</x:f>
        <x:v>7.5</x:v>
      </x:c>
      <x:c r="P137" t="n">
        <x:f>2*(Scenario_Data!B137*1000)/Inputs!$C$21*1000000</x:f>
        <x:v>2668.929716704214</x:v>
      </x:c>
      <x:c r="Q137" t="n">
        <x:f>Scenario_Data!U137</x:f>
        <x:v>50</x:v>
      </x:c>
      <x:c r="R137" t="n">
        <x:f>2*(Scenario_Data!C137*1000)/Inputs!$C$21*1000000</x:f>
        <x:v>271.54202124724566</x:v>
      </x:c>
      <x:c r="S137" t="n">
        <x:f>Scenario_Data!V137</x:f>
        <x:v>100</x:v>
      </x:c>
      <x:c r="T137" t="n">
        <x:f>2*(Scenario_Data!D137*1000)/Inputs!$C$21*1000000</x:f>
        <x:v>334.08528909689915</x:v>
      </x:c>
      <x:c r="U137" t="n">
        <x:f>Scenario_Data!W137</x:f>
        <x:v>100</x:v>
      </x:c>
      <x:c r="V137" t="n">
        <x:f>2*(Scenario_Data!E137*1000)/Inputs!$C$21*1000000</x:f>
        <x:v>268.414857854763</x:v>
      </x:c>
      <x:c r="X137" t="n">
        <x:f>Scenario_Data!T137</x:f>
        <x:v>7.5</x:v>
      </x:c>
      <x:c r="Y137" t="n">
        <x: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x:f>
        <x:v>2668.554777068895</x:v>
      </x:c>
      <x:c r="Z137" t="n">
        <x:f>Scenario_Data!U137</x:f>
        <x:v>50</x:v>
      </x:c>
      <x:c r="AA137" t="n">
        <x: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x:f>
        <x:v>271.4874996062939</x:v>
      </x:c>
      <x:c r="AB137" t="n">
        <x:f>Scenario_Data!V137</x:f>
        <x:v>100</x:v>
      </x:c>
      <x:c r="AC137" t="n">
        <x: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x:f>
        <x:v>333.9690786324356</x:v>
      </x:c>
      <x:c r="AD137" t="n">
        <x:f>Scenario_Data!W137</x:f>
        <x:v>100</x:v>
      </x:c>
      <x:c r="AE137" t="n">
        <x: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x:f>
        <x:v>268.2986473902994</x:v>
      </x:c>
      <x:c r="AG137" t="n">
        <x:f>Scenario_Data!T137</x:f>
        <x:v>7.5</x:v>
      </x:c>
      <x:c r="AH137" t="n">
        <x:f>2*(SQRT((Inputs!$C$52+(Scenario_Data!B137))^2+Inputs!$C$52^2-2*(Inputs!$C$52+(Scenario_Data!B137))*Inputs!$C$52*COS(SQRT((Scenario_Data!T137)^2+Inputs!$C$6^2)/Inputs!$C$52))*1000)/Inputs!$C$21*1000000</x:f>
        <x:v>2676.0560857448104</x:v>
      </x:c>
      <x:c r="AI137" t="n">
        <x:f>Scenario_Data!U137</x:f>
        <x:v>50</x:v>
      </x:c>
      <x:c r="AJ137" t="n">
        <x:f>2*(SQRT((Inputs!$C$52+(Scenario_Data!C137))^2+Inputs!$C$52^2-2*(Inputs!$C$52+(Scenario_Data!C137))*Inputs!$C$52*COS(SQRT((Scenario_Data!U137)^2+Inputs!$C$6^2)/Inputs!$C$52))*1000)/Inputs!$C$21*1000000</x:f>
        <x:v>465.21831918360385</x:v>
      </x:c>
      <x:c r="AK137" t="n">
        <x:f>Scenario_Data!V137</x:f>
        <x:v>100</x:v>
      </x:c>
      <x:c r="AL137" t="n">
        <x:f>2*(SQRT((Inputs!$C$52+(Scenario_Data!D137))^2+Inputs!$C$52^2-2*(Inputs!$C$52+(Scenario_Data!D137))*Inputs!$C$52*COS(SQRT((Scenario_Data!V137)^2+Inputs!$C$6^2)/Inputs!$C$52))*1000)/Inputs!$C$21*1000000</x:f>
        <x:v>774.2635773636083</x:v>
      </x:c>
      <x:c r="AM137" t="n">
        <x:f>Scenario_Data!W137</x:f>
        <x:v>100</x:v>
      </x:c>
      <x:c r="AN137" t="n">
        <x:f>2*(SQRT((Inputs!$C$52+(Scenario_Data!E137))^2+Inputs!$C$52^2-2*(Inputs!$C$52+(Scenario_Data!E137))*Inputs!$C$52*COS(SQRT((Scenario_Data!W137)^2+Inputs!$C$6^2)/Inputs!$C$52))*1000)/Inputs!$C$21*1000000</x:f>
        <x:v>746.2816902643984</x:v>
      </x:c>
      <x:c r="AP137" t="n">
        <x:f>Scenario_Data!T137</x:f>
        <x:v>7.5</x:v>
      </x:c>
      <x:c r="AQ137" t="n">
        <x: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x:f>
        <x:v>2672.7084579796765</x:v>
      </x:c>
      <x:c r="AR137" t="n">
        <x:f>Scenario_Data!U137</x:f>
        <x:v>50</x:v>
      </x:c>
      <x:c r="AS137" t="n">
        <x: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x:f>
        <x:v>464.7813525203341</x:v>
      </x:c>
      <x:c r="AT137" t="n">
        <x:f>Scenario_Data!V137</x:f>
        <x:v>100</x:v>
      </x:c>
      <x:c r="AU137" t="n">
        <x: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x:f>
        <x:v>773.8737899853746</x:v>
      </x:c>
      <x:c r="AV137" t="n">
        <x:f>Scenario_Data!W137</x:f>
        <x:v>100</x:v>
      </x:c>
      <x:c r="AW137" t="n">
        <x: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x:f>
        <x:v>745.9627344688287</x:v>
      </x:c>
    </x:row>
    <x:row r="138">
      <x:c r="A138" t="n">
        <x:f>Chart_Data!K138</x:f>
        <x:v>8</x:v>
      </x:c>
      <x:c r="B138" t="n">
        <x:f>Chart_Data!N138-Chart_Data!L138</x:f>
        <x:v>-47.678060396535784</x:v>
      </x:c>
      <x:c r="D138" t="n">
        <x:f>Chart_Data!G138</x:f>
        <x:v>8</x:v>
      </x:c>
      <x:c r="E138" t="n">
        <x:f>Chart_Data!H138</x:f>
        <x:v>497.2264534493298</x:v>
      </x:c>
      <x:c r="F138" t="n">
        <x:f>Chart_Data!I138</x:f>
        <x:v>497.2264534493298</x:v>
      </x:c>
      <x:c r="G138" t="n">
        <x:f>Chart_Data!J138</x:f>
        <x:v>45.99320506201067</x:v>
      </x:c>
      <x:c r="I138" t="n">
        <x:f>Scenario_Data!A138</x:f>
        <x:v>0.133</x:v>
      </x:c>
      <x:c r="J138" t="n">
        <x:f>Scenario_Data!H138-(((SQRT((Inputs!$C$52+(Inputs!$H$6))^2+Inputs!$C$52^2-2*(Inputs!$C$52+(Inputs!$H$6))*Inputs!$C$52*COS(SQRT((Scenario_Data!T138)^2+Inputs!$C$6^2)/Inputs!$C$52)))-(Inputs!$H$6))*1000/Inputs!$C$12)</x:f>
        <x:v>-0.08515635971855318</x:v>
      </x:c>
      <x:c r="K138" t="n">
        <x:f>Scenario_Data!I138-(((SQRT((Inputs!$C$52+(Inputs!$H$7))^2+Inputs!$C$52^2-2*(Inputs!$C$52+(Inputs!$H$7))*Inputs!$C$52*COS(SQRT((Scenario_Data!U138)^2+Inputs!$C$6^2)/Inputs!$C$52)))-(Inputs!$H$7))*1000/Inputs!$C$12)</x:f>
        <x:v>-1611.097851974435</x:v>
      </x:c>
      <x:c r="L138" t="n">
        <x:f>Scenario_Data!J138-(((SQRT((Inputs!$C$52+(Inputs!$H$8))^2+Inputs!$C$52^2-2*(Inputs!$C$52+(Inputs!$H$8))*Inputs!$C$52*COS(SQRT((Scenario_Data!V138)^2+Inputs!$C$6^2)/Inputs!$C$52)))-(Inputs!$H$8))*1000/Inputs!$C$12)</x:f>
        <x:v>-5782.586392976991</x:v>
      </x:c>
      <x:c r="M138" t="n">
        <x:f>Scenario_Data!K138-(((SQRT((Inputs!$C$52+(Inputs!$H$9))^2+Inputs!$C$52^2-2*(Inputs!$C$52+(Inputs!$H$9))*Inputs!$C$52*COS(SQRT((Scenario_Data!W138)^2+Inputs!$C$6^2)/Inputs!$C$52)))-(Inputs!$H$9))*1000/Inputs!$C$12)</x:f>
        <x:v>-6554.136414658264</x:v>
      </x:c>
      <x:c r="O138" t="n">
        <x:f>Scenario_Data!T138</x:f>
        <x:v>7.980000000000004</x:v>
      </x:c>
      <x:c r="P138" t="n">
        <x:f>2*(Scenario_Data!B138*1000)/Inputs!$C$21*1000000</x:f>
        <x:v>2668.984794807613</x:v>
      </x:c>
      <x:c r="Q138" t="n">
        <x:f>Scenario_Data!U138</x:f>
        <x:v>53.19999999999999</x:v>
      </x:c>
      <x:c r="R138" t="n">
        <x:f>2*(Scenario_Data!C138*1000)/Inputs!$C$21*1000000</x:f>
        <x:v>276.56789818241526</x:v>
      </x:c>
      <x:c r="S138" t="n">
        <x:f>Scenario_Data!V138</x:f>
        <x:v>106.39999999999998</x:v>
      </x:c>
      <x:c r="T138" t="n">
        <x:f>2*(Scenario_Data!D138*1000)/Inputs!$C$21*1000000</x:f>
        <x:v>347.3728815419365</x:v>
      </x:c>
      <x:c r="U138" t="n">
        <x:f>Scenario_Data!W138</x:f>
        <x:v>106.39999999999998</x:v>
      </x:c>
      <x:c r="V138" t="n">
        <x:f>2*(Scenario_Data!E138*1000)/Inputs!$C$21*1000000</x:f>
        <x:v>281.84014555829816</x:v>
      </x:c>
      <x:c r="X138" t="n">
        <x:f>Scenario_Data!T138</x:f>
        <x:v>7.980000000000004</x:v>
      </x:c>
      <x:c r="Y138" t="n">
        <x: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x:f>
        <x:v>2668.619160634821</x:v>
      </x:c>
      <x:c r="Z138" t="n">
        <x:f>Scenario_Data!U138</x:f>
        <x:v>53.19999999999999</x:v>
      </x:c>
      <x:c r="AA138" t="n">
        <x: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x:f>
        <x:v>276.56459491862387</x:v>
      </x:c>
      <x:c r="AB138" t="n">
        <x:f>Scenario_Data!V138</x:f>
        <x:v>106.39999999999998</x:v>
      </x:c>
      <x:c r="AC138" t="n">
        <x: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x:f>
        <x:v>347.47422266834957</x:v>
      </x:c>
      <x:c r="AD138" t="n">
        <x:f>Scenario_Data!W138</x:f>
        <x:v>106.39999999999998</x:v>
      </x:c>
      <x:c r="AE138" t="n">
        <x: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x:f>
        <x:v>281.9414866847112</x:v>
      </x:c>
      <x:c r="AG138" t="n">
        <x:f>Scenario_Data!T138</x:f>
        <x:v>7.980000000000004</x:v>
      </x:c>
      <x:c r="AH138" t="n">
        <x:f>2*(SQRT((Inputs!$C$52+(Scenario_Data!B138))^2+Inputs!$C$52^2-2*(Inputs!$C$52+(Scenario_Data!B138))*Inputs!$C$52*COS(SQRT((Scenario_Data!T138)^2+Inputs!$C$6^2)/Inputs!$C$52))*1000)/Inputs!$C$21*1000000</x:f>
        <x:v>2676.188666798151</x:v>
      </x:c>
      <x:c r="AI138" t="n">
        <x:f>Scenario_Data!U138</x:f>
        <x:v>53.19999999999999</x:v>
      </x:c>
      <x:c r="AJ138" t="n">
        <x:f>2*(SQRT((Inputs!$C$52+(Scenario_Data!C138))^2+Inputs!$C$52^2-2*(Inputs!$C$52+(Scenario_Data!C138))*Inputs!$C$52*COS(SQRT((Scenario_Data!U138)^2+Inputs!$C$6^2)/Inputs!$C$52))*1000)/Inputs!$C$21*1000000</x:f>
        <x:v>484.08118424505756</x:v>
      </x:c>
      <x:c r="AK138" t="n">
        <x:f>Scenario_Data!V138</x:f>
        <x:v>106.39999999999998</x:v>
      </x:c>
      <x:c r="AL138" t="n">
        <x:f>2*(SQRT((Inputs!$C$52+(Scenario_Data!D138))^2+Inputs!$C$52^2-2*(Inputs!$C$52+(Scenario_Data!D138))*Inputs!$C$52*COS(SQRT((Scenario_Data!V138)^2+Inputs!$C$6^2)/Inputs!$C$52))*1000)/Inputs!$C$21*1000000</x:f>
        <x:v>818.4420076699244</x:v>
      </x:c>
      <x:c r="AM138" t="n">
        <x:f>Scenario_Data!W138</x:f>
        <x:v>106.39999999999998</x:v>
      </x:c>
      <x:c r="AN138" t="n">
        <x:f>2*(SQRT((Inputs!$C$52+(Scenario_Data!E138))^2+Inputs!$C$52^2-2*(Inputs!$C$52+(Scenario_Data!E138))*Inputs!$C$52*COS(SQRT((Scenario_Data!W138)^2+Inputs!$C$6^2)/Inputs!$C$52))*1000)/Inputs!$C$21*1000000</x:f>
        <x:v>790.7392217429494</x:v>
      </x:c>
      <x:c r="AP138" t="n">
        <x:f>Scenario_Data!T138</x:f>
        <x:v>7.980000000000004</x:v>
      </x:c>
      <x:c r="AQ138" t="n">
        <x: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x:f>
        <x:v>2672.811129833762</x:v>
      </x:c>
      <x:c r="AR138" t="n">
        <x:f>Scenario_Data!U138</x:f>
        <x:v>53.19999999999999</x:v>
      </x:c>
      <x:c r="AS138" t="n">
        <x: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x:f>
        <x:v>483.4361058635791</x:v>
      </x:c>
      <x:c r="AT138" t="n">
        <x:f>Scenario_Data!V138</x:f>
        <x:v>106.39999999999998</x:v>
      </x:c>
      <x:c r="AU138" t="n">
        <x: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x:f>
        <x:v>818.2319444740547</x:v>
      </x:c>
      <x:c r="AV138" t="n">
        <x:f>Scenario_Data!W138</x:f>
        <x:v>106.39999999999998</x:v>
      </x:c>
      <x:c r="AW138" t="n">
        <x: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x:f>
        <x:v>790.5661176236786</x:v>
      </x:c>
    </x:row>
    <x:row r="139">
      <x:c r="A139" t="n">
        <x:f>Chart_Data!K139</x:f>
        <x:v>8.5</x:v>
      </x:c>
      <x:c r="B139" t="n">
        <x:f>Chart_Data!N139-Chart_Data!L139</x:f>
        <x:v>-37.06559531772615</x:v>
      </x:c>
      <x:c r="D139" t="n">
        <x:f>Chart_Data!G139</x:f>
        <x:v>8.5</x:v>
      </x:c>
      <x:c r="E139" t="n">
        <x:f>Chart_Data!H139</x:f>
        <x:v>479.6019721372586</x:v>
      </x:c>
      <x:c r="F139" t="n">
        <x:f>Chart_Data!I139</x:f>
        <x:v>479.6019721372586</x:v>
      </x:c>
      <x:c r="G139" t="n">
        <x:f>Chart_Data!J139</x:f>
        <x:v>35.42120810065494</x:v>
      </x:c>
      <x:c r="I139" t="n">
        <x:f>Scenario_Data!A139</x:f>
        <x:v>0.142</x:v>
      </x:c>
      <x:c r="J139" t="n">
        <x:f>Scenario_Data!H139-(((SQRT((Inputs!$C$52+(Inputs!$H$6))^2+Inputs!$C$52^2-2*(Inputs!$C$52+(Inputs!$H$6))*Inputs!$C$52*COS(SQRT((Scenario_Data!T139)^2+Inputs!$C$6^2)/Inputs!$C$52)))-(Inputs!$H$6))*1000/Inputs!$C$12)</x:f>
        <x:v>-0.09831908205035234</x:v>
      </x:c>
      <x:c r="K139" t="n">
        <x:f>Scenario_Data!I139-(((SQRT((Inputs!$C$52+(Inputs!$H$7))^2+Inputs!$C$52^2-2*(Inputs!$C$52+(Inputs!$H$7))*Inputs!$C$52*COS(SQRT((Scenario_Data!U139)^2+Inputs!$C$6^2)/Inputs!$C$52)))-(Inputs!$H$7))*1000/Inputs!$C$12)</x:f>
        <x:v>-1899.6570192596264</x:v>
      </x:c>
      <x:c r="L139" t="n">
        <x:f>Scenario_Data!J139-(((SQRT((Inputs!$C$52+(Inputs!$H$8))^2+Inputs!$C$52^2-2*(Inputs!$C$52+(Inputs!$H$8))*Inputs!$C$52*COS(SQRT((Scenario_Data!V139)^2+Inputs!$C$6^2)/Inputs!$C$52)))-(Inputs!$H$8))*1000/Inputs!$C$12)</x:f>
        <x:v>-6690.6108063344145</x:v>
      </x:c>
      <x:c r="M139" t="n">
        <x:f>Scenario_Data!K139-(((SQRT((Inputs!$C$52+(Inputs!$H$9))^2+Inputs!$C$52^2-2*(Inputs!$C$52+(Inputs!$H$9))*Inputs!$C$52*COS(SQRT((Scenario_Data!W139)^2+Inputs!$C$6^2)/Inputs!$C$52)))-(Inputs!$H$9))*1000/Inputs!$C$12)</x:f>
        <x:v>-7527.867382244032</x:v>
      </x:c>
      <x:c r="O139" t="n">
        <x:f>Scenario_Data!T139</x:f>
        <x:v>8.519999999999996</x:v>
      </x:c>
      <x:c r="P139" t="n">
        <x:f>2*(Scenario_Data!B139*1000)/Inputs!$C$21*1000000</x:f>
        <x:v>2669.050840498462</x:v>
      </x:c>
      <x:c r="Q139" t="n">
        <x:f>Scenario_Data!U139</x:f>
        <x:v>56.799999999999955</x:v>
      </x:c>
      <x:c r="R139" t="n">
        <x:f>2*(Scenario_Data!C139*1000)/Inputs!$C$21*1000000</x:f>
        <x:v>282.5945674724078</x:v>
      </x:c>
      <x:c r="S139" t="n">
        <x:f>Scenario_Data!V139</x:f>
        <x:v>113.59999999999991</x:v>
      </x:c>
      <x:c r="T139" t="n">
        <x:f>2*(Scenario_Data!D139*1000)/Inputs!$C$21*1000000</x:f>
        <x:v>363.30640445931414</x:v>
      </x:c>
      <x:c r="U139" t="n">
        <x:f>Scenario_Data!W139</x:f>
        <x:v>113.59999999999991</x:v>
      </x:c>
      <x:c r="V139" t="n">
        <x:f>2*(Scenario_Data!E139*1000)/Inputs!$C$21*1000000</x:f>
        <x:v>297.9387827027988</x:v>
      </x:c>
      <x:c r="X139" t="n">
        <x:f>Scenario_Data!T139</x:f>
        <x:v>8.519999999999996</x:v>
      </x:c>
      <x:c r="Y139" t="n">
        <x: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x:f>
        <x:v>2668.93813045976</x:v>
      </x:c>
      <x:c r="Z139" t="n">
        <x:f>Scenario_Data!U139</x:f>
        <x:v>56.799999999999955</x:v>
      </x:c>
      <x:c r="AA139" t="n">
        <x: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x:f>
        <x:v>282.45267503280434</x:v>
      </x:c>
      <x:c r="AB139" t="n">
        <x:f>Scenario_Data!V139</x:f>
        <x:v>113.59999999999991</x:v>
      </x:c>
      <x:c r="AC139" t="n">
        <x: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x:f>
        <x:v>363.0011899782957</x:v>
      </x:c>
      <x:c r="AD139" t="n">
        <x:f>Scenario_Data!W139</x:f>
        <x:v>113.59999999999991</x:v>
      </x:c>
      <x:c r="AE139" t="n">
        <x: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x:f>
        <x:v>297.63356822178037</x:v>
      </x:c>
      <x:c r="AG139" t="n">
        <x:f>Scenario_Data!T139</x:f>
        <x:v>8.519999999999996</x:v>
      </x:c>
      <x:c r="AH139" t="n">
        <x:f>2*(SQRT((Inputs!$C$52+(Scenario_Data!B139))^2+Inputs!$C$52^2-2*(Inputs!$C$52+(Scenario_Data!B139))*Inputs!$C$52*COS(SQRT((Scenario_Data!T139)^2+Inputs!$C$6^2)/Inputs!$C$52))*1000)/Inputs!$C$21*1000000</x:f>
        <x:v>2676.3476420836173</x:v>
      </x:c>
      <x:c r="AI139" t="n">
        <x:f>Scenario_Data!U139</x:f>
        <x:v>56.799999999999955</x:v>
      </x:c>
      <x:c r="AJ139" t="n">
        <x:f>2*(SQRT((Inputs!$C$52+(Scenario_Data!C139))^2+Inputs!$C$52^2-2*(Inputs!$C$52+(Scenario_Data!C139))*Inputs!$C$52*COS(SQRT((Scenario_Data!U139)^2+Inputs!$C$6^2)/Inputs!$C$52))*1000)/Inputs!$C$21*1000000</x:f>
        <x:v>505.85734229616077</x:v>
      </x:c>
      <x:c r="AK139" t="n">
        <x:f>Scenario_Data!V139</x:f>
        <x:v>113.59999999999991</x:v>
      </x:c>
      <x:c r="AL139" t="n">
        <x:f>2*(SQRT((Inputs!$C$52+(Scenario_Data!D139))^2+Inputs!$C$52^2-2*(Inputs!$C$52+(Scenario_Data!D139))*Inputs!$C$52*COS(SQRT((Scenario_Data!V139)^2+Inputs!$C$6^2)/Inputs!$C$52))*1000)/Inputs!$C$21*1000000</x:f>
        <x:v>868.8370802821825</x:v>
      </x:c>
      <x:c r="AM139" t="n">
        <x:f>Scenario_Data!W139</x:f>
        <x:v>113.59999999999991</x:v>
      </x:c>
      <x:c r="AN139" t="n">
        <x:f>2*(SQRT((Inputs!$C$52+(Scenario_Data!E139))^2+Inputs!$C$52^2-2*(Inputs!$C$52+(Scenario_Data!E139))*Inputs!$C$52*COS(SQRT((Scenario_Data!W139)^2+Inputs!$C$6^2)/Inputs!$C$52))*1000)/Inputs!$C$21*1000000</x:f>
        <x:v>841.3532788829613</x:v>
      </x:c>
      <x:c r="AP139" t="n">
        <x:f>Scenario_Data!T139</x:f>
        <x:v>8.519999999999996</x:v>
      </x:c>
      <x:c r="AQ139" t="n">
        <x: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x:f>
        <x:v>2673.0186412762982</x:v>
      </x:c>
      <x:c r="AR139" t="n">
        <x:f>Scenario_Data!U139</x:f>
        <x:v>56.799999999999955</x:v>
      </x:c>
      <x:c r="AS139" t="n">
        <x: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x:f>
        <x:v>505.1728402834789</x:v>
      </x:c>
      <x:c r="AT139" t="n">
        <x:f>Scenario_Data!V139</x:f>
        <x:v>113.59999999999991</x:v>
      </x:c>
      <x:c r="AU139" t="n">
        <x: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x:f>
        <x:v>868.33044410973</x:v>
      </x:c>
      <x:c r="AV139" t="n">
        <x:f>Scenario_Data!W139</x:f>
        <x:v>113.59999999999991</x:v>
      </x:c>
      <x:c r="AW139" t="n">
        <x: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x:f>
        <x:v>840.9326078964309</x:v>
      </x:c>
    </x:row>
    <x:row r="140">
      <x:c r="A140" t="n">
        <x:f>Chart_Data!K140</x:f>
        <x:v>9</x:v>
      </x:c>
      <x:c r="B140" t="n">
        <x:f>Chart_Data!N140-Chart_Data!L140</x:f>
        <x:v>-31.298672514684142</x:v>
      </x:c>
      <x:c r="D140" t="n">
        <x:f>Chart_Data!G140</x:f>
        <x:v>9</x:v>
      </x:c>
      <x:c r="E140" t="n">
        <x:f>Chart_Data!H140</x:f>
        <x:v>481.22587957439987</x:v>
      </x:c>
      <x:c r="F140" t="n">
        <x:f>Chart_Data!I140</x:f>
        <x:v>481.22587957439987</x:v>
      </x:c>
      <x:c r="G140" t="n">
        <x:f>Chart_Data!J140</x:f>
        <x:v>29.628149721243545</x:v>
      </x:c>
      <x:c r="I140" t="n">
        <x:f>Scenario_Data!A140</x:f>
        <x:v>0.15</x:v>
      </x:c>
      <x:c r="J140" t="n">
        <x:f>Scenario_Data!H140-(((SQRT((Inputs!$C$52+(Inputs!$H$6))^2+Inputs!$C$52^2-2*(Inputs!$C$52+(Inputs!$H$6))*Inputs!$C$52*COS(SQRT((Scenario_Data!T140)^2+Inputs!$C$6^2)/Inputs!$C$52)))-(Inputs!$H$6))*1000/Inputs!$C$12)</x:f>
        <x:v>-0.11102336728663431</x:v>
      </x:c>
      <x:c r="K140" t="n">
        <x:f>Scenario_Data!I140-(((SQRT((Inputs!$C$52+(Inputs!$H$7))^2+Inputs!$C$52^2-2*(Inputs!$C$52+(Inputs!$H$7))*Inputs!$C$52*COS(SQRT((Scenario_Data!U140)^2+Inputs!$C$6^2)/Inputs!$C$52)))-(Inputs!$H$7))*1000/Inputs!$C$12)</x:f>
        <x:v>-2177.66718431174</x:v>
      </x:c>
      <x:c r="L140" t="n">
        <x:f>Scenario_Data!J140-(((SQRT((Inputs!$C$52+(Inputs!$H$8))^2+Inputs!$C$52^2-2*(Inputs!$C$52+(Inputs!$H$8))*Inputs!$C$52*COS(SQRT((Scenario_Data!V140)^2+Inputs!$C$6^2)/Inputs!$C$52)))-(Inputs!$H$8))*1000/Inputs!$C$12)</x:f>
        <x:v>-7547.58267176729</x:v>
      </x:c>
      <x:c r="M140" t="n">
        <x:f>Scenario_Data!K140-(((SQRT((Inputs!$C$52+(Inputs!$H$9))^2+Inputs!$C$52^2-2*(Inputs!$C$52+(Inputs!$H$9))*Inputs!$C$52*COS(SQRT((Scenario_Data!W140)^2+Inputs!$C$6^2)/Inputs!$C$52)))-(Inputs!$H$9))*1000/Inputs!$C$12)</x:f>
        <x:v>-8442.924503822644</x:v>
      </x:c>
      <x:c r="O140" t="n">
        <x:f>Scenario_Data!T140</x:f>
        <x:v>9</x:v>
      </x:c>
      <x:c r="P140" t="n">
        <x:f>2*(Scenario_Data!B140*1000)/Inputs!$C$21*1000000</x:f>
        <x:v>2669.113176956573</x:v>
      </x:c>
      <x:c r="Q140" t="n">
        <x:f>Scenario_Data!U140</x:f>
        <x:v>59.99999999999994</x:v>
      </x:c>
      <x:c r="R140" t="n">
        <x:f>2*(Scenario_Data!C140*1000)/Inputs!$C$21*1000000</x:f>
        <x:v>288.2827692750028</x:v>
      </x:c>
      <x:c r="S140" t="n">
        <x:f>Scenario_Data!V140</x:f>
        <x:v>119.99999999999989</x:v>
      </x:c>
      <x:c r="T140" t="n">
        <x:f>2*(Scenario_Data!D140*1000)/Inputs!$C$21*1000000</x:f>
        <x:v>378.3450749785037</x:v>
      </x:c>
      <x:c r="U140" t="n">
        <x:f>Scenario_Data!W140</x:f>
        <x:v>119.99999999999989</x:v>
      </x:c>
      <x:c r="V140" t="n">
        <x:f>2*(Scenario_Data!E140*1000)/Inputs!$C$21*1000000</x:f>
        <x:v>313.1332943672649</x:v>
      </x:c>
      <x:c r="X140" t="n">
        <x:f>Scenario_Data!T140</x:f>
        <x:v>9</x:v>
      </x:c>
      <x:c r="Y140" t="n">
        <x: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x:f>
        <x:v>2668.91551921749</x:v>
      </x:c>
      <x:c r="Z140" t="n">
        <x:f>Scenario_Data!U140</x:f>
        <x:v>59.99999999999994</x:v>
      </x:c>
      <x:c r="AA140" t="n">
        <x: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x:f>
        <x:v>288.06999454155164</x:v>
      </x:c>
      <x:c r="AB140" t="n">
        <x:f>Scenario_Data!V140</x:f>
        <x:v>119.99999999999989</x:v>
      </x:c>
      <x:c r="AC140" t="n">
        <x: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x:f>
        <x:v>378.4062789597639</x:v>
      </x:c>
      <x:c r="AD140" t="n">
        <x:f>Scenario_Data!W140</x:f>
        <x:v>119.99999999999989</x:v>
      </x:c>
      <x:c r="AE140" t="n">
        <x: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x:f>
        <x:v>313.19449834852514</x:v>
      </x:c>
      <x:c r="AG140" t="n">
        <x:f>Scenario_Data!T140</x:f>
        <x:v>9</x:v>
      </x:c>
      <x:c r="AH140" t="n">
        <x:f>2*(SQRT((Inputs!$C$52+(Scenario_Data!B140))^2+Inputs!$C$52^2-2*(Inputs!$C$52+(Scenario_Data!B140))*Inputs!$C$52*COS(SQRT((Scenario_Data!T140)^2+Inputs!$C$6^2)/Inputs!$C$52))*1000)/Inputs!$C$21*1000000</x:f>
        <x:v>2676.4976827030932</x:v>
      </x:c>
      <x:c r="AI140" t="n">
        <x:f>Scenario_Data!U140</x:f>
        <x:v>59.99999999999994</x:v>
      </x:c>
      <x:c r="AJ140" t="n">
        <x:f>2*(SQRT((Inputs!$C$52+(Scenario_Data!C140))^2+Inputs!$C$52^2-2*(Inputs!$C$52+(Scenario_Data!C140))*Inputs!$C$52*COS(SQRT((Scenario_Data!U140)^2+Inputs!$C$6^2)/Inputs!$C$52))*1000)/Inputs!$C$21*1000000</x:f>
        <x:v>525.6642714445533</x:v>
      </x:c>
      <x:c r="AK140" t="n">
        <x:f>Scenario_Data!V140</x:f>
        <x:v>119.99999999999989</x:v>
      </x:c>
      <x:c r="AL140" t="n">
        <x:f>2*(SQRT((Inputs!$C$52+(Scenario_Data!D140))^2+Inputs!$C$52^2-2*(Inputs!$C$52+(Scenario_Data!D140))*Inputs!$C$52*COS(SQRT((Scenario_Data!V140)^2+Inputs!$C$6^2)/Inputs!$C$52))*1000)/Inputs!$C$21*1000000</x:f>
        <x:v>914.2150944753647</x:v>
      </x:c>
      <x:c r="AM140" t="n">
        <x:f>Scenario_Data!W140</x:f>
        <x:v>119.99999999999989</x:v>
      </x:c>
      <x:c r="AN140" t="n">
        <x:f>2*(SQRT((Inputs!$C$52+(Scenario_Data!E140))^2+Inputs!$C$52^2-2*(Inputs!$C$52+(Scenario_Data!E140))*Inputs!$C$52*COS(SQRT((Scenario_Data!W140)^2+Inputs!$C$6^2)/Inputs!$C$52))*1000)/Inputs!$C$21*1000000</x:f>
        <x:v>886.8544947202699</x:v>
      </x:c>
      <x:c r="AP140" t="n">
        <x:f>Scenario_Data!T140</x:f>
        <x:v>9</x:v>
      </x:c>
      <x:c r="AQ140" t="n">
        <x: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x:f>
        <x:v>2673.298433729452</x:v>
      </x:c>
      <x:c r="AR140" t="n">
        <x:f>Scenario_Data!U140</x:f>
        <x:v>59.99999999999994</x:v>
      </x:c>
      <x:c r="AS140" t="n">
        <x: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x:f>
        <x:v>525.0301956551476</x:v>
      </x:c>
      <x:c r="AT140" t="n">
        <x:f>Scenario_Data!V140</x:f>
        <x:v>119.99999999999989</x:v>
      </x:c>
      <x:c r="AU140" t="n">
        <x: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x:f>
        <x:v>914.0428007371116</x:v>
      </x:c>
      <x:c r="AV140" t="n">
        <x:f>Scenario_Data!W140</x:f>
        <x:v>119.99999999999989</x:v>
      </x:c>
      <x:c r="AW140" t="n">
        <x: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x:f>
        <x:v>886.7103694425493</x:v>
      </x:c>
    </x:row>
    <x:row r="141">
      <x:c r="A141" t="n">
        <x:f>Chart_Data!K141</x:f>
        <x:v>9.5</x:v>
      </x:c>
      <x:c r="B141" t="n">
        <x:f>Chart_Data!N141-Chart_Data!L141</x:f>
        <x:v>-7.331808066710664</x:v>
      </x:c>
      <x:c r="D141" t="n">
        <x:f>Chart_Data!G141</x:f>
        <x:v>9.5</x:v>
      </x:c>
      <x:c r="E141" t="n">
        <x:f>Chart_Data!H141</x:f>
        <x:v>478.27937371872196</x:v>
      </x:c>
      <x:c r="F141" t="n">
        <x:f>Chart_Data!I141</x:f>
        <x:v>478.27937371872196</x:v>
      </x:c>
      <x:c r="G141" t="n">
        <x:f>Chart_Data!J141</x:f>
        <x:v>5.649927018638348</x:v>
      </x:c>
      <x:c r="I141" t="n">
        <x:f>Scenario_Data!A141</x:f>
        <x:v>0.158</x:v>
      </x:c>
      <x:c r="J141" t="n">
        <x:f>Scenario_Data!H141-(((SQRT((Inputs!$C$52+(Inputs!$H$6))^2+Inputs!$C$52^2-2*(Inputs!$C$52+(Inputs!$H$6))*Inputs!$C$52*COS(SQRT((Scenario_Data!T141)^2+Inputs!$C$6^2)/Inputs!$C$52)))-(Inputs!$H$6))*1000/Inputs!$C$12)</x:f>
        <x:v>-0.12471921807230046</x:v>
      </x:c>
      <x:c r="K141" t="n">
        <x:f>Scenario_Data!I141-(((SQRT((Inputs!$C$52+(Inputs!$H$7))^2+Inputs!$C$52^2-2*(Inputs!$C$52+(Inputs!$H$7))*Inputs!$C$52*COS(SQRT((Scenario_Data!U141)^2+Inputs!$C$6^2)/Inputs!$C$52)))-(Inputs!$H$7))*1000/Inputs!$C$12)</x:f>
        <x:v>-2475.736579407454</x:v>
      </x:c>
      <x:c r="L141" t="n">
        <x:f>Scenario_Data!J141-(((SQRT((Inputs!$C$52+(Inputs!$H$8))^2+Inputs!$C$52^2-2*(Inputs!$C$52+(Inputs!$H$8))*Inputs!$C$52*COS(SQRT((Scenario_Data!V141)^2+Inputs!$C$6^2)/Inputs!$C$52)))-(Inputs!$H$8))*1000/Inputs!$C$12)</x:f>
        <x:v>-8450.11460672399</x:v>
      </x:c>
      <x:c r="M141" t="n">
        <x:f>Scenario_Data!K141-(((SQRT((Inputs!$C$52+(Inputs!$H$9))^2+Inputs!$C$52^2-2*(Inputs!$C$52+(Inputs!$H$9))*Inputs!$C$52*COS(SQRT((Scenario_Data!W141)^2+Inputs!$C$6^2)/Inputs!$C$52)))-(Inputs!$H$9))*1000/Inputs!$C$12)</x:f>
        <x:v>-9403.219768093775</x:v>
      </x:c>
      <x:c r="O141" t="n">
        <x:f>Scenario_Data!T141</x:f>
        <x:v>9.47999999999999</x:v>
      </x:c>
      <x:c r="P141" t="n">
        <x:f>2*(Scenario_Data!B141*1000)/Inputs!$C$21*1000000</x:f>
        <x:v>2669.1789291110185</x:v>
      </x:c>
      <x:c r="Q141" t="n">
        <x:f>Scenario_Data!U141</x:f>
        <x:v>63.19999999999999</x:v>
      </x:c>
      <x:c r="R141" t="n">
        <x:f>2*(Scenario_Data!C141*1000)/Inputs!$C$21*1000000</x:f>
        <x:v>294.2826533681511</x:v>
      </x:c>
      <x:c r="S141" t="n">
        <x:f>Scenario_Data!V141</x:f>
        <x:v>126.39999999999998</x:v>
      </x:c>
      <x:c r="T141" t="n">
        <x:f>2*(Scenario_Data!D141*1000)/Inputs!$C$21*1000000</x:f>
        <x:v>394.2077822384711</x:v>
      </x:c>
      <x:c r="U141" t="n">
        <x:f>Scenario_Data!W141</x:f>
        <x:v>126.39999999999998</x:v>
      </x:c>
      <x:c r="V141" t="n">
        <x:f>2*(Scenario_Data!E141*1000)/Inputs!$C$21*1000000</x:f>
        <x:v>329.160382013346</x:v>
      </x:c>
      <x:c r="X141" t="n">
        <x:f>Scenario_Data!T141</x:f>
        <x:v>9.47999999999999</x:v>
      </x:c>
      <x:c r="Y141" t="n">
        <x: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x:f>
        <x:v>2669.0410756188267</x:v>
      </x:c>
      <x:c r="Z141" t="n">
        <x:f>Scenario_Data!U141</x:f>
        <x:v>63.19999999999999</x:v>
      </x:c>
      <x:c r="AA141" t="n">
        <x: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x:f>
        <x:v>294.08928666556926</x:v>
      </x:c>
      <x:c r="AB141" t="n">
        <x:f>Scenario_Data!V141</x:f>
        <x:v>126.39999999999998</x:v>
      </x:c>
      <x:c r="AC141" t="n">
        <x: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x:f>
        <x:v>393.9604119847854</x:v>
      </x:c>
      <x:c r="AD141" t="n">
        <x:f>Scenario_Data!W141</x:f>
        <x:v>126.39999999999998</x:v>
      </x:c>
      <x:c r="AE141" t="n">
        <x: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x:f>
        <x:v>328.9130117596604</x:v>
      </x:c>
      <x:c r="AG141" t="n">
        <x:f>Scenario_Data!T141</x:f>
        <x:v>9.47999999999999</x:v>
      </x:c>
      <x:c r="AH141" t="n">
        <x:f>2*(SQRT((Inputs!$C$52+(Scenario_Data!B141))^2+Inputs!$C$52^2-2*(Inputs!$C$52+(Scenario_Data!B141))*Inputs!$C$52*COS(SQRT((Scenario_Data!T141)^2+Inputs!$C$6^2)/Inputs!$C$52))*1000)/Inputs!$C$21*1000000</x:f>
        <x:v>2676.655938037531</x:v>
      </x:c>
      <x:c r="AI141" t="n">
        <x:f>Scenario_Data!U141</x:f>
        <x:v>63.19999999999999</x:v>
      </x:c>
      <x:c r="AJ141" t="n">
        <x:f>2*(SQRT((Inputs!$C$52+(Scenario_Data!C141))^2+Inputs!$C$52^2-2*(Inputs!$C$52+(Scenario_Data!C141))*Inputs!$C$52*COS(SQRT((Scenario_Data!U141)^2+Inputs!$C$6^2)/Inputs!$C$52))*1000)/Inputs!$C$21*1000000</x:f>
        <x:v>545.8599335087318</x:v>
      </x:c>
      <x:c r="AK141" t="n">
        <x:f>Scenario_Data!V141</x:f>
        <x:v>126.39999999999998</x:v>
      </x:c>
      <x:c r="AL141" t="n">
        <x:f>2*(SQRT((Inputs!$C$52+(Scenario_Data!D141))^2+Inputs!$C$52^2-2*(Inputs!$C$52+(Scenario_Data!D141))*Inputs!$C$52*COS(SQRT((Scenario_Data!V141)^2+Inputs!$C$6^2)/Inputs!$C$52))*1000)/Inputs!$C$21*1000000</x:f>
        <x:v>960.117033428206</x:v>
      </x:c>
      <x:c r="AM141" t="n">
        <x:f>Scenario_Data!W141</x:f>
        <x:v>126.39999999999998</x:v>
      </x:c>
      <x:c r="AN141" t="n">
        <x:f>2*(SQRT((Inputs!$C$52+(Scenario_Data!E141))^2+Inputs!$C$52^2-2*(Inputs!$C$52+(Scenario_Data!E141))*Inputs!$C$52*COS(SQRT((Scenario_Data!W141)^2+Inputs!$C$6^2)/Inputs!$C$52))*1000)/Inputs!$C$21*1000000</x:f>
        <x:v>932.8227451453487</x:v>
      </x:c>
      <x:c r="AP141" t="n">
        <x:f>Scenario_Data!T141</x:f>
        <x:v>9.47999999999999</x:v>
      </x:c>
      <x:c r="AQ141" t="n">
        <x: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x:f>
        <x:v>2673.5257336157</x:v>
      </x:c>
      <x:c r="AR141" t="n">
        <x:f>Scenario_Data!U141</x:f>
        <x:v>63.19999999999999</x:v>
      </x:c>
      <x:c r="AS141" t="n">
        <x: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x:f>
        <x:v>545.294526979861</x:v>
      </x:c>
      <x:c r="AT141" t="n">
        <x:f>Scenario_Data!V141</x:f>
        <x:v>126.39999999999998</x:v>
      </x:c>
      <x:c r="AU141" t="n">
        <x: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x:f>
        <x:v>959.7681106792701</x:v>
      </x:c>
      <x:c r="AV141" t="n">
        <x:f>Scenario_Data!W141</x:f>
        <x:v>126.39999999999998</x:v>
      </x:c>
      <x:c r="AW141" t="n">
        <x: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x:f>
        <x:v>932.5288448805254</x:v>
      </x:c>
    </x:row>
    <x:row r="142">
      <x:c r="A142" t="n">
        <x:f>Chart_Data!K142</x:f>
        <x:v>10</x:v>
      </x:c>
      <x:c r="B142" t="n">
        <x:f>Chart_Data!N142-Chart_Data!L142</x:f>
        <x:v>6.950709340985782</x:v>
      </x:c>
      <x:c r="D142" t="n">
        <x:f>Chart_Data!G142</x:f>
        <x:v>10</x:v>
      </x:c>
      <x:c r="E142" t="n">
        <x:f>Chart_Data!H142</x:f>
        <x:v>454.2022007690729</x:v>
      </x:c>
      <x:c r="F142" t="n">
        <x:f>Chart_Data!I142</x:f>
        <x:v>454.2022007690729</x:v>
      </x:c>
      <x:c r="G142" t="n">
        <x:f>Chart_Data!J142</x:f>
        <x:v>-8.569441618173819</x:v>
      </x:c>
      <x:c r="I142" t="n">
        <x:f>Scenario_Data!A142</x:f>
        <x:v>0.167</x:v>
      </x:c>
      <x:c r="J142" t="n">
        <x:f>Scenario_Data!H142-(((SQRT((Inputs!$C$52+(Inputs!$H$6))^2+Inputs!$C$52^2-2*(Inputs!$C$52+(Inputs!$H$6))*Inputs!$C$52*COS(SQRT((Scenario_Data!T142)^2+Inputs!$C$6^2)/Inputs!$C$52)))-(Inputs!$H$6))*1000/Inputs!$C$12)</x:f>
        <x:v>-0.14137113236063215</x:v>
      </x:c>
      <x:c r="K142" t="n">
        <x:f>Scenario_Data!I142-(((SQRT((Inputs!$C$52+(Inputs!$H$7))^2+Inputs!$C$52^2-2*(Inputs!$C$52+(Inputs!$H$7))*Inputs!$C$52*COS(SQRT((Scenario_Data!U142)^2+Inputs!$C$6^2)/Inputs!$C$52)))-(Inputs!$H$7))*1000/Inputs!$C$12)</x:f>
        <x:v>-2834.7671819467178</x:v>
      </x:c>
      <x:c r="L142" t="n">
        <x:f>Scenario_Data!J142-(((SQRT((Inputs!$C$52+(Inputs!$H$8))^2+Inputs!$C$52^2-2*(Inputs!$C$52+(Inputs!$H$8))*Inputs!$C$52*COS(SQRT((Scenario_Data!V142)^2+Inputs!$C$6^2)/Inputs!$C$52)))-(Inputs!$H$8))*1000/Inputs!$C$12)</x:f>
        <x:v>-9518.334244312478</x:v>
      </x:c>
      <x:c r="M142" t="n">
        <x:f>Scenario_Data!K142-(((SQRT((Inputs!$C$52+(Inputs!$H$9))^2+Inputs!$C$52^2-2*(Inputs!$C$52+(Inputs!$H$9))*Inputs!$C$52*COS(SQRT((Scenario_Data!W142)^2+Inputs!$C$6^2)/Inputs!$C$52)))-(Inputs!$H$9))*1000/Inputs!$C$12)</x:f>
        <x:v>-10536.017531248719</x:v>
      </x:c>
      <x:c r="O142" t="n">
        <x:f>Scenario_Data!T142</x:f>
        <x:v>10.019999999999996</x:v>
      </x:c>
      <x:c r="P142" t="n">
        <x:f>2*(Scenario_Data!B142*1000)/Inputs!$C$21*1000000</x:f>
        <x:v>2669.256983109295</x:v>
      </x:c>
      <x:c r="Q142" t="n">
        <x:f>Scenario_Data!U142</x:f>
        <x:v>66.80000000000001</x:v>
      </x:c>
      <x:c r="R142" t="n">
        <x:f>2*(Scenario_Data!C142*1000)/Inputs!$C$21*1000000</x:f>
        <x:v>301.40508071086964</x:v>
      </x:c>
      <x:c r="S142" t="n">
        <x:f>Scenario_Data!V142</x:f>
        <x:v>133.60000000000002</x:v>
      </x:c>
      <x:c r="T142" t="n">
        <x:f>2*(Scenario_Data!D142*1000)/Inputs!$C$21*1000000</x:f>
        <x:v>413.03830932264486</x:v>
      </x:c>
      <x:c r="U142" t="n">
        <x:f>Scenario_Data!W142</x:f>
        <x:v>133.60000000000002</x:v>
      </x:c>
      <x:c r="V142" t="n">
        <x:f>2*(Scenario_Data!E142*1000)/Inputs!$C$21*1000000</x:f>
        <x:v>348.1860440932107</x:v>
      </x:c>
      <x:c r="X142" t="n">
        <x:f>Scenario_Data!T142</x:f>
        <x:v>10.019999999999996</x:v>
      </x:c>
      <x:c r="Y142" t="n">
        <x: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x:f>
        <x:v>2669.291489917243</x:v>
      </x:c>
      <x:c r="Z142" t="n">
        <x:f>Scenario_Data!U142</x:f>
        <x:v>66.80000000000001</x:v>
      </x:c>
      <x:c r="AA142" t="n">
        <x: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x:f>
        <x:v>301.6540717423815</x:v>
      </x:c>
      <x:c r="AB142" t="n">
        <x:f>Scenario_Data!V142</x:f>
        <x:v>133.60000000000002</x:v>
      </x:c>
      <x:c r="AC142" t="n">
        <x: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x:f>
        <x:v>412.6730671989272</x:v>
      </x:c>
      <x:c r="AD142" t="n">
        <x:f>Scenario_Data!W142</x:f>
        <x:v>133.60000000000002</x:v>
      </x:c>
      <x:c r="AE142" t="n">
        <x: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x:f>
        <x:v>347.82080196949306</x:v>
      </x:c>
      <x:c r="AG142" t="n">
        <x:f>Scenario_Data!T142</x:f>
        <x:v>10.019999999999996</x:v>
      </x:c>
      <x:c r="AH142" t="n">
        <x:f>2*(SQRT((Inputs!$C$52+(Scenario_Data!B142))^2+Inputs!$C$52^2-2*(Inputs!$C$52+(Scenario_Data!B142))*Inputs!$C$52*COS(SQRT((Scenario_Data!T142)^2+Inputs!$C$6^2)/Inputs!$C$52))*1000)/Inputs!$C$21*1000000</x:f>
        <x:v>2676.843793107199</x:v>
      </x:c>
      <x:c r="AI142" t="n">
        <x:f>Scenario_Data!U142</x:f>
        <x:v>66.80000000000001</x:v>
      </x:c>
      <x:c r="AJ142" t="n">
        <x:f>2*(SQRT((Inputs!$C$52+(Scenario_Data!C142))^2+Inputs!$C$52^2-2*(Inputs!$C$52+(Scenario_Data!C142))*Inputs!$C$52*COS(SQRT((Scenario_Data!U142)^2+Inputs!$C$6^2)/Inputs!$C$52))*1000)/Inputs!$C$21*1000000</x:f>
        <x:v>569.0088081002975</x:v>
      </x:c>
      <x:c r="AK142" t="n">
        <x:f>Scenario_Data!V142</x:f>
        <x:v>133.60000000000002</x:v>
      </x:c>
      <x:c r="AL142" t="n">
        <x:f>2*(SQRT((Inputs!$C$52+(Scenario_Data!D142))^2+Inputs!$C$52^2-2*(Inputs!$C$52+(Scenario_Data!D142))*Inputs!$C$52*COS(SQRT((Scenario_Data!V142)^2+Inputs!$C$6^2)/Inputs!$C$52))*1000)/Inputs!$C$21*1000000</x:f>
        <x:v>1012.362240937457</x:v>
      </x:c>
      <x:c r="AM142" t="n">
        <x:f>Scenario_Data!W142</x:f>
        <x:v>133.60000000000002</x:v>
      </x:c>
      <x:c r="AN142" t="n">
        <x:f>2*(SQRT((Inputs!$C$52+(Scenario_Data!E142))^2+Inputs!$C$52^2-2*(Inputs!$C$52+(Scenario_Data!E142))*Inputs!$C$52*COS(SQRT((Scenario_Data!W142)^2+Inputs!$C$6^2)/Inputs!$C$52))*1000)/Inputs!$C$21*1000000</x:f>
        <x:v>985.0850258038517</x:v>
      </x:c>
      <x:c r="AP142" t="n">
        <x:f>Scenario_Data!T142</x:f>
        <x:v>10.019999999999996</x:v>
      </x:c>
      <x:c r="AQ142" t="n">
        <x: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x:f>
        <x:v>2673.882119678937</x:v>
      </x:c>
      <x:c r="AR142" t="n">
        <x:f>Scenario_Data!U142</x:f>
        <x:v>66.80000000000001</x:v>
      </x:c>
      <x:c r="AS142" t="n">
        <x: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x:f>
        <x:v>568.6160000022179</x:v>
      </x:c>
      <x:c r="AT142" t="n">
        <x:f>Scenario_Data!V142</x:f>
        <x:v>133.60000000000002</x:v>
      </x:c>
      <x:c r="AU142" t="n">
        <x: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x:f>
        <x:v>1011.9614443866486</x:v>
      </x:c>
      <x:c r="AV142" t="n">
        <x:f>Scenario_Data!W142</x:f>
        <x:v>133.60000000000002</x:v>
      </x:c>
      <x:c r="AW142" t="n">
        <x: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x:f>
        <x:v>984.7447767945712</x:v>
      </x:c>
    </x:row>
    <x:row r="143">
      <x:c r="A143" t="n">
        <x:f>Chart_Data!K143</x:f>
        <x:v>10.5</x:v>
      </x:c>
      <x:c r="B143" t="n">
        <x:f>Chart_Data!N143-Chart_Data!L143</x:f>
        <x:v>-6.51890035122284</x:v>
      </x:c>
      <x:c r="D143" t="n">
        <x:f>Chart_Data!G143</x:f>
        <x:v>10.5</x:v>
      </x:c>
      <x:c r="E143" t="n">
        <x:f>Chart_Data!H143</x:f>
        <x:v>437.9381023255588</x:v>
      </x:c>
      <x:c r="F143" t="n">
        <x:f>Chart_Data!I143</x:f>
        <x:v>437.9381023255588</x:v>
      </x:c>
      <x:c r="G143" t="n">
        <x:f>Chart_Data!J143</x:f>
        <x:v>4.936290407774814</x:v>
      </x:c>
      <x:c r="I143" t="n">
        <x:f>Scenario_Data!A143</x:f>
        <x:v>0.175</x:v>
      </x:c>
      <x:c r="J143" t="n">
        <x:f>Scenario_Data!H143-(((SQRT((Inputs!$C$52+(Inputs!$H$6))^2+Inputs!$C$52^2-2*(Inputs!$C$52+(Inputs!$H$6))*Inputs!$C$52*COS(SQRT((Scenario_Data!T143)^2+Inputs!$C$6^2)/Inputs!$C$52)))-(Inputs!$H$6))*1000/Inputs!$C$12)</x:f>
        <x:v>-0.15733377440119511</x:v>
      </x:c>
      <x:c r="K143" t="n">
        <x:f>Scenario_Data!I143-(((SQRT((Inputs!$C$52+(Inputs!$H$7))^2+Inputs!$C$52^2-2*(Inputs!$C$52+(Inputs!$H$7))*Inputs!$C$52*COS(SQRT((Scenario_Data!U143)^2+Inputs!$C$6^2)/Inputs!$C$52)))-(Inputs!$H$7))*1000/Inputs!$C$12)</x:f>
        <x:v>-3174.698779983293</x:v>
      </x:c>
      <x:c r="L143" t="n">
        <x:f>Scenario_Data!J143-(((SQRT((Inputs!$C$52+(Inputs!$H$8))^2+Inputs!$C$52^2-2*(Inputs!$C$52+(Inputs!$H$8))*Inputs!$C$52*COS(SQRT((Scenario_Data!V143)^2+Inputs!$C$6^2)/Inputs!$C$52)))-(Inputs!$H$8))*1000/Inputs!$C$12)</x:f>
        <x:v>-10513.46974524825</x:v>
      </x:c>
      <x:c r="M143" t="n">
        <x:f>Scenario_Data!K143-(((SQRT((Inputs!$C$52+(Inputs!$H$9))^2+Inputs!$C$52^2-2*(Inputs!$C$52+(Inputs!$H$9))*Inputs!$C$52*COS(SQRT((Scenario_Data!W143)^2+Inputs!$C$6^2)/Inputs!$C$52)))-(Inputs!$H$9))*1000/Inputs!$C$12)</x:f>
        <x:v>-11588.17818289464</x:v>
      </x:c>
      <x:c r="O143" t="n">
        <x:f>Scenario_Data!T143</x:f>
        <x:v>10.5</x:v>
      </x:c>
      <x:c r="P143" t="n">
        <x:f>2*(Scenario_Data!B143*1000)/Inputs!$C$21*1000000</x:f>
        <x:v>2669.329993618452</x:v>
      </x:c>
      <x:c r="Q143" t="n">
        <x:f>Scenario_Data!U143</x:f>
        <x:v>70</x:v>
      </x:c>
      <x:c r="R143" t="n">
        <x:f>2*(Scenario_Data!C143*1000)/Inputs!$C$21*1000000</x:f>
        <x:v>308.0672896714433</x:v>
      </x:c>
      <x:c r="S143" t="n">
        <x:f>Scenario_Data!V143</x:f>
        <x:v>140</x:v>
      </x:c>
      <x:c r="T143" t="n">
        <x:f>2*(Scenario_Data!D143*1000)/Inputs!$C$21*1000000</x:f>
        <x:v>430.6520946567642</x:v>
      </x:c>
      <x:c r="U143" t="n">
        <x:f>Scenario_Data!W143</x:f>
        <x:v>140</x:v>
      </x:c>
      <x:c r="V143" t="n">
        <x:f>2*(Scenario_Data!E143*1000)/Inputs!$C$21*1000000</x:f>
        <x:v>365.98235570022246</x:v>
      </x:c>
      <x:c r="X143" t="n">
        <x:f>Scenario_Data!T143</x:f>
        <x:v>10.5</x:v>
      </x:c>
      <x:c r="Y143" t="n">
        <x: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x:f>
        <x:v>2669.2970622335815</x:v>
      </x:c>
      <x:c r="Z143" t="n">
        <x:f>Scenario_Data!U143</x:f>
        <x:v>70</x:v>
      </x:c>
      <x:c r="AA143" t="n">
        <x: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x:f>
        <x:v>308.3339924924266</x:v>
      </x:c>
      <x:c r="AB143" t="n">
        <x:f>Scenario_Data!V143</x:f>
        <x:v>140</x:v>
      </x:c>
      <x:c r="AC143" t="n">
        <x: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x:f>
        <x:v>430.4704881029932</x:v>
      </x:c>
      <x:c r="AD143" t="n">
        <x:f>Scenario_Data!W143</x:f>
        <x:v>140</x:v>
      </x:c>
      <x:c r="AE143" t="n">
        <x: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x:f>
        <x:v>365.80074914645155</x:v>
      </x:c>
      <x:c r="AG143" t="n">
        <x:f>Scenario_Data!T143</x:f>
        <x:v>10.5</x:v>
      </x:c>
      <x:c r="AH143" t="n">
        <x:f>2*(SQRT((Inputs!$C$52+(Scenario_Data!B143))^2+Inputs!$C$52^2-2*(Inputs!$C$52+(Scenario_Data!B143))*Inputs!$C$52*COS(SQRT((Scenario_Data!T143)^2+Inputs!$C$6^2)/Inputs!$C$52))*1000)/Inputs!$C$21*1000000</x:f>
        <x:v>2677.019501093122</x:v>
      </x:c>
      <x:c r="AI143" t="n">
        <x:f>Scenario_Data!U143</x:f>
        <x:v>70</x:v>
      </x:c>
      <x:c r="AJ143" t="n">
        <x:f>2*(SQRT((Inputs!$C$52+(Scenario_Data!C143))^2+Inputs!$C$52^2-2*(Inputs!$C$52+(Scenario_Data!C143))*Inputs!$C$52*COS(SQRT((Scenario_Data!U143)^2+Inputs!$C$6^2)/Inputs!$C$52))*1000)/Inputs!$C$21*1000000</x:f>
        <x:v>589.9393087491328</x:v>
      </x:c>
      <x:c r="AK143" t="n">
        <x:f>Scenario_Data!V143</x:f>
        <x:v>140</x:v>
      </x:c>
      <x:c r="AL143" t="n">
        <x:f>2*(SQRT((Inputs!$C$52+(Scenario_Data!D143))^2+Inputs!$C$52^2-2*(Inputs!$C$52+(Scenario_Data!D143))*Inputs!$C$52*COS(SQRT((Scenario_Data!V143)^2+Inputs!$C$6^2)/Inputs!$C$52))*1000)/Inputs!$C$21*1000000</x:f>
        <x:v>1059.3278163208254</x:v>
      </x:c>
      <x:c r="AM143" t="n">
        <x:f>Scenario_Data!W143</x:f>
        <x:v>140</x:v>
      </x:c>
      <x:c r="AN143" t="n">
        <x:f>2*(SQRT((Inputs!$C$52+(Scenario_Data!E143))^2+Inputs!$C$52^2-2*(Inputs!$C$52+(Scenario_Data!E143))*Inputs!$C$52*COS(SQRT((Scenario_Data!W143)^2+Inputs!$C$6^2)/Inputs!$C$52))*1000)/Inputs!$C$21*1000000</x:f>
        <x:v>1032.0225937697833</x:v>
      </x:c>
      <x:c r="AP143" t="n">
        <x:f>Scenario_Data!T143</x:f>
        <x:v>10.5</x:v>
      </x:c>
      <x:c r="AQ143" t="n">
        <x: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x:f>
        <x:v>2674.108450593098</x:v>
      </x:c>
      <x:c r="AR143" t="n">
        <x:f>Scenario_Data!U143</x:f>
        <x:v>70</x:v>
      </x:c>
      <x:c r="AS143" t="n">
        <x: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x:f>
        <x:v>589.5950730129001</x:v>
      </x:c>
      <x:c r="AT143" t="n">
        <x:f>Scenario_Data!V143</x:f>
        <x:v>140</x:v>
      </x:c>
      <x:c r="AU143" t="n">
        <x: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x:f>
        <x:v>1059.1278356854446</x:v>
      </x:c>
      <x:c r="AV143" t="n">
        <x:f>Scenario_Data!W143</x:f>
        <x:v>140</x:v>
      </x:c>
      <x:c r="AW143" t="n">
        <x: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x:f>
        <x:v>1031.851625789072</x:v>
      </x:c>
    </x:row>
    <x:row r="144">
      <x:c r="A144" t="n">
        <x:f>Chart_Data!K144</x:f>
        <x:v>11</x:v>
      </x:c>
      <x:c r="B144" t="n">
        <x:f>Chart_Data!N144-Chart_Data!L144</x:f>
        <x:v>-3.5716399061908533</x:v>
      </x:c>
      <x:c r="D144" t="n">
        <x:f>Chart_Data!G144</x:f>
        <x:v>11</x:v>
      </x:c>
      <x:c r="E144" t="n">
        <x:f>Chart_Data!H144</x:f>
        <x:v>444.9386077034983</x:v>
      </x:c>
      <x:c r="F144" t="n">
        <x:f>Chart_Data!I144</x:f>
        <x:v>444.9386077034983</x:v>
      </x:c>
      <x:c r="G144" t="n">
        <x:f>Chart_Data!J144</x:f>
        <x:v>1.9403678384373038</x:v>
      </x:c>
      <x:c r="I144" t="n">
        <x:f>Scenario_Data!A144</x:f>
        <x:v>0.183</x:v>
      </x:c>
      <x:c r="J144" t="n">
        <x:f>Scenario_Data!H144-(((SQRT((Inputs!$C$52+(Inputs!$H$6))^2+Inputs!$C$52^2-2*(Inputs!$C$52+(Inputs!$H$6))*Inputs!$C$52*COS(SQRT((Scenario_Data!T144)^2+Inputs!$C$6^2)/Inputs!$C$52)))-(Inputs!$H$6))*1000/Inputs!$C$12)</x:f>
        <x:v>-0.17444351947665382</x:v>
      </x:c>
      <x:c r="K144" t="n">
        <x:f>Scenario_Data!I144-(((SQRT((Inputs!$C$52+(Inputs!$H$7))^2+Inputs!$C$52^2-2*(Inputs!$C$52+(Inputs!$H$7))*Inputs!$C$52*COS(SQRT((Scenario_Data!U144)^2+Inputs!$C$6^2)/Inputs!$C$52)))-(Inputs!$H$7))*1000/Inputs!$C$12)</x:f>
        <x:v>-3533.9191182778195</x:v>
      </x:c>
      <x:c r="L144" t="n">
        <x:f>Scenario_Data!J144-(((SQRT((Inputs!$C$52+(Inputs!$H$8))^2+Inputs!$C$52^2-2*(Inputs!$C$52+(Inputs!$H$8))*Inputs!$C$52*COS(SQRT((Scenario_Data!V144)^2+Inputs!$C$6^2)/Inputs!$C$52)))-(Inputs!$H$8))*1000/Inputs!$C$12)</x:f>
        <x:v>-11550.242027722496</x:v>
      </x:c>
      <x:c r="M144" t="n">
        <x:f>Scenario_Data!K144-(((SQRT((Inputs!$C$52+(Inputs!$H$9))^2+Inputs!$C$52^2-2*(Inputs!$C$52+(Inputs!$H$9))*Inputs!$C$52*COS(SQRT((Scenario_Data!W144)^2+Inputs!$C$6^2)/Inputs!$C$52)))-(Inputs!$H$9))*1000/Inputs!$C$12)</x:f>
        <x:v>-12681.604714695779</x:v>
      </x:c>
      <x:c r="O144" t="n">
        <x:f>Scenario_Data!T144</x:f>
        <x:v>10.980000000000004</x:v>
      </x:c>
      <x:c r="P144" t="n">
        <x:f>2*(Scenario_Data!B144*1000)/Inputs!$C$21*1000000</x:f>
        <x:v>2669.406419823944</x:v>
      </x:c>
      <x:c r="Q144" t="n">
        <x:f>Scenario_Data!U144</x:f>
        <x:v>73.20000000000005</x:v>
      </x:c>
      <x:c r="R144" t="n">
        <x:f>2*(Scenario_Data!C144*1000)/Inputs!$C$21*1000000</x:f>
        <x:v>315.04118092257016</x:v>
      </x:c>
      <x:c r="S144" t="n">
        <x:f>Scenario_Data!V144</x:f>
        <x:v>146.4000000000001</x:v>
      </x:c>
      <x:c r="T144" t="n">
        <x:f>2*(Scenario_Data!D144*1000)/Inputs!$C$21*1000000</x:f>
        <x:v>449.08991673166133</x:v>
      </x:c>
      <x:c r="U144" t="n">
        <x:f>Scenario_Data!W144</x:f>
        <x:v>146.4000000000001</x:v>
      </x:c>
      <x:c r="V144" t="n">
        <x:f>2*(Scenario_Data!E144*1000)/Inputs!$C$21*1000000</x:f>
        <x:v>384.6112432888491</x:v>
      </x:c>
      <x:c r="X144" t="n">
        <x:f>Scenario_Data!T144</x:f>
        <x:v>10.980000000000004</x:v>
      </x:c>
      <x:c r="Y144" t="n">
        <x: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x:f>
        <x:v>2669.4129477465203</x:v>
      </x:c>
      <x:c r="Z144" t="n">
        <x:f>Scenario_Data!U144</x:f>
        <x:v>73.20000000000005</x:v>
      </x:c>
      <x:c r="AA144" t="n">
        <x: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x:f>
        <x:v>314.94191553996393</x:v>
      </x:c>
      <x:c r="AB144" t="n">
        <x:f>Scenario_Data!V144</x:f>
        <x:v>146.4000000000001</x:v>
      </x:c>
      <x:c r="AC144" t="n">
        <x: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x:f>
        <x:v>448.65774247510933</x:v>
      </x:c>
      <x:c r="AD144" t="n">
        <x:f>Scenario_Data!W144</x:f>
        <x:v>146.4000000000001</x:v>
      </x:c>
      <x:c r="AE144" t="n">
        <x: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x:f>
        <x:v>384.1790690322971</x:v>
      </x:c>
      <x:c r="AG144" t="n">
        <x:f>Scenario_Data!T144</x:f>
        <x:v>10.980000000000004</x:v>
      </x:c>
      <x:c r="AH144" t="n">
        <x:f>2*(SQRT((Inputs!$C$52+(Scenario_Data!B144))^2+Inputs!$C$52^2-2*(Inputs!$C$52+(Scenario_Data!B144))*Inputs!$C$52*COS(SQRT((Scenario_Data!T144)^2+Inputs!$C$6^2)/Inputs!$C$52))*1000)/Inputs!$C$21*1000000</x:f>
        <x:v>2677.2034202705154</x:v>
      </x:c>
      <x:c r="AI144" t="n">
        <x:f>Scenario_Data!U144</x:f>
        <x:v>73.20000000000005</x:v>
      </x:c>
      <x:c r="AJ144" t="n">
        <x:f>2*(SQRT((Inputs!$C$52+(Scenario_Data!C144))^2+Inputs!$C$52^2-2*(Inputs!$C$52+(Scenario_Data!C144))*Inputs!$C$52*COS(SQRT((Scenario_Data!U144)^2+Inputs!$C$6^2)/Inputs!$C$52))*1000)/Inputs!$C$21*1000000</x:f>
        <x:v>611.1806207136659</x:v>
      </x:c>
      <x:c r="AK144" t="n">
        <x:f>Scenario_Data!V144</x:f>
        <x:v>146.4000000000001</x:v>
      </x:c>
      <x:c r="AL144" t="n">
        <x:f>2*(SQRT((Inputs!$C$52+(Scenario_Data!D144))^2+Inputs!$C$52^2-2*(Inputs!$C$52+(Scenario_Data!D144))*Inputs!$C$52*COS(SQRT((Scenario_Data!V144)^2+Inputs!$C$6^2)/Inputs!$C$52))*1000)/Inputs!$C$21*1000000</x:f>
        <x:v>1106.77995128393</x:v>
      </x:c>
      <x:c r="AM144" t="n">
        <x:f>Scenario_Data!W144</x:f>
        <x:v>146.4000000000001</x:v>
      </x:c>
      <x:c r="AN144" t="n">
        <x:f>2*(SQRT((Inputs!$C$52+(Scenario_Data!E144))^2+Inputs!$C$52^2-2*(Inputs!$C$52+(Scenario_Data!E144))*Inputs!$C$52*COS(SQRT((Scenario_Data!W144)^2+Inputs!$C$6^2)/Inputs!$C$52))*1000)/Inputs!$C$21*1000000</x:f>
        <x:v>1079.4124988914414</x:v>
      </x:c>
      <x:c r="AP144" t="n">
        <x:f>Scenario_Data!T144</x:f>
        <x:v>10.980000000000004</x:v>
      </x:c>
      <x:c r="AQ144" t="n">
        <x: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x:f>
        <x:v>2674.284219824957</x:v>
      </x:c>
      <x:c r="AR144" t="n">
        <x:f>Scenario_Data!U144</x:f>
        <x:v>73.20000000000005</x:v>
      </x:c>
      <x:c r="AS144" t="n">
        <x: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x:f>
        <x:v>610.6232752319127</x:v>
      </x:c>
      <x:c r="AT144" t="n">
        <x:f>Scenario_Data!V144</x:f>
        <x:v>146.4000000000001</x:v>
      </x:c>
      <x:c r="AU144" t="n">
        <x: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x:f>
        <x:v>1106.2320111687281</x:v>
      </x:c>
      <x:c r="AV144" t="n">
        <x:f>Scenario_Data!W144</x:f>
        <x:v>146.4000000000001</x:v>
      </x:c>
      <x:c r="AW144" t="n">
        <x: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x:f>
        <x:v>1078.9410179985136</x:v>
      </x:c>
    </x:row>
    <x:row r="145">
      <x:c r="A145" t="n">
        <x:f>Chart_Data!K145</x:f>
        <x:v>11.5</x:v>
      </x:c>
      <x:c r="B145" t="n">
        <x:f>Chart_Data!N145-Chart_Data!L145</x:f>
        <x:v>-5.661420832986096</x:v>
      </x:c>
      <x:c r="D145" t="n">
        <x:f>Chart_Data!G145</x:f>
        <x:v>11.5</x:v>
      </x:c>
      <x:c r="E145" t="n">
        <x:f>Chart_Data!H145</x:f>
        <x:v>434.44467895572086</x:v>
      </x:c>
      <x:c r="F145" t="n">
        <x:f>Chart_Data!I145</x:f>
        <x:v>434.44467895572086</x:v>
      </x:c>
      <x:c r="G145" t="n">
        <x:f>Chart_Data!J145</x:f>
        <x:v>4.044824683821267</x:v>
      </x:c>
      <x:c r="I145" t="n">
        <x:f>Scenario_Data!A145</x:f>
        <x:v>0.192</x:v>
      </x:c>
      <x:c r="J145" t="n">
        <x:f>Scenario_Data!H145-(((SQRT((Inputs!$C$52+(Inputs!$H$6))^2+Inputs!$C$52^2-2*(Inputs!$C$52+(Inputs!$H$6))*Inputs!$C$52*COS(SQRT((Scenario_Data!T145)^2+Inputs!$C$6^2)/Inputs!$C$52)))-(Inputs!$H$6))*1000/Inputs!$C$12)</x:f>
        <x:v>-0.1951314257202057</x:v>
      </x:c>
      <x:c r="K145" t="n">
        <x:f>Scenario_Data!I145-(((SQRT((Inputs!$C$52+(Inputs!$H$7))^2+Inputs!$C$52^2-2*(Inputs!$C$52+(Inputs!$H$7))*Inputs!$C$52*COS(SQRT((Scenario_Data!U145)^2+Inputs!$C$6^2)/Inputs!$C$52)))-(Inputs!$H$7))*1000/Inputs!$C$12)</x:f>
        <x:v>-3960.742176330219</x:v>
      </x:c>
      <x:c r="L145" t="n">
        <x:f>Scenario_Data!J145-(((SQRT((Inputs!$C$52+(Inputs!$H$8))^2+Inputs!$C$52^2-2*(Inputs!$C$52+(Inputs!$H$8))*Inputs!$C$52*COS(SQRT((Scenario_Data!V145)^2+Inputs!$C$6^2)/Inputs!$C$52)))-(Inputs!$H$8))*1000/Inputs!$C$12)</x:f>
        <x:v>-12764.866565310112</x:v>
      </x:c>
      <x:c r="M145" t="n">
        <x:f>Scenario_Data!K145-(((SQRT((Inputs!$C$52+(Inputs!$H$9))^2+Inputs!$C$52^2-2*(Inputs!$C$52+(Inputs!$H$9))*Inputs!$C$52*COS(SQRT((Scenario_Data!W145)^2+Inputs!$C$6^2)/Inputs!$C$52)))-(Inputs!$H$9))*1000/Inputs!$C$12)</x:f>
        <x:v>-13959.5036406426</x:v>
      </x:c>
      <x:c r="O145" t="n">
        <x:f>Scenario_Data!T145</x:f>
        <x:v>11.519999999999996</x:v>
      </x:c>
      <x:c r="P145" t="n">
        <x:f>2*(Scenario_Data!B145*1000)/Inputs!$C$21*1000000</x:f>
        <x:v>2669.496482129647</x:v>
      </x:c>
      <x:c r="Q145" t="n">
        <x:f>Scenario_Data!U145</x:f>
        <x:v>76.79999999999995</x:v>
      </x:c>
      <x:c r="R145" t="n">
        <x:f>2*(Scenario_Data!C145*1000)/Inputs!$C$21*1000000</x:f>
        <x:v>323.2593663180145</x:v>
      </x:c>
      <x:c r="S145" t="n">
        <x:f>Scenario_Data!V145</x:f>
        <x:v>153.5999999999999</x:v>
      </x:c>
      <x:c r="T145" t="n">
        <x:f>2*(Scenario_Data!D145*1000)/Inputs!$C$21*1000000</x:f>
        <x:v>470.8174479826305</x:v>
      </x:c>
      <x:c r="U145" t="n">
        <x:f>Scenario_Data!W145</x:f>
        <x:v>153.5999999999999</x:v>
      </x:c>
      <x:c r="V145" t="n">
        <x:f>2*(Scenario_Data!E145*1000)/Inputs!$C$21*1000000</x:f>
        <x:v>406.563930304077</x:v>
      </x:c>
      <x:c r="X145" t="n">
        <x:f>Scenario_Data!T145</x:f>
        <x:v>11.519999999999996</x:v>
      </x:c>
      <x:c r="Y145" t="n">
        <x: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x:f>
        <x:v>2669.607567389517</x:v>
      </x:c>
      <x:c r="Z145" t="n">
        <x:f>Scenario_Data!U145</x:f>
        <x:v>76.79999999999995</x:v>
      </x:c>
      <x:c r="AA145" t="n">
        <x: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x:f>
        <x:v>322.83349393173665</x:v>
      </x:c>
      <x:c r="AB145" t="n">
        <x:f>Scenario_Data!V145</x:f>
        <x:v>153.5999999999999</x:v>
      </x:c>
      <x:c r="AC145" t="n">
        <x: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x:f>
        <x:v>470.3583475486286</x:v>
      </x:c>
      <x:c r="AD145" t="n">
        <x:f>Scenario_Data!W145</x:f>
        <x:v>153.5999999999999</x:v>
      </x:c>
      <x:c r="AE145" t="n">
        <x: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x:f>
        <x:v>406.1048298700752</x:v>
      </x:c>
      <x:c r="AG145" t="n">
        <x:f>Scenario_Data!T145</x:f>
        <x:v>11.519999999999996</x:v>
      </x:c>
      <x:c r="AH145" t="n">
        <x:f>2*(SQRT((Inputs!$C$52+(Scenario_Data!B145))^2+Inputs!$C$52^2-2*(Inputs!$C$52+(Scenario_Data!B145))*Inputs!$C$52*COS(SQRT((Scenario_Data!T145)^2+Inputs!$C$6^2)/Inputs!$C$52))*1000)/Inputs!$C$21*1000000</x:f>
        <x:v>2677.4201427373237</x:v>
      </x:c>
      <x:c r="AI145" t="n">
        <x:f>Scenario_Data!U145</x:f>
        <x:v>76.79999999999995</x:v>
      </x:c>
      <x:c r="AJ145" t="n">
        <x:f>2*(SQRT((Inputs!$C$52+(Scenario_Data!C145))^2+Inputs!$C$52^2-2*(Inputs!$C$52+(Scenario_Data!C145))*Inputs!$C$52*COS(SQRT((Scenario_Data!U145)^2+Inputs!$C$6^2)/Inputs!$C$52))*1000)/Inputs!$C$21*1000000</x:f>
        <x:v>635.426085871894</x:v>
      </x:c>
      <x:c r="AK145" t="n">
        <x:f>Scenario_Data!V145</x:f>
        <x:v>153.5999999999999</x:v>
      </x:c>
      <x:c r="AL145" t="n">
        <x:f>2*(SQRT((Inputs!$C$52+(Scenario_Data!D145))^2+Inputs!$C$52^2-2*(Inputs!$C$52+(Scenario_Data!D145))*Inputs!$C$52*COS(SQRT((Scenario_Data!V145)^2+Inputs!$C$6^2)/Inputs!$C$52))*1000)/Inputs!$C$21*1000000</x:f>
        <x:v>1160.7398106982935</x:v>
      </x:c>
      <x:c r="AM145" t="n">
        <x:f>Scenario_Data!W145</x:f>
        <x:v>153.5999999999999</x:v>
      </x:c>
      <x:c r="AN145" t="n">
        <x:f>2*(SQRT((Inputs!$C$52+(Scenario_Data!E145))^2+Inputs!$C$52^2-2*(Inputs!$C$52+(Scenario_Data!E145))*Inputs!$C$52*COS(SQRT((Scenario_Data!W145)^2+Inputs!$C$6^2)/Inputs!$C$52))*1000)/Inputs!$C$21*1000000</x:f>
        <x:v>1133.2680310356866</x:v>
      </x:c>
      <x:c r="AP145" t="n">
        <x:f>Scenario_Data!T145</x:f>
        <x:v>11.519999999999996</x:v>
      </x:c>
      <x:c r="AQ145" t="n">
        <x: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x:f>
        <x:v>2674.619771268388</x:v>
      </x:c>
      <x:c r="AR145" t="n">
        <x:f>Scenario_Data!U145</x:f>
        <x:v>76.79999999999995</x:v>
      </x:c>
      <x:c r="AS145" t="n">
        <x: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x:f>
        <x:v>634.7142430382997</x:v>
      </x:c>
      <x:c r="AT145" t="n">
        <x:f>Scenario_Data!V145</x:f>
        <x:v>153.5999999999999</x:v>
      </x:c>
      <x:c r="AU145" t="n">
        <x: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x:f>
        <x:v>1160.4295298230816</x:v>
      </x:c>
      <x:c r="AV145" t="n">
        <x:f>Scenario_Data!W145</x:f>
        <x:v>153.5999999999999</x:v>
      </x:c>
      <x:c r="AW145" t="n">
        <x: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x:f>
        <x:v>1132.999036177561</x:v>
      </x:c>
    </x:row>
    <x:row r="146">
      <x:c r="A146" t="n">
        <x:f>Chart_Data!K146</x:f>
        <x:v>12</x:v>
      </x:c>
      <x:c r="B146" t="n">
        <x:f>Chart_Data!N146-Chart_Data!L146</x:f>
        <x:v>-8.671483580595464</x:v>
      </x:c>
      <x:c r="D146" t="n">
        <x:f>Chart_Data!G146</x:f>
        <x:v>12</x:v>
      </x:c>
      <x:c r="E146" t="n">
        <x:f>Chart_Data!H146</x:f>
        <x:v>422.8387186345762</x:v>
      </x:c>
      <x:c r="F146" t="n">
        <x:f>Chart_Data!I146</x:f>
        <x:v>422.8387186345762</x:v>
      </x:c>
      <x:c r="G146" t="n">
        <x:f>Chart_Data!J146</x:f>
        <x:v>7.0738918061296845</x:v>
      </x:c>
      <x:c r="I146" t="n">
        <x:f>Scenario_Data!A146</x:f>
        <x:v>0.2</x:v>
      </x:c>
      <x:c r="J146" t="n">
        <x:f>Scenario_Data!H146-(((SQRT((Inputs!$C$52+(Inputs!$H$6))^2+Inputs!$C$52^2-2*(Inputs!$C$52+(Inputs!$H$6))*Inputs!$C$52*COS(SQRT((Scenario_Data!T146)^2+Inputs!$C$6^2)/Inputs!$C$52)))-(Inputs!$H$6))*1000/Inputs!$C$12)</x:f>
        <x:v>-0.21486365220766857</x:v>
      </x:c>
      <x:c r="K146" t="n">
        <x:f>Scenario_Data!I146-(((SQRT((Inputs!$C$52+(Inputs!$H$7))^2+Inputs!$C$52^2-2*(Inputs!$C$52+(Inputs!$H$7))*Inputs!$C$52*COS(SQRT((Scenario_Data!U146)^2+Inputs!$C$6^2)/Inputs!$C$52)))-(Inputs!$H$7))*1000/Inputs!$C$12)</x:f>
        <x:v>-4359.990199988479</x:v>
      </x:c>
      <x:c r="L146" t="n">
        <x:f>Scenario_Data!J146-(((SQRT((Inputs!$C$52+(Inputs!$H$8))^2+Inputs!$C$52^2-2*(Inputs!$C$52+(Inputs!$H$8))*Inputs!$C$52*COS(SQRT((Scenario_Data!V146)^2+Inputs!$C$6^2)/Inputs!$C$52)))-(Inputs!$H$8))*1000/Inputs!$C$12)</x:f>
        <x:v>-13886.103797269352</x:v>
      </x:c>
      <x:c r="M146" t="n">
        <x:f>Scenario_Data!K146-(((SQRT((Inputs!$C$52+(Inputs!$H$9))^2+Inputs!$C$52^2-2*(Inputs!$C$52+(Inputs!$H$9))*Inputs!$C$52*COS(SQRT((Scenario_Data!W146)^2+Inputs!$C$6^2)/Inputs!$C$52)))-(Inputs!$H$9))*1000/Inputs!$C$12)</x:f>
        <x:v>-15136.55814203358</x:v>
      </x:c>
      <x:c r="O146" t="n">
        <x:f>Scenario_Data!T146</x:f>
        <x:v>12</x:v>
      </x:c>
      <x:c r="P146" t="n">
        <x:f>2*(Scenario_Data!B146*1000)/Inputs!$C$21*1000000</x:f>
        <x:v>2669.5801666898506</x:v>
      </x:c>
      <x:c r="Q146" t="n">
        <x:f>Scenario_Data!U146</x:f>
        <x:v>80</x:v>
      </x:c>
      <x:c r="R146" t="n">
        <x:f>2*(Scenario_Data!C146*1000)/Inputs!$C$21*1000000</x:f>
        <x:v>330.8955824365668</x:v>
      </x:c>
      <x:c r="S146" t="n">
        <x:f>Scenario_Data!V146</x:f>
        <x:v>160</x:v>
      </x:c>
      <x:c r="T146" t="n">
        <x:f>2*(Scenario_Data!D146*1000)/Inputs!$C$21*1000000</x:f>
        <x:v>491.00634813167994</x:v>
      </x:c>
      <x:c r="U146" t="n">
        <x:f>Scenario_Data!W146</x:f>
        <x:v>160</x:v>
      </x:c>
      <x:c r="V146" t="n">
        <x:f>2*(Scenario_Data!E146*1000)/Inputs!$C$21*1000000</x:f>
        <x:v>426.9620418536346</x:v>
      </x:c>
      <x:c r="X146" t="n">
        <x:f>Scenario_Data!T146</x:f>
        <x:v>12</x:v>
      </x:c>
      <x:c r="Y146" t="n">
        <x: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x:f>
        <x:v>2669.5329747634537</x:v>
      </x:c>
      <x:c r="Z146" t="n">
        <x:f>Scenario_Data!U146</x:f>
        <x:v>80</x:v>
      </x:c>
      <x:c r="AA146" t="n">
        <x: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x:f>
        <x:v>330.5742921234309</x:v>
      </x:c>
      <x:c r="AB146" t="n">
        <x:f>Scenario_Data!V146</x:f>
        <x:v>160</x:v>
      </x:c>
      <x:c r="AC146" t="n">
        <x: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x:f>
        <x:v>490.82527033564</x:v>
      </x:c>
      <x:c r="AD146" t="n">
        <x:f>Scenario_Data!W146</x:f>
        <x:v>160</x:v>
      </x:c>
      <x:c r="AE146" t="n">
        <x: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x:f>
        <x:v>426.78096405759464</x:v>
      </x:c>
      <x:c r="AG146" t="n">
        <x:f>Scenario_Data!T146</x:f>
        <x:v>12</x:v>
      </x:c>
      <x:c r="AH146" t="n">
        <x:f>2*(SQRT((Inputs!$C$52+(Scenario_Data!B146))^2+Inputs!$C$52^2-2*(Inputs!$C$52+(Scenario_Data!B146))*Inputs!$C$52*COS(SQRT((Scenario_Data!T146)^2+Inputs!$C$6^2)/Inputs!$C$52))*1000)/Inputs!$C$21*1000000</x:f>
        <x:v>2677.621506506962</x:v>
      </x:c>
      <x:c r="AI146" t="n">
        <x:f>Scenario_Data!U146</x:f>
        <x:v>80</x:v>
      </x:c>
      <x:c r="AJ146" t="n">
        <x:f>2*(SQRT((Inputs!$C$52+(Scenario_Data!C146))^2+Inputs!$C$52^2-2*(Inputs!$C$52+(Scenario_Data!C146))*Inputs!$C$52*COS(SQRT((Scenario_Data!U146)^2+Inputs!$C$6^2)/Inputs!$C$52))*1000)/Inputs!$C$21*1000000</x:f>
        <x:v>657.2706885164247</x:v>
      </x:c>
      <x:c r="AK146" t="n">
        <x:f>Scenario_Data!V146</x:f>
        <x:v>160</x:v>
      </x:c>
      <x:c r="AL146" t="n">
        <x:f>2*(SQRT((Inputs!$C$52+(Scenario_Data!D146))^2+Inputs!$C$52^2-2*(Inputs!$C$52+(Scenario_Data!D146))*Inputs!$C$52*COS(SQRT((Scenario_Data!V146)^2+Inputs!$C$6^2)/Inputs!$C$52))*1000)/Inputs!$C$21*1000000</x:f>
        <x:v>1209.2143519498034</x:v>
      </x:c>
      <x:c r="AM146" t="n">
        <x:f>Scenario_Data!W146</x:f>
        <x:v>160</x:v>
      </x:c>
      <x:c r="AN146" t="n">
        <x:f>2*(SQRT((Inputs!$C$52+(Scenario_Data!E146))^2+Inputs!$C$52^2-2*(Inputs!$C$52+(Scenario_Data!E146))*Inputs!$C$52*COS(SQRT((Scenario_Data!W146)^2+Inputs!$C$6^2)/Inputs!$C$52))*1000)/Inputs!$C$21*1000000</x:f>
        <x:v>1181.6244054437507</x:v>
      </x:c>
      <x:c r="AP146" t="n">
        <x:f>Scenario_Data!T146</x:f>
        <x:v>12</x:v>
      </x:c>
      <x:c r="AQ146" t="n">
        <x: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x:f>
        <x:v>2674.811288200135</x:v>
      </x:c>
      <x:c r="AR146" t="n">
        <x:f>Scenario_Data!U146</x:f>
        <x:v>80</x:v>
      </x:c>
      <x:c r="AS146" t="n">
        <x: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x:f>
        <x:v>656.7596814523544</x:v>
      </x:c>
      <x:c r="AT146" t="n">
        <x:f>Scenario_Data!V146</x:f>
        <x:v>160</x:v>
      </x:c>
      <x:c r="AU146" t="n">
        <x: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x:f>
        <x:v>1208.8255450611855</x:v>
      </x:c>
      <x:c r="AV146" t="n">
        <x:f>Scenario_Data!W146</x:f>
        <x:v>160</x:v>
      </x:c>
      <x:c r="AW146" t="n">
        <x: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x:f>
        <x:v>1181.28521935239</x:v>
      </x:c>
    </x:row>
    <x:row r="147">
      <x:c r="A147" t="n">
        <x:f>Chart_Data!K147</x:f>
        <x:v>12.5</x:v>
      </x:c>
      <x:c r="B147" t="n">
        <x:f>Chart_Data!N147-Chart_Data!L147</x:f>
        <x:v>4.021249498760881</x:v>
      </x:c>
      <x:c r="D147" t="n">
        <x:f>Chart_Data!G147</x:f>
        <x:v>12.5</x:v>
      </x:c>
      <x:c r="E147" t="n">
        <x:f>Chart_Data!H147</x:f>
        <x:v>434.12423495839124</x:v>
      </x:c>
      <x:c r="F147" t="n">
        <x:f>Chart_Data!I147</x:f>
        <x:v>434.12423495839124</x:v>
      </x:c>
      <x:c r="G147" t="n">
        <x:f>Chart_Data!J147</x:f>
        <x:v>-5.687454175445142</x:v>
      </x:c>
      <x:c r="I147" t="n">
        <x:f>Scenario_Data!A147</x:f>
        <x:v>0.208</x:v>
      </x:c>
      <x:c r="J147" t="n">
        <x:f>Scenario_Data!H147-(((SQRT((Inputs!$C$52+(Inputs!$H$6))^2+Inputs!$C$52^2-2*(Inputs!$C$52+(Inputs!$H$6))*Inputs!$C$52*COS(SQRT((Scenario_Data!T147)^2+Inputs!$C$6^2)/Inputs!$C$52)))-(Inputs!$H$6))*1000/Inputs!$C$12)</x:f>
        <x:v>-0.23592219111435497</x:v>
      </x:c>
      <x:c r="K147" t="n">
        <x:f>Scenario_Data!I147-(((SQRT((Inputs!$C$52+(Inputs!$H$7))^2+Inputs!$C$52^2-2*(Inputs!$C$52+(Inputs!$H$7))*Inputs!$C$52*COS(SQRT((Scenario_Data!U147)^2+Inputs!$C$6^2)/Inputs!$C$52)))-(Inputs!$H$7))*1000/Inputs!$C$12)</x:f>
        <x:v>-4777.603842826582</x:v>
      </x:c>
      <x:c r="L147" t="n">
        <x:f>Scenario_Data!J147-(((SQRT((Inputs!$C$52+(Inputs!$H$8))^2+Inputs!$C$52^2-2*(Inputs!$C$52+(Inputs!$H$8))*Inputs!$C$52*COS(SQRT((Scenario_Data!V147)^2+Inputs!$C$6^2)/Inputs!$C$52)))-(Inputs!$H$8))*1000/Inputs!$C$12)</x:f>
        <x:v>-15045.242230124342</x:v>
      </x:c>
      <x:c r="M147" t="n">
        <x:f>Scenario_Data!K147-(((SQRT((Inputs!$C$52+(Inputs!$H$9))^2+Inputs!$C$52^2-2*(Inputs!$C$52+(Inputs!$H$9))*Inputs!$C$52*COS(SQRT((Scenario_Data!W147)^2+Inputs!$C$6^2)/Inputs!$C$52)))-(Inputs!$H$9))*1000/Inputs!$C$12)</x:f>
        <x:v>-16351.096914099966</x:v>
      </x:c>
      <x:c r="O147" t="n">
        <x:f>Scenario_Data!T147</x:f>
        <x:v>12.480000000000004</x:v>
      </x:c>
      <x:c r="P147" t="n">
        <x:f>2*(Scenario_Data!B147*1000)/Inputs!$C$21*1000000</x:f>
        <x:v>2669.6672669463883</x:v>
      </x:c>
      <x:c r="Q147" t="n">
        <x:f>Scenario_Data!U147</x:f>
        <x:v>83.19999999999999</x:v>
      </x:c>
      <x:c r="R147" t="n">
        <x:f>2*(Scenario_Data!C147*1000)/Inputs!$C$21*1000000</x:f>
        <x:v>338.8434808456722</x:v>
      </x:c>
      <x:c r="S147" t="n">
        <x:f>Scenario_Data!V147</x:f>
        <x:v>166.39999999999998</x:v>
      </x:c>
      <x:c r="T147" t="n">
        <x:f>2*(Scenario_Data!D147*1000)/Inputs!$C$21*1000000</x:f>
        <x:v>512.0192850215063</x:v>
      </x:c>
      <x:c r="U147" t="n">
        <x:f>Scenario_Data!W147</x:f>
        <x:v>166.39999999999998</x:v>
      </x:c>
      <x:c r="V147" t="n">
        <x:f>2*(Scenario_Data!E147*1000)/Inputs!$C$21*1000000</x:f>
        <x:v>448.1927293848065</x:v>
      </x:c>
      <x:c r="X147" t="n">
        <x:f>Scenario_Data!T147</x:f>
        <x:v>12.480000000000004</x:v>
      </x:c>
      <x:c r="Y147" t="n">
        <x: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x:f>
        <x:v>2669.7418428985843</x:v>
      </x:c>
      <x:c r="Z147" t="n">
        <x:f>Scenario_Data!U147</x:f>
        <x:v>83.19999999999999</x:v>
      </x:c>
      <x:c r="AA147" t="n">
        <x: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x:f>
        <x:v>339.0028806621182</x:v>
      </x:c>
      <x:c r="AB147" t="n">
        <x:f>Scenario_Data!V147</x:f>
        <x:v>166.39999999999998</x:v>
      </x:c>
      <x:c r="AC147" t="n">
        <x: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x:f>
        <x:v>511.5210445892671</x:v>
      </x:c>
      <x:c r="AD147" t="n">
        <x:f>Scenario_Data!W147</x:f>
        <x:v>166.39999999999998</x:v>
      </x:c>
      <x:c r="AE147" t="n">
        <x: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x:f>
        <x:v>447.69448895256727</x:v>
      </x:c>
      <x:c r="AG147" t="n">
        <x:f>Scenario_Data!T147</x:f>
        <x:v>12.480000000000004</x:v>
      </x:c>
      <x:c r="AH147" t="n">
        <x:f>2*(SQRT((Inputs!$C$52+(Scenario_Data!B147))^2+Inputs!$C$52^2-2*(Inputs!$C$52+(Scenario_Data!B147))*Inputs!$C$52*COS(SQRT((Scenario_Data!T147)^2+Inputs!$C$6^2)/Inputs!$C$52))*1000)/Inputs!$C$21*1000000</x:f>
        <x:v>2677.8310774067595</x:v>
      </x:c>
      <x:c r="AI147" t="n">
        <x:f>Scenario_Data!U147</x:f>
        <x:v>83.19999999999999</x:v>
      </x:c>
      <x:c r="AJ147" t="n">
        <x:f>2*(SQRT((Inputs!$C$52+(Scenario_Data!C147))^2+Inputs!$C$52^2-2*(Inputs!$C$52+(Scenario_Data!C147))*Inputs!$C$52*COS(SQRT((Scenario_Data!U147)^2+Inputs!$C$6^2)/Inputs!$C$52))*1000)/Inputs!$C$21*1000000</x:f>
        <x:v>679.3773518856626</x:v>
      </x:c>
      <x:c r="AK147" t="n">
        <x:f>Scenario_Data!V147</x:f>
        <x:v>166.39999999999998</x:v>
      </x:c>
      <x:c r="AL147" t="n">
        <x:f>2*(SQRT((Inputs!$C$52+(Scenario_Data!D147))^2+Inputs!$C$52^2-2*(Inputs!$C$52+(Scenario_Data!D147))*Inputs!$C$52*COS(SQRT((Scenario_Data!V147)^2+Inputs!$C$6^2)/Inputs!$C$52))*1000)/Inputs!$C$21*1000000</x:f>
        <x:v>1258.1693986938863</x:v>
      </x:c>
      <x:c r="AM147" t="n">
        <x:f>Scenario_Data!W147</x:f>
        <x:v>166.39999999999998</x:v>
      </x:c>
      <x:c r="AN147" t="n">
        <x:f>2*(SQRT((Inputs!$C$52+(Scenario_Data!E147))^2+Inputs!$C$52^2-2*(Inputs!$C$52+(Scenario_Data!E147))*Inputs!$C$52*COS(SQRT((Scenario_Data!W147)^2+Inputs!$C$6^2)/Inputs!$C$52))*1000)/Inputs!$C$21*1000000</x:f>
        <x:v>1230.4415066288307</x:v>
      </x:c>
      <x:c r="AP147" t="n">
        <x:f>Scenario_Data!T147</x:f>
        <x:v>12.480000000000004</x:v>
      </x:c>
      <x:c r="AQ147" t="n">
        <x: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x:f>
        <x:v>2675.095778091706</x:v>
      </x:c>
      <x:c r="AR147" t="n">
        <x:f>Scenario_Data!U147</x:f>
        <x:v>83.19999999999999</x:v>
      </x:c>
      <x:c r="AS147" t="n">
        <x: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x:f>
        <x:v>678.934378578411</x:v>
      </x:c>
      <x:c r="AT147" t="n">
        <x:f>Scenario_Data!V147</x:f>
        <x:v>166.39999999999998</x:v>
      </x:c>
      <x:c r="AU147" t="n">
        <x: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x:f>
        <x:v>1257.6964388963677</x:v>
      </x:c>
      <x:c r="AV147" t="n">
        <x:f>Scenario_Data!W147</x:f>
        <x:v>166.39999999999998</x:v>
      </x:c>
      <x:c r="AW147" t="n">
        <x: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x:f>
        <x:v>1230.026408396081</x:v>
      </x:c>
    </x:row>
    <x:row r="148">
      <x:c r="A148" t="n">
        <x:f>Chart_Data!K148</x:f>
        <x:v>13</x:v>
      </x:c>
      <x:c r="B148" t="n">
        <x:f>Chart_Data!N148-Chart_Data!L148</x:f>
        <x:v>1.9459578878685306</x:v>
      </x:c>
      <x:c r="D148" t="n">
        <x:f>Chart_Data!G148</x:f>
        <x:v>13</x:v>
      </x:c>
      <x:c r="E148" t="n">
        <x:f>Chart_Data!H148</x:f>
        <x:v>428.8351991704085</x:v>
      </x:c>
      <x:c r="F148" t="n">
        <x:f>Chart_Data!I148</x:f>
        <x:v>428.8351991704085</x:v>
      </x:c>
      <x:c r="G148" t="n">
        <x:f>Chart_Data!J148</x:f>
        <x:v>-3.618490966575764</x:v>
      </x:c>
      <x:c r="I148" t="n">
        <x:f>Scenario_Data!A148</x:f>
        <x:v>0.217</x:v>
      </x:c>
      <x:c r="J148" t="n">
        <x:f>Scenario_Data!H148-(((SQRT((Inputs!$C$52+(Inputs!$H$6))^2+Inputs!$C$52^2-2*(Inputs!$C$52+(Inputs!$H$6))*Inputs!$C$52*COS(SQRT((Scenario_Data!T148)^2+Inputs!$C$6^2)/Inputs!$C$52)))-(Inputs!$H$6))*1000/Inputs!$C$12)</x:f>
        <x:v>-0.26127610188143535</x:v>
      </x:c>
      <x:c r="K148" t="n">
        <x:f>Scenario_Data!I148-(((SQRT((Inputs!$C$52+(Inputs!$H$7))^2+Inputs!$C$52^2-2*(Inputs!$C$52+(Inputs!$H$7))*Inputs!$C$52*COS(SQRT((Scenario_Data!U148)^2+Inputs!$C$6^2)/Inputs!$C$52)))-(Inputs!$H$7))*1000/Inputs!$C$12)</x:f>
        <x:v>-5268.987544536823</x:v>
      </x:c>
      <x:c r="L148" t="n">
        <x:f>Scenario_Data!J148-(((SQRT((Inputs!$C$52+(Inputs!$H$8))^2+Inputs!$C$52^2-2*(Inputs!$C$52+(Inputs!$H$8))*Inputs!$C$52*COS(SQRT((Scenario_Data!V148)^2+Inputs!$C$6^2)/Inputs!$C$52)))-(Inputs!$H$8))*1000/Inputs!$C$12)</x:f>
        <x:v>-16393.138607990768</x:v>
      </x:c>
      <x:c r="M148" t="n">
        <x:f>Scenario_Data!K148-(((SQRT((Inputs!$C$52+(Inputs!$H$9))^2+Inputs!$C$52^2-2*(Inputs!$C$52+(Inputs!$H$9))*Inputs!$C$52*COS(SQRT((Scenario_Data!W148)^2+Inputs!$C$6^2)/Inputs!$C$52)))-(Inputs!$H$9))*1000/Inputs!$C$12)</x:f>
        <x:v>-17760.80185039583</x:v>
      </x:c>
      <x:c r="O148" t="n">
        <x:f>Scenario_Data!T148</x:f>
        <x:v>13.02000000000001</x:v>
      </x:c>
      <x:c r="P148" t="n">
        <x:f>2*(Scenario_Data!B148*1000)/Inputs!$C$21*1000000</x:f>
        <x:v>2669.769337559519</x:v>
      </x:c>
      <x:c r="Q148" t="n">
        <x:f>Scenario_Data!U148</x:f>
        <x:v>86.80000000000001</x:v>
      </x:c>
      <x:c r="R148" t="n">
        <x:f>2*(Scenario_Data!C148*1000)/Inputs!$C$21*1000000</x:f>
        <x:v>348.1574242938427</x:v>
      </x:c>
      <x:c r="S148" t="n">
        <x:f>Scenario_Data!V148</x:f>
        <x:v>173.60000000000002</x:v>
      </x:c>
      <x:c r="T148" t="n">
        <x:f>2*(Scenario_Data!D148*1000)/Inputs!$C$21*1000000</x:f>
        <x:v>536.6438204392722</x:v>
      </x:c>
      <x:c r="U148" t="n">
        <x:f>Scenario_Data!W148</x:f>
        <x:v>173.60000000000002</x:v>
      </x:c>
      <x:c r="V148" t="n">
        <x:f>2*(Scenario_Data!E148*1000)/Inputs!$C$21*1000000</x:f>
        <x:v>473.0724413353988</x:v>
      </x:c>
      <x:c r="X148" t="n">
        <x:f>Scenario_Data!T148</x:f>
        <x:v>13.02000000000001</x:v>
      </x:c>
      <x:c r="Y148" t="n">
        <x: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x:f>
        <x:v>2669.689058927443</x:v>
      </x:c>
      <x:c r="Z148" t="n">
        <x:f>Scenario_Data!U148</x:f>
        <x:v>86.80000000000001</x:v>
      </x:c>
      <x:c r="AA148" t="n">
        <x: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x:f>
        <x:v>348.1803410931297</x:v>
      </x:c>
      <x:c r="AB148" t="n">
        <x:f>Scenario_Data!V148</x:f>
        <x:v>173.60000000000002</x:v>
      </x:c>
      <x:c r="AC148" t="n">
        <x: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x:f>
        <x:v>536.6856283700555</x:v>
      </x:c>
      <x:c r="AD148" t="n">
        <x:f>Scenario_Data!W148</x:f>
        <x:v>173.60000000000002</x:v>
      </x:c>
      <x:c r="AE148" t="n">
        <x: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x:f>
        <x:v>473.11424926618224</x:v>
      </x:c>
      <x:c r="AG148" t="n">
        <x:f>Scenario_Data!T148</x:f>
        <x:v>13.02000000000001</x:v>
      </x:c>
      <x:c r="AH148" t="n">
        <x:f>2*(SQRT((Inputs!$C$52+(Scenario_Data!B148))^2+Inputs!$C$52^2-2*(Inputs!$C$52+(Scenario_Data!B148))*Inputs!$C$52*COS(SQRT((Scenario_Data!T148)^2+Inputs!$C$6^2)/Inputs!$C$52))*1000)/Inputs!$C$21*1000000</x:f>
        <x:v>2678.0766529929315</x:v>
      </x:c>
      <x:c r="AI148" t="n">
        <x:f>Scenario_Data!U148</x:f>
        <x:v>86.80000000000001</x:v>
      </x:c>
      <x:c r="AJ148" t="n">
        <x:f>2*(SQRT((Inputs!$C$52+(Scenario_Data!C148))^2+Inputs!$C$52^2-2*(Inputs!$C$52+(Scenario_Data!C148))*Inputs!$C$52*COS(SQRT((Scenario_Data!U148)^2+Inputs!$C$6^2)/Inputs!$C$52))*1000)/Inputs!$C$21*1000000</x:f>
        <x:v>704.5466168692386</x:v>
      </x:c>
      <x:c r="AK148" t="n">
        <x:f>Scenario_Data!V148</x:f>
        <x:v>173.60000000000002</x:v>
      </x:c>
      <x:c r="AL148" t="n">
        <x:f>2*(SQRT((Inputs!$C$52+(Scenario_Data!D148))^2+Inputs!$C$52^2-2*(Inputs!$C$52+(Scenario_Data!D148))*Inputs!$C$52*COS(SQRT((Scenario_Data!V148)^2+Inputs!$C$6^2)/Inputs!$C$52))*1000)/Inputs!$C$21*1000000</x:f>
        <x:v>1313.820661862484</x:v>
      </x:c>
      <x:c r="AM148" t="n">
        <x:f>Scenario_Data!W148</x:f>
        <x:v>173.60000000000002</x:v>
      </x:c>
      <x:c r="AN148" t="n">
        <x:f>2*(SQRT((Inputs!$C$52+(Scenario_Data!E148))^2+Inputs!$C$52^2-2*(Inputs!$C$52+(Scenario_Data!E148))*Inputs!$C$52*COS(SQRT((Scenario_Data!W148)^2+Inputs!$C$6^2)/Inputs!$C$52))*1000)/Inputs!$C$21*1000000</x:f>
        <x:v>1285.9182668026356</x:v>
      </x:c>
      <x:c r="AP148" t="n">
        <x:f>Scenario_Data!T148</x:f>
        <x:v>13.02000000000001</x:v>
      </x:c>
      <x:c r="AQ148" t="n">
        <x: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x:f>
        <x:v>2675.2952657628025</x:v>
      </x:c>
      <x:c r="AR148" t="n">
        <x:f>Scenario_Data!U148</x:f>
        <x:v>86.80000000000001</x:v>
      </x:c>
      <x:c r="AS148" t="n">
        <x: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x:f>
        <x:v>704.1449836362386</x:v>
      </x:c>
      <x:c r="AT148" t="n">
        <x:f>Scenario_Data!V148</x:f>
        <x:v>173.60000000000002</x:v>
      </x:c>
      <x:c r="AU148" t="n">
        <x: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x:f>
        <x:v>1313.5384373341913</x:v>
      </x:c>
      <x:c r="AV148" t="n">
        <x:f>Scenario_Data!W148</x:f>
        <x:v>173.60000000000002</x:v>
      </x:c>
      <x:c r="AW148" t="n">
        <x: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x:f>
        <x:v>1285.6689097446642</x:v>
      </x:c>
    </x:row>
    <x:row r="149">
      <x:c r="A149" t="n">
        <x:f>Chart_Data!K149</x:f>
        <x:v>13.5</x:v>
      </x:c>
      <x:c r="B149" t="n">
        <x:f>Chart_Data!N149-Chart_Data!L149</x:f>
        <x:v>-1.6666503235243226</x:v>
      </x:c>
      <x:c r="D149" t="n">
        <x:f>Chart_Data!G149</x:f>
        <x:v>13.5</x:v>
      </x:c>
      <x:c r="E149" t="n">
        <x:f>Chart_Data!H149</x:f>
        <x:v>408.84619240872695</x:v>
      </x:c>
      <x:c r="F149" t="n">
        <x:f>Chart_Data!I149</x:f>
        <x:v>408.84619240872695</x:v>
      </x:c>
      <x:c r="G149" t="n">
        <x:f>Chart_Data!J149</x:f>
        <x:v>0.04576132524433074</x:v>
      </x:c>
      <x:c r="I149" t="n">
        <x:f>Scenario_Data!A149</x:f>
        <x:v>0.225</x:v>
      </x:c>
      <x:c r="J149" t="n">
        <x:f>Scenario_Data!H149-(((SQRT((Inputs!$C$52+(Inputs!$H$6))^2+Inputs!$C$52^2-2*(Inputs!$C$52+(Inputs!$H$6))*Inputs!$C$52*COS(SQRT((Scenario_Data!T149)^2+Inputs!$C$6^2)/Inputs!$C$52)))-(Inputs!$H$6))*1000/Inputs!$C$12)</x:f>
        <x:v>-0.28536299915617747</x:v>
      </x:c>
      <x:c r="K149" t="n">
        <x:f>Scenario_Data!I149-(((SQRT((Inputs!$C$52+(Inputs!$H$7))^2+Inputs!$C$52^2-2*(Inputs!$C$52+(Inputs!$H$7))*Inputs!$C$52*COS(SQRT((Scenario_Data!U149)^2+Inputs!$C$6^2)/Inputs!$C$52)))-(Inputs!$H$7))*1000/Inputs!$C$12)</x:f>
        <x:v>-5724.6003963936055</x:v>
      </x:c>
      <x:c r="L149" t="n">
        <x:f>Scenario_Data!J149-(((SQRT((Inputs!$C$52+(Inputs!$H$8))^2+Inputs!$C$52^2-2*(Inputs!$C$52+(Inputs!$H$8))*Inputs!$C$52*COS(SQRT((Scenario_Data!V149)^2+Inputs!$C$6^2)/Inputs!$C$52)))-(Inputs!$H$8))*1000/Inputs!$C$12)</x:f>
        <x:v>-17629.00388090196</x:v>
      </x:c>
      <x:c r="M149" t="n">
        <x:f>Scenario_Data!K149-(((SQRT((Inputs!$C$52+(Inputs!$H$9))^2+Inputs!$C$52^2-2*(Inputs!$C$52+(Inputs!$H$9))*Inputs!$C$52*COS(SQRT((Scenario_Data!W149)^2+Inputs!$C$6^2)/Inputs!$C$52)))-(Inputs!$H$9))*1000/Inputs!$C$12)</x:f>
        <x:v>-19051.13227164834</x:v>
      </x:c>
      <x:c r="O149" t="n">
        <x:f>Scenario_Data!T149</x:f>
        <x:v>13.5</x:v>
      </x:c>
      <x:c r="P149" t="n">
        <x:f>2*(Scenario_Data!B149*1000)/Inputs!$C$21*1000000</x:f>
        <x:v>2669.863696170769</x:v>
      </x:c>
      <x:c r="Q149" t="n">
        <x:f>Scenario_Data!U149</x:f>
        <x:v>90.00000000000006</x:v>
      </x:c>
      <x:c r="R149" t="n">
        <x:f>2*(Scenario_Data!C149*1000)/Inputs!$C$21*1000000</x:f>
        <x:v>356.76764757037364</x:v>
      </x:c>
      <x:c r="S149" t="n">
        <x:f>Scenario_Data!V149</x:f>
        <x:v>180.0000000000001</x:v>
      </x:c>
      <x:c r="T149" t="n">
        <x:f>2*(Scenario_Data!D149*1000)/Inputs!$C$21*1000000</x:f>
        <x:v>559.4078354032513</x:v>
      </x:c>
      <x:c r="U149" t="n">
        <x:f>Scenario_Data!W149</x:f>
        <x:v>180.0000000000001</x:v>
      </x:c>
      <x:c r="V149" t="n">
        <x:f>2*(Scenario_Data!E149*1000)/Inputs!$C$21*1000000</x:f>
        <x:v>496.0723528275021</x:v>
      </x:c>
      <x:c r="X149" t="n">
        <x:f>Scenario_Data!T149</x:f>
        <x:v>13.5</x:v>
      </x:c>
      <x:c r="Y149" t="n">
        <x: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x:f>
        <x:v>2669.863390884068</x:v>
      </x:c>
      <x:c r="Z149" t="n">
        <x:f>Scenario_Data!U149</x:f>
        <x:v>90.00000000000006</x:v>
      </x:c>
      <x:c r="AA149" t="n">
        <x: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x:f>
        <x:v>356.5873635970569</x:v>
      </x:c>
      <x:c r="AB149" t="n">
        <x:f>Scenario_Data!V149</x:f>
        <x:v>180.0000000000001</x:v>
      </x:c>
      <x:c r="AC149" t="n">
        <x: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x:f>
        <x:v>559.4378939715417</x:v>
      </x:c>
      <x:c r="AD149" t="n">
        <x:f>Scenario_Data!W149</x:f>
        <x:v>180.0000000000001</x:v>
      </x:c>
      <x:c r="AE149" t="n">
        <x: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x:f>
        <x:v>496.10241139579267</x:v>
      </x:c>
      <x:c r="AG149" t="n">
        <x:f>Scenario_Data!T149</x:f>
        <x:v>13.5</x:v>
      </x:c>
      <x:c r="AH149" t="n">
        <x:f>2*(SQRT((Inputs!$C$52+(Scenario_Data!B149))^2+Inputs!$C$52^2-2*(Inputs!$C$52+(Scenario_Data!B149))*Inputs!$C$52*COS(SQRT((Scenario_Data!T149)^2+Inputs!$C$6^2)/Inputs!$C$52))*1000)/Inputs!$C$21*1000000</x:f>
        <x:v>2678.3036592847507</x:v>
      </x:c>
      <x:c r="AI149" t="n">
        <x:f>Scenario_Data!U149</x:f>
        <x:v>90.00000000000006</x:v>
      </x:c>
      <x:c r="AJ149" t="n">
        <x:f>2*(SQRT((Inputs!$C$52+(Scenario_Data!C149))^2+Inputs!$C$52^2-2*(Inputs!$C$52+(Scenario_Data!C149))*Inputs!$C$52*COS(SQRT((Scenario_Data!U149)^2+Inputs!$C$6^2)/Inputs!$C$52))*1000)/Inputs!$C$21*1000000</x:f>
        <x:v>727.1747453672517</x:v>
      </x:c>
      <x:c r="AK149" t="n">
        <x:f>Scenario_Data!V149</x:f>
        <x:v>180.0000000000001</x:v>
      </x:c>
      <x:c r="AL149" t="n">
        <x:f>2*(SQRT((Inputs!$C$52+(Scenario_Data!D149))^2+Inputs!$C$52^2-2*(Inputs!$C$52+(Scenario_Data!D149))*Inputs!$C$52*COS(SQRT((Scenario_Data!V149)^2+Inputs!$C$6^2)/Inputs!$C$52))*1000)/Inputs!$C$21*1000000</x:f>
        <x:v>1363.804879466073</x:v>
      </x:c>
      <x:c r="AM149" t="n">
        <x:f>Scenario_Data!W149</x:f>
        <x:v>180.0000000000001</x:v>
      </x:c>
      <x:c r="AN149" t="n">
        <x:f>2*(SQRT((Inputs!$C$52+(Scenario_Data!E149))^2+Inputs!$C$52^2-2*(Inputs!$C$52+(Scenario_Data!E149))*Inputs!$C$52*COS(SQRT((Scenario_Data!W149)^2+Inputs!$C$6^2)/Inputs!$C$52))*1000)/Inputs!$C$21*1000000</x:f>
        <x:v>1335.73358143176</x:v>
      </x:c>
      <x:c r="AP149" t="n">
        <x:f>Scenario_Data!T149</x:f>
        <x:v>13.5</x:v>
      </x:c>
      <x:c r="AQ149" t="n">
        <x: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x:f>
        <x:v>2675.586944487273</x:v>
      </x:c>
      <x:c r="AR149" t="n">
        <x:f>Scenario_Data!U149</x:f>
        <x:v>90.00000000000006</x:v>
      </x:c>
      <x:c r="AS149" t="n">
        <x: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x:f>
        <x:v>726.6812853306784</x:v>
      </x:c>
      <x:c r="AT149" t="n">
        <x:f>Scenario_Data!V149</x:f>
        <x:v>180.0000000000001</x:v>
      </x:c>
      <x:c r="AU149" t="n">
        <x: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x:f>
        <x:v>1363.4922501356443</x:v>
      </x:c>
      <x:c r="AV149" t="n">
        <x:f>Scenario_Data!W149</x:f>
        <x:v>180.0000000000001</x:v>
      </x:c>
      <x:c r="AW149" t="n">
        <x: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x:f>
        <x:v>1335.4558137640058</x:v>
      </x:c>
    </x:row>
    <x:row r="150">
      <x:c r="A150" t="n">
        <x:f>Chart_Data!K150</x:f>
        <x:v>14</x:v>
      </x:c>
      <x:c r="B150" t="n">
        <x:f>Chart_Data!N150-Chart_Data!L150</x:f>
        <x:v>-18.81128421623464</x:v>
      </x:c>
      <x:c r="D150" t="n">
        <x:f>Chart_Data!G150</x:f>
        <x:v>14</x:v>
      </x:c>
      <x:c r="E150" t="n">
        <x:f>Chart_Data!H150</x:f>
        <x:v>412.55100068044544</x:v>
      </x:c>
      <x:c r="F150" t="n">
        <x:f>Chart_Data!I150</x:f>
        <x:v>412.55100068044544</x:v>
      </x:c>
      <x:c r="G150" t="n">
        <x:f>Chart_Data!J150</x:f>
        <x:v>17.14805919414721</x:v>
      </x:c>
      <x:c r="I150" t="n">
        <x:f>Scenario_Data!A150</x:f>
        <x:v>0.233</x:v>
      </x:c>
      <x:c r="J150" t="n">
        <x:f>Scenario_Data!H150-(((SQRT((Inputs!$C$52+(Inputs!$H$6))^2+Inputs!$C$52^2-2*(Inputs!$C$52+(Inputs!$H$6))*Inputs!$C$52*COS(SQRT((Scenario_Data!T150)^2+Inputs!$C$6^2)/Inputs!$C$52)))-(Inputs!$H$6))*1000/Inputs!$C$12)</x:f>
        <x:v>-0.3109789747541072</x:v>
      </x:c>
      <x:c r="K150" t="n">
        <x:f>Scenario_Data!I150-(((SQRT((Inputs!$C$52+(Inputs!$H$7))^2+Inputs!$C$52^2-2*(Inputs!$C$52+(Inputs!$H$7))*Inputs!$C$52*COS(SQRT((Scenario_Data!U150)^2+Inputs!$C$6^2)/Inputs!$C$52)))-(Inputs!$H$7))*1000/Inputs!$C$12)</x:f>
        <x:v>-6197.607639351343</x:v>
      </x:c>
      <x:c r="L150" t="n">
        <x:f>Scenario_Data!J150-(((SQRT((Inputs!$C$52+(Inputs!$H$8))^2+Inputs!$C$52^2-2*(Inputs!$C$52+(Inputs!$H$8))*Inputs!$C$52*COS(SQRT((Scenario_Data!V150)^2+Inputs!$C$6^2)/Inputs!$C$52)))-(Inputs!$H$8))*1000/Inputs!$C$12)</x:f>
        <x:v>-18899.2224254725</x:v>
      </x:c>
      <x:c r="M150" t="n">
        <x:f>Scenario_Data!K150-(((SQRT((Inputs!$C$52+(Inputs!$H$9))^2+Inputs!$C$52^2-2*(Inputs!$C$52+(Inputs!$H$9))*Inputs!$C$52*COS(SQRT((Scenario_Data!W150)^2+Inputs!$C$6^2)/Inputs!$C$52)))-(Inputs!$H$9))*1000/Inputs!$C$12)</x:f>
        <x:v>-20375.352826851158</x:v>
      </x:c>
      <x:c r="O150" t="n">
        <x:f>Scenario_Data!T150</x:f>
        <x:v>13.980000000000004</x:v>
      </x:c>
      <x:c r="P150" t="n">
        <x:f>2*(Scenario_Data!B150*1000)/Inputs!$C$21*1000000</x:f>
        <x:v>2669.9614704783535</x:v>
      </x:c>
      <x:c r="Q150" t="n">
        <x:f>Scenario_Data!U150</x:f>
        <x:v>93.20000000000005</x:v>
      </x:c>
      <x:c r="R150" t="n">
        <x:f>2*(Scenario_Data!C150*1000)/Inputs!$C$21*1000000</x:f>
        <x:v>365.68955313745766</x:v>
      </x:c>
      <x:c r="S150" t="n">
        <x:f>Scenario_Data!V150</x:f>
        <x:v>186.4000000000001</x:v>
      </x:c>
      <x:c r="T150" t="n">
        <x:f>2*(Scenario_Data!D150*1000)/Inputs!$C$21*1000000</x:f>
        <x:v>582.9958871080077</x:v>
      </x:c>
      <x:c r="U150" t="n">
        <x:f>Scenario_Data!W150</x:f>
        <x:v>186.4000000000001</x:v>
      </x:c>
      <x:c r="V150" t="n">
        <x:f>2*(Scenario_Data!E150*1000)/Inputs!$C$21*1000000</x:f>
        <x:v>519.9048403012197</x:v>
      </x:c>
      <x:c r="X150" t="n">
        <x:f>Scenario_Data!T150</x:f>
        <x:v>13.980000000000004</x:v>
      </x:c>
      <x:c r="Y150" t="n">
        <x: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x:f>
        <x:v>2669.8639965508737</x:v>
      </x:c>
      <x:c r="Z150" t="n">
        <x:f>Scenario_Data!U150</x:f>
        <x:v>93.20000000000005</x:v>
      </x:c>
      <x:c r="AA150" t="n">
        <x: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x:f>
        <x:v>365.3275433938103</x:v>
      </x:c>
      <x:c r="AB150" t="n">
        <x:f>Scenario_Data!V150</x:f>
        <x:v>186.4000000000001</x:v>
      </x:c>
      <x:c r="AC150" t="n">
        <x: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x:f>
        <x:v>582.8549827037858</x:v>
      </x:c>
      <x:c r="AD150" t="n">
        <x:f>Scenario_Data!W150</x:f>
        <x:v>186.4000000000001</x:v>
      </x:c>
      <x:c r="AE150" t="n">
        <x: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x:f>
        <x:v>519.763935896998</x:v>
      </x:c>
      <x:c r="AG150" t="n">
        <x:f>Scenario_Data!T150</x:f>
        <x:v>13.980000000000004</x:v>
      </x:c>
      <x:c r="AH150" t="n">
        <x:f>2*(SQRT((Inputs!$C$52+(Scenario_Data!B150))^2+Inputs!$C$52^2-2*(Inputs!$C$52+(Scenario_Data!B150))*Inputs!$C$52*COS(SQRT((Scenario_Data!T150)^2+Inputs!$C$6^2)/Inputs!$C$52))*1000)/Inputs!$C$21*1000000</x:f>
        <x:v>2678.53886810944</x:v>
      </x:c>
      <x:c r="AI150" t="n">
        <x:f>Scenario_Data!U150</x:f>
        <x:v>93.20000000000005</x:v>
      </x:c>
      <x:c r="AJ150" t="n">
        <x:f>2*(SQRT((Inputs!$C$52+(Scenario_Data!C150))^2+Inputs!$C$52^2-2*(Inputs!$C$52+(Scenario_Data!C150))*Inputs!$C$52*COS(SQRT((Scenario_Data!U150)^2+Inputs!$C$6^2)/Inputs!$C$52))*1000)/Inputs!$C$21*1000000</x:f>
        <x:v>750.0348628533561</x:v>
      </x:c>
      <x:c r="AK150" t="n">
        <x:f>Scenario_Data!V150</x:f>
        <x:v>186.4000000000001</x:v>
      </x:c>
      <x:c r="AL150" t="n">
        <x:f>2*(SQRT((Inputs!$C$52+(Scenario_Data!D150))^2+Inputs!$C$52^2-2*(Inputs!$C$52+(Scenario_Data!D150))*Inputs!$C$52*COS(SQRT((Scenario_Data!V150)^2+Inputs!$C$6^2)/Inputs!$C$52))*1000)/Inputs!$C$21*1000000</x:f>
        <x:v>1414.279745381553</x:v>
      </x:c>
      <x:c r="AM150" t="n">
        <x:f>Scenario_Data!W150</x:f>
        <x:v>186.4000000000001</x:v>
      </x:c>
      <x:c r="AN150" t="n">
        <x:f>2*(SQRT((Inputs!$C$52+(Scenario_Data!E150))^2+Inputs!$C$52^2-2*(Inputs!$C$52+(Scenario_Data!E150))*Inputs!$C$52*COS(SQRT((Scenario_Data!W150)^2+Inputs!$C$6^2)/Inputs!$C$52))*1000)/Inputs!$C$21*1000000</x:f>
        <x:v>1386.0293710733336</x:v>
      </x:c>
      <x:c r="AP150" t="n">
        <x:f>Scenario_Data!T150</x:f>
        <x:v>13.980000000000004</x:v>
      </x:c>
      <x:c r="AQ150" t="n">
        <x: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x:f>
        <x:v>2675.7284415974937</x:v>
      </x:c>
      <x:c r="AR150" t="n">
        <x:f>Scenario_Data!U150</x:f>
        <x:v>93.20000000000005</x:v>
      </x:c>
      <x:c r="AS150" t="n">
        <x: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x:f>
        <x:v>749.5015119345261</x:v>
      </x:c>
      <x:c r="AT150" t="n">
        <x:f>Scenario_Data!V150</x:f>
        <x:v>186.4000000000001</x:v>
      </x:c>
      <x:c r="AU150" t="n">
        <x: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x:f>
        <x:v>1413.8780595568705</x:v>
      </x:c>
      <x:c r="AV150" t="n">
        <x:f>Scenario_Data!W150</x:f>
        <x:v>186.4000000000001</x:v>
      </x:c>
      <x:c r="AW150" t="n">
        <x: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x:f>
        <x:v>1385.6705698984597</x:v>
      </x:c>
    </x:row>
    <x:row r="151">
      <x:c r="A151" t="n">
        <x:f>Chart_Data!K151</x:f>
        <x:v>14.5</x:v>
      </x:c>
      <x:c r="B151" t="n">
        <x:f>Chart_Data!N151-Chart_Data!L151</x:f>
        <x:v>-29.029666399043833</x:v>
      </x:c>
      <x:c r="D151" t="n">
        <x:f>Chart_Data!G151</x:f>
        <x:v>14.5</x:v>
      </x:c>
      <x:c r="E151" t="n">
        <x:f>Chart_Data!H151</x:f>
        <x:v>415.5675277705944</x:v>
      </x:c>
      <x:c r="F151" t="n">
        <x:f>Chart_Data!I151</x:f>
        <x:v>415.5675277705944</x:v>
      </x:c>
      <x:c r="G151" t="n">
        <x:f>Chart_Data!J151</x:f>
        <x:v>27.325427950737776</x:v>
      </x:c>
      <x:c r="I151" t="n">
        <x:f>Scenario_Data!A151</x:f>
        <x:v>0.242</x:v>
      </x:c>
      <x:c r="J151" t="n">
        <x:f>Scenario_Data!H151-(((SQRT((Inputs!$C$52+(Inputs!$H$6))^2+Inputs!$C$52^2-2*(Inputs!$C$52+(Inputs!$H$6))*Inputs!$C$52*COS(SQRT((Scenario_Data!T151)^2+Inputs!$C$6^2)/Inputs!$C$52)))-(Inputs!$H$6))*1000/Inputs!$C$12)</x:f>
        <x:v>-0.3417117286797975</x:v>
      </x:c>
      <x:c r="K151" t="n">
        <x:f>Scenario_Data!I151-(((SQRT((Inputs!$C$52+(Inputs!$H$7))^2+Inputs!$C$52^2-2*(Inputs!$C$52+(Inputs!$H$7))*Inputs!$C$52*COS(SQRT((Scenario_Data!U151)^2+Inputs!$C$6^2)/Inputs!$C$52)))-(Inputs!$H$7))*1000/Inputs!$C$12)</x:f>
        <x:v>-6750.1435304916085</x:v>
      </x:c>
      <x:c r="L151" t="n">
        <x:f>Scenario_Data!J151-(((SQRT((Inputs!$C$52+(Inputs!$H$8))^2+Inputs!$C$52^2-2*(Inputs!$C$52+(Inputs!$H$8))*Inputs!$C$52*COS(SQRT((Scenario_Data!V151)^2+Inputs!$C$6^2)/Inputs!$C$52)))-(Inputs!$H$8))*1000/Inputs!$C$12)</x:f>
        <x:v>-20367.91707237235</x:v>
      </x:c>
      <x:c r="M151" t="n">
        <x:f>Scenario_Data!K151-(((SQRT((Inputs!$C$52+(Inputs!$H$9))^2+Inputs!$C$52^2-2*(Inputs!$C$52+(Inputs!$H$9))*Inputs!$C$52*COS(SQRT((Scenario_Data!W151)^2+Inputs!$C$6^2)/Inputs!$C$52)))-(Inputs!$H$9))*1000/Inputs!$C$12)</x:f>
        <x:v>-21904.22804430117</x:v>
      </x:c>
      <x:c r="O151" t="n">
        <x:f>Scenario_Data!T151</x:f>
        <x:v>14.519999999999996</x:v>
      </x:c>
      <x:c r="P151" t="n">
        <x:f>2*(Scenario_Data!B151*1000)/Inputs!$C$21*1000000</x:f>
        <x:v>2670.075549398911</x:v>
      </x:c>
      <x:c r="Q151" t="n">
        <x:f>Scenario_Data!U151</x:f>
        <x:v>96.80000000000001</x:v>
      </x:c>
      <x:c r="R151" t="n">
        <x:f>2*(Scenario_Data!C151*1000)/Inputs!$C$21*1000000</x:f>
        <x:v>376.09925463835384</x:v>
      </x:c>
      <x:c r="S151" t="n">
        <x:f>Scenario_Data!V151</x:f>
        <x:v>193.60000000000002</x:v>
      </x:c>
      <x:c r="T151" t="n">
        <x:f>2*(Scenario_Data!D151*1000)/Inputs!$C$21*1000000</x:f>
        <x:v>610.5174266925688</x:v>
      </x:c>
      <x:c r="U151" t="n">
        <x:f>Scenario_Data!W151</x:f>
        <x:v>193.60000000000002</x:v>
      </x:c>
      <x:c r="V151" t="n">
        <x:f>2*(Scenario_Data!E151*1000)/Inputs!$C$21*1000000</x:f>
        <x:v>547.7115771871754</x:v>
      </x:c>
      <x:c r="X151" t="n">
        <x:f>Scenario_Data!T151</x:f>
        <x:v>14.519999999999996</x:v>
      </x:c>
      <x:c r="Y151" t="n">
        <x: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x:f>
        <x:v>2669.8958574019107</x:v>
      </x:c>
      <x:c r="Z151" t="n">
        <x:f>Scenario_Data!U151</x:f>
        <x:v>96.80000000000001</x:v>
      </x:c>
      <x:c r="AA151" t="n">
        <x: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x:f>
        <x:v>375.71361777908754</x:v>
      </x:c>
      <x:c r="AB151" t="n">
        <x:f>Scenario_Data!V151</x:f>
        <x:v>193.60000000000002</x:v>
      </x:c>
      <x:c r="AC151" t="n">
        <x: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x:f>
        <x:v>610.8989509460198</x:v>
      </x:c>
      <x:c r="AD151" t="n">
        <x:f>Scenario_Data!W151</x:f>
        <x:v>193.60000000000002</x:v>
      </x:c>
      <x:c r="AE151" t="n">
        <x: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x:f>
        <x:v>548.0931014406264</x:v>
      </x:c>
      <x:c r="AG151" t="n">
        <x:f>Scenario_Data!T151</x:f>
        <x:v>14.519999999999996</x:v>
      </x:c>
      <x:c r="AH151" t="n">
        <x:f>2*(SQRT((Inputs!$C$52+(Scenario_Data!B151))^2+Inputs!$C$52^2-2*(Inputs!$C$52+(Scenario_Data!B151))*Inputs!$C$52*COS(SQRT((Scenario_Data!T151)^2+Inputs!$C$6^2)/Inputs!$C$52))*1000)/Inputs!$C$21*1000000</x:f>
        <x:v>2678.813280652873</x:v>
      </x:c>
      <x:c r="AI151" t="n">
        <x:f>Scenario_Data!U151</x:f>
        <x:v>96.80000000000001</x:v>
      </x:c>
      <x:c r="AJ151" t="n">
        <x:f>2*(SQRT((Inputs!$C$52+(Scenario_Data!C151))^2+Inputs!$C$52^2-2*(Inputs!$C$52+(Scenario_Data!C151))*Inputs!$C$52*COS(SQRT((Scenario_Data!U151)^2+Inputs!$C$6^2)/Inputs!$C$52))*1000)/Inputs!$C$21*1000000</x:f>
        <x:v>776.021326811133</x:v>
      </x:c>
      <x:c r="AK151" t="n">
        <x:f>Scenario_Data!V151</x:f>
        <x:v>193.60000000000002</x:v>
      </x:c>
      <x:c r="AL151" t="n">
        <x:f>2*(SQRT((Inputs!$C$52+(Scenario_Data!D151))^2+Inputs!$C$52^2-2*(Inputs!$C$52+(Scenario_Data!D151))*Inputs!$C$52*COS(SQRT((Scenario_Data!V151)^2+Inputs!$C$6^2)/Inputs!$C$52))*1000)/Inputs!$C$21*1000000</x:f>
        <x:v>1471.657065923119</x:v>
      </x:c>
      <x:c r="AM151" t="n">
        <x:f>Scenario_Data!W151</x:f>
        <x:v>193.60000000000002</x:v>
      </x:c>
      <x:c r="AN151" t="n">
        <x:f>2*(SQRT((Inputs!$C$52+(Scenario_Data!E151))^2+Inputs!$C$52^2-2*(Inputs!$C$52+(Scenario_Data!E151))*Inputs!$C$52*COS(SQRT((Scenario_Data!W151)^2+Inputs!$C$6^2)/Inputs!$C$52))*1000)/Inputs!$C$21*1000000</x:f>
        <x:v>1443.1960281662846</x:v>
      </x:c>
      <x:c r="AP151" t="n">
        <x:f>Scenario_Data!T151</x:f>
        <x:v>14.519999999999996</x:v>
      </x:c>
      <x:c r="AQ151" t="n">
        <x: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x:f>
        <x:v>2676.03978450837</x:v>
      </x:c>
      <x:c r="AR151" t="n">
        <x:f>Scenario_Data!U151</x:f>
        <x:v>96.80000000000001</x:v>
      </x:c>
      <x:c r="AS151" t="n">
        <x: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x:f>
        <x:v>775.4018440048759</x:v>
      </x:c>
      <x:c r="AT151" t="n">
        <x:f>Scenario_Data!V151</x:f>
        <x:v>193.60000000000002</x:v>
      </x:c>
      <x:c r="AU151" t="n">
        <x: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x:f>
        <x:v>1471.4549088802494</x:v>
      </x:c>
      <x:c r="AV151" t="n">
        <x:f>Scenario_Data!W151</x:f>
        <x:v>193.60000000000002</x:v>
      </x:c>
      <x:c r="AW151" t="n">
        <x: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x:f>
        <x:v>1443.0143943069845</x:v>
      </x:c>
    </x:row>
    <x:row r="152">
      <x:c r="A152" t="n">
        <x:f>Chart_Data!K152</x:f>
        <x:v>15</x:v>
      </x:c>
      <x:c r="B152" t="n">
        <x:f>Chart_Data!N152-Chart_Data!L152</x:f>
        <x:v>-47.029230224199864</x:v>
      </x:c>
      <x:c r="D152" t="n">
        <x:f>Chart_Data!G152</x:f>
        <x:v>15</x:v>
      </x:c>
      <x:c r="E152" t="n">
        <x:f>Chart_Data!H152</x:f>
        <x:v>399.34593170493116</x:v>
      </x:c>
      <x:c r="F152" t="n">
        <x:f>Chart_Data!I152</x:f>
        <x:v>399.34593170493116</x:v>
      </x:c>
      <x:c r="G152" t="n">
        <x:f>Chart_Data!J152</x:f>
        <x:v>45.362905639140564</x:v>
      </x:c>
      <x:c r="I152" t="n">
        <x:f>Scenario_Data!A152</x:f>
        <x:v>0.25</x:v>
      </x:c>
      <x:c r="J152" t="n">
        <x:f>Scenario_Data!H152-(((SQRT((Inputs!$C$52+(Inputs!$H$6))^2+Inputs!$C$52^2-2*(Inputs!$C$52+(Inputs!$H$6))*Inputs!$C$52*COS(SQRT((Scenario_Data!T152)^2+Inputs!$C$6^2)/Inputs!$C$52)))-(Inputs!$H$6))*1000/Inputs!$C$12)</x:f>
        <x:v>-0.37081187517208036</x:v>
      </x:c>
      <x:c r="K152" t="n">
        <x:f>Scenario_Data!I152-(((SQRT((Inputs!$C$52+(Inputs!$H$7))^2+Inputs!$C$52^2-2*(Inputs!$C$52+(Inputs!$H$7))*Inputs!$C$52*COS(SQRT((Scenario_Data!U152)^2+Inputs!$C$6^2)/Inputs!$C$52)))-(Inputs!$H$7))*1000/Inputs!$C$12)</x:f>
        <x:v>-7259.077562381237</x:v>
      </x:c>
      <x:c r="L152" t="n">
        <x:f>Scenario_Data!J152-(((SQRT((Inputs!$C$52+(Inputs!$H$8))^2+Inputs!$C$52^2-2*(Inputs!$C$52+(Inputs!$H$8))*Inputs!$C$52*COS(SQRT((Scenario_Data!V152)^2+Inputs!$C$6^2)/Inputs!$C$52)))-(Inputs!$H$8))*1000/Inputs!$C$12)</x:f>
        <x:v>-21707.520208299306</x:v>
      </x:c>
      <x:c r="M152" t="n">
        <x:f>Scenario_Data!K152-(((SQRT((Inputs!$C$52+(Inputs!$H$9))^2+Inputs!$C$52^2-2*(Inputs!$C$52+(Inputs!$H$9))*Inputs!$C$52*COS(SQRT((Scenario_Data!W152)^2+Inputs!$C$6^2)/Inputs!$C$52)))-(Inputs!$H$9))*1000/Inputs!$C$12)</x:f>
        <x:v>-23296.801058357276</x:v>
      </x:c>
      <x:c r="O152" t="n">
        <x:f>Scenario_Data!T152</x:f>
        <x:v>15</x:v>
      </x:c>
      <x:c r="P152" t="n">
        <x:f>2*(Scenario_Data!B152*1000)/Inputs!$C$21*1000000</x:f>
        <x:v>2670.180582061207</x:v>
      </x:c>
      <x:c r="Q152" t="n">
        <x:f>Scenario_Data!U152</x:f>
        <x:v>100</x:v>
      </x:c>
      <x:c r="R152" t="n">
        <x:f>2*(Scenario_Data!C152*1000)/Inputs!$C$21*1000000</x:f>
        <x:v>385.68348507286333</x:v>
      </x:c>
      <x:c r="S152" t="n">
        <x:f>Scenario_Data!V152</x:f>
        <x:v>200</x:v>
      </x:c>
      <x:c r="T152" t="n">
        <x:f>2*(Scenario_Data!D152*1000)/Inputs!$C$21*1000000</x:f>
        <x:v>635.8565564714773</x:v>
      </x:c>
      <x:c r="U152" t="n">
        <x:f>Scenario_Data!W152</x:f>
        <x:v>200</x:v>
      </x:c>
      <x:c r="V152" t="n">
        <x:f>2*(Scenario_Data!E152*1000)/Inputs!$C$21*1000000</x:f>
        <x:v>573.3132886218239</x:v>
      </x:c>
      <x:c r="X152" t="n">
        <x:f>Scenario_Data!T152</x:f>
        <x:v>15</x:v>
      </x:c>
      <x:c r="Y152" t="n">
        <x: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x:f>
        <x:v>2669.877953329705</x:v>
      </x:c>
      <x:c r="Z152" t="n">
        <x:f>Scenario_Data!U152</x:f>
        <x:v>100</x:v>
      </x:c>
      <x:c r="AA152" t="n">
        <x: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x:f>
        <x:v>385.5672746083997</x:v>
      </x:c>
      <x:c r="AB152" t="n">
        <x:f>Scenario_Data!V152</x:f>
        <x:v>200</x:v>
      </x:c>
      <x:c r="AC152" t="n">
        <x: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x:f>
        <x:v>635.8244559490963</x:v>
      </x:c>
      <x:c r="AD152" t="n">
        <x:f>Scenario_Data!W152</x:f>
        <x:v>200</x:v>
      </x:c>
      <x:c r="AE152" t="n">
        <x: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x:f>
        <x:v>573.2811880994428</x:v>
      </x:c>
      <x:c r="AG152" t="n">
        <x:f>Scenario_Data!T152</x:f>
        <x:v>15</x:v>
      </x:c>
      <x:c r="AH152" t="n">
        <x:f>2*(SQRT((Inputs!$C$52+(Scenario_Data!B152))^2+Inputs!$C$52^2-2*(Inputs!$C$52+(Scenario_Data!B152))*Inputs!$C$52*COS(SQRT((Scenario_Data!T152)^2+Inputs!$C$6^2)/Inputs!$C$52))*1000)/Inputs!$C$21*1000000</x:f>
        <x:v>2679.065914532494</x:v>
      </x:c>
      <x:c r="AI152" t="n">
        <x:f>Scenario_Data!U152</x:f>
        <x:v>100</x:v>
      </x:c>
      <x:c r="AJ152" t="n">
        <x:f>2*(SQRT((Inputs!$C$52+(Scenario_Data!C152))^2+Inputs!$C$52^2-2*(Inputs!$C$52+(Scenario_Data!C152))*Inputs!$C$52*COS(SQRT((Scenario_Data!U152)^2+Inputs!$C$6^2)/Inputs!$C$52))*1000)/Inputs!$C$21*1000000</x:f>
        <x:v>799.3530465257882</x:v>
      </x:c>
      <x:c r="AK152" t="n">
        <x:f>Scenario_Data!V152</x:f>
        <x:v>200</x:v>
      </x:c>
      <x:c r="AL152" t="n">
        <x:f>2*(SQRT((Inputs!$C$52+(Scenario_Data!D152))^2+Inputs!$C$52^2-2*(Inputs!$C$52+(Scenario_Data!D152))*Inputs!$C$52*COS(SQRT((Scenario_Data!V152)^2+Inputs!$C$6^2)/Inputs!$C$52))*1000)/Inputs!$C$21*1000000</x:f>
        <x:v>1523.1929864371127</x:v>
      </x:c>
      <x:c r="AM152" t="n">
        <x:f>Scenario_Data!W152</x:f>
        <x:v>200</x:v>
      </x:c>
      <x:c r="AN152" t="n">
        <x:f>2*(SQRT((Inputs!$C$52+(Scenario_Data!E152))^2+Inputs!$C$52^2-2*(Inputs!$C$52+(Scenario_Data!E152))*Inputs!$C$52*COS(SQRT((Scenario_Data!W152)^2+Inputs!$C$6^2)/Inputs!$C$52))*1000)/Inputs!$C$21*1000000</x:f>
        <x:v>1494.538848738704</x:v>
      </x:c>
      <x:c r="AP152" t="n">
        <x:f>Scenario_Data!T152</x:f>
        <x:v>15</x:v>
      </x:c>
      <x:c r="AQ152" t="n">
        <x: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x:f>
        <x:v>2676.4128817659403</x:v>
      </x:c>
      <x:c r="AR152" t="n">
        <x:f>Scenario_Data!U152</x:f>
        <x:v>100</x:v>
      </x:c>
      <x:c r="AS152" t="n">
        <x: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x:f>
        <x:v>798.9128126847422</x:v>
      </x:c>
      <x:c r="AT152" t="n">
        <x:f>Scenario_Data!V152</x:f>
        <x:v>200</x:v>
      </x:c>
      <x:c r="AU152" t="n">
        <x: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x:f>
        <x:v>1522.8148844349405</x:v>
      </x:c>
      <x:c r="AV152" t="n">
        <x:f>Scenario_Data!W152</x:f>
        <x:v>200</x:v>
      </x:c>
      <x:c r="AW152" t="n">
        <x: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x:f>
        <x:v>1494.197489623103</x:v>
      </x:c>
    </x:row>
    <x:row r="153">
      <x:c r="A153" t="n">
        <x:f>Chart_Data!K153</x:f>
        <x:v>15.5</x:v>
      </x:c>
      <x:c r="B153" t="n">
        <x:f>Chart_Data!N153-Chart_Data!L153</x:f>
        <x:v>-50.77028983950106</x:v>
      </x:c>
      <x:c r="D153" t="n">
        <x:f>Chart_Data!G153</x:f>
        <x:v>15.5</x:v>
      </x:c>
      <x:c r="E153" t="n">
        <x:f>Chart_Data!H153</x:f>
        <x:v>395.616361037493</x:v>
      </x:c>
      <x:c r="F153" t="n">
        <x:f>Chart_Data!I153</x:f>
        <x:v>395.616361037493</x:v>
      </x:c>
      <x:c r="G153" t="n">
        <x:f>Chart_Data!J153</x:f>
        <x:v>49.090179641950456</x:v>
      </x:c>
      <x:c r="I153" t="n">
        <x:f>Scenario_Data!A153</x:f>
        <x:v>0.258</x:v>
      </x:c>
      <x:c r="J153" t="n">
        <x:f>Scenario_Data!H153-(((SQRT((Inputs!$C$52+(Inputs!$H$6))^2+Inputs!$C$52^2-2*(Inputs!$C$52+(Inputs!$H$6))*Inputs!$C$52*COS(SQRT((Scenario_Data!T153)^2+Inputs!$C$6^2)/Inputs!$C$52)))-(Inputs!$H$6))*1000/Inputs!$C$12)</x:f>
        <x:v>-0.4016673031354685</x:v>
      </x:c>
      <x:c r="K153" t="n">
        <x:f>Scenario_Data!I153-(((SQRT((Inputs!$C$52+(Inputs!$H$7))^2+Inputs!$C$52^2-2*(Inputs!$C$52+(Inputs!$H$7))*Inputs!$C$52*COS(SQRT((Scenario_Data!U153)^2+Inputs!$C$6^2)/Inputs!$C$52)))-(Inputs!$H$7))*1000/Inputs!$C$12)</x:f>
        <x:v>-7784.433251420131</x:v>
      </x:c>
      <x:c r="L153" t="n">
        <x:f>Scenario_Data!J153-(((SQRT((Inputs!$C$52+(Inputs!$H$8))^2+Inputs!$C$52^2-2*(Inputs!$C$52+(Inputs!$H$8))*Inputs!$C$52*COS(SQRT((Scenario_Data!V153)^2+Inputs!$C$6^2)/Inputs!$C$52)))-(Inputs!$H$8))*1000/Inputs!$C$12)</x:f>
        <x:v>-23078.113644632846</x:v>
      </x:c>
      <x:c r="M153" t="n">
        <x:f>Scenario_Data!K153-(((SQRT((Inputs!$C$52+(Inputs!$H$9))^2+Inputs!$C$52^2-2*(Inputs!$C$52+(Inputs!$H$9))*Inputs!$C$52*COS(SQRT((Scenario_Data!W153)^2+Inputs!$C$6^2)/Inputs!$C$52)))-(Inputs!$H$9))*1000/Inputs!$C$12)</x:f>
        <x:v>-24719.85672730935</x:v>
      </x:c>
      <x:c r="O153" t="n">
        <x:f>Scenario_Data!T153</x:f>
        <x:v>15.480000000000004</x:v>
      </x:c>
      <x:c r="P153" t="n">
        <x:f>2*(Scenario_Data!B153*1000)/Inputs!$C$21*1000000</x:f>
        <x:v>2670.2890304198377</x:v>
      </x:c>
      <x:c r="Q153" t="n">
        <x:f>Scenario_Data!U153</x:f>
        <x:v>103.19999999999999</x:v>
      </x:c>
      <x:c r="R153" t="n">
        <x:f>2*(Scenario_Data!C153*1000)/Inputs!$C$21*1000000</x:f>
        <x:v>395.5793977979259</x:v>
      </x:c>
      <x:c r="S153" t="n">
        <x:f>Scenario_Data!V153</x:f>
        <x:v>206.39999999999998</x:v>
      </x:c>
      <x:c r="T153" t="n">
        <x:f>2*(Scenario_Data!D153*1000)/Inputs!$C$21*1000000</x:f>
        <x:v>662.0197229911632</x:v>
      </x:c>
      <x:c r="U153" t="n">
        <x:f>Scenario_Data!W153</x:f>
        <x:v>206.39999999999998</x:v>
      </x:c>
      <x:c r="V153" t="n">
        <x:f>2*(Scenario_Data!E153*1000)/Inputs!$C$21*1000000</x:f>
        <x:v>599.7475760380869</x:v>
      </x:c>
      <x:c r="X153" t="n">
        <x:f>Scenario_Data!T153</x:f>
        <x:v>15.480000000000004</x:v>
      </x:c>
      <x:c r="Y153" t="n">
        <x: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x:f>
        <x:v>2670.016099440619</x:v>
      </x:c>
      <x:c r="Z153" t="n">
        <x:f>Scenario_Data!U153</x:f>
        <x:v>103.19999999999999</x:v>
      </x:c>
      <x:c r="AA153" t="n">
        <x: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x:f>
        <x:v>395.8608639483147</x:v>
      </x:c>
      <x:c r="AB153" t="n">
        <x:f>Scenario_Data!V153</x:f>
        <x:v>206.39999999999998</x:v>
      </x:c>
      <x:c r="AC153" t="n">
        <x: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x:f>
        <x:v>661.951510687387</x:v>
      </x:c>
      <x:c r="AD153" t="n">
        <x:f>Scenario_Data!W153</x:f>
        <x:v>206.39999999999998</x:v>
      </x:c>
      <x:c r="AE153" t="n">
        <x: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x:f>
        <x:v>599.6793637343105</x:v>
      </x:c>
      <x:c r="AG153" t="n">
        <x:f>Scenario_Data!T153</x:f>
        <x:v>15.480000000000004</x:v>
      </x:c>
      <x:c r="AH153" t="n">
        <x:f>2*(SQRT((Inputs!$C$52+(Scenario_Data!B153))^2+Inputs!$C$52^2-2*(Inputs!$C$52+(Scenario_Data!B153))*Inputs!$C$52*COS(SQRT((Scenario_Data!T153)^2+Inputs!$C$6^2)/Inputs!$C$52))*1000)/Inputs!$C$21*1000000</x:f>
        <x:v>2679.3267458137466</x:v>
      </x:c>
      <x:c r="AI153" t="n">
        <x:f>Scenario_Data!U153</x:f>
        <x:v>103.19999999999999</x:v>
      </x:c>
      <x:c r="AJ153" t="n">
        <x:f>2*(SQRT((Inputs!$C$52+(Scenario_Data!C153))^2+Inputs!$C$52^2-2*(Inputs!$C$52+(Scenario_Data!C153))*Inputs!$C$52*COS(SQRT((Scenario_Data!U153)^2+Inputs!$C$6^2)/Inputs!$C$52))*1000)/Inputs!$C$21*1000000</x:f>
        <x:v>822.8987615597109</x:v>
      </x:c>
      <x:c r="AK153" t="n">
        <x:f>Scenario_Data!V153</x:f>
        <x:v>206.39999999999998</x:v>
      </x:c>
      <x:c r="AL153" t="n">
        <x:f>2*(SQRT((Inputs!$C$52+(Scenario_Data!D153))^2+Inputs!$C$52^2-2*(Inputs!$C$52+(Scenario_Data!D153))*Inputs!$C$52*COS(SQRT((Scenario_Data!V153)^2+Inputs!$C$6^2)/Inputs!$C$52))*1000)/Inputs!$C$21*1000000</x:f>
        <x:v>1575.2382195812656</x:v>
      </x:c>
      <x:c r="AM153" t="n">
        <x:f>Scenario_Data!W153</x:f>
        <x:v>206.39999999999998</x:v>
      </x:c>
      <x:c r="AN153" t="n">
        <x:f>2*(SQRT((Inputs!$C$52+(Scenario_Data!E153))^2+Inputs!$C$52^2-2*(Inputs!$C$52+(Scenario_Data!E153))*Inputs!$C$52*COS(SQRT((Scenario_Data!W153)^2+Inputs!$C$6^2)/Inputs!$C$52))*1000)/Inputs!$C$21*1000000</x:f>
        <x:v>1546.3874430517</x:v>
      </x:c>
      <x:c r="AP153" t="n">
        <x:f>Scenario_Data!T153</x:f>
        <x:v>15.480000000000004</x:v>
      </x:c>
      <x:c r="AQ153" t="n">
        <x: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x:f>
        <x:v>2676.700779028285</x:v>
      </x:c>
      <x:c r="AR153" t="n">
        <x:f>Scenario_Data!U153</x:f>
        <x:v>103.19999999999999</x:v>
      </x:c>
      <x:c r="AS153" t="n">
        <x: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x:f>
        <x:v>822.691392020902</x:v>
      </x:c>
      <x:c r="AT153" t="n">
        <x:f>Scenario_Data!V153</x:f>
        <x:v>206.39999999999998</x:v>
      </x:c>
      <x:c r="AU153" t="n">
        <x: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x:f>
        <x:v>1574.8772268654202</x:v>
      </x:c>
      <x:c r="AV153" t="n">
        <x:f>Scenario_Data!W153</x:f>
        <x:v>206.39999999999998</x:v>
      </x:c>
      <x:c r="AW153" t="n">
        <x: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x:f>
        <x:v>1546.060002257067</x:v>
      </x:c>
    </x:row>
    <x:row r="154">
      <x:c r="A154" t="n">
        <x:f>Chart_Data!K154</x:f>
        <x:v>16</x:v>
      </x:c>
      <x:c r="B154" t="n">
        <x:f>Chart_Data!N154-Chart_Data!L154</x:f>
        <x:v>-71.45092295981351</x:v>
      </x:c>
      <x:c r="D154" t="n">
        <x:f>Chart_Data!G154</x:f>
        <x:v>16</x:v>
      </x:c>
      <x:c r="E154" t="n">
        <x:f>Chart_Data!H154</x:f>
        <x:v>400.30891755789503</x:v>
      </x:c>
      <x:c r="F154" t="n">
        <x:f>Chart_Data!I154</x:f>
        <x:v>400.30891755789503</x:v>
      </x:c>
      <x:c r="G154" t="n">
        <x:f>Chart_Data!J154</x:f>
        <x:v>69.7201880441823</x:v>
      </x:c>
      <x:c r="I154" t="n">
        <x:f>Scenario_Data!A154</x:f>
        <x:v>0.267</x:v>
      </x:c>
      <x:c r="J154" t="n">
        <x:f>Scenario_Data!H154-(((SQRT((Inputs!$C$52+(Inputs!$H$6))^2+Inputs!$C$52^2-2*(Inputs!$C$52+(Inputs!$H$6))*Inputs!$C$52*COS(SQRT((Scenario_Data!T154)^2+Inputs!$C$6^2)/Inputs!$C$52)))-(Inputs!$H$6))*1000/Inputs!$C$12)</x:f>
        <x:v>-0.43857412502381976</x:v>
      </x:c>
      <x:c r="K154" t="n">
        <x:f>Scenario_Data!I154-(((SQRT((Inputs!$C$52+(Inputs!$H$7))^2+Inputs!$C$52^2-2*(Inputs!$C$52+(Inputs!$H$7))*Inputs!$C$52*COS(SQRT((Scenario_Data!U154)^2+Inputs!$C$6^2)/Inputs!$C$52)))-(Inputs!$H$7))*1000/Inputs!$C$12)</x:f>
        <x:v>-8394.704215810802</x:v>
      </x:c>
      <x:c r="L154" t="n">
        <x:f>Scenario_Data!J154-(((SQRT((Inputs!$C$52+(Inputs!$H$8))^2+Inputs!$C$52^2-2*(Inputs!$C$52+(Inputs!$H$8))*Inputs!$C$52*COS(SQRT((Scenario_Data!V154)^2+Inputs!$C$6^2)/Inputs!$C$52)))-(Inputs!$H$8))*1000/Inputs!$C$12)</x:f>
        <x:v>-24655.78332287309</x:v>
      </x:c>
      <x:c r="M154" t="n">
        <x:f>Scenario_Data!K154-(((SQRT((Inputs!$C$52+(Inputs!$H$9))^2+Inputs!$C$52^2-2*(Inputs!$C$52+(Inputs!$H$9))*Inputs!$C$52*COS(SQRT((Scenario_Data!W154)^2+Inputs!$C$6^2)/Inputs!$C$52)))-(Inputs!$H$9))*1000/Inputs!$C$12)</x:f>
        <x:v>-26355.92282022882</x:v>
      </x:c>
      <x:c r="O154" t="n">
        <x:f>Scenario_Data!T154</x:f>
        <x:v>16.019999999999996</x:v>
      </x:c>
      <x:c r="P154" t="n">
        <x:f>2*(Scenario_Data!B154*1000)/Inputs!$C$21*1000000</x:f>
        <x:v>2670.4151176478226</x:v>
      </x:c>
      <x:c r="Q154" t="n">
        <x:f>Scenario_Data!U154</x:f>
        <x:v>106.79999999999995</x:v>
      </x:c>
      <x:c r="R154" t="n">
        <x:f>2*(Scenario_Data!C154*1000)/Inputs!$C$21*1000000</x:f>
        <x:v>407.08485735154807</x:v>
      </x:c>
      <x:c r="S154" t="n">
        <x:f>Scenario_Data!V154</x:f>
        <x:v>213.5999999999999</x:v>
      </x:c>
      <x:c r="T154" t="n">
        <x:f>2*(Scenario_Data!D154*1000)/Inputs!$C$21*1000000</x:f>
        <x:v>692.4382667425206</x:v>
      </x:c>
      <x:c r="U154" t="n">
        <x:f>Scenario_Data!W154</x:f>
        <x:v>213.5999999999999</x:v>
      </x:c>
      <x:c r="V154" t="n">
        <x:f>2*(Scenario_Data!E154*1000)/Inputs!$C$21*1000000</x:f>
        <x:v>630.4813378594064</x:v>
      </x:c>
      <x:c r="X154" t="n">
        <x:f>Scenario_Data!T154</x:f>
        <x:v>16.019999999999996</x:v>
      </x:c>
      <x:c r="Y154" t="n">
        <x: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x:f>
        <x:v>2669.9938584403485</x:v>
      </x:c>
      <x:c r="Z154" t="n">
        <x:f>Scenario_Data!U154</x:f>
        <x:v>106.79999999999995</x:v>
      </x:c>
      <x:c r="AA154" t="n">
        <x: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x:f>
        <x:v>407.20518284516277</x:v>
      </x:c>
      <x:c r="AB154" t="n">
        <x:f>Scenario_Data!V154</x:f>
        <x:v>213.5999999999999</x:v>
      </x:c>
      <x:c r="AC154" t="n">
        <x: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x:f>
        <x:v>692.4932720409962</x:v>
      </x:c>
      <x:c r="AD154" t="n">
        <x:f>Scenario_Data!W154</x:f>
        <x:v>213.5999999999999</x:v>
      </x:c>
      <x:c r="AE154" t="n">
        <x: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x:f>
        <x:v>630.536343157882</x:v>
      </x:c>
      <x:c r="AG154" t="n">
        <x:f>Scenario_Data!T154</x:f>
        <x:v>16.019999999999996</x:v>
      </x:c>
      <x:c r="AH154" t="n">
        <x:f>2*(SQRT((Inputs!$C$52+(Scenario_Data!B154))^2+Inputs!$C$52^2-2*(Inputs!$C$52+(Scenario_Data!B154))*Inputs!$C$52*COS(SQRT((Scenario_Data!T154)^2+Inputs!$C$6^2)/Inputs!$C$52))*1000)/Inputs!$C$21*1000000</x:f>
        <x:v>2679.6299772752322</x:v>
      </x:c>
      <x:c r="AI154" t="n">
        <x:f>Scenario_Data!U154</x:f>
        <x:v>106.79999999999995</x:v>
      </x:c>
      <x:c r="AJ154" t="n">
        <x:f>2*(SQRT((Inputs!$C$52+(Scenario_Data!C154))^2+Inputs!$C$52^2-2*(Inputs!$C$52+(Scenario_Data!C154))*Inputs!$C$52*COS(SQRT((Scenario_Data!U154)^2+Inputs!$C$6^2)/Inputs!$C$52))*1000)/Inputs!$C$21*1000000</x:f>
        <x:v>849.6386115770032</x:v>
      </x:c>
      <x:c r="AK154" t="n">
        <x:f>Scenario_Data!V154</x:f>
        <x:v>213.5999999999999</x:v>
      </x:c>
      <x:c r="AL154" t="n">
        <x:f>2*(SQRT((Inputs!$C$52+(Scenario_Data!D154))^2+Inputs!$C$52^2-2*(Inputs!$C$52+(Scenario_Data!D154))*Inputs!$C$52*COS(SQRT((Scenario_Data!V154)^2+Inputs!$C$6^2)/Inputs!$C$52))*1000)/Inputs!$C$21*1000000</x:f>
        <x:v>1634.406668398929</x:v>
      </x:c>
      <x:c r="AM154" t="n">
        <x:f>Scenario_Data!W154</x:f>
        <x:v>213.5999999999999</x:v>
      </x:c>
      <x:c r="AN154" t="n">
        <x:f>2*(SQRT((Inputs!$C$52+(Scenario_Data!E154))^2+Inputs!$C$52^2-2*(Inputs!$C$52+(Scenario_Data!E154))*Inputs!$C$52*COS(SQRT((Scenario_Data!W154)^2+Inputs!$C$6^2)/Inputs!$C$52))*1000)/Inputs!$C$21*1000000</x:f>
        <x:v>1605.3325327342354</x:v>
      </x:c>
      <x:c r="AP154" t="n">
        <x:f>Scenario_Data!T154</x:f>
        <x:v>16.019999999999996</x:v>
      </x:c>
      <x:c r="AQ154" t="n">
        <x: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x:f>
        <x:v>2676.955320476383</x:v>
      </x:c>
      <x:c r="AR154" t="n">
        <x:f>Scenario_Data!U154</x:f>
        <x:v>106.79999999999995</x:v>
      </x:c>
      <x:c r="AS154" t="n">
        <x: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x:f>
        <x:v>849.2996394600398</x:v>
      </x:c>
      <x:c r="AT154" t="n">
        <x:f>Scenario_Data!V154</x:f>
        <x:v>213.5999999999999</x:v>
      </x:c>
      <x:c r="AU154" t="n">
        <x: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x:f>
        <x:v>1634.2100712797871</x:v>
      </x:c>
      <x:c r="AV154" t="n">
        <x:f>Scenario_Data!W154</x:f>
        <x:v>213.5999999999999</x:v>
      </x:c>
      <x:c r="AW154" t="n">
        <x: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x:f>
        <x:v>1605.1533049308696</x:v>
      </x:c>
    </x:row>
    <x:row r="155">
      <x:c r="A155" t="n">
        <x:f>Chart_Data!K155</x:f>
        <x:v>16.5</x:v>
      </x:c>
      <x:c r="B155" t="n">
        <x:f>Chart_Data!N155-Chart_Data!L155</x:f>
        <x:v>-73.29754339504791</x:v>
      </x:c>
      <x:c r="D155" t="n">
        <x:f>Chart_Data!G155</x:f>
        <x:v>16.5</x:v>
      </x:c>
      <x:c r="E155" t="n">
        <x:f>Chart_Data!H155</x:f>
        <x:v>406.20178346502695</x:v>
      </x:c>
      <x:c r="F155" t="n">
        <x:f>Chart_Data!I155</x:f>
        <x:v>406.20178346502695</x:v>
      </x:c>
      <x:c r="G155" t="n">
        <x:f>Chart_Data!J155</x:f>
        <x:v>71.50919840907298</x:v>
      </x:c>
      <x:c r="I155" t="n">
        <x:f>Scenario_Data!A155</x:f>
        <x:v>0.275</x:v>
      </x:c>
      <x:c r="J155" t="n">
        <x:f>Scenario_Data!H155-(((SQRT((Inputs!$C$52+(Inputs!$H$6))^2+Inputs!$C$52^2-2*(Inputs!$C$52+(Inputs!$H$6))*Inputs!$C$52*COS(SQRT((Scenario_Data!T155)^2+Inputs!$C$6^2)/Inputs!$C$52)))-(Inputs!$H$6))*1000/Inputs!$C$12)</x:f>
        <x:v>-0.4734191912100414</x:v>
      </x:c>
      <x:c r="K155" t="n">
        <x:f>Scenario_Data!I155-(((SQRT((Inputs!$C$52+(Inputs!$H$7))^2+Inputs!$C$52^2-2*(Inputs!$C$52+(Inputs!$H$7))*Inputs!$C$52*COS(SQRT((Scenario_Data!U155)^2+Inputs!$C$6^2)/Inputs!$C$52)))-(Inputs!$H$7))*1000/Inputs!$C$12)</x:f>
        <x:v>-8953.936813088847</x:v>
      </x:c>
      <x:c r="L155" t="n">
        <x:f>Scenario_Data!J155-(((SQRT((Inputs!$C$52+(Inputs!$H$8))^2+Inputs!$C$52^2-2*(Inputs!$C$52+(Inputs!$H$8))*Inputs!$C$52*COS(SQRT((Scenario_Data!V155)^2+Inputs!$C$6^2)/Inputs!$C$52)))-(Inputs!$H$8))*1000/Inputs!$C$12)</x:f>
        <x:v>-26088.80968164916</x:v>
      </x:c>
      <x:c r="M155" t="n">
        <x:f>Scenario_Data!K155-(((SQRT((Inputs!$C$52+(Inputs!$H$9))^2+Inputs!$C$52^2-2*(Inputs!$C$52+(Inputs!$H$9))*Inputs!$C$52*COS(SQRT((Scenario_Data!W155)^2+Inputs!$C$6^2)/Inputs!$C$52)))-(Inputs!$H$9))*1000/Inputs!$C$12)</x:f>
        <x:v>-27840.28839250606</x:v>
      </x:c>
      <x:c r="O155" t="n">
        <x:f>Scenario_Data!T155</x:f>
        <x:v>16.5</x:v>
      </x:c>
      <x:c r="P155" t="n">
        <x:f>2*(Scenario_Data!B155*1000)/Inputs!$C$21*1000000</x:f>
        <x:v>2670.5308243611653</x:v>
      </x:c>
      <x:c r="Q155" t="n">
        <x:f>Scenario_Data!U155</x:f>
        <x:v>109.99999999999994</x:v>
      </x:c>
      <x:c r="R155" t="n">
        <x:f>2*(Scenario_Data!C155*1000)/Inputs!$C$21*1000000</x:f>
        <x:v>417.6430949440361</x:v>
      </x:c>
      <x:c r="S155" t="n">
        <x:f>Scenario_Data!V155</x:f>
        <x:v>219.9999999999999</x:v>
      </x:c>
      <x:c r="T155" t="n">
        <x:f>2*(Scenario_Data!D155*1000)/Inputs!$C$21*1000000</x:f>
        <x:v>720.3525113363587</x:v>
      </x:c>
      <x:c r="U155" t="n">
        <x:f>Scenario_Data!W155</x:f>
        <x:v>219.9999999999999</x:v>
      </x:c>
      <x:c r="V155" t="n">
        <x:f>2*(Scenario_Data!E155*1000)/Inputs!$C$21*1000000</x:f>
        <x:v>658.6848492366003</x:v>
      </x:c>
      <x:c r="X155" t="n">
        <x:f>Scenario_Data!T155</x:f>
        <x:v>16.5</x:v>
      </x:c>
      <x:c r="Y155" t="n">
        <x: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x:f>
        <x:v>2670.053766339852</x:v>
      </x:c>
      <x:c r="Z155" t="n">
        <x:f>Scenario_Data!U155</x:f>
        <x:v>109.99999999999994</x:v>
      </x:c>
      <x:c r="AA155" t="n">
        <x: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x:f>
        <x:v>417.1722436975719</x:v>
      </x:c>
      <x:c r="AB155" t="n">
        <x:f>Scenario_Data!V155</x:f>
        <x:v>219.9999999999999</x:v>
      </x:c>
      <x:c r="AC155" t="n">
        <x: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x:f>
        <x:v>719.9887342761264</x:v>
      </x:c>
      <x:c r="AD155" t="n">
        <x:f>Scenario_Data!W155</x:f>
        <x:v>219.9999999999999</x:v>
      </x:c>
      <x:c r="AE155" t="n">
        <x: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x:f>
        <x:v>658.3210721763679</x:v>
      </x:c>
      <x:c r="AG155" t="n">
        <x:f>Scenario_Data!T155</x:f>
        <x:v>16.5</x:v>
      </x:c>
      <x:c r="AH155" t="n">
        <x:f>2*(SQRT((Inputs!$C$52+(Scenario_Data!B155))^2+Inputs!$C$52^2-2*(Inputs!$C$52+(Scenario_Data!B155))*Inputs!$C$52*COS(SQRT((Scenario_Data!T155)^2+Inputs!$C$6^2)/Inputs!$C$52))*1000)/Inputs!$C$21*1000000</x:f>
        <x:v>2679.9082221420913</x:v>
      </x:c>
      <x:c r="AI155" t="n">
        <x:f>Scenario_Data!U155</x:f>
        <x:v>109.99999999999994</x:v>
      </x:c>
      <x:c r="AJ155" t="n">
        <x:f>2*(SQRT((Inputs!$C$52+(Scenario_Data!C155))^2+Inputs!$C$52^2-2*(Inputs!$C$52+(Scenario_Data!C155))*Inputs!$C$52*COS(SQRT((Scenario_Data!U155)^2+Inputs!$C$6^2)/Inputs!$C$52))*1000)/Inputs!$C$21*1000000</x:f>
        <x:v>873.6268737519348</x:v>
      </x:c>
      <x:c r="AK155" t="n">
        <x:f>Scenario_Data!V155</x:f>
        <x:v>219.9999999999999</x:v>
      </x:c>
      <x:c r="AL155" t="n">
        <x:f>2*(SQRT((Inputs!$C$52+(Scenario_Data!D155))^2+Inputs!$C$52^2-2*(Inputs!$C$52+(Scenario_Data!D155))*Inputs!$C$52*COS(SQRT((Scenario_Data!V155)^2+Inputs!$C$6^2)/Inputs!$C$52))*1000)/Inputs!$C$21*1000000</x:f>
        <x:v>1687.557977658393</x:v>
      </x:c>
      <x:c r="AM155" t="n">
        <x:f>Scenario_Data!W155</x:f>
        <x:v>219.9999999999999</x:v>
      </x:c>
      <x:c r="AN155" t="n">
        <x:f>2*(SQRT((Inputs!$C$52+(Scenario_Data!E155))^2+Inputs!$C$52^2-2*(Inputs!$C$52+(Scenario_Data!E155))*Inputs!$C$52*COS(SQRT((Scenario_Data!W155)^2+Inputs!$C$6^2)/Inputs!$C$52))*1000)/Inputs!$C$21*1000000</x:f>
        <x:v>1658.2850643618456</x:v>
      </x:c>
      <x:c r="AP155" t="n">
        <x:f>Scenario_Data!T155</x:f>
        <x:v>16.5</x:v>
      </x:c>
      <x:c r="AQ155" t="n">
        <x: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x:f>
        <x:v>2677.210266088246</x:v>
      </x:c>
      <x:c r="AR155" t="n">
        <x:f>Scenario_Data!U155</x:f>
        <x:v>109.99999999999994</x:v>
      </x:c>
      <x:c r="AS155" t="n">
        <x: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x:f>
        <x:v>873.1094978635793</x:v>
      </x:c>
      <x:c r="AT155" t="n">
        <x:f>Scenario_Data!V155</x:f>
        <x:v>219.9999999999999</x:v>
      </x:c>
      <x:c r="AU155" t="n">
        <x: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x:f>
        <x:v>1686.9799883696526</x:v>
      </x:c>
      <x:c r="AV155" t="n">
        <x:f>Scenario_Data!W155</x:f>
        <x:v>219.9999999999999</x:v>
      </x:c>
      <x:c r="AW155" t="n">
        <x: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x:f>
        <x:v>1657.7559651879415</x:v>
      </x:c>
    </x:row>
    <x:row r="156">
      <x:c r="A156" t="n">
        <x:f>Chart_Data!K156</x:f>
        <x:v>17</x:v>
      </x:c>
      <x:c r="B156" t="n">
        <x:f>Chart_Data!N156-Chart_Data!L156</x:f>
        <x:v>-60.39278368991182</x:v>
      </x:c>
      <x:c r="D156" t="n">
        <x:f>Chart_Data!G156</x:f>
        <x:v>17</x:v>
      </x:c>
      <x:c r="E156" t="n">
        <x:f>Chart_Data!H156</x:f>
        <x:v>402.8973585501548</x:v>
      </x:c>
      <x:c r="F156" t="n">
        <x:f>Chart_Data!I156</x:f>
        <x:v>402.8973585501548</x:v>
      </x:c>
      <x:c r="G156" t="n">
        <x:f>Chart_Data!J156</x:f>
        <x:v>58.586187093984584</x:v>
      </x:c>
      <x:c r="I156" t="n">
        <x:f>Scenario_Data!A156</x:f>
        <x:v>0.283</x:v>
      </x:c>
      <x:c r="J156" t="n">
        <x:f>Scenario_Data!H156-(((SQRT((Inputs!$C$52+(Inputs!$H$6))^2+Inputs!$C$52^2-2*(Inputs!$C$52+(Inputs!$H$6))*Inputs!$C$52*COS(SQRT((Scenario_Data!T156)^2+Inputs!$C$6^2)/Inputs!$C$52)))-(Inputs!$H$6))*1000/Inputs!$C$12)</x:f>
        <x:v>-0.5102690384285324</x:v>
      </x:c>
      <x:c r="K156" t="n">
        <x:f>Scenario_Data!I156-(((SQRT((Inputs!$C$52+(Inputs!$H$7))^2+Inputs!$C$52^2-2*(Inputs!$C$52+(Inputs!$H$7))*Inputs!$C$52*COS(SQRT((Scenario_Data!U156)^2+Inputs!$C$6^2)/Inputs!$C$52)))-(Inputs!$H$7))*1000/Inputs!$C$12)</x:f>
        <x:v>-9528.637373909558</x:v>
      </x:c>
      <x:c r="L156" t="n">
        <x:f>Scenario_Data!J156-(((SQRT((Inputs!$C$52+(Inputs!$H$8))^2+Inputs!$C$52^2-2*(Inputs!$C$52+(Inputs!$H$8))*Inputs!$C$52*COS(SQRT((Scenario_Data!V156)^2+Inputs!$C$6^2)/Inputs!$C$52)))-(Inputs!$H$8))*1000/Inputs!$C$12)</x:f>
        <x:v>-27549.646131814996</x:v>
      </x:c>
      <x:c r="M156" t="n">
        <x:f>Scenario_Data!K156-(((SQRT((Inputs!$C$52+(Inputs!$H$9))^2+Inputs!$C$52^2-2*(Inputs!$C$52+(Inputs!$H$9))*Inputs!$C$52*COS(SQRT((Scenario_Data!W156)^2+Inputs!$C$6^2)/Inputs!$C$52)))-(Inputs!$H$9))*1000/Inputs!$C$12)</x:f>
        <x:v>-29351.91580166442</x:v>
      </x:c>
      <x:c r="O156" t="n">
        <x:f>Scenario_Data!T156</x:f>
        <x:v>16.97999999999999</x:v>
      </x:c>
      <x:c r="P156" t="n">
        <x:f>2*(Scenario_Data!B156*1000)/Inputs!$C$21*1000000</x:f>
        <x:v>2670.6499467708427</x:v>
      </x:c>
      <x:c r="Q156" t="n">
        <x:f>Scenario_Data!U156</x:f>
        <x:v>113.19999999999993</x:v>
      </x:c>
      <x:c r="R156" t="n">
        <x:f>2*(Scenario_Data!C156*1000)/Inputs!$C$21*1000000</x:f>
        <x:v>428.51301482707726</x:v>
      </x:c>
      <x:c r="S156" t="n">
        <x:f>Scenario_Data!V156</x:f>
        <x:v>226.39999999999986</x:v>
      </x:c>
      <x:c r="T156" t="n">
        <x:f>2*(Scenario_Data!D156*1000)/Inputs!$C$21*1000000</x:f>
        <x:v>749.0907926709743</x:v>
      </x:c>
      <x:c r="U156" t="n">
        <x:f>Scenario_Data!W156</x:f>
        <x:v>226.39999999999986</x:v>
      </x:c>
      <x:c r="V156" t="n">
        <x:f>2*(Scenario_Data!E156*1000)/Inputs!$C$21*1000000</x:f>
        <x:v>687.7209365954091</x:v>
      </x:c>
      <x:c r="X156" t="n">
        <x:f>Scenario_Data!T156</x:f>
        <x:v>16.97999999999999</x:v>
      </x:c>
      <x:c r="Y156" t="n">
        <x: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x:f>
        <x:v>2670.213148337437</x:v>
      </x:c>
      <x:c r="Z156" t="n">
        <x:f>Scenario_Data!U156</x:f>
        <x:v>113.19999999999993</x:v>
      </x:c>
      <x:c r="AA156" t="n">
        <x: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x:f>
        <x:v>428.1712603024178</x:v>
      </x:c>
      <x:c r="AB156" t="n">
        <x:f>Scenario_Data!V156</x:f>
        <x:v>226.39999999999986</x:v>
      </x:c>
      <x:c r="AC156" t="n">
        <x: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x:f>
        <x:v>748.8612775855718</x:v>
      </x:c>
      <x:c r="AD156" t="n">
        <x:f>Scenario_Data!W156</x:f>
        <x:v>226.39999999999986</x:v>
      </x:c>
      <x:c r="AE156" t="n">
        <x: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x:f>
        <x:v>687.4914215100064</x:v>
      </x:c>
      <x:c r="AG156" t="n">
        <x:f>Scenario_Data!T156</x:f>
        <x:v>16.97999999999999</x:v>
      </x:c>
      <x:c r="AH156" t="n">
        <x:f>2*(SQRT((Inputs!$C$52+(Scenario_Data!B156))^2+Inputs!$C$52^2-2*(Inputs!$C$52+(Scenario_Data!B156))*Inputs!$C$52*COS(SQRT((Scenario_Data!T156)^2+Inputs!$C$6^2)/Inputs!$C$52))*1000)/Inputs!$C$21*1000000</x:f>
        <x:v>2680.1946587476814</x:v>
      </x:c>
      <x:c r="AI156" t="n">
        <x:f>Scenario_Data!U156</x:f>
        <x:v>113.19999999999993</x:v>
      </x:c>
      <x:c r="AJ156" t="n">
        <x:f>2*(SQRT((Inputs!$C$52+(Scenario_Data!C156))^2+Inputs!$C$52^2-2*(Inputs!$C$52+(Scenario_Data!C156))*Inputs!$C$52*COS(SQRT((Scenario_Data!U156)^2+Inputs!$C$6^2)/Inputs!$C$52))*1000)/Inputs!$C$21*1000000</x:f>
        <x:v>897.8190596262613</x:v>
      </x:c>
      <x:c r="AK156" t="n">
        <x:f>Scenario_Data!V156</x:f>
        <x:v>226.39999999999986</x:v>
      </x:c>
      <x:c r="AL156" t="n">
        <x:f>2*(SQRT((Inputs!$C$52+(Scenario_Data!D156))^2+Inputs!$C$52^2-2*(Inputs!$C$52+(Scenario_Data!D156))*Inputs!$C$52*COS(SQRT((Scenario_Data!V156)^2+Inputs!$C$6^2)/Inputs!$C$52))*1000)/Inputs!$C$21*1000000</x:f>
        <x:v>1741.2416393615815</x:v>
      </x:c>
      <x:c r="AM156" t="n">
        <x:f>Scenario_Data!W156</x:f>
        <x:v>226.39999999999986</x:v>
      </x:c>
      <x:c r="AN156" t="n">
        <x:f>2*(SQRT((Inputs!$C$52+(Scenario_Data!E156))^2+Inputs!$C$52^2-2*(Inputs!$C$52+(Scenario_Data!E156))*Inputs!$C$52*COS(SQRT((Scenario_Data!W156)^2+Inputs!$C$6^2)/Inputs!$C$52))*1000)/Inputs!$C$21*1000000</x:f>
        <x:v>1711.7711368171172</x:v>
      </x:c>
      <x:c r="AP156" t="n">
        <x:f>Scenario_Data!T156</x:f>
        <x:v>16.97999999999999</x:v>
      </x:c>
      <x:c r="AQ156" t="n">
        <x: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x:f>
        <x:v>2677.539889282522</x:v>
      </x:c>
      <x:c r="AR156" t="n">
        <x:f>Scenario_Data!U156</x:f>
        <x:v>113.19999999999993</x:v>
      </x:c>
      <x:c r="AS156" t="n">
        <x: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x:f>
        <x:v>897.2665212613587</x:v>
      </x:c>
      <x:c r="AT156" t="n">
        <x:f>Scenario_Data!V156</x:f>
        <x:v>226.39999999999986</x:v>
      </x:c>
      <x:c r="AU156" t="n">
        <x: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x:f>
        <x:v>1740.9784489069013</x:v>
      </x:c>
      <x:c r="AV156" t="n">
        <x:f>Scenario_Data!W156</x:f>
        <x:v>226.39999999999986</x:v>
      </x:c>
      <x:c r="AW156" t="n">
        <x: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x:f>
        <x:v>1711.5292151987658</x:v>
      </x:c>
    </x:row>
    <x:row r="157">
      <x:c r="A157" t="n">
        <x:f>Chart_Data!K157</x:f>
        <x:v>17.5</x:v>
      </x:c>
      <x:c r="B157" t="n">
        <x:f>Chart_Data!N157-Chart_Data!L157</x:f>
        <x:v>-67.5969950057256</x:v>
      </x:c>
      <x:c r="D157" t="n">
        <x:f>Chart_Data!G157</x:f>
        <x:v>17.5</x:v>
      </x:c>
      <x:c r="E157" t="n">
        <x:f>Chart_Data!H157</x:f>
        <x:v>412.59673853506814</x:v>
      </x:c>
      <x:c r="F157" t="n">
        <x:f>Chart_Data!I157</x:f>
        <x:v>412.59673853506814</x:v>
      </x:c>
      <x:c r="G157" t="n">
        <x:f>Chart_Data!J157</x:f>
        <x:v>65.71226511619231</x:v>
      </x:c>
      <x:c r="I157" t="n">
        <x:f>Scenario_Data!A157</x:f>
        <x:v>0.292</x:v>
      </x:c>
      <x:c r="J157" t="n">
        <x:f>Scenario_Data!H157-(((SQRT((Inputs!$C$52+(Inputs!$H$6))^2+Inputs!$C$52^2-2*(Inputs!$C$52+(Inputs!$H$6))*Inputs!$C$52*COS(SQRT((Scenario_Data!T157)^2+Inputs!$C$6^2)/Inputs!$C$52)))-(Inputs!$H$6))*1000/Inputs!$C$12)</x:f>
        <x:v>-0.554227051803764</x:v>
      </x:c>
      <x:c r="K157" t="n">
        <x:f>Scenario_Data!I157-(((SQRT((Inputs!$C$52+(Inputs!$H$7))^2+Inputs!$C$52^2-2*(Inputs!$C$52+(Inputs!$H$7))*Inputs!$C$52*COS(SQRT((Scenario_Data!U157)^2+Inputs!$C$6^2)/Inputs!$C$52)))-(Inputs!$H$7))*1000/Inputs!$C$12)</x:f>
        <x:v>-10193.291736298088</x:v>
      </x:c>
      <x:c r="L157" t="n">
        <x:f>Scenario_Data!J157-(((SQRT((Inputs!$C$52+(Inputs!$H$8))^2+Inputs!$C$52^2-2*(Inputs!$C$52+(Inputs!$H$8))*Inputs!$C$52*COS(SQRT((Scenario_Data!V157)^2+Inputs!$C$6^2)/Inputs!$C$52)))-(Inputs!$H$8))*1000/Inputs!$C$12)</x:f>
        <x:v>-29225.110156036026</x:v>
      </x:c>
      <x:c r="M157" t="n">
        <x:f>Scenario_Data!K157-(((SQRT((Inputs!$C$52+(Inputs!$H$9))^2+Inputs!$C$52^2-2*(Inputs!$C$52+(Inputs!$H$9))*Inputs!$C$52*COS(SQRT((Scenario_Data!W157)^2+Inputs!$C$6^2)/Inputs!$C$52)))-(Inputs!$H$9))*1000/Inputs!$C$12)</x:f>
        <x:v>-31083.84952937637</x:v>
      </x:c>
      <x:c r="O157" t="n">
        <x:f>Scenario_Data!T157</x:f>
        <x:v>17.519999999999996</x:v>
      </x:c>
      <x:c r="P157" t="n">
        <x:f>2*(Scenario_Data!B157*1000)/Inputs!$C$21*1000000</x:f>
        <x:v>2670.7880423062543</x:v>
      </x:c>
      <x:c r="Q157" t="n">
        <x:f>Scenario_Data!U157</x:f>
        <x:v>116.80000000000007</x:v>
      </x:c>
      <x:c r="R157" t="n">
        <x:f>2*(Scenario_Data!C157*1000)/Inputs!$C$21*1000000</x:f>
        <x:v>441.11423243342597</x:v>
      </x:c>
      <x:c r="S157" t="n">
        <x:f>Scenario_Data!V157</x:f>
        <x:v>233.60000000000014</x:v>
      </x:c>
      <x:c r="T157" t="n">
        <x:f>2*(Scenario_Data!D157*1000)/Inputs!$C$21*1000000</x:f>
        <x:v>782.4063405891291</x:v>
      </x:c>
      <x:c r="U157" t="n">
        <x:f>Scenario_Data!W157</x:f>
        <x:v>233.60000000000014</x:v>
      </x:c>
      <x:c r="V157" t="n">
        <x:f>2*(Scenario_Data!E157*1000)/Inputs!$C$21*1000000</x:f>
        <x:v>721.3817233520938</x:v>
      </x:c>
      <x:c r="X157" t="n">
        <x:f>Scenario_Data!T157</x:f>
        <x:v>17.519999999999996</x:v>
      </x:c>
      <x:c r="Y157" t="n">
        <x: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x:f>
        <x:v>2670.3303197350824</x:v>
      </x:c>
      <x:c r="Z157" t="n">
        <x:f>Scenario_Data!U157</x:f>
        <x:v>116.80000000000007</x:v>
      </x:c>
      <x:c r="AA157" t="n">
        <x: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x:f>
        <x:v>441.15226021313686</x:v>
      </x:c>
      <x:c r="AB157" t="n">
        <x:f>Scenario_Data!V157</x:f>
        <x:v>233.60000000000014</x:v>
      </x:c>
      <x:c r="AC157" t="n">
        <x: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x:f>
        <x:v>782.0432729637541</x:v>
      </x:c>
      <x:c r="AD157" t="n">
        <x:f>Scenario_Data!W157</x:f>
        <x:v>233.60000000000014</x:v>
      </x:c>
      <x:c r="AE157" t="n">
        <x: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x:f>
        <x:v>721.0186557267189</x:v>
      </x:c>
      <x:c r="AG157" t="n">
        <x:f>Scenario_Data!T157</x:f>
        <x:v>17.519999999999996</x:v>
      </x:c>
      <x:c r="AH157" t="n">
        <x:f>2*(SQRT((Inputs!$C$52+(Scenario_Data!B157))^2+Inputs!$C$52^2-2*(Inputs!$C$52+(Scenario_Data!B157))*Inputs!$C$52*COS(SQRT((Scenario_Data!T157)^2+Inputs!$C$6^2)/Inputs!$C$52))*1000)/Inputs!$C$21*1000000</x:f>
        <x:v>2680.526689218967</x:v>
      </x:c>
      <x:c r="AI157" t="n">
        <x:f>Scenario_Data!U157</x:f>
        <x:v>116.80000000000007</x:v>
      </x:c>
      <x:c r="AJ157" t="n">
        <x:f>2*(SQRT((Inputs!$C$52+(Scenario_Data!C157))^2+Inputs!$C$52^2-2*(Inputs!$C$52+(Scenario_Data!C157))*Inputs!$C$52*COS(SQRT((Scenario_Data!U157)^2+Inputs!$C$6^2)/Inputs!$C$52))*1000)/Inputs!$C$21*1000000</x:f>
        <x:v>925.2765339546444</x:v>
      </x:c>
      <x:c r="AK157" t="n">
        <x:f>Scenario_Data!V157</x:f>
        <x:v>233.60000000000014</x:v>
      </x:c>
      <x:c r="AL157" t="n">
        <x:f>2*(SQRT((Inputs!$C$52+(Scenario_Data!D157))^2+Inputs!$C$52^2-2*(Inputs!$C$52+(Scenario_Data!D157))*Inputs!$C$52*COS(SQRT((Scenario_Data!V157)^2+Inputs!$C$6^2)/Inputs!$C$52))*1000)/Inputs!$C$21*1000000</x:f>
        <x:v>1802.2819043727418</x:v>
      </x:c>
      <x:c r="AM157" t="n">
        <x:f>Scenario_Data!W157</x:f>
        <x:v>233.60000000000014</x:v>
      </x:c>
      <x:c r="AN157" t="n">
        <x:f>2*(SQRT((Inputs!$C$52+(Scenario_Data!E157))^2+Inputs!$C$52^2-2*(Inputs!$C$52+(Scenario_Data!E157))*Inputs!$C$52*COS(SQRT((Scenario_Data!W157)^2+Inputs!$C$6^2)/Inputs!$C$52))*1000)/Inputs!$C$21*1000000</x:f>
        <x:v>1772.5920499108024</x:v>
      </x:c>
      <x:c r="AP157" t="n">
        <x:f>Scenario_Data!T157</x:f>
        <x:v>17.519999999999996</x:v>
      </x:c>
      <x:c r="AQ157" t="n">
        <x: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x:f>
        <x:v>2677.7716485761302</x:v>
      </x:c>
      <x:c r="AR157" t="n">
        <x:f>Scenario_Data!U157</x:f>
        <x:v>116.80000000000007</x:v>
      </x:c>
      <x:c r="AS157" t="n">
        <x: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x:f>
        <x:v>924.8641481909997</x:v>
      </x:c>
      <x:c r="AT157" t="n">
        <x:f>Scenario_Data!V157</x:f>
        <x:v>233.60000000000014</x:v>
      </x:c>
      <x:c r="AU157" t="n">
        <x: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x:f>
        <x:v>1801.873071650149</x:v>
      </x:c>
      <x:c r="AV157" t="n">
        <x:f>Scenario_Data!W157</x:f>
        <x:v>233.60000000000014</x:v>
      </x:c>
      <x:c r="AW157" t="n">
        <x: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x:f>
        <x:v>1772.2146466917202</x:v>
      </x:c>
    </x:row>
    <x:row r="158">
      <x:c r="A158" t="n">
        <x:f>Chart_Data!K158</x:f>
        <x:v>18</x:v>
      </x:c>
      <x:c r="B158" t="n">
        <x:f>Chart_Data!N158-Chart_Data!L158</x:f>
        <x:v>-72.44552854443015</x:v>
      </x:c>
      <x:c r="D158" t="n">
        <x:f>Chart_Data!G158</x:f>
        <x:v>18</x:v>
      </x:c>
      <x:c r="E158" t="n">
        <x:f>Chart_Data!H158</x:f>
        <x:v>417.3671248555401</x:v>
      </x:c>
      <x:c r="F158" t="n">
        <x:f>Chart_Data!I158</x:f>
        <x:v>417.3671248555401</x:v>
      </x:c>
      <x:c r="G158" t="n">
        <x:f>Chart_Data!J158</x:f>
        <x:v>70.50298613715029</x:v>
      </x:c>
      <x:c r="I158" t="n">
        <x:f>Scenario_Data!A158</x:f>
        <x:v>0.3</x:v>
      </x:c>
      <x:c r="J158" t="n">
        <x:f>Scenario_Data!H158-(((SQRT((Inputs!$C$52+(Inputs!$H$6))^2+Inputs!$C$52^2-2*(Inputs!$C$52+(Inputs!$H$6))*Inputs!$C$52*COS(SQRT((Scenario_Data!T158)^2+Inputs!$C$6^2)/Inputs!$C$52)))-(Inputs!$H$6))*1000/Inputs!$C$12)</x:f>
        <x:v>-0.5956213488765343</x:v>
      </x:c>
      <x:c r="K158" t="n">
        <x:f>Scenario_Data!I158-(((SQRT((Inputs!$C$52+(Inputs!$H$7))^2+Inputs!$C$52^2-2*(Inputs!$C$52+(Inputs!$H$7))*Inputs!$C$52*COS(SQRT((Scenario_Data!U158)^2+Inputs!$C$6^2)/Inputs!$C$52)))-(Inputs!$H$7))*1000/Inputs!$C$12)</x:f>
        <x:v>-10799.871032643307</x:v>
      </x:c>
      <x:c r="L158" t="n">
        <x:f>Scenario_Data!J158-(((SQRT((Inputs!$C$52+(Inputs!$H$8))^2+Inputs!$C$52^2-2*(Inputs!$C$52+(Inputs!$H$8))*Inputs!$C$52*COS(SQRT((Scenario_Data!V158)^2+Inputs!$C$6^2)/Inputs!$C$52)))-(Inputs!$H$8))*1000/Inputs!$C$12)</x:f>
        <x:v>-30741.8141453946</x:v>
      </x:c>
      <x:c r="M158" t="n">
        <x:f>Scenario_Data!K158-(((SQRT((Inputs!$C$52+(Inputs!$H$9))^2+Inputs!$C$52^2-2*(Inputs!$C$52+(Inputs!$H$9))*Inputs!$C$52*COS(SQRT((Scenario_Data!W158)^2+Inputs!$C$6^2)/Inputs!$C$52)))-(Inputs!$H$9))*1000/Inputs!$C$12)</x:f>
        <x:v>-32650.140682705838</x:v>
      </x:c>
      <x:c r="O158" t="n">
        <x:f>Scenario_Data!T158</x:f>
        <x:v>18</x:v>
      </x:c>
      <x:c r="P158" t="n">
        <x:f>2*(Scenario_Data!B158*1000)/Inputs!$C$21*1000000</x:f>
        <x:v>2670.914423070643</x:v>
      </x:c>
      <x:c r="Q158" t="n">
        <x:f>Scenario_Data!U158</x:f>
        <x:v>120</x:v>
      </x:c>
      <x:c r="R158" t="n">
        <x:f>2*(Scenario_Data!C158*1000)/Inputs!$C$21*1000000</x:f>
        <x:v>452.64647718389233</x:v>
      </x:c>
      <x:c r="S158" t="n">
        <x:f>Scenario_Data!V158</x:f>
        <x:v>240</x:v>
      </x:c>
      <x:c r="T158" t="n">
        <x:f>2*(Scenario_Data!D158*1000)/Inputs!$C$21*1000000</x:f>
        <x:v>812.8956999978966</x:v>
      </x:c>
      <x:c r="U158" t="n">
        <x:f>Scenario_Data!W158</x:f>
        <x:v>240</x:v>
      </x:c>
      <x:c r="V158" t="n">
        <x:f>2*(Scenario_Data!E158*1000)/Inputs!$C$21*1000000</x:f>
        <x:v>752.1870346718329</x:v>
      </x:c>
      <x:c r="X158" t="n">
        <x:f>Scenario_Data!T158</x:f>
        <x:v>18</x:v>
      </x:c>
      <x:c r="Y158" t="n">
        <x: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x:f>
        <x:v>2670.444077775051</x:v>
      </x:c>
      <x:c r="Z158" t="n">
        <x:f>Scenario_Data!U158</x:f>
        <x:v>120</x:v>
      </x:c>
      <x:c r="AA158" t="n">
        <x: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x:f>
        <x:v>452.70768115682705</x:v>
      </x:c>
      <x:c r="AB158" t="n">
        <x:f>Scenario_Data!V158</x:f>
        <x:v>240</x:v>
      </x:c>
      <x:c r="AC158" t="n">
        <x: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x:f>
        <x:v>812.3078287201135</x:v>
      </x:c>
      <x:c r="AD158" t="n">
        <x:f>Scenario_Data!W158</x:f>
        <x:v>240</x:v>
      </x:c>
      <x:c r="AE158" t="n">
        <x: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x:f>
        <x:v>751.5991633940498</x:v>
      </x:c>
      <x:c r="AG158" t="n">
        <x:f>Scenario_Data!T158</x:f>
        <x:v>18</x:v>
      </x:c>
      <x:c r="AH158" t="n">
        <x:f>2*(SQRT((Inputs!$C$52+(Scenario_Data!B158))^2+Inputs!$C$52^2-2*(Inputs!$C$52+(Scenario_Data!B158))*Inputs!$C$52*COS(SQRT((Scenario_Data!T158)^2+Inputs!$C$6^2)/Inputs!$C$52))*1000)/Inputs!$C$21*1000000</x:f>
        <x:v>2680.8305268137187</x:v>
      </x:c>
      <x:c r="AI158" t="n">
        <x:f>Scenario_Data!U158</x:f>
        <x:v>120</x:v>
      </x:c>
      <x:c r="AJ158" t="n">
        <x:f>2*(SQRT((Inputs!$C$52+(Scenario_Data!C158))^2+Inputs!$C$52^2-2*(Inputs!$C$52+(Scenario_Data!C158))*Inputs!$C$52*COS(SQRT((Scenario_Data!U158)^2+Inputs!$C$6^2)/Inputs!$C$52))*1000)/Inputs!$C$21*1000000</x:f>
        <x:v>949.8959568514337</x:v>
      </x:c>
      <x:c r="AK158" t="n">
        <x:f>Scenario_Data!V158</x:f>
        <x:v>240</x:v>
      </x:c>
      <x:c r="AL158" t="n">
        <x:f>2*(SQRT((Inputs!$C$52+(Scenario_Data!D158))^2+Inputs!$C$52^2-2*(Inputs!$C$52+(Scenario_Data!D158))*Inputs!$C$52*COS(SQRT((Scenario_Data!V158)^2+Inputs!$C$6^2)/Inputs!$C$52))*1000)/Inputs!$C$21*1000000</x:f>
        <x:v>1857.1231620816707</x:v>
      </x:c>
      <x:c r="AM158" t="n">
        <x:f>Scenario_Data!W158</x:f>
        <x:v>240</x:v>
      </x:c>
      <x:c r="AN158" t="n">
        <x:f>2*(SQRT((Inputs!$C$52+(Scenario_Data!E158))^2+Inputs!$C$52^2-2*(Inputs!$C$52+(Scenario_Data!E158))*Inputs!$C$52*COS(SQRT((Scenario_Data!W158)^2+Inputs!$C$6^2)/Inputs!$C$52))*1000)/Inputs!$C$21*1000000</x:f>
        <x:v>1827.2421550832848</x:v>
      </x:c>
      <x:c r="AP158" t="n">
        <x:f>Scenario_Data!T158</x:f>
        <x:v>18</x:v>
      </x:c>
      <x:c r="AQ158" t="n">
        <x: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x:f>
        <x:v>2678.0591123143704</x:v>
      </x:c>
      <x:c r="AR158" t="n">
        <x:f>Scenario_Data!U158</x:f>
        <x:v>120</x:v>
      </x:c>
      <x:c r="AS158" t="n">
        <x: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x:f>
        <x:v>949.6945154062549</x:v>
      </x:c>
      <x:c r="AT158" t="n">
        <x:f>Scenario_Data!V158</x:f>
        <x:v>240</x:v>
      </x:c>
      <x:c r="AU158" t="n">
        <x: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x:f>
        <x:v>1856.7086148968674</x:v>
      </x:c>
      <x:c r="AV158" t="n">
        <x:f>Scenario_Data!W158</x:f>
        <x:v>240</x:v>
      </x:c>
      <x:c r="AW158" t="n">
        <x: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x:f>
        <x:v>1826.858082720953</x:v>
      </x:c>
    </x:row>
    <x:row r="159">
      <x:c r="A159" t="n">
        <x:f>Chart_Data!K159</x:f>
        <x:v>18.5</x:v>
      </x:c>
      <x:c r="B159" t="n">
        <x:f>Chart_Data!N159-Chart_Data!L159</x:f>
        <x:v>-86.1175150318557</x:v>
      </x:c>
      <x:c r="D159" t="n">
        <x:f>Chart_Data!G159</x:f>
        <x:v>18.5</x:v>
      </x:c>
      <x:c r="E159" t="n">
        <x:f>Chart_Data!H159</x:f>
        <x:v>414.03078360208366</x:v>
      </x:c>
      <x:c r="F159" t="n">
        <x:f>Chart_Data!I159</x:f>
        <x:v>414.03078360208366</x:v>
      </x:c>
      <x:c r="G159" t="n">
        <x:f>Chart_Data!J159</x:f>
        <x:v>84.15381309689964</x:v>
      </x:c>
      <x:c r="I159" t="n">
        <x:f>Scenario_Data!A159</x:f>
        <x:v>0.308</x:v>
      </x:c>
      <x:c r="J159" t="n">
        <x:f>Scenario_Data!H159-(((SQRT((Inputs!$C$52+(Inputs!$H$6))^2+Inputs!$C$52^2-2*(Inputs!$C$52+(Inputs!$H$6))*Inputs!$C$52*COS(SQRT((Scenario_Data!T159)^2+Inputs!$C$6^2)/Inputs!$C$52)))-(Inputs!$H$6))*1000/Inputs!$C$12)</x:f>
        <x:v>-0.6392930692547907</x:v>
      </x:c>
      <x:c r="K159" t="n">
        <x:f>Scenario_Data!I159-(((SQRT((Inputs!$C$52+(Inputs!$H$7))^2+Inputs!$C$52^2-2*(Inputs!$C$52+(Inputs!$H$7))*Inputs!$C$52*COS(SQRT((Scenario_Data!U159)^2+Inputs!$C$6^2)/Inputs!$C$52)))-(Inputs!$H$7))*1000/Inputs!$C$12)</x:f>
        <x:v>-11420.992588521869</x:v>
      </x:c>
      <x:c r="L159" t="n">
        <x:f>Scenario_Data!J159-(((SQRT((Inputs!$C$52+(Inputs!$H$8))^2+Inputs!$C$52^2-2*(Inputs!$C$52+(Inputs!$H$8))*Inputs!$C$52*COS(SQRT((Scenario_Data!V159)^2+Inputs!$C$6^2)/Inputs!$C$52)))-(Inputs!$H$8))*1000/Inputs!$C$12)</x:f>
        <x:v>-32283.3287901734</x:v>
      </x:c>
      <x:c r="M159" t="n">
        <x:f>Scenario_Data!K159-(((SQRT((Inputs!$C$52+(Inputs!$H$9))^2+Inputs!$C$52^2-2*(Inputs!$C$52+(Inputs!$H$9))*Inputs!$C$52*COS(SQRT((Scenario_Data!W159)^2+Inputs!$C$6^2)/Inputs!$C$52)))-(Inputs!$H$9))*1000/Inputs!$C$12)</x:f>
        <x:v>-34240.659083493854</x:v>
      </x:c>
      <x:c r="O159" t="n">
        <x:f>Scenario_Data!T159</x:f>
        <x:v>18.480000000000004</x:v>
      </x:c>
      <x:c r="P159" t="n">
        <x:f>2*(Scenario_Data!B159*1000)/Inputs!$C$21*1000000</x:f>
        <x:v>2671.0442195313667</x:v>
      </x:c>
      <x:c r="Q159" t="n">
        <x:f>Scenario_Data!U159</x:f>
        <x:v>123.20000000000005</x:v>
      </x:c>
      <x:c r="R159" t="n">
        <x:f>2*(Scenario_Data!C159*1000)/Inputs!$C$21*1000000</x:f>
        <x:v>464.49040422491237</x:v>
      </x:c>
      <x:c r="S159" t="n">
        <x:f>Scenario_Data!V159</x:f>
        <x:v>246.4000000000001</x:v>
      </x:c>
      <x:c r="T159" t="n">
        <x:f>2*(Scenario_Data!D159*1000)/Inputs!$C$21*1000000</x:f>
        <x:v>844.2090961474427</x:v>
      </x:c>
      <x:c r="U159" t="n">
        <x:f>Scenario_Data!W159</x:f>
        <x:v>246.4000000000001</x:v>
      </x:c>
      <x:c r="V159" t="n">
        <x:f>2*(Scenario_Data!E159*1000)/Inputs!$C$21*1000000</x:f>
        <x:v>783.8249219731875</x:v>
      </x:c>
      <x:c r="X159" t="n">
        <x:f>Scenario_Data!T159</x:f>
        <x:v>18.480000000000004</x:v>
      </x:c>
      <x:c r="Y159" t="n">
        <x: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x:f>
        <x:v>2670.5153353694513</x:v>
      </x:c>
      <x:c r="Z159" t="n">
        <x:f>Scenario_Data!U159</x:f>
        <x:v>123.20000000000005</x:v>
      </x:c>
      <x:c r="AA159" t="n">
        <x: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x:f>
        <x:v>464.3422104497147</x:v>
      </x:c>
      <x:c r="AB159" t="n">
        <x:f>Scenario_Data!V159</x:f>
        <x:v>246.4000000000001</x:v>
      </x:c>
      <x:c r="AC159" t="n">
        <x: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x:f>
        <x:v>843.990239909538</x:v>
      </x:c>
      <x:c r="AD159" t="n">
        <x:f>Scenario_Data!W159</x:f>
        <x:v>246.4000000000001</x:v>
      </x:c>
      <x:c r="AE159" t="n">
        <x: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x:f>
        <x:v>783.6060657352831</x:v>
      </x:c>
      <x:c r="AG159" t="n">
        <x:f>Scenario_Data!T159</x:f>
        <x:v>18.480000000000004</x:v>
      </x:c>
      <x:c r="AH159" t="n">
        <x:f>2*(SQRT((Inputs!$C$52+(Scenario_Data!B159))^2+Inputs!$C$52^2-2*(Inputs!$C$52+(Scenario_Data!B159))*Inputs!$C$52*COS(SQRT((Scenario_Data!T159)^2+Inputs!$C$6^2)/Inputs!$C$52))*1000)/Inputs!$C$21*1000000</x:f>
        <x:v>2681.1425499551765</x:v>
      </x:c>
      <x:c r="AI159" t="n">
        <x:f>Scenario_Data!U159</x:f>
        <x:v>123.20000000000005</x:v>
      </x:c>
      <x:c r="AJ159" t="n">
        <x:f>2*(SQRT((Inputs!$C$52+(Scenario_Data!C159))^2+Inputs!$C$52^2-2*(Inputs!$C$52+(Scenario_Data!C159))*Inputs!$C$52*COS(SQRT((Scenario_Data!U159)^2+Inputs!$C$6^2)/Inputs!$C$52))*1000)/Inputs!$C$21*1000000</x:f>
        <x:v>974.7145021127182</x:v>
      </x:c>
      <x:c r="AK159" t="n">
        <x:f>Scenario_Data!V159</x:f>
        <x:v>246.4000000000001</x:v>
      </x:c>
      <x:c r="AL159" t="n">
        <x:f>2*(SQRT((Inputs!$C$52+(Scenario_Data!D159))^2+Inputs!$C$52^2-2*(Inputs!$C$52+(Scenario_Data!D159))*Inputs!$C$52*COS(SQRT((Scenario_Data!V159)^2+Inputs!$C$6^2)/Inputs!$C$52))*1000)/Inputs!$C$21*1000000</x:f>
        <x:v>1912.5218325119242</x:v>
      </x:c>
      <x:c r="AM159" t="n">
        <x:f>Scenario_Data!W159</x:f>
        <x:v>246.4000000000001</x:v>
      </x:c>
      <x:c r="AN159" t="n">
        <x:f>2*(SQRT((Inputs!$C$52+(Scenario_Data!E159))^2+Inputs!$C$52^2-2*(Inputs!$C$52+(Scenario_Data!E159))*Inputs!$C$52*COS(SQRT((Scenario_Data!W159)^2+Inputs!$C$6^2)/Inputs!$C$52))*1000)/Inputs!$C$21*1000000</x:f>
        <x:v>1882.4543117385992</x:v>
      </x:c>
      <x:c r="AP159" t="n">
        <x:f>Scenario_Data!T159</x:f>
        <x:v>18.480000000000004</x:v>
      </x:c>
      <x:c r="AQ159" t="n">
        <x: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x:f>
        <x:v>2678.324896242484</x:v>
      </x:c>
      <x:c r="AR159" t="n">
        <x:f>Scenario_Data!U159</x:f>
        <x:v>123.20000000000005</x:v>
      </x:c>
      <x:c r="AS159" t="n">
        <x: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x:f>
        <x:v>974.4855341929169</x:v>
      </x:c>
      <x:c r="AT159" t="n">
        <x:f>Scenario_Data!V159</x:f>
        <x:v>246.4000000000001</x:v>
      </x:c>
      <x:c r="AU159" t="n">
        <x: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x:f>
        <x:v>1912.259873742373</x:v>
      </x:c>
      <x:c r="AV159" t="n">
        <x:f>Scenario_Data!W159</x:f>
        <x:v>246.4000000000001</x:v>
      </x:c>
      <x:c r="AW159" t="n">
        <x: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x:f>
        <x:v>1882.210761089762</x:v>
      </x:c>
    </x:row>
    <x:row r="160">
      <x:c r="A160" t="n">
        <x:f>Chart_Data!K160</x:f>
        <x:v>19</x:v>
      </x:c>
      <x:c r="B160" t="n">
        <x:f>Chart_Data!N160-Chart_Data!L160</x:f>
        <x:v>-89.87063812898208</x:v>
      </x:c>
      <x:c r="D160" t="n">
        <x:f>Chart_Data!G160</x:f>
        <x:v>19</x:v>
      </x:c>
      <x:c r="E160" t="n">
        <x:f>Chart_Data!H160</x:f>
        <x:v>429.33926339108206</x:v>
      </x:c>
      <x:c r="F160" t="n">
        <x:f>Chart_Data!I160</x:f>
        <x:v>429.33926339108206</x:v>
      </x:c>
      <x:c r="G160" t="n">
        <x:f>Chart_Data!J160</x:f>
        <x:v>87.79516149602648</x:v>
      </x:c>
      <x:c r="I160" t="n">
        <x:f>Scenario_Data!A160</x:f>
        <x:v>0.317</x:v>
      </x:c>
      <x:c r="J160" t="n">
        <x:f>Scenario_Data!H160-(((SQRT((Inputs!$C$52+(Inputs!$H$6))^2+Inputs!$C$52^2-2*(Inputs!$C$52+(Inputs!$H$6))*Inputs!$C$52*COS(SQRT((Scenario_Data!T160)^2+Inputs!$C$6^2)/Inputs!$C$52)))-(Inputs!$H$6))*1000/Inputs!$C$12)</x:f>
        <x:v>-0.6912607618419315</x:v>
      </x:c>
      <x:c r="K160" t="n">
        <x:f>Scenario_Data!I160-(((SQRT((Inputs!$C$52+(Inputs!$H$7))^2+Inputs!$C$52^2-2*(Inputs!$C$52+(Inputs!$H$7))*Inputs!$C$52*COS(SQRT((Scenario_Data!U160)^2+Inputs!$C$6^2)/Inputs!$C$52)))-(Inputs!$H$7))*1000/Inputs!$C$12)</x:f>
        <x:v>-12136.776407525518</x:v>
      </x:c>
      <x:c r="L160" t="n">
        <x:f>Scenario_Data!J160-(((SQRT((Inputs!$C$52+(Inputs!$H$8))^2+Inputs!$C$52^2-2*(Inputs!$C$52+(Inputs!$H$8))*Inputs!$C$52*COS(SQRT((Scenario_Data!V160)^2+Inputs!$C$6^2)/Inputs!$C$52)))-(Inputs!$H$8))*1000/Inputs!$C$12)</x:f>
        <x:v>-34046.04194794646</x:v>
      </x:c>
      <x:c r="M160" t="n">
        <x:f>Scenario_Data!K160-(((SQRT((Inputs!$C$52+(Inputs!$H$9))^2+Inputs!$C$52^2-2*(Inputs!$C$52+(Inputs!$H$9))*Inputs!$C$52*COS(SQRT((Scenario_Data!W160)^2+Inputs!$C$6^2)/Inputs!$C$52)))-(Inputs!$H$9))*1000/Inputs!$C$12)</x:f>
        <x:v>-36057.79176290192</x:v>
      </x:c>
      <x:c r="O160" t="n">
        <x:f>Scenario_Data!T160</x:f>
        <x:v>19.019999999999996</x:v>
      </x:c>
      <x:c r="P160" t="n">
        <x:f>2*(Scenario_Data!B160*1000)/Inputs!$C$21*1000000</x:f>
        <x:v>2671.194323374206</x:v>
      </x:c>
      <x:c r="Q160" t="n">
        <x:f>Scenario_Data!U160</x:f>
        <x:v>126.79999999999995</x:v>
      </x:c>
      <x:c r="R160" t="n">
        <x:f>2*(Scenario_Data!C160*1000)/Inputs!$C$21*1000000</x:f>
        <x:v>478.18737988398607</x:v>
      </x:c>
      <x:c r="S160" t="n">
        <x:f>Scenario_Data!V160</x:f>
        <x:v>253.5999999999999</x:v>
      </x:c>
      <x:c r="T160" t="n">
        <x:f>2*(Scenario_Data!D160*1000)/Inputs!$C$21*1000000</x:f>
        <x:v>880.421648232391</x:v>
      </x:c>
      <x:c r="U160" t="n">
        <x:f>Scenario_Data!W160</x:f>
        <x:v>253.5999999999999</x:v>
      </x:c>
      <x:c r="V160" t="n">
        <x:f>2*(Scenario_Data!E160*1000)/Inputs!$C$21*1000000</x:f>
        <x:v>820.4127336652341</x:v>
      </x:c>
      <x:c r="X160" t="n">
        <x:f>Scenario_Data!T160</x:f>
        <x:v>19.019999999999996</x:v>
      </x:c>
      <x:c r="Y160" t="n">
        <x: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x:f>
        <x:v>2670.7374273408423</x:v>
      </x:c>
      <x:c r="Z160" t="n">
        <x:f>Scenario_Data!U160</x:f>
        <x:v>126.79999999999995</x:v>
      </x:c>
      <x:c r="AA160" t="n">
        <x: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x:f>
        <x:v>477.97385498477803</x:v>
      </x:c>
      <x:c r="AB160" t="n">
        <x:f>Scenario_Data!V160</x:f>
        <x:v>253.5999999999999</x:v>
      </x:c>
      <x:c r="AC160" t="n">
        <x: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x:f>
        <x:v>880.1287937053022</x:v>
      </x:c>
      <x:c r="AD160" t="n">
        <x:f>Scenario_Data!W160</x:f>
        <x:v>253.5999999999999</x:v>
      </x:c>
      <x:c r="AE160" t="n">
        <x: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x:f>
        <x:v>820.1198791381454</x:v>
      </x:c>
      <x:c r="AG160" t="n">
        <x:f>Scenario_Data!T160</x:f>
        <x:v>19.019999999999996</x:v>
      </x:c>
      <x:c r="AH160" t="n">
        <x:f>2*(SQRT((Inputs!$C$52+(Scenario_Data!B160))^2+Inputs!$C$52^2-2*(Inputs!$C$52+(Scenario_Data!B160))*Inputs!$C$52*COS(SQRT((Scenario_Data!T160)^2+Inputs!$C$6^2)/Inputs!$C$52))*1000)/Inputs!$C$21*1000000</x:f>
        <x:v>2681.5033576678143</x:v>
      </x:c>
      <x:c r="AI160" t="n">
        <x:f>Scenario_Data!U160</x:f>
        <x:v>126.79999999999995</x:v>
      </x:c>
      <x:c r="AJ160" t="n">
        <x:f>2*(SQRT((Inputs!$C$52+(Scenario_Data!C160))^2+Inputs!$C$52^2-2*(Inputs!$C$52+(Scenario_Data!C160))*Inputs!$C$52*COS(SQRT((Scenario_Data!U160)^2+Inputs!$C$6^2)/Inputs!$C$52))*1000)/Inputs!$C$21*1000000</x:f>
        <x:v>1002.8724909144175</x:v>
      </x:c>
      <x:c r="AK160" t="n">
        <x:f>Scenario_Data!V160</x:f>
        <x:v>253.5999999999999</x:v>
      </x:c>
      <x:c r="AL160" t="n">
        <x:f>2*(SQRT((Inputs!$C$52+(Scenario_Data!D160))^2+Inputs!$C$52^2-2*(Inputs!$C$52+(Scenario_Data!D160))*Inputs!$C$52*COS(SQRT((Scenario_Data!V160)^2+Inputs!$C$6^2)/Inputs!$C$52))*1000)/Inputs!$C$21*1000000</x:f>
        <x:v>1975.5218318440923</x:v>
      </x:c>
      <x:c r="AM160" t="n">
        <x:f>Scenario_Data!W160</x:f>
        <x:v>253.5999999999999</x:v>
      </x:c>
      <x:c r="AN160" t="n">
        <x:f>2*(SQRT((Inputs!$C$52+(Scenario_Data!E160))^2+Inputs!$C$52^2-2*(Inputs!$C$52+(Scenario_Data!E160))*Inputs!$C$52*COS(SQRT((Scenario_Data!W160)^2+Inputs!$C$6^2)/Inputs!$C$52))*1000)/Inputs!$C$21*1000000</x:f>
        <x:v>1945.2511482815198</x:v>
      </x:c>
      <x:c r="AP160" t="n">
        <x:f>Scenario_Data!T160</x:f>
        <x:v>19.019999999999996</x:v>
      </x:c>
      <x:c r="AQ160" t="n">
        <x: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x:f>
        <x:v>2678.760343194256</x:v>
      </x:c>
      <x:c r="AR160" t="n">
        <x:f>Scenario_Data!U160</x:f>
        <x:v>126.79999999999995</x:v>
      </x:c>
      <x:c r="AS160" t="n">
        <x: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x:f>
        <x:v>1002.4378207984545</x:v>
      </x:c>
      <x:c r="AT160" t="n">
        <x:f>Scenario_Data!V160</x:f>
        <x:v>253.5999999999999</x:v>
      </x:c>
      <x:c r="AU160" t="n">
        <x: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x:f>
        <x:v>1975.1014147397316</x:v>
      </x:c>
      <x:c r="AV160" t="n">
        <x:f>Scenario_Data!W160</x:f>
        <x:v>253.5999999999999</x:v>
      </x:c>
      <x:c r="AW160" t="n">
        <x: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x:f>
        <x:v>1944.858837742305</x:v>
      </x:c>
    </x:row>
    <x:row r="161">
      <x:c r="A161" t="n">
        <x:f>Chart_Data!K161</x:f>
        <x:v>19.5</x:v>
      </x:c>
      <x:c r="B161" t="n">
        <x:f>Chart_Data!N161-Chart_Data!L161</x:f>
        <x:v>-82.23751612797241</x:v>
      </x:c>
      <x:c r="D161" t="n">
        <x:f>Chart_Data!G161</x:f>
        <x:v>19.5</x:v>
      </x:c>
      <x:c r="E161" t="n">
        <x:f>Chart_Data!H161</x:f>
        <x:v>436.66425250955575</x:v>
      </x:c>
      <x:c r="F161" t="n">
        <x:f>Chart_Data!I161</x:f>
        <x:v>436.66425250955575</x:v>
      </x:c>
      <x:c r="G161" t="n">
        <x:f>Chart_Data!J161</x:f>
        <x:v>80.08578782325549</x:v>
      </x:c>
      <x:c r="I161" t="n">
        <x:f>Scenario_Data!A161</x:f>
        <x:v>0.325</x:v>
      </x:c>
      <x:c r="J161" t="n">
        <x:f>Scenario_Data!H161-(((SQRT((Inputs!$C$52+(Inputs!$H$6))^2+Inputs!$C$52^2-2*(Inputs!$C$52+(Inputs!$H$6))*Inputs!$C$52*COS(SQRT((Scenario_Data!T161)^2+Inputs!$C$6^2)/Inputs!$C$52)))-(Inputs!$H$6))*1000/Inputs!$C$12)</x:f>
        <x:v>-0.7400807499819848</x:v>
      </x:c>
      <x:c r="K161" t="n">
        <x:f>Scenario_Data!I161-(((SQRT((Inputs!$C$52+(Inputs!$H$7))^2+Inputs!$C$52^2-2*(Inputs!$C$52+(Inputs!$H$7))*Inputs!$C$52*COS(SQRT((Scenario_Data!U161)^2+Inputs!$C$6^2)/Inputs!$C$52)))-(Inputs!$H$7))*1000/Inputs!$C$12)</x:f>
        <x:v>-12787.842801368242</x:v>
      </x:c>
      <x:c r="L161" t="n">
        <x:f>Scenario_Data!J161-(((SQRT((Inputs!$C$52+(Inputs!$H$8))^2+Inputs!$C$52^2-2*(Inputs!$C$52+(Inputs!$H$8))*Inputs!$C$52*COS(SQRT((Scenario_Data!V161)^2+Inputs!$C$6^2)/Inputs!$C$52)))-(Inputs!$H$8))*1000/Inputs!$C$12)</x:f>
        <x:v>-35637.24050020533</x:v>
      </x:c>
      <x:c r="M161" t="n">
        <x:f>Scenario_Data!K161-(((SQRT((Inputs!$C$52+(Inputs!$H$9))^2+Inputs!$C$52^2-2*(Inputs!$C$52+(Inputs!$H$9))*Inputs!$C$52*COS(SQRT((Scenario_Data!W161)^2+Inputs!$C$6^2)/Inputs!$C$52)))-(Inputs!$H$9))*1000/Inputs!$C$12)</x:f>
        <x:v>-37696.722160192</x:v>
      </x:c>
      <x:c r="O161" t="n">
        <x:f>Scenario_Data!T161</x:f>
        <x:v>19.5</x:v>
      </x:c>
      <x:c r="P161" t="n">
        <x:f>2*(Scenario_Data!B161*1000)/Inputs!$C$21*1000000</x:f>
        <x:v>2671.331378189641</x:v>
      </x:c>
      <x:c r="Q161" t="n">
        <x:f>Scenario_Data!U161</x:f>
        <x:v>130</x:v>
      </x:c>
      <x:c r="R161" t="n">
        <x:f>2*(Scenario_Data!C161*1000)/Inputs!$C$21*1000000</x:f>
        <x:v>490.6936317924316</x:v>
      </x:c>
      <x:c r="S161" t="n">
        <x:f>Scenario_Data!V161</x:f>
        <x:v>260</x:v>
      </x:c>
      <x:c r="T161" t="n">
        <x:f>2*(Scenario_Data!D161*1000)/Inputs!$C$21*1000000</x:f>
        <x:v>913.4861224560894</x:v>
      </x:c>
      <x:c r="U161" t="n">
        <x:f>Scenario_Data!W161</x:f>
        <x:v>260</x:v>
      </x:c>
      <x:c r="V161" t="n">
        <x:f>2*(Scenario_Data!E161*1000)/Inputs!$C$21*1000000</x:f>
        <x:v>853.8198449275199</x:v>
      </x:c>
      <x:c r="X161" t="n">
        <x:f>Scenario_Data!T161</x:f>
        <x:v>19.5</x:v>
      </x:c>
      <x:c r="Y161" t="n">
        <x: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x:f>
        <x:v>2670.797103322571</x:v>
      </x:c>
      <x:c r="Z161" t="n">
        <x:f>Scenario_Data!U161</x:f>
        <x:v>130</x:v>
      </x:c>
      <x:c r="AA161" t="n">
        <x: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x:f>
        <x:v>490.4820935126106</x:v>
      </x:c>
      <x:c r="AB161" t="n">
        <x:f>Scenario_Data!V161</x:f>
        <x:v>260</x:v>
      </x:c>
      <x:c r="AC161" t="n">
        <x: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x:f>
        <x:v>913.1515395520814</x:v>
      </x:c>
      <x:c r="AD161" t="n">
        <x:f>Scenario_Data!W161</x:f>
        <x:v>260</x:v>
      </x:c>
      <x:c r="AE161" t="n">
        <x: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x:f>
        <x:v>853.485262023512</x:v>
      </x:c>
      <x:c r="AG161" t="n">
        <x:f>Scenario_Data!T161</x:f>
        <x:v>19.5</x:v>
      </x:c>
      <x:c r="AH161" t="n">
        <x:f>2*(SQRT((Inputs!$C$52+(Scenario_Data!B161))^2+Inputs!$C$52^2-2*(Inputs!$C$52+(Scenario_Data!B161))*Inputs!$C$52*COS(SQRT((Scenario_Data!T161)^2+Inputs!$C$6^2)/Inputs!$C$52))*1000)/Inputs!$C$21*1000000</x:f>
        <x:v>2681.8327680804646</x:v>
      </x:c>
      <x:c r="AI161" t="n">
        <x:f>Scenario_Data!U161</x:f>
        <x:v>130</x:v>
      </x:c>
      <x:c r="AJ161" t="n">
        <x:f>2*(SQRT((Inputs!$C$52+(Scenario_Data!C161))^2+Inputs!$C$52^2-2*(Inputs!$C$52+(Scenario_Data!C161))*Inputs!$C$52*COS(SQRT((Scenario_Data!U161)^2+Inputs!$C$6^2)/Inputs!$C$52))*1000)/Inputs!$C$21*1000000</x:f>
        <x:v>1028.1121624339564</x:v>
      </x:c>
      <x:c r="AK161" t="n">
        <x:f>Scenario_Data!V161</x:f>
        <x:v>260</x:v>
      </x:c>
      <x:c r="AL161" t="n">
        <x:f>2*(SQRT((Inputs!$C$52+(Scenario_Data!D161))^2+Inputs!$C$52^2-2*(Inputs!$C$52+(Scenario_Data!D161))*Inputs!$C$52*COS(SQRT((Scenario_Data!V161)^2+Inputs!$C$6^2)/Inputs!$C$52))*1000)/Inputs!$C$21*1000000</x:f>
        <x:v>2032.132269523135</x:v>
      </x:c>
      <x:c r="AM161" t="n">
        <x:f>Scenario_Data!W161</x:f>
        <x:v>260</x:v>
      </x:c>
      <x:c r="AN161" t="n">
        <x:f>2*(SQRT((Inputs!$C$52+(Scenario_Data!E161))^2+Inputs!$C$52^2-2*(Inputs!$C$52+(Scenario_Data!E161))*Inputs!$C$52*COS(SQRT((Scenario_Data!W161)^2+Inputs!$C$6^2)/Inputs!$C$52))*1000)/Inputs!$C$21*1000000</x:f>
        <x:v>2001.6878257232431</x:v>
      </x:c>
      <x:c r="AP161" t="n">
        <x:f>Scenario_Data!T161</x:f>
        <x:v>19.5</x:v>
      </x:c>
      <x:c r="AQ161" t="n">
        <x: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x:f>
        <x:v>2678.934012540692</x:v>
      </x:c>
      <x:c r="AR161" t="n">
        <x:f>Scenario_Data!U161</x:f>
        <x:v>130</x:v>
      </x:c>
      <x:c r="AS161" t="n">
        <x: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x:f>
        <x:v>1027.5870587413654</x:v>
      </x:c>
      <x:c r="AT161" t="n">
        <x:f>Scenario_Data!V161</x:f>
        <x:v>260</x:v>
      </x:c>
      <x:c r="AU161" t="n">
        <x: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x:f>
        <x:v>2031.7985558053063</x:v>
      </x:c>
      <x:c r="AV161" t="n">
        <x:f>Scenario_Data!W161</x:f>
        <x:v>260</x:v>
      </x:c>
      <x:c r="AW161" t="n">
        <x: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x:f>
        <x:v>2001.3754442363258</x:v>
      </x:c>
    </x:row>
    <x:row r="162">
      <x:c r="A162" t="n">
        <x:f>Chart_Data!K162</x:f>
        <x:v>20</x:v>
      </x:c>
      <x:c r="B162" t="n">
        <x:f>Chart_Data!N162-Chart_Data!L162</x:f>
        <x:v>-76.53704728655714</x:v>
      </x:c>
      <x:c r="D162" t="n">
        <x:f>Chart_Data!G162</x:f>
        <x:v>20</x:v>
      </x:c>
      <x:c r="E162" t="n">
        <x:f>Chart_Data!H162</x:f>
        <x:v>439.0113020882822</x:v>
      </x:c>
      <x:c r="F162" t="n">
        <x:f>Chart_Data!I162</x:f>
        <x:v>439.0113020882822</x:v>
      </x:c>
      <x:c r="G162" t="n">
        <x:f>Chart_Data!J162</x:f>
        <x:v>74.33166863889775</x:v>
      </x:c>
      <x:c r="I162" t="n">
        <x:f>Scenario_Data!A162</x:f>
        <x:v>0.333</x:v>
      </x:c>
      <x:c r="J162" t="n">
        <x:f>Scenario_Data!H162-(((SQRT((Inputs!$C$52+(Inputs!$H$6))^2+Inputs!$C$52^2-2*(Inputs!$C$52+(Inputs!$H$6))*Inputs!$C$52*COS(SQRT((Scenario_Data!T162)^2+Inputs!$C$6^2)/Inputs!$C$52)))-(Inputs!$H$6))*1000/Inputs!$C$12)</x:f>
        <x:v>-0.791473780832689</x:v>
      </x:c>
      <x:c r="K162" t="n">
        <x:f>Scenario_Data!I162-(((SQRT((Inputs!$C$52+(Inputs!$H$7))^2+Inputs!$C$52^2-2*(Inputs!$C$52+(Inputs!$H$7))*Inputs!$C$52*COS(SQRT((Scenario_Data!U162)^2+Inputs!$C$6^2)/Inputs!$C$52)))-(Inputs!$H$7))*1000/Inputs!$C$12)</x:f>
        <x:v>-13452.557524737189</x:v>
      </x:c>
      <x:c r="L162" t="n">
        <x:f>Scenario_Data!J162-(((SQRT((Inputs!$C$52+(Inputs!$H$8))^2+Inputs!$C$52^2-2*(Inputs!$C$52+(Inputs!$H$8))*Inputs!$C$52*COS(SQRT((Scenario_Data!V162)^2+Inputs!$C$6^2)/Inputs!$C$52)))-(Inputs!$H$8))*1000/Inputs!$C$12)</x:f>
        <x:v>-37250.42865196265</x:v>
      </x:c>
      <x:c r="M162" t="n">
        <x:f>Scenario_Data!K162-(((SQRT((Inputs!$C$52+(Inputs!$H$9))^2+Inputs!$C$52^2-2*(Inputs!$C$52+(Inputs!$H$9))*Inputs!$C$52*COS(SQRT((Scenario_Data!W162)^2+Inputs!$C$6^2)/Inputs!$C$52)))-(Inputs!$H$9))*1000/Inputs!$C$12)</x:f>
        <x:v>-39357.029917001244</x:v>
      </x:c>
      <x:c r="O162" t="n">
        <x:f>Scenario_Data!T162</x:f>
        <x:v>19.980000000000004</x:v>
      </x:c>
      <x:c r="P162" t="n">
        <x:f>2*(Scenario_Data!B162*1000)/Inputs!$C$21*1000000</x:f>
        <x:v>2671.4718487014106</x:v>
      </x:c>
      <x:c r="Q162" t="n">
        <x:f>Scenario_Data!U162</x:f>
        <x:v>133.19999999999993</x:v>
      </x:c>
      <x:c r="R162" t="n">
        <x:f>2*(Scenario_Data!C162*1000)/Inputs!$C$21*1000000</x:f>
        <x:v>503.51156599142973</x:v>
      </x:c>
      <x:c r="S162" t="n">
        <x:f>Scenario_Data!V162</x:f>
        <x:v>266.39999999999986</x:v>
      </x:c>
      <x:c r="T162" t="n">
        <x:f>2*(Scenario_Data!D162*1000)/Inputs!$C$21*1000000</x:f>
        <x:v>947.3746334205639</x:v>
      </x:c>
      <x:c r="U162" t="n">
        <x:f>Scenario_Data!W162</x:f>
        <x:v>266.39999999999986</x:v>
      </x:c>
      <x:c r="V162" t="n">
        <x:f>2*(Scenario_Data!E162*1000)/Inputs!$C$21*1000000</x:f>
        <x:v>888.059532171419</x:v>
      </x:c>
      <x:c r="X162" t="n">
        <x:f>Scenario_Data!T162</x:f>
        <x:v>19.980000000000004</x:v>
      </x:c>
      <x:c r="Y162" t="n">
        <x: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x:f>
        <x:v>2670.9787828596327</x:v>
      </x:c>
      <x:c r="Z162" t="n">
        <x:f>Scenario_Data!U162</x:f>
        <x:v>133.19999999999993</x:v>
      </x:c>
      <x:c r="AA162" t="n">
        <x: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x:f>
        <x:v>503.19758645294866</x:v>
      </x:c>
      <x:c r="AB162" t="n">
        <x:f>Scenario_Data!V162</x:f>
        <x:v>266.39999999999986</x:v>
      </x:c>
      <x:c r="AC162" t="n">
        <x: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x:f>
        <x:v>947.335274155724</x:v>
      </x:c>
      <x:c r="AD162" t="n">
        <x:f>Scenario_Data!W162</x:f>
        <x:v>266.39999999999986</x:v>
      </x:c>
      <x:c r="AE162" t="n">
        <x: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x:f>
        <x:v>888.0201729065793</x:v>
      </x:c>
      <x:c r="AG162" t="n">
        <x:f>Scenario_Data!T162</x:f>
        <x:v>19.980000000000004</x:v>
      </x:c>
      <x:c r="AH162" t="n">
        <x:f>2*(SQRT((Inputs!$C$52+(Scenario_Data!B162))^2+Inputs!$C$52^2-2*(Inputs!$C$52+(Scenario_Data!B162))*Inputs!$C$52*COS(SQRT((Scenario_Data!T162)^2+Inputs!$C$6^2)/Inputs!$C$52))*1000)/Inputs!$C$21*1000000</x:f>
        <x:v>2682.170357321432</x:v>
      </x:c>
      <x:c r="AI162" t="n">
        <x:f>Scenario_Data!U162</x:f>
        <x:v>133.19999999999993</x:v>
      </x:c>
      <x:c r="AJ162" t="n">
        <x:f>2*(SQRT((Inputs!$C$52+(Scenario_Data!C162))^2+Inputs!$C$52^2-2*(Inputs!$C$52+(Scenario_Data!C162))*Inputs!$C$52*COS(SQRT((Scenario_Data!U162)^2+Inputs!$C$6^2)/Inputs!$C$52))*1000)/Inputs!$C$21*1000000</x:f>
        <x:v>1053.5497018470367</x:v>
      </x:c>
      <x:c r="AK162" t="n">
        <x:f>Scenario_Data!V162</x:f>
        <x:v>266.39999999999986</x:v>
      </x:c>
      <x:c r="AL162" t="n">
        <x:f>2*(SQRT((Inputs!$C$52+(Scenario_Data!D162))^2+Inputs!$C$52^2-2*(Inputs!$C$52+(Scenario_Data!D162))*Inputs!$C$52*COS(SQRT((Scenario_Data!V162)^2+Inputs!$C$6^2)/Inputs!$C$52))*1000)/Inputs!$C$21*1000000</x:f>
        <x:v>2089.3258107719435</x:v>
      </x:c>
      <x:c r="AM162" t="n">
        <x:f>Scenario_Data!W162</x:f>
        <x:v>266.39999999999986</x:v>
      </x:c>
      <x:c r="AN162" t="n">
        <x:f>2*(SQRT((Inputs!$C$52+(Scenario_Data!E162))^2+Inputs!$C$52^2-2*(Inputs!$C$52+(Scenario_Data!E162))*Inputs!$C$52*COS(SQRT((Scenario_Data!W162)^2+Inputs!$C$6^2)/Inputs!$C$52))*1000)/Inputs!$C$21*1000000</x:f>
        <x:v>2058.7148075309083</x:v>
      </x:c>
      <x:c r="AP162" t="n">
        <x:f>Scenario_Data!T162</x:f>
        <x:v>19.980000000000004</x:v>
      </x:c>
      <x:c r="AQ162" t="n">
        <x: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x:f>
        <x:v>2679.273151773947</x:v>
      </x:c>
      <x:c r="AR162" t="n">
        <x:f>Scenario_Data!U162</x:f>
        <x:v>133.19999999999993</x:v>
      </x:c>
      <x:c r="AS162" t="n">
        <x: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x:f>
        <x:v>1053.0619961686768</x:v>
      </x:c>
      <x:c r="AT162" t="n">
        <x:f>Scenario_Data!V162</x:f>
        <x:v>266.39999999999986</x:v>
      </x:c>
      <x:c r="AU162" t="n">
        <x: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x:f>
        <x:v>2089.0735031949753</x:v>
      </x:c>
      <x:c r="AV162" t="n">
        <x:f>Scenario_Data!W162</x:f>
        <x:v>266.39999999999986</x:v>
      </x:c>
      <x:c r="AW162" t="n">
        <x: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x:f>
        <x:v>2058.477922917945</x:v>
      </x:c>
    </x:row>
    <x:row r="163">
      <x:c r="A163" t="n">
        <x:f>Chart_Data!K163</x:f>
        <x:v>20.5</x:v>
      </x:c>
      <x:c r="B163" t="n">
        <x:f>Chart_Data!N163-Chart_Data!L163</x:f>
        <x:v>-79.34560005519478</x:v>
      </x:c>
      <x:c r="D163" t="n">
        <x:f>Chart_Data!G163</x:f>
        <x:v>20.5</x:v>
      </x:c>
      <x:c r="E163" t="n">
        <x:f>Chart_Data!H163</x:f>
        <x:v>441.7637232897853</x:v>
      </x:c>
      <x:c r="F163" t="n">
        <x:f>Chart_Data!I163</x:f>
        <x:v>441.7637232897853</x:v>
      </x:c>
      <x:c r="G163" t="n">
        <x:f>Chart_Data!J163</x:f>
        <x:v>77.08298836787891</x:v>
      </x:c>
      <x:c r="I163" t="n">
        <x:f>Scenario_Data!A163</x:f>
        <x:v>0.342</x:v>
      </x:c>
      <x:c r="J163" t="n">
        <x:f>Scenario_Data!H163-(((SQRT((Inputs!$C$52+(Inputs!$H$6))^2+Inputs!$C$52^2-2*(Inputs!$C$52+(Inputs!$H$6))*Inputs!$C$52*COS(SQRT((Scenario_Data!T163)^2+Inputs!$C$6^2)/Inputs!$C$52)))-(Inputs!$H$6))*1000/Inputs!$C$12)</x:f>
        <x:v>-0.8524904108952569</x:v>
      </x:c>
      <x:c r="K163" t="n">
        <x:f>Scenario_Data!I163-(((SQRT((Inputs!$C$52+(Inputs!$H$7))^2+Inputs!$C$52^2-2*(Inputs!$C$52+(Inputs!$H$7))*Inputs!$C$52*COS(SQRT((Scenario_Data!U163)^2+Inputs!$C$6^2)/Inputs!$C$52)))-(Inputs!$H$7))*1000/Inputs!$C$12)</x:f>
        <x:v>-14216.328265502132</x:v>
      </x:c>
      <x:c r="L163" t="n">
        <x:f>Scenario_Data!J163-(((SQRT((Inputs!$C$52+(Inputs!$H$8))^2+Inputs!$C$52^2-2*(Inputs!$C$52+(Inputs!$H$8))*Inputs!$C$52*COS(SQRT((Scenario_Data!V163)^2+Inputs!$C$6^2)/Inputs!$C$52)))-(Inputs!$H$8))*1000/Inputs!$C$12)</x:f>
        <x:v>-39090.47273823073</x:v>
      </x:c>
      <x:c r="M163" t="n">
        <x:f>Scenario_Data!K163-(((SQRT((Inputs!$C$52+(Inputs!$H$9))^2+Inputs!$C$52^2-2*(Inputs!$C$52+(Inputs!$H$9))*Inputs!$C$52*COS(SQRT((Scenario_Data!W163)^2+Inputs!$C$6^2)/Inputs!$C$52)))-(Inputs!$H$9))*1000/Inputs!$C$12)</x:f>
        <x:v>-41249.34202215604</x:v>
      </x:c>
      <x:c r="O163" t="n">
        <x:f>Scenario_Data!T163</x:f>
        <x:v>20.52000000000001</x:v>
      </x:c>
      <x:c r="P163" t="n">
        <x:f>2*(Scenario_Data!B163*1000)/Inputs!$C$21*1000000</x:f>
        <x:v>2671.633960851677</x:v>
      </x:c>
      <x:c r="Q163" t="n">
        <x:f>Scenario_Data!U163</x:f>
        <x:v>136.80000000000007</x:v>
      </x:c>
      <x:c r="R163" t="n">
        <x:f>2*(Scenario_Data!C163*1000)/Inputs!$C$21*1000000</x:f>
        <x:v>518.3042997032304</x:v>
      </x:c>
      <x:c r="S163" t="n">
        <x:f>Scenario_Data!V163</x:f>
        <x:v>273.60000000000014</x:v>
      </x:c>
      <x:c r="T163" t="n">
        <x:f>2*(Scenario_Data!D163*1000)/Inputs!$C$21*1000000</x:f>
        <x:v>986.484189672311</x:v>
      </x:c>
      <x:c r="U163" t="n">
        <x:f>Scenario_Data!W163</x:f>
        <x:v>273.60000000000014</x:v>
      </x:c>
      <x:c r="V163" t="n">
        <x:f>2*(Scenario_Data!E163*1000)/Inputs!$C$21*1000000</x:f>
        <x:v>927.5743687988318</x:v>
      </x:c>
      <x:c r="X163" t="n">
        <x:f>Scenario_Data!T163</x:f>
        <x:v>20.52000000000001</x:v>
      </x:c>
      <x:c r="Y163" t="n">
        <x: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x:f>
        <x:v>2671.203786370632</x:v>
      </x:c>
      <x:c r="Z163" t="n">
        <x:f>Scenario_Data!U163</x:f>
        <x:v>136.80000000000007</x:v>
      </x:c>
      <x:c r="AA163" t="n">
        <x: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x:f>
        <x:v>518.040579966203</x:v>
      </x:c>
      <x:c r="AB163" t="n">
        <x:f>Scenario_Data!V163</x:f>
        <x:v>273.60000000000014</x:v>
      </x:c>
      <x:c r="AC163" t="n">
        <x: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x:f>
        <x:v>986.2109894672132</x:v>
      </x:c>
      <x:c r="AD163" t="n">
        <x:f>Scenario_Data!W163</x:f>
        <x:v>273.60000000000014</x:v>
      </x:c>
      <x:c r="AE163" t="n">
        <x: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x:f>
        <x:v>927.3011685937341</x:v>
      </x:c>
      <x:c r="AG163" t="n">
        <x:f>Scenario_Data!T163</x:f>
        <x:v>20.52000000000001</x:v>
      </x:c>
      <x:c r="AH163" t="n">
        <x:f>2*(SQRT((Inputs!$C$52+(Scenario_Data!B163))^2+Inputs!$C$52^2-2*(Inputs!$C$52+(Scenario_Data!B163))*Inputs!$C$52*COS(SQRT((Scenario_Data!T163)^2+Inputs!$C$6^2)/Inputs!$C$52))*1000)/Inputs!$C$21*1000000</x:f>
        <x:v>2682.559918656496</x:v>
      </x:c>
      <x:c r="AI163" t="n">
        <x:f>Scenario_Data!U163</x:f>
        <x:v>136.80000000000007</x:v>
      </x:c>
      <x:c r="AJ163" t="n">
        <x:f>2*(SQRT((Inputs!$C$52+(Scenario_Data!C163))^2+Inputs!$C$52^2-2*(Inputs!$C$52+(Scenario_Data!C163))*Inputs!$C$52*COS(SQRT((Scenario_Data!U163)^2+Inputs!$C$6^2)/Inputs!$C$52))*1000)/Inputs!$C$21*1000000</x:f>
        <x:v>1082.4036420950645</x:v>
      </x:c>
      <x:c r="AK163" t="n">
        <x:f>Scenario_Data!V163</x:f>
        <x:v>273.60000000000014</x:v>
      </x:c>
      <x:c r="AL163" t="n">
        <x:f>2*(SQRT((Inputs!$C$52+(Scenario_Data!D163))^2+Inputs!$C$52^2-2*(Inputs!$C$52+(Scenario_Data!D163))*Inputs!$C$52*COS(SQRT((Scenario_Data!V163)^2+Inputs!$C$6^2)/Inputs!$C$52))*1000)/Inputs!$C$21*1000000</x:f>
        <x:v>2154.375751929062</x:v>
      </x:c>
      <x:c r="AM163" t="n">
        <x:f>Scenario_Data!W163</x:f>
        <x:v>273.60000000000014</x:v>
      </x:c>
      <x:c r="AN163" t="n">
        <x:f>2*(SQRT((Inputs!$C$52+(Scenario_Data!E163))^2+Inputs!$C$52^2-2*(Inputs!$C$52+(Scenario_Data!E163))*Inputs!$C$52*COS(SQRT((Scenario_Data!W163)^2+Inputs!$C$6^2)/Inputs!$C$52))*1000)/Inputs!$C$21*1000000</x:f>
        <x:v>2123.5868153942665</x:v>
      </x:c>
      <x:c r="AP163" t="n">
        <x:f>Scenario_Data!T163</x:f>
        <x:v>20.52000000000001</x:v>
      </x:c>
      <x:c r="AQ163" t="n">
        <x: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x:f>
        <x:v>2679.6384849074366</x:v>
      </x:c>
      <x:c r="AR163" t="n">
        <x:f>Scenario_Data!U163</x:f>
        <x:v>136.80000000000007</x:v>
      </x:c>
      <x:c r="AS163" t="n">
        <x: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x:f>
        <x:v>1082.1146416403806</x:v>
      </x:c>
      <x:c r="AT163" t="n">
        <x:f>Scenario_Data!V163</x:f>
        <x:v>273.60000000000014</x:v>
      </x:c>
      <x:c r="AU163" t="n">
        <x: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x:f>
        <x:v>2153.951648074589</x:v>
      </x:c>
      <x:c r="AV163" t="n">
        <x:f>Scenario_Data!W163</x:f>
        <x:v>273.60000000000014</x:v>
      </x:c>
      <x:c r="AW163" t="n">
        <x: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x:f>
        <x:v>2123.187380831997</x:v>
      </x:c>
    </x:row>
    <x:row r="164">
      <x:c r="A164" t="n">
        <x:f>Chart_Data!K164</x:f>
        <x:v>21</x:v>
      </x:c>
      <x:c r="B164" t="n">
        <x:f>Chart_Data!N164-Chart_Data!L164</x:f>
        <x:v>-86.91047035433752</x:v>
      </x:c>
      <x:c r="D164" t="n">
        <x:f>Chart_Data!G164</x:f>
        <x:v>21</x:v>
      </x:c>
      <x:c r="E164" t="n">
        <x:f>Chart_Data!H164</x:f>
        <x:v>441.2537143317768</x:v>
      </x:c>
      <x:c r="F164" t="n">
        <x:f>Chart_Data!I164</x:f>
        <x:v>441.2537143317768</x:v>
      </x:c>
      <x:c r="G164" t="n">
        <x:f>Chart_Data!J164</x:f>
        <x:v>84.6060805836893</x:v>
      </x:c>
      <x:c r="I164" t="n">
        <x:f>Scenario_Data!A164</x:f>
        <x:v>0.35</x:v>
      </x:c>
      <x:c r="J164" t="n">
        <x:f>Scenario_Data!H164-(((SQRT((Inputs!$C$52+(Inputs!$H$6))^2+Inputs!$C$52^2-2*(Inputs!$C$52+(Inputs!$H$6))*Inputs!$C$52*COS(SQRT((Scenario_Data!T164)^2+Inputs!$C$6^2)/Inputs!$C$52)))-(Inputs!$H$6))*1000/Inputs!$C$12)</x:f>
        <x:v>-0.9096841644008009</x:v>
      </x:c>
      <x:c r="K164" t="n">
        <x:f>Scenario_Data!I164-(((SQRT((Inputs!$C$52+(Inputs!$H$7))^2+Inputs!$C$52^2-2*(Inputs!$C$52+(Inputs!$H$7))*Inputs!$C$52*COS(SQRT((Scenario_Data!U164)^2+Inputs!$C$6^2)/Inputs!$C$52)))-(Inputs!$H$7))*1000/Inputs!$C$12)</x:f>
        <x:v>-14909.123361914171</x:v>
      </x:c>
      <x:c r="L164" t="n">
        <x:f>Scenario_Data!J164-(((SQRT((Inputs!$C$52+(Inputs!$H$8))^2+Inputs!$C$52^2-2*(Inputs!$C$52+(Inputs!$H$8))*Inputs!$C$52*COS(SQRT((Scenario_Data!V164)^2+Inputs!$C$6^2)/Inputs!$C$52)))-(Inputs!$H$8))*1000/Inputs!$C$12)</x:f>
        <x:v>-40747.537049505336</x:v>
      </x:c>
      <x:c r="M164" t="n">
        <x:f>Scenario_Data!K164-(((SQRT((Inputs!$C$52+(Inputs!$H$9))^2+Inputs!$C$52^2-2*(Inputs!$C$52+(Inputs!$H$9))*Inputs!$C$52*COS(SQRT((Scenario_Data!W164)^2+Inputs!$C$6^2)/Inputs!$C$52)))-(Inputs!$H$9))*1000/Inputs!$C$12)</x:f>
        <x:v>-42952.19979250127</x:v>
      </x:c>
      <x:c r="O164" t="n">
        <x:f>Scenario_Data!T164</x:f>
        <x:v>21</x:v>
      </x:c>
      <x:c r="P164" t="n">
        <x:f>2*(Scenario_Data!B164*1000)/Inputs!$C$21*1000000</x:f>
        <x:v>2671.7816897181583</x:v>
      </x:c>
      <x:c r="Q164" t="n">
        <x:f>Scenario_Data!U164</x:f>
        <x:v>140</x:v>
      </x:c>
      <x:c r="R164" t="n">
        <x:f>2*(Scenario_Data!C164*1000)/Inputs!$C$21*1000000</x:f>
        <x:v>531.7845587696538</x:v>
      </x:c>
      <x:c r="S164" t="n">
        <x:f>Scenario_Data!V164</x:f>
        <x:v>280</x:v>
      </x:c>
      <x:c r="T164" t="n">
        <x:f>2*(Scenario_Data!D164*1000)/Inputs!$C$21*1000000</x:f>
        <x:v>1022.1237787109374</x:v>
      </x:c>
      <x:c r="U164" t="n">
        <x:f>Scenario_Data!W164</x:f>
        <x:v>280</x:v>
      </x:c>
      <x:c r="V164" t="n">
        <x:f>2*(Scenario_Data!E164*1000)/Inputs!$C$21*1000000</x:f>
        <x:v>963.5832800036617</x:v>
      </x:c>
      <x:c r="X164" t="n">
        <x:f>Scenario_Data!T164</x:f>
        <x:v>21</x:v>
      </x:c>
      <x:c r="Y164" t="n">
        <x: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x:f>
        <x:v>2671.217258703795</x:v>
      </x:c>
      <x:c r="Z164" t="n">
        <x:f>Scenario_Data!U164</x:f>
        <x:v>140</x:v>
      </x:c>
      <x:c r="AA164" t="n">
        <x: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x:f>
        <x:v>531.602952215883</x:v>
      </x:c>
      <x:c r="AB164" t="n">
        <x:f>Scenario_Data!V164</x:f>
        <x:v>280</x:v>
      </x:c>
      <x:c r="AC164" t="n">
        <x: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x:f>
        <x:v>1021.9898236507371</x:v>
      </x:c>
      <x:c r="AD164" t="n">
        <x:f>Scenario_Data!W164</x:f>
        <x:v>280</x:v>
      </x:c>
      <x:c r="AE164" t="n">
        <x: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x:f>
        <x:v>963.4493249434615</x:v>
      </x:c>
      <x:c r="AG164" t="n">
        <x:f>Scenario_Data!T164</x:f>
        <x:v>21</x:v>
      </x:c>
      <x:c r="AH164" t="n">
        <x:f>2*(SQRT((Inputs!$C$52+(Scenario_Data!B164))^2+Inputs!$C$52^2-2*(Inputs!$C$52+(Scenario_Data!B164))*Inputs!$C$52*COS(SQRT((Scenario_Data!T164)^2+Inputs!$C$6^2)/Inputs!$C$52))*1000)/Inputs!$C$21*1000000</x:f>
        <x:v>2682.914880335254</x:v>
      </x:c>
      <x:c r="AI164" t="n">
        <x:f>Scenario_Data!U164</x:f>
        <x:v>140</x:v>
      </x:c>
      <x:c r="AJ164" t="n">
        <x:f>2*(SQRT((Inputs!$C$52+(Scenario_Data!C164))^2+Inputs!$C$52^2-2*(Inputs!$C$52+(Scenario_Data!C164))*Inputs!$C$52*COS(SQRT((Scenario_Data!U164)^2+Inputs!$C$6^2)/Inputs!$C$52))*1000)/Inputs!$C$21*1000000</x:f>
        <x:v>1108.2624133501783</x:v>
      </x:c>
      <x:c r="AK164" t="n">
        <x:f>Scenario_Data!V164</x:f>
        <x:v>280</x:v>
      </x:c>
      <x:c r="AL164" t="n">
        <x:f>2*(SQRT((Inputs!$C$52+(Scenario_Data!D164))^2+Inputs!$C$52^2-2*(Inputs!$C$52+(Scenario_Data!D164))*Inputs!$C$52*COS(SQRT((Scenario_Data!V164)^2+Inputs!$C$6^2)/Inputs!$C$52))*1000)/Inputs!$C$21*1000000</x:f>
        <x:v>2212.8355811384035</x:v>
      </x:c>
      <x:c r="AM164" t="n">
        <x:f>Scenario_Data!W164</x:f>
        <x:v>280</x:v>
      </x:c>
      <x:c r="AN164" t="n">
        <x:f>2*(SQRT((Inputs!$C$52+(Scenario_Data!E164))^2+Inputs!$C$52^2-2*(Inputs!$C$52+(Scenario_Data!E164))*Inputs!$C$52*COS(SQRT((Scenario_Data!W164)^2+Inputs!$C$6^2)/Inputs!$C$52))*1000)/Inputs!$C$21*1000000</x:f>
        <x:v>2181.897557099264</x:v>
      </x:c>
      <x:c r="AP164" t="n">
        <x:f>Scenario_Data!T164</x:f>
        <x:v>21</x:v>
      </x:c>
      <x:c r="AQ164" t="n">
        <x: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x:f>
        <x:v>2679.9865256495527</x:v>
      </x:c>
      <x:c r="AR164" t="n">
        <x:f>Scenario_Data!U164</x:f>
        <x:v>140</x:v>
      </x:c>
      <x:c r="AS164" t="n">
        <x: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x:f>
        <x:v>1108.021307304762</x:v>
      </x:c>
      <x:c r="AT164" t="n">
        <x:f>Scenario_Data!V164</x:f>
        <x:v>280</x:v>
      </x:c>
      <x:c r="AU164" t="n">
        <x: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x:f>
        <x:v>2212.4908066079583</x:v>
      </x:c>
      <x:c r="AV164" t="n">
        <x:f>Scenario_Data!W164</x:f>
        <x:v>280</x:v>
      </x:c>
      <x:c r="AW164" t="n">
        <x: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x:f>
        <x:v>2181.5719636316157</x:v>
      </x:c>
    </x:row>
    <x:row r="165">
      <x:c r="A165" t="n">
        <x:f>Chart_Data!K165</x:f>
        <x:v>21.5</x:v>
      </x:c>
      <x:c r="B165" t="n">
        <x:f>Chart_Data!N165-Chart_Data!L165</x:f>
        <x:v>-86.01689250798682</x:v>
      </x:c>
      <x:c r="D165" t="n">
        <x:f>Chart_Data!G165</x:f>
        <x:v>21.5</x:v>
      </x:c>
      <x:c r="E165" t="n">
        <x:f>Chart_Data!H165</x:f>
        <x:v>444.1394266764314</x:v>
      </x:c>
      <x:c r="F165" t="n">
        <x:f>Chart_Data!I165</x:f>
        <x:v>444.1394266764314</x:v>
      </x:c>
      <x:c r="G165" t="n">
        <x:f>Chart_Data!J165</x:f>
        <x:v>83.65167434978589</x:v>
      </x:c>
      <x:c r="I165" t="n">
        <x:f>Scenario_Data!A165</x:f>
        <x:v>0.358</x:v>
      </x:c>
      <x:c r="J165" t="n">
        <x:f>Scenario_Data!H165-(((SQRT((Inputs!$C$52+(Inputs!$H$6))^2+Inputs!$C$52^2-2*(Inputs!$C$52+(Inputs!$H$6))*Inputs!$C$52*COS(SQRT((Scenario_Data!T165)^2+Inputs!$C$6^2)/Inputs!$C$52)))-(Inputs!$H$6))*1000/Inputs!$C$12)</x:f>
        <x:v>-0.9697693759256936</x:v>
      </x:c>
      <x:c r="K165" t="n">
        <x:f>Scenario_Data!I165-(((SQRT((Inputs!$C$52+(Inputs!$H$7))^2+Inputs!$C$52^2-2*(Inputs!$C$52+(Inputs!$H$7))*Inputs!$C$52*COS(SQRT((Scenario_Data!U165)^2+Inputs!$C$6^2)/Inputs!$C$52)))-(Inputs!$H$7))*1000/Inputs!$C$12)</x:f>
        <x:v>-15614.706103309647</x:v>
      </x:c>
      <x:c r="L165" t="n">
        <x:f>Scenario_Data!J165-(((SQRT((Inputs!$C$52+(Inputs!$H$8))^2+Inputs!$C$52^2-2*(Inputs!$C$52+(Inputs!$H$8))*Inputs!$C$52*COS(SQRT((Scenario_Data!V165)^2+Inputs!$C$6^2)/Inputs!$C$52)))-(Inputs!$H$8))*1000/Inputs!$C$12)</x:f>
        <x:v>-42423.945096951444</x:v>
      </x:c>
      <x:c r="M165" t="n">
        <x:f>Scenario_Data!K165-(((SQRT((Inputs!$C$52+(Inputs!$H$9))^2+Inputs!$C$52^2-2*(Inputs!$C$52+(Inputs!$H$9))*Inputs!$C$52*COS(SQRT((Scenario_Data!W165)^2+Inputs!$C$6^2)/Inputs!$C$52)))-(Inputs!$H$9))*1000/Inputs!$C$12)</x:f>
        <x:v>-44673.76686765764</x:v>
      </x:c>
      <x:c r="O165" t="n">
        <x:f>Scenario_Data!T165</x:f>
        <x:v>21.480000000000004</x:v>
      </x:c>
      <x:c r="P165" t="n">
        <x:f>2*(Scenario_Data!B165*1000)/Inputs!$C$21*1000000</x:f>
        <x:v>2671.932834280975</x:v>
      </x:c>
      <x:c r="Q165" t="n">
        <x:f>Scenario_Data!U165</x:f>
        <x:v>143.20000000000005</x:v>
      </x:c>
      <x:c r="R165" t="n">
        <x:f>2*(Scenario_Data!C165*1000)/Inputs!$C$21*1000000</x:f>
        <x:v>545.5765001266311</x:v>
      </x:c>
      <x:c r="S165" t="n">
        <x:f>Scenario_Data!V165</x:f>
        <x:v>286.4000000000001</x:v>
      </x:c>
      <x:c r="T165" t="n">
        <x:f>2*(Scenario_Data!D165*1000)/Inputs!$C$21*1000000</x:f>
        <x:v>1058.5874044903426</x:v>
      </x:c>
      <x:c r="U165" t="n">
        <x:f>Scenario_Data!W165</x:f>
        <x:v>286.4000000000001</x:v>
      </x:c>
      <x:c r="V165" t="n">
        <x:f>2*(Scenario_Data!E165*1000)/Inputs!$C$21*1000000</x:f>
        <x:v>1000.4247671901077</x:v>
      </x:c>
      <x:c r="X165" t="n">
        <x:f>Scenario_Data!T165</x:f>
        <x:v>21.480000000000004</x:v>
      </x:c>
      <x:c r="Y165" t="n">
        <x: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x:f>
        <x:v>2671.3747102286848</x:v>
      </x:c>
      <x:c r="Z165" t="n">
        <x:f>Scenario_Data!U165</x:f>
        <x:v>143.20000000000005</x:v>
      </x:c>
      <x:c r="AA165" t="n">
        <x: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x:f>
        <x:v>545.2847603872583</x:v>
      </x:c>
      <x:c r="AB165" t="n">
        <x:f>Scenario_Data!V165</x:f>
        <x:v>286.4000000000001</x:v>
      </x:c>
      <x:c r="AC165" t="n">
        <x: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x:f>
        <x:v>1058.6458157350023</x:v>
      </x:c>
      <x:c r="AD165" t="n">
        <x:f>Scenario_Data!W165</x:f>
        <x:v>286.4000000000001</x:v>
      </x:c>
      <x:c r="AE165" t="n">
        <x: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x:f>
        <x:v>1000.4831784347671</x:v>
      </x:c>
      <x:c r="AG165" t="n">
        <x:f>Scenario_Data!T165</x:f>
        <x:v>21.480000000000004</x:v>
      </x:c>
      <x:c r="AH165" t="n">
        <x:f>2*(SQRT((Inputs!$C$52+(Scenario_Data!B165))^2+Inputs!$C$52^2-2*(Inputs!$C$52+(Scenario_Data!B165))*Inputs!$C$52*COS(SQRT((Scenario_Data!T165)^2+Inputs!$C$6^2)/Inputs!$C$52))*1000)/Inputs!$C$21*1000000</x:f>
        <x:v>2683.2780136005345</x:v>
      </x:c>
      <x:c r="AI165" t="n">
        <x:f>Scenario_Data!U165</x:f>
        <x:v>143.20000000000005</x:v>
      </x:c>
      <x:c r="AJ165" t="n">
        <x:f>2*(SQRT((Inputs!$C$52+(Scenario_Data!C165))^2+Inputs!$C$52^2-2*(Inputs!$C$52+(Scenario_Data!C165))*Inputs!$C$52*COS(SQRT((Scenario_Data!U165)^2+Inputs!$C$6^2)/Inputs!$C$52))*1000)/Inputs!$C$21*1000000</x:f>
        <x:v>1134.320202233334</x:v>
      </x:c>
      <x:c r="AK165" t="n">
        <x:f>Scenario_Data!V165</x:f>
        <x:v>286.4000000000001</x:v>
      </x:c>
      <x:c r="AL165" t="n">
        <x:f>2*(SQRT((Inputs!$C$52+(Scenario_Data!D165))^2+Inputs!$C$52^2-2*(Inputs!$C$52+(Scenario_Data!D165))*Inputs!$C$52*COS(SQRT((Scenario_Data!V165)^2+Inputs!$C$6^2)/Inputs!$C$52))*1000)/Inputs!$C$21*1000000</x:f>
        <x:v>2271.9039940577863</x:v>
      </x:c>
      <x:c r="AM165" t="n">
        <x:f>Scenario_Data!W165</x:f>
        <x:v>286.4000000000001</x:v>
      </x:c>
      <x:c r="AN165" t="n">
        <x:f>2*(SQRT((Inputs!$C$52+(Scenario_Data!E165))^2+Inputs!$C$52^2-2*(Inputs!$C$52+(Scenario_Data!E165))*Inputs!$C$52*COS(SQRT((Scenario_Data!W165)^2+Inputs!$C$6^2)/Inputs!$C$52))*1000)/Inputs!$C$21*1000000</x:f>
        <x:v>2240.826006094351</x:v>
      </x:c>
      <x:c r="AP165" t="n">
        <x:f>Scenario_Data!T165</x:f>
        <x:v>21.480000000000004</x:v>
      </x:c>
      <x:c r="AQ165" t="n">
        <x: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x:f>
        <x:v>2680.3628439768113</x:v>
      </x:c>
      <x:c r="AR165" t="n">
        <x:f>Scenario_Data!U165</x:f>
        <x:v>143.20000000000005</x:v>
      </x:c>
      <x:c r="AS165" t="n">
        <x: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x:f>
        <x:v>1133.8978649739838</x:v>
      </x:c>
      <x:c r="AT165" t="n">
        <x:f>Scenario_Data!V165</x:f>
        <x:v>286.4000000000001</x:v>
      </x:c>
      <x:c r="AU165" t="n">
        <x: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x:f>
        <x:v>2271.6279066061034</x:v>
      </x:c>
      <x:c r="AV165" t="n">
        <x:f>Scenario_Data!W165</x:f>
        <x:v>286.4000000000001</x:v>
      </x:c>
      <x:c r="AW165" t="n">
        <x: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x:f>
        <x:v>2240.564610948291</x:v>
      </x:c>
    </x:row>
    <x:row r="166">
      <x:c r="A166" t="n">
        <x:f>Chart_Data!K166</x:f>
        <x:v>22</x:v>
      </x:c>
      <x:c r="B166" t="n">
        <x:f>Chart_Data!N166-Chart_Data!L166</x:f>
        <x:v>-75.79770446387516</x:v>
      </x:c>
      <x:c r="D166" t="n">
        <x:f>Chart_Data!G166</x:f>
        <x:v>22</x:v>
      </x:c>
      <x:c r="E166" t="n">
        <x:f>Chart_Data!H166</x:f>
        <x:v>447.7794532624074</x:v>
      </x:c>
      <x:c r="F166" t="n">
        <x:f>Chart_Data!I166</x:f>
        <x:v>447.7794532624074</x:v>
      </x:c>
      <x:c r="G166" t="n">
        <x:f>Chart_Data!J166</x:f>
        <x:v>73.36589826371042</x:v>
      </x:c>
      <x:c r="I166" t="n">
        <x:f>Scenario_Data!A166</x:f>
        <x:v>0.367</x:v>
      </x:c>
      <x:c r="J166" t="n">
        <x:f>Scenario_Data!H166-(((SQRT((Inputs!$C$52+(Inputs!$H$6))^2+Inputs!$C$52^2-2*(Inputs!$C$52+(Inputs!$H$6))*Inputs!$C$52*COS(SQRT((Scenario_Data!T166)^2+Inputs!$C$6^2)/Inputs!$C$52)))-(Inputs!$H$6))*1000/Inputs!$C$12)</x:f>
        <x:v>-1.0409543459660426</x:v>
      </x:c>
      <x:c r="K166" t="n">
        <x:f>Scenario_Data!I166-(((SQRT((Inputs!$C$52+(Inputs!$H$7))^2+Inputs!$C$52^2-2*(Inputs!$C$52+(Inputs!$H$7))*Inputs!$C$52*COS(SQRT((Scenario_Data!U166)^2+Inputs!$C$6^2)/Inputs!$C$52)))-(Inputs!$H$7))*1000/Inputs!$C$12)</x:f>
        <x:v>-16423.437974027576</x:v>
      </x:c>
      <x:c r="L166" t="n">
        <x:f>Scenario_Data!J166-(((SQRT((Inputs!$C$52+(Inputs!$H$8))^2+Inputs!$C$52^2-2*(Inputs!$C$52+(Inputs!$H$8))*Inputs!$C$52*COS(SQRT((Scenario_Data!V166)^2+Inputs!$C$6^2)/Inputs!$C$52)))-(Inputs!$H$8))*1000/Inputs!$C$12)</x:f>
        <x:v>-44332.01768741835</x:v>
      </x:c>
      <x:c r="M166" t="n">
        <x:f>Scenario_Data!K166-(((SQRT((Inputs!$C$52+(Inputs!$H$9))^2+Inputs!$C$52^2-2*(Inputs!$C$52+(Inputs!$H$9))*Inputs!$C$52*COS(SQRT((Scenario_Data!W166)^2+Inputs!$C$6^2)/Inputs!$C$52)))-(Inputs!$H$9))*1000/Inputs!$C$12)</x:f>
        <x:v>-46631.87794663398</x:v>
      </x:c>
      <x:c r="O166" t="n">
        <x:f>Scenario_Data!T166</x:f>
        <x:v>22.019999999999996</x:v>
      </x:c>
      <x:c r="P166" t="n">
        <x:f>2*(Scenario_Data!B166*1000)/Inputs!$C$21*1000000</x:f>
        <x:v>2672.106954738668</x:v>
      </x:c>
      <x:c r="Q166" t="n">
        <x:f>Scenario_Data!U166</x:f>
        <x:v>146.79999999999995</x:v>
      </x:c>
      <x:c r="R166" t="n">
        <x:f>2*(Scenario_Data!C166*1000)/Inputs!$C$21*1000000</x:f>
        <x:v>561.4649918911567</x:v>
      </x:c>
      <x:c r="S166" t="n">
        <x:f>Scenario_Data!V166</x:f>
        <x:v>293.5999999999999</x:v>
      </x:c>
      <x:c r="T166" t="n">
        <x:f>2*(Scenario_Data!D166*1000)/Inputs!$C$21*1000000</x:f>
        <x:v>1100.5939649088832</x:v>
      </x:c>
      <x:c r="U166" t="n">
        <x:f>Scenario_Data!W166</x:f>
        <x:v>293.5999999999999</x:v>
      </x:c>
      <x:c r="V166" t="n">
        <x:f>2*(Scenario_Data!E166*1000)/Inputs!$C$21*1000000</x:f>
        <x:v>1042.8666287528815</x:v>
      </x:c>
      <x:c r="X166" t="n">
        <x:f>Scenario_Data!T166</x:f>
        <x:v>22.019999999999996</x:v>
      </x:c>
      <x:c r="Y166" t="n">
        <x: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x:f>
        <x:v>2671.607898305689</x:v>
      </x:c>
      <x:c r="Z166" t="n">
        <x:f>Scenario_Data!U166</x:f>
        <x:v>146.79999999999995</x:v>
      </x:c>
      <x:c r="AA166" t="n">
        <x: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x:f>
        <x:v>560.9838146656962</x:v>
      </x:c>
      <x:c r="AB166" t="n">
        <x:f>Scenario_Data!V166</x:f>
        <x:v>293.5999999999999</x:v>
      </x:c>
      <x:c r="AC166" t="n">
        <x: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x:f>
        <x:v>1100.2228354690478</x:v>
      </x:c>
      <x:c r="AD166" t="n">
        <x:f>Scenario_Data!W166</x:f>
        <x:v>293.5999999999999</x:v>
      </x:c>
      <x:c r="AE166" t="n">
        <x: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x:f>
        <x:v>1042.4954993130461</x:v>
      </x:c>
      <x:c r="AG166" t="n">
        <x:f>Scenario_Data!T166</x:f>
        <x:v>22.019999999999996</x:v>
      </x:c>
      <x:c r="AH166" t="n">
        <x:f>2*(SQRT((Inputs!$C$52+(Scenario_Data!B166))^2+Inputs!$C$52^2-2*(Inputs!$C$52+(Scenario_Data!B166))*Inputs!$C$52*COS(SQRT((Scenario_Data!T166)^2+Inputs!$C$6^2)/Inputs!$C$52))*1000)/Inputs!$C$21*1000000</x:f>
        <x:v>2683.69630309907</x:v>
      </x:c>
      <x:c r="AI166" t="n">
        <x:f>Scenario_Data!U166</x:f>
        <x:v>146.79999999999995</x:v>
      </x:c>
      <x:c r="AJ166" t="n">
        <x:f>2*(SQRT((Inputs!$C$52+(Scenario_Data!C166))^2+Inputs!$C$52^2-2*(Inputs!$C$52+(Scenario_Data!C166))*Inputs!$C$52*COS(SQRT((Scenario_Data!U166)^2+Inputs!$C$6^2)/Inputs!$C$52))*1000)/Inputs!$C$21*1000000</x:f>
        <x:v>1163.87403253476</x:v>
      </x:c>
      <x:c r="AK166" t="n">
        <x:f>Scenario_Data!V166</x:f>
        <x:v>293.5999999999999</x:v>
      </x:c>
      <x:c r="AL166" t="n">
        <x:f>2*(SQRT((Inputs!$C$52+(Scenario_Data!D166))^2+Inputs!$C$52^2-2*(Inputs!$C$52+(Scenario_Data!D166))*Inputs!$C$52*COS(SQRT((Scenario_Data!V166)^2+Inputs!$C$6^2)/Inputs!$C$52))*1000)/Inputs!$C$21*1000000</x:f>
        <x:v>2339.0933871403463</x:v>
      </x:c>
      <x:c r="AM166" t="n">
        <x:f>Scenario_Data!W166</x:f>
        <x:v>293.5999999999999</x:v>
      </x:c>
      <x:c r="AN166" t="n">
        <x:f>2*(SQRT((Inputs!$C$52+(Scenario_Data!E166))^2+Inputs!$C$52^2-2*(Inputs!$C$52+(Scenario_Data!E166))*Inputs!$C$52*COS(SQRT((Scenario_Data!W166)^2+Inputs!$C$6^2)/Inputs!$C$52))*1000)/Inputs!$C$21*1000000</x:f>
        <x:v>2307.86947732593</x:v>
      </x:c>
      <x:c r="AP166" t="n">
        <x:f>Scenario_Data!T166</x:f>
        <x:v>22.019999999999996</x:v>
      </x:c>
      <x:c r="AQ166" t="n">
        <x: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x:f>
        <x:v>2680.656874477047</x:v>
      </x:c>
      <x:c r="AR166" t="n">
        <x:f>Scenario_Data!U166</x:f>
        <x:v>146.79999999999995</x:v>
      </x:c>
      <x:c r="AS166" t="n">
        <x: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x:f>
        <x:v>1163.204522336932</x:v>
      </x:c>
      <x:c r="AT166" t="n">
        <x:f>Scenario_Data!V166</x:f>
        <x:v>293.5999999999999</x:v>
      </x:c>
      <x:c r="AU166" t="n">
        <x: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x:f>
        <x:v>2338.4592438207114</x:v>
      </x:c>
      <x:c r="AV166" t="n">
        <x:f>Scenario_Data!W166</x:f>
        <x:v>293.5999999999999</x:v>
      </x:c>
      <x:c r="AW166" t="n">
        <x: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x:f>
        <x:v>2307.2674673048655</x:v>
      </x:c>
    </x:row>
    <x:row r="167">
      <x:c r="A167" t="n">
        <x:f>Chart_Data!K167</x:f>
        <x:v>22.5</x:v>
      </x:c>
      <x:c r="B167" t="n">
        <x:f>Chart_Data!N167-Chart_Data!L167</x:f>
        <x:v>-76.31405067890728</x:v>
      </x:c>
      <x:c r="D167" t="n">
        <x:f>Chart_Data!G167</x:f>
        <x:v>22.5</x:v>
      </x:c>
      <x:c r="E167" t="n">
        <x:f>Chart_Data!H167</x:f>
        <x:v>442.50927153418206</x:v>
      </x:c>
      <x:c r="F167" t="n">
        <x:f>Chart_Data!I167</x:f>
        <x:v>442.50927153418206</x:v>
      </x:c>
      <x:c r="G167" t="n">
        <x:f>Chart_Data!J167</x:f>
        <x:v>73.86322008676284</x:v>
      </x:c>
      <x:c r="I167" t="n">
        <x:f>Scenario_Data!A167</x:f>
        <x:v>0.375</x:v>
      </x:c>
      <x:c r="J167" t="n">
        <x:f>Scenario_Data!H167-(((SQRT((Inputs!$C$52+(Inputs!$H$6))^2+Inputs!$C$52^2-2*(Inputs!$C$52+(Inputs!$H$6))*Inputs!$C$52*COS(SQRT((Scenario_Data!T167)^2+Inputs!$C$6^2)/Inputs!$C$52)))-(Inputs!$H$6))*1000/Inputs!$C$12)</x:f>
        <x:v>-1.1075409744717035</x:v>
      </x:c>
      <x:c r="K167" t="n">
        <x:f>Scenario_Data!I167-(((SQRT((Inputs!$C$52+(Inputs!$H$7))^2+Inputs!$C$52^2-2*(Inputs!$C$52+(Inputs!$H$7))*Inputs!$C$52*COS(SQRT((Scenario_Data!U167)^2+Inputs!$C$6^2)/Inputs!$C$52)))-(Inputs!$H$7))*1000/Inputs!$C$12)</x:f>
        <x:v>-17155.30788033462</x:v>
      </x:c>
      <x:c r="L167" t="n">
        <x:f>Scenario_Data!J167-(((SQRT((Inputs!$C$52+(Inputs!$H$8))^2+Inputs!$C$52^2-2*(Inputs!$C$52+(Inputs!$H$8))*Inputs!$C$52*COS(SQRT((Scenario_Data!V167)^2+Inputs!$C$6^2)/Inputs!$C$52)))-(Inputs!$H$8))*1000/Inputs!$C$12)</x:f>
        <x:v>-46046.86225919663</x:v>
      </x:c>
      <x:c r="M167" t="n">
        <x:f>Scenario_Data!K167-(((SQRT((Inputs!$C$52+(Inputs!$H$9))^2+Inputs!$C$52^2-2*(Inputs!$C$52+(Inputs!$H$9))*Inputs!$C$52*COS(SQRT((Scenario_Data!W167)^2+Inputs!$C$6^2)/Inputs!$C$52)))-(Inputs!$H$9))*1000/Inputs!$C$12)</x:f>
        <x:v>-48390.51527485564</x:v>
      </x:c>
      <x:c r="O167" t="n">
        <x:f>Scenario_Data!T167</x:f>
        <x:v>22.5</x:v>
      </x:c>
      <x:c r="P167" t="n">
        <x:f>2*(Scenario_Data!B167*1000)/Inputs!$C$21*1000000</x:f>
        <x:v>2672.2653576561956</x:v>
      </x:c>
      <x:c r="Q167" t="n">
        <x:f>Scenario_Data!U167</x:f>
        <x:v>150</x:v>
      </x:c>
      <x:c r="R167" t="n">
        <x:f>2*(Scenario_Data!C167*1000)/Inputs!$C$21*1000000</x:f>
        <x:v>575.9192581155594</x:v>
      </x:c>
      <x:c r="S167" t="n">
        <x:f>Scenario_Data!V167</x:f>
        <x:v>300</x:v>
      </x:c>
      <x:c r="T167" t="n">
        <x:f>2*(Scenario_Data!D167*1000)/Inputs!$C$21*1000000</x:f>
        <x:v>1138.808668762441</x:v>
      </x:c>
      <x:c r="U167" t="n">
        <x:f>Scenario_Data!W167</x:f>
        <x:v>300</x:v>
      </x:c>
      <x:c r="V167" t="n">
        <x:f>2*(Scenario_Data!E167*1000)/Inputs!$C$21*1000000</x:f>
        <x:v>1081.4773399002586</x:v>
      </x:c>
      <x:c r="X167" t="n">
        <x:f>Scenario_Data!T167</x:f>
        <x:v>22.5</x:v>
      </x:c>
      <x:c r="Y167" t="n">
        <x: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x:f>
        <x:v>2671.772595292662</x:v>
      </x:c>
      <x:c r="Z167" t="n">
        <x:f>Scenario_Data!U167</x:f>
        <x:v>150</x:v>
      </x:c>
      <x:c r="AA167" t="n">
        <x: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x:f>
        <x:v>575.2592717158128</x:v>
      </x:c>
      <x:c r="AB167" t="n">
        <x:f>Scenario_Data!V167</x:f>
        <x:v>300</x:v>
      </x:c>
      <x:c r="AC167" t="n">
        <x: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x:f>
        <x:v>1138.7605574322938</x:v>
      </x:c>
      <x:c r="AD167" t="n">
        <x:f>Scenario_Data!W167</x:f>
        <x:v>300</x:v>
      </x:c>
      <x:c r="AE167" t="n">
        <x: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x:f>
        <x:v>1081.4292285701115</x:v>
      </x:c>
      <x:c r="AG167" t="n">
        <x:f>Scenario_Data!T167</x:f>
        <x:v>22.5</x:v>
      </x:c>
      <x:c r="AH167" t="n">
        <x:f>2*(SQRT((Inputs!$C$52+(Scenario_Data!B167))^2+Inputs!$C$52^2-2*(Inputs!$C$52+(Scenario_Data!B167))*Inputs!$C$52*COS(SQRT((Scenario_Data!T167)^2+Inputs!$C$6^2)/Inputs!$C$52))*1000)/Inputs!$C$21*1000000</x:f>
        <x:v>2684.0767928598584</x:v>
      </x:c>
      <x:c r="AI167" t="n">
        <x:f>Scenario_Data!U167</x:f>
        <x:v>150</x:v>
      </x:c>
      <x:c r="AJ167" t="n">
        <x:f>2*(SQRT((Inputs!$C$52+(Scenario_Data!C167))^2+Inputs!$C$52^2-2*(Inputs!$C$52+(Scenario_Data!C167))*Inputs!$C$52*COS(SQRT((Scenario_Data!U167)^2+Inputs!$C$6^2)/Inputs!$C$52))*1000)/Inputs!$C$21*1000000</x:f>
        <x:v>1190.3573781400514</x:v>
      </x:c>
      <x:c r="AK167" t="n">
        <x:f>Scenario_Data!V167</x:f>
        <x:v>300</x:v>
      </x:c>
      <x:c r="AL167" t="n">
        <x:f>2*(SQRT((Inputs!$C$52+(Scenario_Data!D167))^2+Inputs!$C$52^2-2*(Inputs!$C$52+(Scenario_Data!D167))*Inputs!$C$52*COS(SQRT((Scenario_Data!V167)^2+Inputs!$C$6^2)/Inputs!$C$52))*1000)/Inputs!$C$21*1000000</x:f>
        <x:v>2399.4815554213374</x:v>
      </x:c>
      <x:c r="AM167" t="n">
        <x:f>Scenario_Data!W167</x:f>
        <x:v>300</x:v>
      </x:c>
      <x:c r="AN167" t="n">
        <x:f>2*(SQRT((Inputs!$C$52+(Scenario_Data!E167))^2+Inputs!$C$52^2-2*(Inputs!$C$52+(Scenario_Data!E167))*Inputs!$C$52*COS(SQRT((Scenario_Data!W167)^2+Inputs!$C$6^2)/Inputs!$C$52))*1000)/Inputs!$C$21*1000000</x:f>
        <x:v>2368.1387047809635</x:v>
      </x:c>
      <x:c r="AP167" t="n">
        <x:f>Scenario_Data!T167</x:f>
        <x:v>22.5</x:v>
      </x:c>
      <x:c r="AQ167" t="n">
        <x: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x:f>
        <x:v>2681.141038946116</x:v>
      </x:c>
      <x:c r="AR167" t="n">
        <x:f>Scenario_Data!U167</x:f>
        <x:v>150</x:v>
      </x:c>
      <x:c r="AS167" t="n">
        <x: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x:f>
        <x:v>1189.7387412010428</x:v>
      </x:c>
      <x:c r="AT167" t="n">
        <x:f>Scenario_Data!V167</x:f>
        <x:v>300</x:v>
      </x:c>
      <x:c r="AU167" t="n">
        <x: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x:f>
        <x:v>2399.2316666520933</x:v>
      </x:c>
      <x:c r="AV167" t="n">
        <x:f>Scenario_Data!W167</x:f>
        <x:v>300</x:v>
      </x:c>
      <x:c r="AW167" t="n">
        <x: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x:f>
        <x:v>2367.9009230173983</x:v>
      </x:c>
    </x:row>
    <x:row r="168">
      <x:c r="A168" t="n">
        <x:f>Chart_Data!K168</x:f>
        <x:v>23</x:v>
      </x:c>
      <x:c r="B168" t="n">
        <x:f>Chart_Data!N168-Chart_Data!L168</x:f>
        <x:v>-64.25633636231674</x:v>
      </x:c>
      <x:c r="D168" t="n">
        <x:f>Chart_Data!G168</x:f>
        <x:v>23</x:v>
      </x:c>
      <x:c r="E168" t="n">
        <x:f>Chart_Data!H168</x:f>
        <x:v>438.1289491107309</x:v>
      </x:c>
      <x:c r="F168" t="n">
        <x:f>Chart_Data!I168</x:f>
        <x:v>438.1289491107309</x:v>
      </x:c>
      <x:c r="G168" t="n">
        <x:f>Chart_Data!J168</x:f>
        <x:v>61.781548358505674</x:v>
      </x:c>
      <x:c r="I168" t="n">
        <x:f>Scenario_Data!A168</x:f>
        <x:v>0.383</x:v>
      </x:c>
      <x:c r="J168" t="n">
        <x:f>Scenario_Data!H168-(((SQRT((Inputs!$C$52+(Inputs!$H$6))^2+Inputs!$C$52^2-2*(Inputs!$C$52+(Inputs!$H$6))*Inputs!$C$52*COS(SQRT((Scenario_Data!T168)^2+Inputs!$C$6^2)/Inputs!$C$52)))-(Inputs!$H$6))*1000/Inputs!$C$12)</x:f>
        <x:v>-1.1773600760669751</x:v>
      </x:c>
      <x:c r="K168" t="n">
        <x:f>Scenario_Data!I168-(((SQRT((Inputs!$C$52+(Inputs!$H$7))^2+Inputs!$C$52^2-2*(Inputs!$C$52+(Inputs!$H$7))*Inputs!$C$52*COS(SQRT((Scenario_Data!U168)^2+Inputs!$C$6^2)/Inputs!$C$52)))-(Inputs!$H$7))*1000/Inputs!$C$12)</x:f>
        <x:v>-17899.1384159448</x:v>
      </x:c>
      <x:c r="L168" t="n">
        <x:f>Scenario_Data!J168-(((SQRT((Inputs!$C$52+(Inputs!$H$8))^2+Inputs!$C$52^2-2*(Inputs!$C$52+(Inputs!$H$8))*Inputs!$C$52*COS(SQRT((Scenario_Data!V168)^2+Inputs!$C$6^2)/Inputs!$C$52)))-(Inputs!$H$8))*1000/Inputs!$C$12)</x:f>
        <x:v>-47778.5757557234</x:v>
      </x:c>
      <x:c r="M168" t="n">
        <x:f>Scenario_Data!K168-(((SQRT((Inputs!$C$52+(Inputs!$H$9))^2+Inputs!$C$52^2-2*(Inputs!$C$52+(Inputs!$H$9))*Inputs!$C$52*COS(SQRT((Scenario_Data!W168)^2+Inputs!$C$6^2)/Inputs!$C$52)))-(Inputs!$H$9))*1000/Inputs!$C$12)</x:f>
        <x:v>-50165.37147334049</x:v>
      </x:c>
      <x:c r="O168" t="n">
        <x:f>Scenario_Data!T168</x:f>
        <x:v>22.980000000000004</x:v>
      </x:c>
      <x:c r="P168" t="n">
        <x:f>2*(Scenario_Data!B168*1000)/Inputs!$C$21*1000000</x:f>
        <x:v>2672.427176270058</x:v>
      </x:c>
      <x:c r="Q168" t="n">
        <x:f>Scenario_Data!U168</x:f>
        <x:v>153.20000000000005</x:v>
      </x:c>
      <x:c r="R168" t="n">
        <x:f>2*(Scenario_Data!C168*1000)/Inputs!$C$21*1000000</x:f>
        <x:v>590.6852066305153</x:v>
      </x:c>
      <x:c r="S168" t="n">
        <x:f>Scenario_Data!V168</x:f>
        <x:v>306.4000000000001</x:v>
      </x:c>
      <x:c r="T168" t="n">
        <x:f>2*(Scenario_Data!D168*1000)/Inputs!$C$21*1000000</x:f>
        <x:v>1177.8474093567763</x:v>
      </x:c>
      <x:c r="U168" t="n">
        <x:f>Scenario_Data!W168</x:f>
        <x:v>306.4000000000001</x:v>
      </x:c>
      <x:c r="V168" t="n">
        <x:f>2*(Scenario_Data!E168*1000)/Inputs!$C$21*1000000</x:f>
        <x:v>1120.9206270292505</x:v>
      </x:c>
      <x:c r="X168" t="n">
        <x:f>Scenario_Data!T168</x:f>
        <x:v>22.980000000000004</x:v>
      </x:c>
      <x:c r="Y168" t="n">
        <x: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x:f>
        <x:v>2671.903622796239</x:v>
      </x:c>
      <x:c r="Z168" t="n">
        <x:f>Scenario_Data!U168</x:f>
        <x:v>153.20000000000005</x:v>
      </x:c>
      <x:c r="AA168" t="n">
        <x: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x:f>
        <x:v>590.285607665682</x:v>
      </x:c>
      <x:c r="AB168" t="n">
        <x:f>Scenario_Data!V168</x:f>
        <x:v>306.4000000000001</x:v>
      </x:c>
      <x:c r="AC168" t="n">
        <x: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x:f>
        <x:v>1177.7366521085353</x:v>
      </x:c>
      <x:c r="AD168" t="n">
        <x:f>Scenario_Data!W168</x:f>
        <x:v>306.4000000000001</x:v>
      </x:c>
      <x:c r="AE168" t="n">
        <x: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x:f>
        <x:v>1120.8098697810094</x:v>
      </x:c>
      <x:c r="AG168" t="n">
        <x:f>Scenario_Data!T168</x:f>
        <x:v>22.980000000000004</x:v>
      </x:c>
      <x:c r="AH168" t="n">
        <x:f>2*(SQRT((Inputs!$C$52+(Scenario_Data!B168))^2+Inputs!$C$52^2-2*(Inputs!$C$52+(Scenario_Data!B168))*Inputs!$C$52*COS(SQRT((Scenario_Data!T168)^2+Inputs!$C$6^2)/Inputs!$C$52))*1000)/Inputs!$C$21*1000000</x:f>
        <x:v>2684.465446445234</x:v>
      </x:c>
      <x:c r="AI168" t="n">
        <x:f>Scenario_Data!U168</x:f>
        <x:v>153.20000000000005</x:v>
      </x:c>
      <x:c r="AJ168" t="n">
        <x:f>2*(SQRT((Inputs!$C$52+(Scenario_Data!C168))^2+Inputs!$C$52^2-2*(Inputs!$C$52+(Scenario_Data!C168))*Inputs!$C$52*COS(SQRT((Scenario_Data!U168)^2+Inputs!$C$6^2)/Inputs!$C$52))*1000)/Inputs!$C$21*1000000</x:f>
        <x:v>1217.0425226665805</x:v>
      </x:c>
      <x:c r="AK168" t="n">
        <x:f>Scenario_Data!V168</x:f>
        <x:v>306.4000000000001</x:v>
      </x:c>
      <x:c r="AL168" t="n">
        <x:f>2*(SQRT((Inputs!$C$52+(Scenario_Data!D168))^2+Inputs!$C$52^2-2*(Inputs!$C$52+(Scenario_Data!D168))*Inputs!$C$52*COS(SQRT((Scenario_Data!V168)^2+Inputs!$C$6^2)/Inputs!$C$52))*1000)/Inputs!$C$21*1000000</x:f>
        <x:v>2460.503062399682</x:v>
      </x:c>
      <x:c r="AM168" t="n">
        <x:f>Scenario_Data!W168</x:f>
        <x:v>306.4000000000001</x:v>
      </x:c>
      <x:c r="AN168" t="n">
        <x:f>2*(SQRT((Inputs!$C$52+(Scenario_Data!E168))^2+Inputs!$C$52^2-2*(Inputs!$C$52+(Scenario_Data!E168))*Inputs!$C$52*COS(SQRT((Scenario_Data!W168)^2+Inputs!$C$6^2)/Inputs!$C$52))*1000)/Inputs!$C$21*1000000</x:f>
        <x:v>2429.051843860189</x:v>
      </x:c>
      <x:c r="AP168" t="n">
        <x:f>Scenario_Data!T168</x:f>
        <x:v>22.980000000000004</x:v>
      </x:c>
      <x:c r="AQ168" t="n">
        <x: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x:f>
        <x:v>2681.4410343801505</x:v>
      </x:c>
      <x:c r="AR168" t="n">
        <x:f>Scenario_Data!U168</x:f>
        <x:v>153.20000000000005</x:v>
      </x:c>
      <x:c r="AS168" t="n">
        <x: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x:f>
        <x:v>1216.6467476359378</x:v>
      </x:c>
      <x:c r="AT168" t="n">
        <x:f>Scenario_Data!V168</x:f>
        <x:v>306.4000000000001</x:v>
      </x:c>
      <x:c r="AU168" t="n">
        <x: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x:f>
        <x:v>2460.0404173793613</x:v>
      </x:c>
      <x:c r="AV168" t="n">
        <x:f>Scenario_Data!W168</x:f>
        <x:v>306.4000000000001</x:v>
      </x:c>
      <x:c r="AW168" t="n">
        <x: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x:f>
        <x:v>2428.610657778259</x:v>
      </x:c>
    </x:row>
    <x:row r="169">
      <x:c r="A169" t="n">
        <x:f>Chart_Data!K169</x:f>
        <x:v>23.5</x:v>
      </x:c>
      <x:c r="B169" t="n">
        <x:f>Chart_Data!N169-Chart_Data!L169</x:f>
        <x:v>-73.4728540128869</x:v>
      </x:c>
      <x:c r="D169" t="n">
        <x:f>Chart_Data!G169</x:f>
        <x:v>23.5</x:v>
      </x:c>
      <x:c r="E169" t="n">
        <x:f>Chart_Data!H169</x:f>
        <x:v>431.2131008039683</x:v>
      </x:c>
      <x:c r="F169" t="n">
        <x:f>Chart_Data!I169</x:f>
        <x:v>431.2131008039683</x:v>
      </x:c>
      <x:c r="G169" t="n">
        <x:f>Chart_Data!J169</x:f>
        <x:v>70.98866885242666</x:v>
      </x:c>
      <x:c r="I169" t="n">
        <x:f>Scenario_Data!A169</x:f>
        <x:v>0.392</x:v>
      </x:c>
      <x:c r="J169" t="n">
        <x:f>Scenario_Data!H169-(((SQRT((Inputs!$C$52+(Inputs!$H$6))^2+Inputs!$C$52^2-2*(Inputs!$C$52+(Inputs!$H$6))*Inputs!$C$52*COS(SQRT((Scenario_Data!T169)^2+Inputs!$C$6^2)/Inputs!$C$52)))-(Inputs!$H$6))*1000/Inputs!$C$12)</x:f>
        <x:v>-1.2599122492363222</x:v>
      </x:c>
      <x:c r="K169" t="n">
        <x:f>Scenario_Data!I169-(((SQRT((Inputs!$C$52+(Inputs!$H$7))^2+Inputs!$C$52^2-2*(Inputs!$C$52+(Inputs!$H$7))*Inputs!$C$52*COS(SQRT((Scenario_Data!U169)^2+Inputs!$C$6^2)/Inputs!$C$52)))-(Inputs!$H$7))*1000/Inputs!$C$12)</x:f>
        <x:v>-18749.92392848187</x:v>
      </x:c>
      <x:c r="L169" t="n">
        <x:f>Scenario_Data!J169-(((SQRT((Inputs!$C$52+(Inputs!$H$8))^2+Inputs!$C$52^2-2*(Inputs!$C$52+(Inputs!$H$8))*Inputs!$C$52*COS(SQRT((Scenario_Data!V169)^2+Inputs!$C$6^2)/Inputs!$C$52)))-(Inputs!$H$8))*1000/Inputs!$C$12)</x:f>
        <x:v>-49745.97565061507</x:v>
      </x:c>
      <x:c r="M169" t="n">
        <x:f>Scenario_Data!K169-(((SQRT((Inputs!$C$52+(Inputs!$H$9))^2+Inputs!$C$52^2-2*(Inputs!$C$52+(Inputs!$H$9))*Inputs!$C$52*COS(SQRT((Scenario_Data!W169)^2+Inputs!$C$6^2)/Inputs!$C$52)))-(Inputs!$H$9))*1000/Inputs!$C$12)</x:f>
        <x:v>-52180.52535474431</x:v>
      </x:c>
      <x:c r="O169" t="n">
        <x:f>Scenario_Data!T169</x:f>
        <x:v>23.519999999999996</x:v>
      </x:c>
      <x:c r="P169" t="n">
        <x:f>2*(Scenario_Data!B169*1000)/Inputs!$C$21*1000000</x:f>
        <x:v>2672.6133050351787</x:v>
      </x:c>
      <x:c r="Q169" t="n">
        <x:f>Scenario_Data!U169</x:f>
        <x:v>156.79999999999995</x:v>
      </x:c>
      <x:c r="R169" t="n">
        <x:f>2*(Scenario_Data!C169*1000)/Inputs!$C$21*1000000</x:f>
        <x:v>607.6694564477666</x:v>
      </x:c>
      <x:c r="S169" t="n">
        <x:f>Scenario_Data!V169</x:f>
        <x:v>313.5999999999999</x:v>
      </x:c>
      <x:c r="T169" t="n">
        <x:f>2*(Scenario_Data!D169*1000)/Inputs!$C$21*1000000</x:f>
        <x:v>1222.7509739421123</x:v>
      </x:c>
      <x:c r="U169" t="n">
        <x:f>Scenario_Data!W169</x:f>
        <x:v>313.5999999999999</x:v>
      </x:c>
      <x:c r="V169" t="n">
        <x:f>2*(Scenario_Data!E169*1000)/Inputs!$C$21*1000000</x:f>
        <x:v>1166.2895135273877</x:v>
      </x:c>
      <x:c r="X169" t="n">
        <x:f>Scenario_Data!T169</x:f>
        <x:v>23.519999999999996</x:v>
      </x:c>
      <x:c r="Y169" t="n">
        <x: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x:f>
        <x:v>2672.186431982876</x:v>
      </x:c>
      <x:c r="Z169" t="n">
        <x:f>Scenario_Data!U169</x:f>
        <x:v>156.79999999999995</x:v>
      </x:c>
      <x:c r="AA169" t="n">
        <x: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x:f>
        <x:v>607.501561535222</x:v>
      </x:c>
      <x:c r="AB169" t="n">
        <x:f>Scenario_Data!V169</x:f>
        <x:v>313.5999999999999</x:v>
      </x:c>
      <x:c r="AC169" t="n">
        <x: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x:f>
        <x:v>1222.6057281367232</x:v>
      </x:c>
      <x:c r="AD169" t="n">
        <x:f>Scenario_Data!W169</x:f>
        <x:v>313.5999999999999</x:v>
      </x:c>
      <x:c r="AE169" t="n">
        <x: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x:f>
        <x:v>1166.1442677219984</x:v>
      </x:c>
      <x:c r="AG169" t="n">
        <x:f>Scenario_Data!T169</x:f>
        <x:v>23.519999999999996</x:v>
      </x:c>
      <x:c r="AH169" t="n">
        <x:f>2*(SQRT((Inputs!$C$52+(Scenario_Data!B169))^2+Inputs!$C$52^2-2*(Inputs!$C$52+(Scenario_Data!B169))*Inputs!$C$52*COS(SQRT((Scenario_Data!T169)^2+Inputs!$C$6^2)/Inputs!$C$52))*1000)/Inputs!$C$21*1000000</x:f>
        <x:v>2684.9124368195003</x:v>
      </x:c>
      <x:c r="AI169" t="n">
        <x:f>Scenario_Data!U169</x:f>
        <x:v>156.79999999999995</x:v>
      </x:c>
      <x:c r="AJ169" t="n">
        <x:f>2*(SQRT((Inputs!$C$52+(Scenario_Data!C169))^2+Inputs!$C$52^2-2*(Inputs!$C$52+(Scenario_Data!C169))*Inputs!$C$52*COS(SQRT((Scenario_Data!U169)^2+Inputs!$C$6^2)/Inputs!$C$52))*1000)/Inputs!$C$21*1000000</x:f>
        <x:v>1247.305949695761</x:v>
      </x:c>
      <x:c r="AK169" t="n">
        <x:f>Scenario_Data!V169</x:f>
        <x:v>313.5999999999999</x:v>
      </x:c>
      <x:c r="AL169" t="n">
        <x:f>2*(SQRT((Inputs!$C$52+(Scenario_Data!D169))^2+Inputs!$C$52^2-2*(Inputs!$C$52+(Scenario_Data!D169))*Inputs!$C$52*COS(SQRT((Scenario_Data!V169)^2+Inputs!$C$6^2)/Inputs!$C$52))*1000)/Inputs!$C$21*1000000</x:f>
        <x:v>2529.918895127145</x:v>
      </x:c>
      <x:c r="AM169" t="n">
        <x:f>Scenario_Data!W169</x:f>
        <x:v>313.5999999999999</x:v>
      </x:c>
      <x:c r="AN169" t="n">
        <x:f>2*(SQRT((Inputs!$C$52+(Scenario_Data!E169))^2+Inputs!$C$52^2-2*(Inputs!$C$52+(Scenario_Data!E169))*Inputs!$C$52*COS(SQRT((Scenario_Data!W169)^2+Inputs!$C$6^2)/Inputs!$C$52))*1000)/Inputs!$C$21*1000000</x:f>
        <x:v>2498.3588768603126</x:v>
      </x:c>
      <x:c r="AP169" t="n">
        <x:f>Scenario_Data!T169</x:f>
        <x:v>23.519999999999996</x:v>
      </x:c>
      <x:c r="AQ169" t="n">
        <x: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x:f>
        <x:v>2681.9939788953425</x:v>
      </x:c>
      <x:c r="AR169" t="n">
        <x:f>Scenario_Data!U169</x:f>
        <x:v>156.79999999999995</x:v>
      </x:c>
      <x:c r="AS169" t="n">
        <x: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x:f>
        <x:v>1246.8959337465285</x:v>
      </x:c>
      <x:c r="AT169" t="n">
        <x:f>Scenario_Data!V169</x:f>
        <x:v>313.5999999999999</x:v>
      </x:c>
      <x:c r="AU169" t="n">
        <x: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x:f>
        <x:v>2529.4862966892415</x:v>
      </x:c>
      <x:c r="AV169" t="n">
        <x:f>Scenario_Data!W169</x:f>
        <x:v>313.5999999999999</x:v>
      </x:c>
      <x:c r="AW169" t="n">
        <x: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x:f>
        <x:v>2497.9453758114487</x:v>
      </x:c>
    </x:row>
    <x:row r="170">
      <x:c r="A170" t="n">
        <x:f>Chart_Data!K170</x:f>
        <x:v>24</x:v>
      </x:c>
      <x:c r="B170" t="n">
        <x:f>Chart_Data!N170-Chart_Data!L170</x:f>
        <x:v>-78.06097148341985</x:v>
      </x:c>
      <x:c r="D170" t="n">
        <x:f>Chart_Data!G170</x:f>
        <x:v>24</x:v>
      </x:c>
      <x:c r="E170" t="n">
        <x:f>Chart_Data!H170</x:f>
        <x:v>441.2625072507224</x:v>
      </x:c>
      <x:c r="F170" t="n">
        <x:f>Chart_Data!I170</x:f>
        <x:v>441.2625072507224</x:v>
      </x:c>
      <x:c r="G170" t="n">
        <x:f>Chart_Data!J170</x:f>
        <x:v>75.46815017037277</x:v>
      </x:c>
      <x:c r="I170" t="n">
        <x:f>Scenario_Data!A170</x:f>
        <x:v>0.4</x:v>
      </x:c>
      <x:c r="J170" t="n">
        <x:f>Scenario_Data!H170-(((SQRT((Inputs!$C$52+(Inputs!$H$6))^2+Inputs!$C$52^2-2*(Inputs!$C$52+(Inputs!$H$6))*Inputs!$C$52*COS(SQRT((Scenario_Data!T170)^2+Inputs!$C$6^2)/Inputs!$C$52)))-(Inputs!$H$6))*1000/Inputs!$C$12)</x:f>
        <x:v>-1.3369812749583616</x:v>
      </x:c>
      <x:c r="K170" t="n">
        <x:f>Scenario_Data!I170-(((SQRT((Inputs!$C$52+(Inputs!$H$7))^2+Inputs!$C$52^2-2*(Inputs!$C$52+(Inputs!$H$7))*Inputs!$C$52*COS(SQRT((Scenario_Data!U170)^2+Inputs!$C$6^2)/Inputs!$C$52)))-(Inputs!$H$7))*1000/Inputs!$C$12)</x:f>
        <x:v>-19518.31997454776</x:v>
      </x:c>
      <x:c r="L170" t="n">
        <x:f>Scenario_Data!J170-(((SQRT((Inputs!$C$52+(Inputs!$H$8))^2+Inputs!$C$52^2-2*(Inputs!$C$52+(Inputs!$H$8))*Inputs!$C$52*COS(SQRT((Scenario_Data!V170)^2+Inputs!$C$6^2)/Inputs!$C$52)))-(Inputs!$H$8))*1000/Inputs!$C$12)</x:f>
        <x:v>-51511.04432508859</x:v>
      </x:c>
      <x:c r="M170" t="n">
        <x:f>Scenario_Data!K170-(((SQRT((Inputs!$C$52+(Inputs!$H$9))^2+Inputs!$C$52^2-2*(Inputs!$C$52+(Inputs!$H$9))*Inputs!$C$52*COS(SQRT((Scenario_Data!W170)^2+Inputs!$C$6^2)/Inputs!$C$52)))-(Inputs!$H$9))*1000/Inputs!$C$12)</x:f>
        <x:v>-53987.34398363595</x:v>
      </x:c>
      <x:c r="O170" t="n">
        <x:f>Scenario_Data!T170</x:f>
        <x:v>24</x:v>
      </x:c>
      <x:c r="P170" t="n">
        <x:f>2*(Scenario_Data!B170*1000)/Inputs!$C$21*1000000</x:f>
        <x:v>2672.782382003753</x:v>
      </x:c>
      <x:c r="Q170" t="n">
        <x:f>Scenario_Data!U170</x:f>
        <x:v>160</x:v>
      </x:c>
      <x:c r="R170" t="n">
        <x:f>2*(Scenario_Data!C170*1000)/Inputs!$C$21*1000000</x:f>
        <x:v>623.097729830148</x:v>
      </x:c>
      <x:c r="S170" t="n">
        <x:f>Scenario_Data!V170</x:f>
        <x:v>320</x:v>
      </x:c>
      <x:c r="T170" t="n">
        <x:f>2*(Scenario_Data!D170*1000)/Inputs!$C$21*1000000</x:f>
        <x:v>1263.5407926106002</x:v>
      </x:c>
      <x:c r="U170" t="n">
        <x:f>Scenario_Data!W170</x:f>
        <x:v>320</x:v>
      </x:c>
      <x:c r="V170" t="n">
        <x:f>2*(Scenario_Data!E170*1000)/Inputs!$C$21*1000000</x:f>
        <x:v>1207.5020246173106</x:v>
      </x:c>
      <x:c r="X170" t="n">
        <x:f>Scenario_Data!T170</x:f>
        <x:v>24</x:v>
      </x:c>
      <x:c r="Y170" t="n">
        <x: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x:f>
        <x:v>2672.278912699196</x:v>
      </x:c>
      <x:c r="Z170" t="n">
        <x:f>Scenario_Data!U170</x:f>
        <x:v>160</x:v>
      </x:c>
      <x:c r="AA170" t="n">
        <x: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x:f>
        <x:v>622.9166520341081</x:v>
      </x:c>
      <x:c r="AB170" t="n">
        <x:f>Scenario_Data!V170</x:f>
        <x:v>320</x:v>
      </x:c>
      <x:c r="AC170" t="n">
        <x: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x:f>
        <x:v>1263.7436976342328</x:v>
      </x:c>
      <x:c r="AD170" t="n">
        <x:f>Scenario_Data!W170</x:f>
        <x:v>320</x:v>
      </x:c>
      <x:c r="AE170" t="n">
        <x: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x:f>
        <x:v>1207.7049296409432</x:v>
      </x:c>
      <x:c r="AG170" t="n">
        <x:f>Scenario_Data!T170</x:f>
        <x:v>24</x:v>
      </x:c>
      <x:c r="AH170" t="n">
        <x:f>2*(SQRT((Inputs!$C$52+(Scenario_Data!B170))^2+Inputs!$C$52^2-2*(Inputs!$C$52+(Scenario_Data!B170))*Inputs!$C$52*COS(SQRT((Scenario_Data!T170)^2+Inputs!$C$6^2)/Inputs!$C$52))*1000)/Inputs!$C$21*1000000</x:f>
        <x:v>2685.318429856306</x:v>
      </x:c>
      <x:c r="AI170" t="n">
        <x:f>Scenario_Data!U170</x:f>
        <x:v>160</x:v>
      </x:c>
      <x:c r="AJ170" t="n">
        <x:f>2*(SQRT((Inputs!$C$52+(Scenario_Data!C170))^2+Inputs!$C$52^2-2*(Inputs!$C$52+(Scenario_Data!C170))*Inputs!$C$52*COS(SQRT((Scenario_Data!U170)^2+Inputs!$C$6^2)/Inputs!$C$52))*1000)/Inputs!$C$21*1000000</x:f>
        <x:v>1274.4238323326915</x:v>
      </x:c>
      <x:c r="AK170" t="n">
        <x:f>Scenario_Data!V170</x:f>
        <x:v>320</x:v>
      </x:c>
      <x:c r="AL170" t="n">
        <x:f>2*(SQRT((Inputs!$C$52+(Scenario_Data!D170))^2+Inputs!$C$52^2-2*(Inputs!$C$52+(Scenario_Data!D170))*Inputs!$C$52*COS(SQRT((Scenario_Data!V170)^2+Inputs!$C$6^2)/Inputs!$C$52))*1000)/Inputs!$C$21*1000000</x:f>
        <x:v>2592.311715433615</x:v>
      </x:c>
      <x:c r="AM170" t="n">
        <x:f>Scenario_Data!W170</x:f>
        <x:v>320</x:v>
      </x:c>
      <x:c r="AN170" t="n">
        <x:f>2*(SQRT((Inputs!$C$52+(Scenario_Data!E170))^2+Inputs!$C$52^2-2*(Inputs!$C$52+(Scenario_Data!E170))*Inputs!$C$52*COS(SQRT((Scenario_Data!W170)^2+Inputs!$C$6^2)/Inputs!$C$52))*1000)/Inputs!$C$21*1000000</x:f>
        <x:v>2560.6670284536167</x:v>
      </x:c>
      <x:c r="AP170" t="n">
        <x:f>Scenario_Data!T170</x:f>
        <x:v>24</x:v>
      </x:c>
      <x:c r="AQ170" t="n">
        <x: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x:f>
        <x:v>2682.3919407186913</x:v>
      </x:c>
      <x:c r="AR170" t="n">
        <x:f>Scenario_Data!U170</x:f>
        <x:v>160</x:v>
      </x:c>
      <x:c r="AS170" t="n">
        <x: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x:f>
        <x:v>1273.942666327713</x:v>
      </x:c>
      <x:c r="AT170" t="n">
        <x:f>Scenario_Data!V170</x:f>
        <x:v>320</x:v>
      </x:c>
      <x:c r="AU170" t="n">
        <x: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x:f>
        <x:v>2592.146348508657</x:v>
      </x:c>
      <x:c r="AV170" t="n">
        <x:f>Scenario_Data!W170</x:f>
        <x:v>320</x:v>
      </x:c>
      <x:c r="AW170" t="n">
        <x: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x:f>
        <x:v>2560.508645682442</x:v>
      </x:c>
    </x:row>
    <x:row r="171">
      <x:c r="A171" t="n">
        <x:f>Chart_Data!K171</x:f>
        <x:v>24.5</x:v>
      </x:c>
      <x:c r="B171" t="n">
        <x:f>Chart_Data!N171-Chart_Data!L171</x:f>
        <x:v>-82.77777036737297</x:v>
      </x:c>
      <x:c r="D171" t="n">
        <x:f>Chart_Data!G171</x:f>
        <x:v>24.5</x:v>
      </x:c>
      <x:c r="E171" t="n">
        <x:f>Chart_Data!H171</x:f>
        <x:v>415.4369773442437</x:v>
      </x:c>
      <x:c r="F171" t="n">
        <x:f>Chart_Data!I171</x:f>
        <x:v>415.4369773442437</x:v>
      </x:c>
      <x:c r="G171" t="n">
        <x:f>Chart_Data!J171</x:f>
        <x:v>80.2881627342364</x:v>
      </x:c>
      <x:c r="I171" t="n">
        <x:f>Scenario_Data!A171</x:f>
        <x:v>0.408</x:v>
      </x:c>
      <x:c r="J171" t="n">
        <x:f>Scenario_Data!H171-(((SQRT((Inputs!$C$52+(Inputs!$H$6))^2+Inputs!$C$52^2-2*(Inputs!$C$52+(Inputs!$H$6))*Inputs!$C$52*COS(SQRT((Scenario_Data!T171)^2+Inputs!$C$6^2)/Inputs!$C$52)))-(Inputs!$H$6))*1000/Inputs!$C$12)</x:f>
        <x:v>-1.4176461878619193</x:v>
      </x:c>
      <x:c r="K171" t="n">
        <x:f>Scenario_Data!I171-(((SQRT((Inputs!$C$52+(Inputs!$H$7))^2+Inputs!$C$52^2-2*(Inputs!$C$52+(Inputs!$H$7))*Inputs!$C$52*COS(SQRT((Scenario_Data!U171)^2+Inputs!$C$6^2)/Inputs!$C$52)))-(Inputs!$H$7))*1000/Inputs!$C$12)</x:f>
        <x:v>-20297.88323737291</x:v>
      </x:c>
      <x:c r="L171" t="n">
        <x:f>Scenario_Data!J171-(((SQRT((Inputs!$C$52+(Inputs!$H$8))^2+Inputs!$C$52^2-2*(Inputs!$C$52+(Inputs!$H$8))*Inputs!$C$52*COS(SQRT((Scenario_Data!V171)^2+Inputs!$C$6^2)/Inputs!$C$52)))-(Inputs!$H$8))*1000/Inputs!$C$12)</x:f>
        <x:v>-53290.67307252441</x:v>
      </x:c>
      <x:c r="M171" t="n">
        <x:f>Scenario_Data!K171-(((SQRT((Inputs!$C$52+(Inputs!$H$9))^2+Inputs!$C$52^2-2*(Inputs!$C$52+(Inputs!$H$9))*Inputs!$C$52*COS(SQRT((Scenario_Data!W171)^2+Inputs!$C$6^2)/Inputs!$C$52)))-(Inputs!$H$9))*1000/Inputs!$C$12)</x:f>
        <x:v>-55808.06323941368</x:v>
      </x:c>
      <x:c r="O171" t="n">
        <x:f>Scenario_Data!T171</x:f>
        <x:v>24.47999999999999</x:v>
      </x:c>
      <x:c r="P171" t="n">
        <x:f>2*(Scenario_Data!B171*1000)/Inputs!$C$21*1000000</x:f>
        <x:v>2672.954874668662</x:v>
      </x:c>
      <x:c r="Q171" t="n">
        <x:f>Scenario_Data!U171</x:f>
        <x:v>163.19999999999993</x:v>
      </x:c>
      <x:c r="R171" t="n">
        <x:f>2*(Scenario_Data!C171*1000)/Inputs!$C$21*1000000</x:f>
        <x:v>638.8376855030817</x:v>
      </x:c>
      <x:c r="S171" t="n">
        <x:f>Scenario_Data!V171</x:f>
        <x:v>326.39999999999986</x:v>
      </x:c>
      <x:c r="T171" t="n">
        <x:f>2*(Scenario_Data!D171*1000)/Inputs!$C$21*1000000</x:f>
        <x:v>1305.1546480198635</x:v>
      </x:c>
      <x:c r="U171" t="n">
        <x:f>Scenario_Data!W171</x:f>
        <x:v>326.39999999999986</x:v>
      </x:c>
      <x:c r="V171" t="n">
        <x:f>2*(Scenario_Data!E171*1000)/Inputs!$C$21*1000000</x:f>
        <x:v>1249.5471116888461</x:v>
      </x:c>
      <x:c r="X171" t="n">
        <x:f>Scenario_Data!T171</x:f>
        <x:v>24.47999999999999</x:v>
      </x:c>
      <x:c r="Y171" t="n">
        <x: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x:f>
        <x:v>2672.422684953723</x:v>
      </x:c>
      <x:c r="Z171" t="n">
        <x:f>Scenario_Data!U171</x:f>
        <x:v>163.19999999999993</x:v>
      </x:c>
      <x:c r="AA171" t="n">
        <x: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x:f>
        <x:v>638.4143292101328</x:v>
      </x:c>
      <x:c r="AB171" t="n">
        <x:f>Scenario_Data!V171</x:f>
        <x:v>326.39999999999986</x:v>
      </x:c>
      <x:c r="AC171" t="n">
        <x: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x:f>
        <x:v>1304.993058303427</x:v>
      </x:c>
      <x:c r="AD171" t="n">
        <x:f>Scenario_Data!W171</x:f>
        <x:v>326.39999999999986</x:v>
      </x:c>
      <x:c r="AE171" t="n">
        <x: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x:f>
        <x:v>1249.3855219724098</x:v>
      </x:c>
      <x:c r="AG171" t="n">
        <x:f>Scenario_Data!T171</x:f>
        <x:v>24.47999999999999</x:v>
      </x:c>
      <x:c r="AH171" t="n">
        <x:f>2*(SQRT((Inputs!$C$52+(Scenario_Data!B171))^2+Inputs!$C$52^2-2*(Inputs!$C$52+(Scenario_Data!B171))*Inputs!$C$52*COS(SQRT((Scenario_Data!T171)^2+Inputs!$C$6^2)/Inputs!$C$52))*1000)/Inputs!$C$21*1000000</x:f>
        <x:v>2685.7325784389564</x:v>
      </x:c>
      <x:c r="AI171" t="n">
        <x:f>Scenario_Data!U171</x:f>
        <x:v>163.19999999999993</x:v>
      </x:c>
      <x:c r="AJ171" t="n">
        <x:f>2*(SQRT((Inputs!$C$52+(Scenario_Data!C171))^2+Inputs!$C$52^2-2*(Inputs!$C$52+(Scenario_Data!C171))*Inputs!$C$52*COS(SQRT((Scenario_Data!U171)^2+Inputs!$C$6^2)/Inputs!$C$52))*1000)/Inputs!$C$21*1000000</x:f>
        <x:v>1301.7473946103885</x:v>
      </x:c>
      <x:c r="AK171" t="n">
        <x:f>Scenario_Data!V171</x:f>
        <x:v>326.39999999999986</x:v>
      </x:c>
      <x:c r="AL171" t="n">
        <x:f>2*(SQRT((Inputs!$C$52+(Scenario_Data!D171))^2+Inputs!$C$52^2-2*(Inputs!$C$52+(Scenario_Data!D171))*Inputs!$C$52*COS(SQRT((Scenario_Data!V171)^2+Inputs!$C$6^2)/Inputs!$C$52))*1000)/Inputs!$C$21*1000000</x:f>
        <x:v>2655.3615925812765</x:v>
      </x:c>
      <x:c r="AM171" t="n">
        <x:f>Scenario_Data!W171</x:f>
        <x:v>326.39999999999986</x:v>
      </x:c>
      <x:c r="AN171" t="n">
        <x:f>2*(SQRT((Inputs!$C$52+(Scenario_Data!E171))^2+Inputs!$C$52^2-2*(Inputs!$C$52+(Scenario_Data!E171))*Inputs!$C$52*COS(SQRT((Scenario_Data!W171)^2+Inputs!$C$6^2)/Inputs!$C$52))*1000)/Inputs!$C$21*1000000</x:f>
        <x:v>2623.6439001292542</x:v>
      </x:c>
      <x:c r="AP171" t="n">
        <x:f>Scenario_Data!T171</x:f>
        <x:v>24.47999999999999</x:v>
      </x:c>
      <x:c r="AQ171" t="n">
        <x: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x:f>
        <x:v>2682.915880658896</x:v>
      </x:c>
      <x:c r="AR171" t="n">
        <x:f>Scenario_Data!U171</x:f>
        <x:v>163.19999999999993</x:v>
      </x:c>
      <x:c r="AS171" t="n">
        <x: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x:f>
        <x:v>1301.2535415684738</x:v>
      </x:c>
      <x:c r="AT171" t="n">
        <x:f>Scenario_Data!V171</x:f>
        <x:v>326.39999999999986</x:v>
      </x:c>
      <x:c r="AU171" t="n">
        <x: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x:f>
        <x:v>2654.889210932727</x:v>
      </x:c>
      <x:c r="AV171" t="n">
        <x:f>Scenario_Data!W171</x:f>
        <x:v>326.39999999999986</x:v>
      </x:c>
      <x:c r="AW171" t="n">
        <x: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x:f>
        <x:v>2623.190626267785</x:v>
      </x:c>
    </x:row>
    <x:row r="172">
      <x:c r="A172" t="n">
        <x:f>Chart_Data!K172</x:f>
        <x:v>25</x:v>
      </x:c>
      <x:c r="B172" t="n">
        <x:f>Chart_Data!N172-Chart_Data!L172</x:f>
        <x:v>-64.05860084887831</x:v>
      </x:c>
      <x:c r="D172" t="n">
        <x:f>Chart_Data!G172</x:f>
        <x:v>25</x:v>
      </x:c>
      <x:c r="E172" t="n">
        <x:f>Chart_Data!H172</x:f>
        <x:v>418.8320748478676</x:v>
      </x:c>
      <x:c r="F172" t="n">
        <x:f>Chart_Data!I172</x:f>
        <x:v>418.8320748478676</x:v>
      </x:c>
      <x:c r="G172" t="n">
        <x:f>Chart_Data!J172</x:f>
        <x:v>61.498548518191555</x:v>
      </x:c>
      <x:c r="I172" t="n">
        <x:f>Scenario_Data!A172</x:f>
        <x:v>0.417</x:v>
      </x:c>
      <x:c r="J172" t="n">
        <x:f>Scenario_Data!H172-(((SQRT((Inputs!$C$52+(Inputs!$H$6))^2+Inputs!$C$52^2-2*(Inputs!$C$52+(Inputs!$H$6))*Inputs!$C$52*COS(SQRT((Scenario_Data!T172)^2+Inputs!$C$6^2)/Inputs!$C$52)))-(Inputs!$H$6))*1000/Inputs!$C$12)</x:f>
        <x:v>-1.512843152252799</x:v>
      </x:c>
      <x:c r="K172" t="n">
        <x:f>Scenario_Data!I172-(((SQRT((Inputs!$C$52+(Inputs!$H$7))^2+Inputs!$C$52^2-2*(Inputs!$C$52+(Inputs!$H$7))*Inputs!$C$52*COS(SQRT((Scenario_Data!U172)^2+Inputs!$C$6^2)/Inputs!$C$52)))-(Inputs!$H$7))*1000/Inputs!$C$12)</x:f>
        <x:v>-21187.93300776442</x:v>
      </x:c>
      <x:c r="L172" t="n">
        <x:f>Scenario_Data!J172-(((SQRT((Inputs!$C$52+(Inputs!$H$8))^2+Inputs!$C$52^2-2*(Inputs!$C$52+(Inputs!$H$8))*Inputs!$C$52*COS(SQRT((Scenario_Data!V172)^2+Inputs!$C$6^2)/Inputs!$C$52)))-(Inputs!$H$8))*1000/Inputs!$C$12)</x:f>
        <x:v>-55309.2824077269</x:v>
      </x:c>
      <x:c r="M172" t="n">
        <x:f>Scenario_Data!K172-(((SQRT((Inputs!$C$52+(Inputs!$H$9))^2+Inputs!$C$52^2-2*(Inputs!$C$52+(Inputs!$H$9))*Inputs!$C$52*COS(SQRT((Scenario_Data!W172)^2+Inputs!$C$6^2)/Inputs!$C$52)))-(Inputs!$H$9))*1000/Inputs!$C$12)</x:f>
        <x:v>-57872.10897282533</x:v>
      </x:c>
      <x:c r="O172" t="n">
        <x:f>Scenario_Data!T172</x:f>
        <x:v>25.019999999999996</x:v>
      </x:c>
      <x:c r="P172" t="n">
        <x:f>2*(Scenario_Data!B172*1000)/Inputs!$C$21*1000000</x:f>
        <x:v>2673.1530117412094</x:v>
      </x:c>
      <x:c r="Q172" t="n">
        <x:f>Scenario_Data!U172</x:f>
        <x:v>166.80000000000007</x:v>
      </x:c>
      <x:c r="R172" t="n">
        <x:f>2*(Scenario_Data!C172*1000)/Inputs!$C$21*1000000</x:f>
        <x:v>656.9176933730604</x:v>
      </x:c>
      <x:c r="S172" t="n">
        <x:f>Scenario_Data!V172</x:f>
        <x:v>333.60000000000014</x:v>
      </x:c>
      <x:c r="T172" t="n">
        <x:f>2*(Scenario_Data!D172*1000)/Inputs!$C$21*1000000</x:f>
        <x:v>1352.9552167719985</x:v>
      </x:c>
      <x:c r="U172" t="n">
        <x:f>Scenario_Data!W172</x:f>
        <x:v>333.60000000000014</x:v>
      </x:c>
      <x:c r="V172" t="n">
        <x:f>2*(Scenario_Data!E172*1000)/Inputs!$C$21*1000000</x:f>
        <x:v>1297.8430231223504</x:v>
      </x:c>
      <x:c r="X172" t="n">
        <x:f>Scenario_Data!T172</x:f>
        <x:v>25.019999999999996</x:v>
      </x:c>
      <x:c r="Y172" t="n">
        <x: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x:f>
        <x:v>2672.7507541412438</x:v>
      </x:c>
      <x:c r="Z172" t="n">
        <x:f>Scenario_Data!U172</x:f>
        <x:v>166.80000000000007</x:v>
      </x:c>
      <x:c r="AA172" t="n">
        <x: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x:f>
        <x:v>656.4778874083446</x:v>
      </x:c>
      <x:c r="AB172" t="n">
        <x:f>Scenario_Data!V172</x:f>
        <x:v>333.60000000000014</x:v>
      </x:c>
      <x:c r="AC172" t="n">
        <x: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x:f>
        <x:v>1352.9496387434049</x:v>
      </x:c>
      <x:c r="AD172" t="n">
        <x:f>Scenario_Data!W172</x:f>
        <x:v>333.60000000000014</x:v>
      </x:c>
      <x:c r="AE172" t="n">
        <x: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x:f>
        <x:v>1297.8374450937565</x:v>
      </x:c>
      <x:c r="AG172" t="n">
        <x:f>Scenario_Data!T172</x:f>
        <x:v>25.019999999999996</x:v>
      </x:c>
      <x:c r="AH172" t="n">
        <x:f>2*(SQRT((Inputs!$C$52+(Scenario_Data!B172))^2+Inputs!$C$52^2-2*(Inputs!$C$52+(Scenario_Data!B172))*Inputs!$C$52*COS(SQRT((Scenario_Data!T172)^2+Inputs!$C$6^2)/Inputs!$C$52))*1000)/Inputs!$C$21*1000000</x:f>
        <x:v>2686.2082405845767</x:v>
      </x:c>
      <x:c r="AI172" t="n">
        <x:f>Scenario_Data!U172</x:f>
        <x:v>166.80000000000007</x:v>
      </x:c>
      <x:c r="AJ172" t="n">
        <x:f>2*(SQRT((Inputs!$C$52+(Scenario_Data!C172))^2+Inputs!$C$52^2-2*(Inputs!$C$52+(Scenario_Data!C172))*Inputs!$C$52*COS(SQRT((Scenario_Data!U172)^2+Inputs!$C$6^2)/Inputs!$C$52))*1000)/Inputs!$C$21*1000000</x:f>
        <x:v>1332.7340115462373</x:v>
      </x:c>
      <x:c r="AK172" t="n">
        <x:f>Scenario_Data!V172</x:f>
        <x:v>333.60000000000014</x:v>
      </x:c>
      <x:c r="AL172" t="n">
        <x:f>2*(SQRT((Inputs!$C$52+(Scenario_Data!D172))^2+Inputs!$C$52^2-2*(Inputs!$C$52+(Scenario_Data!D172))*Inputs!$C$52*COS(SQRT((Scenario_Data!V172)^2+Inputs!$C$6^2)/Inputs!$C$52))*1000)/Inputs!$C$21*1000000</x:f>
        <x:v>2727.0872248769224</x:v>
      </x:c>
      <x:c r="AM172" t="n">
        <x:f>Scenario_Data!W172</x:f>
        <x:v>333.60000000000014</x:v>
      </x:c>
      <x:c r="AN172" t="n">
        <x:f>2*(SQRT((Inputs!$C$52+(Scenario_Data!E172))^2+Inputs!$C$52^2-2*(Inputs!$C$52+(Scenario_Data!E172))*Inputs!$C$52*COS(SQRT((Scenario_Data!W172)^2+Inputs!$C$6^2)/Inputs!$C$52))*1000)/Inputs!$C$21*1000000</x:f>
        <x:v>2695.3016989076004</x:v>
      </x:c>
      <x:c r="AP172" t="n">
        <x:f>Scenario_Data!T172</x:f>
        <x:v>25.019999999999996</x:v>
      </x:c>
      <x:c r="AQ172" t="n">
        <x: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x:f>
        <x:v>2683.4438459390726</x:v>
      </x:c>
      <x:c r="AR172" t="n">
        <x:f>Scenario_Data!U172</x:f>
        <x:v>166.80000000000007</x:v>
      </x:c>
      <x:c r="AS172" t="n">
        <x: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x:f>
        <x:v>1332.2058701793264</x:v>
      </x:c>
      <x:c r="AT172" t="n">
        <x:f>Scenario_Data!V172</x:f>
        <x:v>333.60000000000014</x:v>
      </x:c>
      <x:c r="AU172" t="n">
        <x: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x:f>
        <x:v>2726.825506113058</x:v>
      </x:c>
      <x:c r="AV172" t="n">
        <x:f>Scenario_Data!W172</x:f>
        <x:v>333.60000000000014</x:v>
      </x:c>
      <x:c r="AW172" t="n">
        <x: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x:f>
        <x:v>2695.0500562784723</x:v>
      </x:c>
    </x:row>
    <x:row r="173">
      <x:c r="A173" t="n">
        <x:f>Chart_Data!K173</x:f>
        <x:v>25.5</x:v>
      </x:c>
      <x:c r="B173" t="n">
        <x:f>Chart_Data!N173-Chart_Data!L173</x:f>
        <x:v>-70.33405513010166</x:v>
      </x:c>
      <x:c r="D173" t="n">
        <x:f>Chart_Data!G173</x:f>
        <x:v>25.5</x:v>
      </x:c>
      <x:c r="E173" t="n">
        <x:f>Chart_Data!H173</x:f>
        <x:v>390.15691093629596</x:v>
      </x:c>
      <x:c r="F173" t="n">
        <x:f>Chart_Data!I173</x:f>
        <x:v>390.15691093629596</x:v>
      </x:c>
      <x:c r="G173" t="n">
        <x:f>Chart_Data!J173</x:f>
        <x:v>67.90188044896082</x:v>
      </x:c>
      <x:c r="I173" t="n">
        <x:f>Scenario_Data!A173</x:f>
        <x:v>0.425</x:v>
      </x:c>
      <x:c r="J173" t="n">
        <x:f>Scenario_Data!H173-(((SQRT((Inputs!$C$52+(Inputs!$H$6))^2+Inputs!$C$52^2-2*(Inputs!$C$52+(Inputs!$H$6))*Inputs!$C$52*COS(SQRT((Scenario_Data!T173)^2+Inputs!$C$6^2)/Inputs!$C$52)))-(Inputs!$H$6))*1000/Inputs!$C$12)</x:f>
        <x:v>-1.601553853415453</x:v>
      </x:c>
      <x:c r="K173" t="n">
        <x:f>Scenario_Data!I173-(((SQRT((Inputs!$C$52+(Inputs!$H$7))^2+Inputs!$C$52^2-2*(Inputs!$C$52+(Inputs!$H$7))*Inputs!$C$52*COS(SQRT((Scenario_Data!U173)^2+Inputs!$C$6^2)/Inputs!$C$52)))-(Inputs!$H$7))*1000/Inputs!$C$12)</x:f>
        <x:v>-21990.4112445204</x:v>
      </x:c>
      <x:c r="L173" t="n">
        <x:f>Scenario_Data!J173-(((SQRT((Inputs!$C$52+(Inputs!$H$8))^2+Inputs!$C$52^2-2*(Inputs!$C$52+(Inputs!$H$8))*Inputs!$C$52*COS(SQRT((Scenario_Data!V173)^2+Inputs!$C$6^2)/Inputs!$C$52)))-(Inputs!$H$8))*1000/Inputs!$C$12)</x:f>
        <x:v>-57117.531516682895</x:v>
      </x:c>
      <x:c r="M173" t="n">
        <x:f>Scenario_Data!K173-(((SQRT((Inputs!$C$52+(Inputs!$H$9))^2+Inputs!$C$52^2-2*(Inputs!$C$52+(Inputs!$H$9))*Inputs!$C$52*COS(SQRT((Scenario_Data!W173)^2+Inputs!$C$6^2)/Inputs!$C$52)))-(Inputs!$H$9))*1000/Inputs!$C$12)</x:f>
        <x:v>-59720.04210248674</x:v>
      </x:c>
      <x:c r="O173" t="n">
        <x:f>Scenario_Data!T173</x:f>
        <x:v>25.5</x:v>
      </x:c>
      <x:c r="P173" t="n">
        <x:f>2*(Scenario_Data!B173*1000)/Inputs!$C$21*1000000</x:f>
        <x:v>2673.3327627608296</x:v>
      </x:c>
      <x:c r="Q173" t="n">
        <x:f>Scenario_Data!U173</x:f>
        <x:v>170</x:v>
      </x:c>
      <x:c r="R173" t="n">
        <x:f>2*(Scenario_Data!C173*1000)/Inputs!$C$21*1000000</x:f>
        <x:v>673.3199739134197</x:v>
      </x:c>
      <x:c r="S173" t="n">
        <x:f>Scenario_Data!V173</x:f>
        <x:v>340</x:v>
      </x:c>
      <x:c r="T173" t="n">
        <x:f>2*(Scenario_Data!D173*1000)/Inputs!$C$21*1000000</x:f>
        <x:v>1396.3201502554143</x:v>
      </x:c>
      <x:c r="U173" t="n">
        <x:f>Scenario_Data!W173</x:f>
        <x:v>340</x:v>
      </x:c>
      <x:c r="V173" t="n">
        <x:f>2*(Scenario_Data!E173*1000)/Inputs!$C$21*1000000</x:f>
        <x:v>1341.6573341548171</x:v>
      </x:c>
      <x:c r="X173" t="n">
        <x:f>Scenario_Data!T173</x:f>
        <x:v>25.5</x:v>
      </x:c>
      <x:c r="Y173" t="n">
        <x: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x:f>
        <x:v>2672.8797701745452</x:v>
      </x:c>
      <x:c r="Z173" t="n">
        <x:f>Scenario_Data!U173</x:f>
        <x:v>170</x:v>
      </x:c>
      <x:c r="AA173" t="n">
        <x: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x:f>
        <x:v>672.9521582471372</x:v>
      </x:c>
      <x:c r="AB173" t="n">
        <x:f>Scenario_Data!V173</x:f>
        <x:v>340</x:v>
      </x:c>
      <x:c r="AC173" t="n">
        <x: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x:f>
        <x:v>1396.3473019036721</x:v>
      </x:c>
      <x:c r="AD173" t="n">
        <x:f>Scenario_Data!W173</x:f>
        <x:v>340</x:v>
      </x:c>
      <x:c r="AE173" t="n">
        <x: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x:f>
        <x:v>1341.6844858030745</x:v>
      </x:c>
      <x:c r="AG173" t="n">
        <x:f>Scenario_Data!T173</x:f>
        <x:v>25.5</x:v>
      </x:c>
      <x:c r="AH173" t="n">
        <x:f>2*(SQRT((Inputs!$C$52+(Scenario_Data!B173))^2+Inputs!$C$52^2-2*(Inputs!$C$52+(Scenario_Data!B173))*Inputs!$C$52*COS(SQRT((Scenario_Data!T173)^2+Inputs!$C$6^2)/Inputs!$C$52))*1000)/Inputs!$C$21*1000000</x:f>
        <x:v>2686.6397104802963</x:v>
      </x:c>
      <x:c r="AI173" t="n">
        <x:f>Scenario_Data!U173</x:f>
        <x:v>170</x:v>
      </x:c>
      <x:c r="AJ173" t="n">
        <x:f>2*(SQRT((Inputs!$C$52+(Scenario_Data!C173))^2+Inputs!$C$52^2-2*(Inputs!$C$52+(Scenario_Data!C173))*Inputs!$C$52*COS(SQRT((Scenario_Data!U173)^2+Inputs!$C$6^2)/Inputs!$C$52))*1000)/Inputs!$C$21*1000000</x:f>
        <x:v>1360.4994034490926</x:v>
      </x:c>
      <x:c r="AK173" t="n">
        <x:f>Scenario_Data!V173</x:f>
        <x:v>340</x:v>
      </x:c>
      <x:c r="AL173" t="n">
        <x:f>2*(SQRT((Inputs!$C$52+(Scenario_Data!D173))^2+Inputs!$C$52^2-2*(Inputs!$C$52+(Scenario_Data!D173))*Inputs!$C$52*COS(SQRT((Scenario_Data!V173)^2+Inputs!$C$6^2)/Inputs!$C$52))*1000)/Inputs!$C$21*1000000</x:f>
        <x:v>2791.557552752647</x:v>
      </x:c>
      <x:c r="AM173" t="n">
        <x:f>Scenario_Data!W173</x:f>
        <x:v>340</x:v>
      </x:c>
      <x:c r="AN173" t="n">
        <x:f>2*(SQRT((Inputs!$C$52+(Scenario_Data!E173))^2+Inputs!$C$52^2-2*(Inputs!$C$52+(Scenario_Data!E173))*Inputs!$C$52*COS(SQRT((Scenario_Data!W173)^2+Inputs!$C$6^2)/Inputs!$C$52))*1000)/Inputs!$C$21*1000000</x:f>
        <x:v>2759.724726481357</x:v>
      </x:c>
      <x:c r="AP173" t="n">
        <x:f>Scenario_Data!T173</x:f>
        <x:v>25.5</x:v>
      </x:c>
      <x:c r="AQ173" t="n">
        <x: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x:f>
        <x:v>2684.0530894635986</x:v>
      </x:c>
      <x:c r="AR173" t="n">
        <x:f>Scenario_Data!U173</x:f>
        <x:v>170</x:v>
      </x:c>
      <x:c r="AS173" t="n">
        <x: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x:f>
        <x:v>1359.9452187192626</x:v>
      </x:c>
      <x:c r="AT173" t="n">
        <x:f>Scenario_Data!V173</x:f>
        <x:v>340</x:v>
      </x:c>
      <x:c r="AU173" t="n">
        <x: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x:f>
        <x:v>2791.225314975836</x:v>
      </x:c>
      <x:c r="AV173" t="n">
        <x:f>Scenario_Data!W173</x:f>
        <x:v>340</x:v>
      </x:c>
      <x:c r="AW173" t="n">
        <x: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x:f>
        <x:v>2759.4047365661204</x:v>
      </x:c>
    </x:row>
    <x:row r="174">
      <x:c r="A174" t="n">
        <x:f>Chart_Data!K174</x:f>
        <x:v>26</x:v>
      </x:c>
      <x:c r="B174" t="n">
        <x:f>Chart_Data!N174-Chart_Data!L174</x:f>
        <x:v>-67.49562383697156</x:v>
      </x:c>
      <x:c r="D174" t="n">
        <x:f>Chart_Data!G174</x:f>
        <x:v>26</x:v>
      </x:c>
      <x:c r="E174" t="n">
        <x:f>Chart_Data!H174</x:f>
        <x:v>387.3749410180904</x:v>
      </x:c>
      <x:c r="F174" t="n">
        <x:f>Chart_Data!I174</x:f>
        <x:v>387.3749410180904</x:v>
      </x:c>
      <x:c r="G174" t="n">
        <x:f>Chart_Data!J174</x:f>
        <x:v>65.03267186217182</x:v>
      </x:c>
      <x:c r="I174" t="n">
        <x:f>Scenario_Data!A174</x:f>
        <x:v>0.433</x:v>
      </x:c>
      <x:c r="J174" t="n">
        <x:f>Scenario_Data!H174-(((SQRT((Inputs!$C$52+(Inputs!$H$6))^2+Inputs!$C$52^2-2*(Inputs!$C$52+(Inputs!$H$6))*Inputs!$C$52*COS(SQRT((Scenario_Data!T174)^2+Inputs!$C$6^2)/Inputs!$C$52)))-(Inputs!$H$6))*1000/Inputs!$C$12)</x:f>
        <x:v>-1.6942460296072568</x:v>
      </x:c>
      <x:c r="K174" t="n">
        <x:f>Scenario_Data!I174-(((SQRT((Inputs!$C$52+(Inputs!$H$7))^2+Inputs!$C$52^2-2*(Inputs!$C$52+(Inputs!$H$7))*Inputs!$C$52*COS(SQRT((Scenario_Data!U174)^2+Inputs!$C$6^2)/Inputs!$C$52)))-(Inputs!$H$7))*1000/Inputs!$C$12)</x:f>
        <x:v>-22803.296578072215</x:v>
      </x:c>
      <x:c r="L174" t="n">
        <x:f>Scenario_Data!J174-(((SQRT((Inputs!$C$52+(Inputs!$H$8))^2+Inputs!$C$52^2-2*(Inputs!$C$52+(Inputs!$H$8))*Inputs!$C$52*COS(SQRT((Scenario_Data!V174)^2+Inputs!$C$6^2)/Inputs!$C$52)))-(Inputs!$H$8))*1000/Inputs!$C$12)</x:f>
        <x:v>-58938.1918599959</x:v>
      </x:c>
      <x:c r="M174" t="n">
        <x:f>Scenario_Data!K174-(((SQRT((Inputs!$C$52+(Inputs!$H$9))^2+Inputs!$C$52^2-2*(Inputs!$C$52+(Inputs!$H$9))*Inputs!$C$52*COS(SQRT((Scenario_Data!W174)^2+Inputs!$C$6^2)/Inputs!$C$52)))-(Inputs!$H$9))*1000/Inputs!$C$12)</x:f>
        <x:v>-61579.72335626042</x:v>
      </x:c>
      <x:c r="O174" t="n">
        <x:f>Scenario_Data!T174</x:f>
        <x:v>25.980000000000004</x:v>
      </x:c>
      <x:c r="P174" t="n">
        <x:f>2*(Scenario_Data!B174*1000)/Inputs!$C$21*1000000</x:f>
        <x:v>2673.515929476785</x:v>
      </x:c>
      <x:c r="Q174" t="n">
        <x:f>Scenario_Data!U174</x:f>
        <x:v>173.20000000000005</x:v>
      </x:c>
      <x:c r="R174" t="n">
        <x:f>2*(Scenario_Data!C174*1000)/Inputs!$C$21*1000000</x:f>
        <x:v>690.0339367443329</x:v>
      </x:c>
      <x:c r="S174" t="n">
        <x:f>Scenario_Data!V174</x:f>
        <x:v>346.4000000000001</x:v>
      </x:c>
      <x:c r="T174" t="n">
        <x:f>2*(Scenario_Data!D174*1000)/Inputs!$C$21*1000000</x:f>
        <x:v>1440.5091204796092</x:v>
      </x:c>
      <x:c r="U174" t="n">
        <x:f>Scenario_Data!W174</x:f>
        <x:v>346.4000000000001</x:v>
      </x:c>
      <x:c r="V174" t="n">
        <x:f>2*(Scenario_Data!E174*1000)/Inputs!$C$21*1000000</x:f>
        <x:v>1386.3042211689</x:v>
      </x:c>
      <x:c r="X174" t="n">
        <x:f>Scenario_Data!T174</x:f>
        <x:v>25.980000000000004</x:v>
      </x:c>
      <x:c r="Y174" t="n">
        <x: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x:f>
        <x:v>2673.023648727582</x:v>
      </x:c>
      <x:c r="Z174" t="n">
        <x:f>Scenario_Data!U174</x:f>
        <x:v>173.20000000000005</x:v>
      </x:c>
      <x:c r="AA174" t="n">
        <x: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x:f>
        <x:v>689.9092702737296</x:v>
      </x:c>
      <x:c r="AB174" t="n">
        <x:f>Scenario_Data!V174</x:f>
        <x:v>346.4000000000001</x:v>
      </x:c>
      <x:c r="AC174" t="n">
        <x: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x:f>
        <x:v>1440.15613079986</x:v>
      </x:c>
      <x:c r="AD174" t="n">
        <x:f>Scenario_Data!W174</x:f>
        <x:v>346.4000000000001</x:v>
      </x:c>
      <x:c r="AE174" t="n">
        <x: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x:f>
        <x:v>1385.951231489151</x:v>
      </x:c>
      <x:c r="AG174" t="n">
        <x:f>Scenario_Data!T174</x:f>
        <x:v>25.980000000000004</x:v>
      </x:c>
      <x:c r="AH174" t="n">
        <x:f>2*(SQRT((Inputs!$C$52+(Scenario_Data!B174))^2+Inputs!$C$52^2-2*(Inputs!$C$52+(Scenario_Data!B174))*Inputs!$C$52*COS(SQRT((Scenario_Data!T174)^2+Inputs!$C$6^2)/Inputs!$C$52))*1000)/Inputs!$C$21*1000000</x:f>
        <x:v>2687.0793271300054</x:v>
      </x:c>
      <x:c r="AI174" t="n">
        <x:f>Scenario_Data!U174</x:f>
        <x:v>173.20000000000005</x:v>
      </x:c>
      <x:c r="AJ174" t="n">
        <x:f>2*(SQRT((Inputs!$C$52+(Scenario_Data!C174))^2+Inputs!$C$52^2-2*(Inputs!$C$52+(Scenario_Data!C174))*Inputs!$C$52*COS(SQRT((Scenario_Data!U174)^2+Inputs!$C$6^2)/Inputs!$C$52))*1000)/Inputs!$C$21*1000000</x:f>
        <x:v>1388.4750825653464</x:v>
      </x:c>
      <x:c r="AK174" t="n">
        <x:f>Scenario_Data!V174</x:f>
        <x:v>346.4000000000001</x:v>
      </x:c>
      <x:c r="AL174" t="n">
        <x:f>2*(SQRT((Inputs!$C$52+(Scenario_Data!D174))^2+Inputs!$C$52^2-2*(Inputs!$C$52+(Scenario_Data!D174))*Inputs!$C$52*COS(SQRT((Scenario_Data!V174)^2+Inputs!$C$6^2)/Inputs!$C$52))*1000)/Inputs!$C$21*1000000</x:f>
        <x:v>2856.707437171217</x:v>
      </x:c>
      <x:c r="AM174" t="n">
        <x:f>Scenario_Data!W174</x:f>
        <x:v>346.4000000000001</x:v>
      </x:c>
      <x:c r="AN174" t="n">
        <x:f>2*(SQRT((Inputs!$C$52+(Scenario_Data!E174))^2+Inputs!$C$52^2-2*(Inputs!$C$52+(Scenario_Data!E174))*Inputs!$C$52*COS(SQRT((Scenario_Data!W174)^2+Inputs!$C$6^2)/Inputs!$C$52))*1000)/Inputs!$C$21*1000000</x:f>
        <x:v>2824.8397867428093</x:v>
      </x:c>
      <x:c r="AP174" t="n">
        <x:f>Scenario_Data!T174</x:f>
        <x:v>25.980000000000004</x:v>
      </x:c>
      <x:c r="AQ174" t="n">
        <x: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x:f>
        <x:v>2684.4264672966287</x:v>
      </x:c>
      <x:c r="AR174" t="n">
        <x:f>Scenario_Data!U174</x:f>
        <x:v>173.20000000000005</x:v>
      </x:c>
      <x:c r="AS174" t="n">
        <x: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x:f>
        <x:v>1388.0981650857836</x:v>
      </x:c>
      <x:c r="AT174" t="n">
        <x:f>Scenario_Data!V174</x:f>
        <x:v>346.4000000000001</x:v>
      </x:c>
      <x:c r="AU174" t="n">
        <x: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x:f>
        <x:v>2856.226033694012</x:v>
      </x:c>
      <x:c r="AV174" t="n">
        <x:f>Scenario_Data!W174</x:f>
        <x:v>346.4000000000001</x:v>
      </x:c>
      <x:c r="AW174" t="n">
        <x: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x:f>
        <x:v>2824.3753796888404</x:v>
      </x:c>
    </x:row>
    <x:row r="175">
      <x:c r="A175" t="n">
        <x:f>Chart_Data!K175</x:f>
        <x:v>26.5</x:v>
      </x:c>
      <x:c r="B175" t="n">
        <x:f>Chart_Data!N175-Chart_Data!L175</x:f>
        <x:v>-72.00336103907381</x:v>
      </x:c>
      <x:c r="D175" t="n">
        <x:f>Chart_Data!G175</x:f>
        <x:v>26.5</x:v>
      </x:c>
      <x:c r="E175" t="n">
        <x:f>Chart_Data!H175</x:f>
        <x:v>383.48713922986474</x:v>
      </x:c>
      <x:c r="F175" t="n">
        <x:f>Chart_Data!I175</x:f>
        <x:v>383.48713922986474</x:v>
      </x:c>
      <x:c r="G175" t="n">
        <x:f>Chart_Data!J175</x:f>
        <x:v>69.51659821200863</x:v>
      </x:c>
      <x:c r="I175" t="n">
        <x:f>Scenario_Data!A175</x:f>
        <x:v>0.442</x:v>
      </x:c>
      <x:c r="J175" t="n">
        <x:f>Scenario_Data!H175-(((SQRT((Inputs!$C$52+(Inputs!$H$6))^2+Inputs!$C$52^2-2*(Inputs!$C$52+(Inputs!$H$6))*Inputs!$C$52*COS(SQRT((Scenario_Data!T175)^2+Inputs!$C$6^2)/Inputs!$C$52)))-(Inputs!$H$6))*1000/Inputs!$C$12)</x:f>
        <x:v>-1.8034433360094226</x:v>
      </x:c>
      <x:c r="K175" t="n">
        <x:f>Scenario_Data!I175-(((SQRT((Inputs!$C$52+(Inputs!$H$7))^2+Inputs!$C$52^2-2*(Inputs!$C$52+(Inputs!$H$7))*Inputs!$C$52*COS(SQRT((Scenario_Data!U175)^2+Inputs!$C$6^2)/Inputs!$C$52)))-(Inputs!$H$7))*1000/Inputs!$C$12)</x:f>
        <x:v>-23729.938248077415</x:v>
      </x:c>
      <x:c r="L175" t="n">
        <x:f>Scenario_Data!J175-(((SQRT((Inputs!$C$52+(Inputs!$H$8))^2+Inputs!$C$52^2-2*(Inputs!$C$52+(Inputs!$H$8))*Inputs!$C$52*COS(SQRT((Scenario_Data!V175)^2+Inputs!$C$6^2)/Inputs!$C$52)))-(Inputs!$H$8))*1000/Inputs!$C$12)</x:f>
        <x:v>-61000.45522179079</x:v>
      </x:c>
      <x:c r="M175" t="n">
        <x:f>Scenario_Data!K175-(((SQRT((Inputs!$C$52+(Inputs!$H$9))^2+Inputs!$C$52^2-2*(Inputs!$C$52+(Inputs!$H$9))*Inputs!$C$52*COS(SQRT((Scenario_Data!W175)^2+Inputs!$C$6^2)/Inputs!$C$52)))-(Inputs!$H$9))*1000/Inputs!$C$12)</x:f>
        <x:v>-63685.09256436417</x:v>
      </x:c>
      <x:c r="O175" t="n">
        <x:f>Scenario_Data!T175</x:f>
        <x:v>26.519999999999996</x:v>
      </x:c>
      <x:c r="P175" t="n">
        <x:f>2*(Scenario_Data!B175*1000)/Inputs!$C$21*1000000</x:f>
        <x:v>2673.7260748567596</x:v>
      </x:c>
      <x:c r="Q175" t="n">
        <x:f>Scenario_Data!U175</x:f>
        <x:v>176.79999999999995</x:v>
      </x:c>
      <x:c r="R175" t="n">
        <x:f>2*(Scenario_Data!C175*1000)/Inputs!$C$21*1000000</x:f>
        <x:v>709.2097026670361</x:v>
      </x:c>
      <x:c r="S175" t="n">
        <x:f>Scenario_Data!V175</x:f>
        <x:v>353.5999999999999</x:v>
      </x:c>
      <x:c r="T175" t="n">
        <x:f>2*(Scenario_Data!D175*1000)/Inputs!$C$21*1000000</x:f>
        <x:v>1491.206693398537</x:v>
      </x:c>
      <x:c r="U175" t="n">
        <x:f>Scenario_Data!W175</x:f>
        <x:v>353.5999999999999</x:v>
      </x:c>
      <x:c r="V175" t="n">
        <x:f>2*(Scenario_Data!E175*1000)/Inputs!$C$21*1000000</x:f>
        <x:v>1437.527157537765</x:v>
      </x:c>
      <x:c r="X175" t="n">
        <x:f>Scenario_Data!T175</x:f>
        <x:v>26.519999999999996</x:v>
      </x:c>
      <x:c r="Y175" t="n">
        <x: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x:f>
        <x:v>2673.203151441436</x:v>
      </x:c>
      <x:c r="Z175" t="n">
        <x:f>Scenario_Data!U175</x:f>
        <x:v>176.79999999999995</x:v>
      </x:c>
      <x:c r="AA175" t="n">
        <x: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x:f>
        <x:v>709.4713880484527</x:v>
      </x:c>
      <x:c r="AB175" t="n">
        <x:f>Scenario_Data!V175</x:f>
        <x:v>353.5999999999999</x:v>
      </x:c>
      <x:c r="AC175" t="n">
        <x: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x:f>
        <x:v>1491.0284044154105</x:v>
      </x:c>
      <x:c r="AD175" t="n">
        <x:f>Scenario_Data!W175</x:f>
        <x:v>353.5999999999999</x:v>
      </x:c>
      <x:c r="AE175" t="n">
        <x: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x:f>
        <x:v>1437.3488685546383</x:v>
      </x:c>
      <x:c r="AG175" t="n">
        <x:f>Scenario_Data!T175</x:f>
        <x:v>26.519999999999996</x:v>
      </x:c>
      <x:c r="AH175" t="n">
        <x:f>2*(SQRT((Inputs!$C$52+(Scenario_Data!B175))^2+Inputs!$C$52^2-2*(Inputs!$C$52+(Scenario_Data!B175))*Inputs!$C$52*COS(SQRT((Scenario_Data!T175)^2+Inputs!$C$6^2)/Inputs!$C$52))*1000)/Inputs!$C$21*1000000</x:f>
        <x:v>2687.5836301386457</x:v>
      </x:c>
      <x:c r="AI175" t="n">
        <x:f>Scenario_Data!U175</x:f>
        <x:v>176.79999999999995</x:v>
      </x:c>
      <x:c r="AJ175" t="n">
        <x:f>2*(SQRT((Inputs!$C$52+(Scenario_Data!C175))^2+Inputs!$C$52^2-2*(Inputs!$C$52+(Scenario_Data!C175))*Inputs!$C$52*COS(SQRT((Scenario_Data!U175)^2+Inputs!$C$6^2)/Inputs!$C$52))*1000)/Inputs!$C$21*1000000</x:f>
        <x:v>1420.2010523856848</x:v>
      </x:c>
      <x:c r="AK175" t="n">
        <x:f>Scenario_Data!V175</x:f>
        <x:v>353.5999999999999</x:v>
      </x:c>
      <x:c r="AL175" t="n">
        <x:f>2*(SQRT((Inputs!$C$52+(Scenario_Data!D175))^2+Inputs!$C$52^2-2*(Inputs!$C$52+(Scenario_Data!D175))*Inputs!$C$52*COS(SQRT((Scenario_Data!V175)^2+Inputs!$C$6^2)/Inputs!$C$52))*1000)/Inputs!$C$21*1000000</x:f>
        <x:v>2930.821956828647</x:v>
      </x:c>
      <x:c r="AM175" t="n">
        <x:f>Scenario_Data!W175</x:f>
        <x:v>353.5999999999999</x:v>
      </x:c>
      <x:c r="AN175" t="n">
        <x:f>2*(SQRT((Inputs!$C$52+(Scenario_Data!E175))^2+Inputs!$C$52^2-2*(Inputs!$C$52+(Scenario_Data!E175))*Inputs!$C$52*COS(SQRT((Scenario_Data!W175)^2+Inputs!$C$6^2)/Inputs!$C$52))*1000)/Inputs!$C$21*1000000</x:f>
        <x:v>2898.93030502441</x:v>
      </x:c>
      <x:c r="AP175" t="n">
        <x:f>Scenario_Data!T175</x:f>
        <x:v>26.519999999999996</x:v>
      </x:c>
      <x:c r="AQ175" t="n">
        <x: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x:f>
        <x:v>2685.202148008529</x:v>
      </x:c>
      <x:c r="AR175" t="n">
        <x:f>Scenario_Data!U175</x:f>
        <x:v>176.79999999999995</x:v>
      </x:c>
      <x:c r="AS175" t="n">
        <x: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x:f>
        <x:v>1419.9573139350396</x:v>
      </x:c>
      <x:c r="AT175" t="n">
        <x:f>Scenario_Data!V175</x:f>
        <x:v>353.5999999999999</x:v>
      </x:c>
      <x:c r="AU175" t="n">
        <x: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x:f>
        <x:v>2930.4635049360554</x:v>
      </x:c>
      <x:c r="AV175" t="n">
        <x:f>Scenario_Data!W175</x:f>
        <x:v>353.5999999999999</x:v>
      </x:c>
      <x:c r="AW175" t="n">
        <x: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x:f>
        <x:v>2898.5839038762006</x:v>
      </x:c>
    </x:row>
    <x:row r="176">
      <x:c r="A176" t="n">
        <x:f>Chart_Data!K176</x:f>
        <x:v>27</x:v>
      </x:c>
      <x:c r="B176" t="n">
        <x:f>Chart_Data!N176-Chart_Data!L176</x:f>
        <x:v>-66.74406286520434</x:v>
      </x:c>
      <x:c r="D176" t="n">
        <x:f>Chart_Data!G176</x:f>
        <x:v>27</x:v>
      </x:c>
      <x:c r="E176" t="n">
        <x:f>Chart_Data!H176</x:f>
        <x:v>346.2287328646241</x:v>
      </x:c>
      <x:c r="F176" t="n">
        <x:f>Chart_Data!I176</x:f>
        <x:v>346.2287328646241</x:v>
      </x:c>
      <x:c r="G176" t="n">
        <x:f>Chart_Data!J176</x:f>
        <x:v>64.45446968061479</x:v>
      </x:c>
      <x:c r="I176" t="n">
        <x:f>Scenario_Data!A176</x:f>
        <x:v>0.45</x:v>
      </x:c>
      <x:c r="J176" t="n">
        <x:f>Scenario_Data!H176-(((SQRT((Inputs!$C$52+(Inputs!$H$6))^2+Inputs!$C$52^2-2*(Inputs!$C$52+(Inputs!$H$6))*Inputs!$C$52*COS(SQRT((Scenario_Data!T176)^2+Inputs!$C$6^2)/Inputs!$C$52)))-(Inputs!$H$6))*1000/Inputs!$C$12)</x:f>
        <x:v>-1.9050240415085682</x:v>
      </x:c>
      <x:c r="K176" t="n">
        <x:f>Scenario_Data!I176-(((SQRT((Inputs!$C$52+(Inputs!$H$7))^2+Inputs!$C$52^2-2*(Inputs!$C$52+(Inputs!$H$7))*Inputs!$C$52*COS(SQRT((Scenario_Data!U176)^2+Inputs!$C$6^2)/Inputs!$C$52)))-(Inputs!$H$7))*1000/Inputs!$C$12)</x:f>
        <x:v>-24564.15831269113</x:v>
      </x:c>
      <x:c r="L176" t="n">
        <x:f>Scenario_Data!J176-(((SQRT((Inputs!$C$52+(Inputs!$H$8))^2+Inputs!$C$52^2-2*(Inputs!$C$52+(Inputs!$H$8))*Inputs!$C$52*COS(SQRT((Scenario_Data!V176)^2+Inputs!$C$6^2)/Inputs!$C$52)))-(Inputs!$H$8))*1000/Inputs!$C$12)</x:f>
        <x:v>-62845.33421508745</x:v>
      </x:c>
      <x:c r="M176" t="n">
        <x:f>Scenario_Data!K176-(((SQRT((Inputs!$C$52+(Inputs!$H$9))^2+Inputs!$C$52^2-2*(Inputs!$C$52+(Inputs!$H$9))*Inputs!$C$52*COS(SQRT((Scenario_Data!W176)^2+Inputs!$C$6^2)/Inputs!$C$52)))-(Inputs!$H$9))*1000/Inputs!$C$12)</x:f>
        <x:v>-65567.58378946672</x:v>
      </x:c>
      <x:c r="O176" t="n">
        <x:f>Scenario_Data!T176</x:f>
        <x:v>27</x:v>
      </x:c>
      <x:c r="P176" t="n">
        <x:f>2*(Scenario_Data!B176*1000)/Inputs!$C$21*1000000</x:f>
        <x:v>2673.9164999274262</x:v>
      </x:c>
      <x:c r="Q176" t="n">
        <x:f>Scenario_Data!U176</x:f>
        <x:v>180</x:v>
      </x:c>
      <x:c r="R176" t="n">
        <x:f>2*(Scenario_Data!C176*1000)/Inputs!$C$21*1000000</x:f>
        <x:v>726.5859903653748</x:v>
      </x:c>
      <x:c r="S176" t="n">
        <x:f>Scenario_Data!V176</x:f>
        <x:v>360</x:v>
      </x:c>
      <x:c r="T176" t="n">
        <x:f>2*(Scenario_Data!D176*1000)/Inputs!$C$21*1000000</x:f>
        <x:v>1537.1467416968844</x:v>
      </x:c>
      <x:c r="U176" t="n">
        <x:f>Scenario_Data!W176</x:f>
        <x:v>360</x:v>
      </x:c>
      <x:c r="V176" t="n">
        <x:f>2*(Scenario_Data!E176*1000)/Inputs!$C$21*1000000</x:f>
        <x:v>1483.943268512779</x:v>
      </x:c>
      <x:c r="X176" t="n">
        <x:f>Scenario_Data!T176</x:f>
        <x:v>27</x:v>
      </x:c>
      <x:c r="Y176" t="n">
        <x: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x:f>
        <x:v>2673.4865059902168</x:v>
      </x:c>
      <x:c r="Z176" t="n">
        <x:f>Scenario_Data!U176</x:f>
        <x:v>180</x:v>
      </x:c>
      <x:c r="AA176" t="n">
        <x: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x:f>
        <x:v>726.6160489398486</x:v>
      </x:c>
      <x:c r="AB176" t="n">
        <x:f>Scenario_Data!V176</x:f>
        <x:v>360</x:v>
      </x:c>
      <x:c r="AC176" t="n">
        <x: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x:f>
        <x:v>1536.7947165438725</x:v>
      </x:c>
      <x:c r="AD176" t="n">
        <x:f>Scenario_Data!W176</x:f>
        <x:v>360</x:v>
      </x:c>
      <x:c r="AE176" t="n">
        <x: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x:f>
        <x:v>1483.5912433597673</x:v>
      </x:c>
      <x:c r="AG176" t="n">
        <x:f>Scenario_Data!T176</x:f>
        <x:v>27</x:v>
      </x:c>
      <x:c r="AH176" t="n">
        <x:f>2*(SQRT((Inputs!$C$52+(Scenario_Data!B176))^2+Inputs!$C$52^2-2*(Inputs!$C$52+(Scenario_Data!B176))*Inputs!$C$52*COS(SQRT((Scenario_Data!T176)^2+Inputs!$C$6^2)/Inputs!$C$52))*1000)/Inputs!$C$21*1000000</x:f>
        <x:v>2688.0405488767533</x:v>
      </x:c>
      <x:c r="AI176" t="n">
        <x:f>Scenario_Data!U176</x:f>
        <x:v>180</x:v>
      </x:c>
      <x:c r="AJ176" t="n">
        <x:f>2*(SQRT((Inputs!$C$52+(Scenario_Data!C176))^2+Inputs!$C$52^2-2*(Inputs!$C$52+(Scenario_Data!C176))*Inputs!$C$52*COS(SQRT((Scenario_Data!U176)^2+Inputs!$C$6^2)/Inputs!$C$52))*1000)/Inputs!$C$21*1000000</x:f>
        <x:v>1448.628895361848</x:v>
      </x:c>
      <x:c r="AK176" t="n">
        <x:f>Scenario_Data!V176</x:f>
        <x:v>360</x:v>
      </x:c>
      <x:c r="AL176" t="n">
        <x:f>2*(SQRT((Inputs!$C$52+(Scenario_Data!D176))^2+Inputs!$C$52^2-2*(Inputs!$C$52+(Scenario_Data!D176))*Inputs!$C$52*COS(SQRT((Scenario_Data!V176)^2+Inputs!$C$6^2)/Inputs!$C$52))*1000)/Inputs!$C$21*1000000</x:f>
        <x:v>2997.4387220817075</x:v>
      </x:c>
      <x:c r="AM176" t="n">
        <x:f>Scenario_Data!W176</x:f>
        <x:v>360</x:v>
      </x:c>
      <x:c r="AN176" t="n">
        <x:f>2*(SQRT((Inputs!$C$52+(Scenario_Data!E176))^2+Inputs!$C$52^2-2*(Inputs!$C$52+(Scenario_Data!E176))*Inputs!$C$52*COS(SQRT((Scenario_Data!W176)^2+Inputs!$C$6^2)/Inputs!$C$52))*1000)/Inputs!$C$21*1000000</x:f>
        <x:v>2965.539435665303</x:v>
      </x:c>
      <x:c r="AP176" t="n">
        <x:f>Scenario_Data!T176</x:f>
        <x:v>27</x:v>
      </x:c>
      <x:c r="AQ176" t="n">
        <x: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x:f>
        <x:v>2685.7460339181407</x:v>
      </x:c>
      <x:c r="AR176" t="n">
        <x:f>Scenario_Data!U176</x:f>
        <x:v>180</x:v>
      </x:c>
      <x:c r="AS176" t="n">
        <x: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x:f>
        <x:v>1448.233731510371</x:v>
      </x:c>
      <x:c r="AT176" t="n">
        <x:f>Scenario_Data!V176</x:f>
        <x:v>360</x:v>
      </x:c>
      <x:c r="AU176" t="n">
        <x: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x:f>
        <x:v>2997.0388676298153</x:v>
      </x:c>
      <x:c r="AV176" t="n">
        <x:f>Scenario_Data!W176</x:f>
        <x:v>360</x:v>
      </x:c>
      <x:c r="AW176" t="n">
        <x: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x:f>
        <x:v>2965.1524552312057</x:v>
      </x:c>
    </x:row>
    <x:row r="177">
      <x:c r="A177" t="n">
        <x:f>Chart_Data!K177</x:f>
        <x:v>27.5</x:v>
      </x:c>
      <x:c r="B177" t="n">
        <x:f>Chart_Data!N177-Chart_Data!L177</x:f>
        <x:v>-48.058872962173155</x:v>
      </x:c>
      <x:c r="D177" t="n">
        <x:f>Chart_Data!G177</x:f>
        <x:v>27.5</x:v>
      </x:c>
      <x:c r="E177" t="n">
        <x:f>Chart_Data!H177</x:f>
        <x:v>337.0351401860322</x:v>
      </x:c>
      <x:c r="F177" t="n">
        <x:f>Chart_Data!I177</x:f>
        <x:v>337.0351401860322</x:v>
      </x:c>
      <x:c r="G177" t="n">
        <x:f>Chart_Data!J177</x:f>
        <x:v>45.78588130375909</x:v>
      </x:c>
      <x:c r="I177" t="n">
        <x:f>Scenario_Data!A177</x:f>
        <x:v>0.458</x:v>
      </x:c>
      <x:c r="J177" t="n">
        <x:f>Scenario_Data!H177-(((SQRT((Inputs!$C$52+(Inputs!$H$6))^2+Inputs!$C$52^2-2*(Inputs!$C$52+(Inputs!$H$6))*Inputs!$C$52*COS(SQRT((Scenario_Data!T177)^2+Inputs!$C$6^2)/Inputs!$C$52)))-(Inputs!$H$6))*1000/Inputs!$C$12)</x:f>
        <x:v>-2.0109937508048006</x:v>
      </x:c>
      <x:c r="K177" t="n">
        <x:f>Scenario_Data!I177-(((SQRT((Inputs!$C$52+(Inputs!$H$7))^2+Inputs!$C$52^2-2*(Inputs!$C$52+(Inputs!$H$7))*Inputs!$C$52*COS(SQRT((Scenario_Data!U177)^2+Inputs!$C$6^2)/Inputs!$C$52)))-(Inputs!$H$7))*1000/Inputs!$C$12)</x:f>
        <x:v>-25408.058195726262</x:v>
      </x:c>
      <x:c r="L177" t="n">
        <x:f>Scenario_Data!J177-(((SQRT((Inputs!$C$52+(Inputs!$H$8))^2+Inputs!$C$52^2-2*(Inputs!$C$52+(Inputs!$H$8))*Inputs!$C$52*COS(SQRT((Scenario_Data!V177)^2+Inputs!$C$6^2)/Inputs!$C$52)))-(Inputs!$H$8))*1000/Inputs!$C$12)</x:f>
        <x:v>-64700.62896395409</x:v>
      </x:c>
      <x:c r="M177" t="n">
        <x:f>Scenario_Data!K177-(((SQRT((Inputs!$C$52+(Inputs!$H$9))^2+Inputs!$C$52^2-2*(Inputs!$C$52+(Inputs!$H$9))*Inputs!$C$52*COS(SQRT((Scenario_Data!W177)^2+Inputs!$C$6^2)/Inputs!$C$52)))-(Inputs!$H$9))*1000/Inputs!$C$12)</x:f>
        <x:v>-67459.8291234388</x:v>
      </x:c>
      <x:c r="O177" t="n">
        <x:f>Scenario_Data!T177</x:f>
        <x:v>27.480000000000004</x:v>
      </x:c>
      <x:c r="P177" t="n">
        <x:f>2*(Scenario_Data!B177*1000)/Inputs!$C$21*1000000</x:f>
        <x:v>2674.1103406944285</x:v>
      </x:c>
      <x:c r="Q177" t="n">
        <x:f>Scenario_Data!U177</x:f>
        <x:v>183.19999999999993</x:v>
      </x:c>
      <x:c r="R177" t="n">
        <x:f>2*(Scenario_Data!C177*1000)/Inputs!$C$21*1000000</x:f>
        <x:v>744.2739603542658</x:v>
      </x:c>
      <x:c r="S177" t="n">
        <x:f>Scenario_Data!V177</x:f>
        <x:v>366.39999999999986</x:v>
      </x:c>
      <x:c r="T177" t="n">
        <x:f>2*(Scenario_Data!D177*1000)/Inputs!$C$21*1000000</x:f>
        <x:v>1583.9108267360073</x:v>
      </x:c>
      <x:c r="U177" t="n">
        <x:f>Scenario_Data!W177</x:f>
        <x:v>366.39999999999986</x:v>
      </x:c>
      <x:c r="V177" t="n">
        <x:f>2*(Scenario_Data!E177*1000)/Inputs!$C$21*1000000</x:f>
        <x:v>1531.191955469406</x:v>
      </x:c>
      <x:c r="X177" t="n">
        <x:f>Scenario_Data!T177</x:f>
        <x:v>27.480000000000004</x:v>
      </x:c>
      <x:c r="Y177" t="n">
        <x: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x:f>
        <x:v>2673.8136935452526</x:v>
      </x:c>
      <x:c r="Z177" t="n">
        <x:f>Scenario_Data!U177</x:f>
        <x:v>183.19999999999993</x:v>
      </x:c>
      <x:c r="AA177" t="n">
        <x: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x:f>
        <x:v>743.9212040900048</x:v>
      </x:c>
      <x:c r="AB177" t="n">
        <x:f>Scenario_Data!V177</x:f>
        <x:v>366.39999999999986</x:v>
      </x:c>
      <x:c r="AC177" t="n">
        <x: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x:f>
        <x:v>1583.219543020566</x:v>
      </x:c>
      <x:c r="AD177" t="n">
        <x:f>Scenario_Data!W177</x:f>
        <x:v>366.39999999999986</x:v>
      </x:c>
      <x:c r="AE177" t="n">
        <x: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x:f>
        <x:v>1530.5006717539648</x:v>
      </x:c>
      <x:c r="AG177" t="n">
        <x:f>Scenario_Data!T177</x:f>
        <x:v>27.480000000000004</x:v>
      </x:c>
      <x:c r="AH177" t="n">
        <x:f>2*(SQRT((Inputs!$C$52+(Scenario_Data!B177))^2+Inputs!$C$52^2-2*(Inputs!$C$52+(Scenario_Data!B177))*Inputs!$C$52*COS(SQRT((Scenario_Data!T177)^2+Inputs!$C$6^2)/Inputs!$C$52))*1000)/Inputs!$C$21*1000000</x:f>
        <x:v>2688.505605067754</x:v>
      </x:c>
      <x:c r="AI177" t="n">
        <x:f>Scenario_Data!U177</x:f>
        <x:v>183.19999999999993</x:v>
      </x:c>
      <x:c r="AJ177" t="n">
        <x:f>2*(SQRT((Inputs!$C$52+(Scenario_Data!C177))^2+Inputs!$C$52^2-2*(Inputs!$C$52+(Scenario_Data!C177))*Inputs!$C$52*COS(SQRT((Scenario_Data!U177)^2+Inputs!$C$6^2)/Inputs!$C$52))*1000)/Inputs!$C$21*1000000</x:f>
        <x:v>1477.272095393459</x:v>
      </x:c>
      <x:c r="AK177" t="n">
        <x:f>Scenario_Data!V177</x:f>
        <x:v>366.39999999999986</x:v>
      </x:c>
      <x:c r="AL177" t="n">
        <x:f>2*(SQRT((Inputs!$C$52+(Scenario_Data!D177))^2+Inputs!$C$52^2-2*(Inputs!$C$52+(Scenario_Data!D177))*Inputs!$C$52*COS(SQRT((Scenario_Data!V177)^2+Inputs!$C$6^2)/Inputs!$C$52))*1000)/Inputs!$C$21*1000000</x:f>
        <x:v>3064.756229239328</x:v>
      </x:c>
      <x:c r="AM177" t="n">
        <x:f>Scenario_Data!W177</x:f>
        <x:v>366.39999999999986</x:v>
      </x:c>
      <x:c r="AN177" t="n">
        <x:f>2*(SQRT((Inputs!$C$52+(Scenario_Data!E177))^2+Inputs!$C$52^2-2*(Inputs!$C$52+(Scenario_Data!E177))*Inputs!$C$52*COS(SQRT((Scenario_Data!W177)^2+Inputs!$C$6^2)/Inputs!$C$52))*1000)/Inputs!$C$21*1000000</x:f>
        <x:v>3032.8623798858607</x:v>
      </x:c>
      <x:c r="AP177" t="n">
        <x:f>Scenario_Data!T177</x:f>
        <x:v>27.480000000000004</x:v>
      </x:c>
      <x:c r="AQ177" t="n">
        <x: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x:f>
        <x:v>2686.2420281089157</x:v>
      </x:c>
      <x:c r="AR177" t="n">
        <x:f>Scenario_Data!U177</x:f>
        <x:v>183.19999999999993</x:v>
      </x:c>
      <x:c r="AS177" t="n">
        <x: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x:f>
        <x:v>1476.6661603886478</x:v>
      </x:c>
      <x:c r="AT177" t="n">
        <x:f>Scenario_Data!V177</x:f>
        <x:v>366.39999999999986</x:v>
      </x:c>
      <x:c r="AU177" t="n">
        <x: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x:f>
        <x:v>3064.1595178111925</x:v>
      </x:c>
      <x:c r="AV177" t="n">
        <x:f>Scenario_Data!W177</x:f>
        <x:v>366.39999999999986</x:v>
      </x:c>
      <x:c r="AW177" t="n">
        <x: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x:f>
        <x:v>3032.284073090573</x:v>
      </x:c>
    </x:row>
    <x:row r="178">
      <x:c r="A178" t="n">
        <x:f>Chart_Data!K178</x:f>
        <x:v>28</x:v>
      </x:c>
      <x:c r="B178" t="n">
        <x:f>Chart_Data!N178-Chart_Data!L178</x:f>
        <x:v>-61.09136424796961</x:v>
      </x:c>
      <x:c r="D178" t="n">
        <x:f>Chart_Data!G178</x:f>
        <x:v>28</x:v>
      </x:c>
      <x:c r="E178" t="n">
        <x:f>Chart_Data!H178</x:f>
        <x:v>312.18369818898617</x:v>
      </x:c>
      <x:c r="F178" t="n">
        <x:f>Chart_Data!I178</x:f>
        <x:v>312.18369818898617</x:v>
      </x:c>
      <x:c r="G178" t="n">
        <x:f>Chart_Data!J178</x:f>
        <x:v>58.94439177372493</x:v>
      </x:c>
      <x:c r="I178" t="n">
        <x:f>Scenario_Data!A178</x:f>
        <x:v>0.467</x:v>
      </x:c>
      <x:c r="J178" t="n">
        <x:f>Scenario_Data!H178-(((SQRT((Inputs!$C$52+(Inputs!$H$6))^2+Inputs!$C$52^2-2*(Inputs!$C$52+(Inputs!$H$6))*Inputs!$C$52*COS(SQRT((Scenario_Data!T178)^2+Inputs!$C$6^2)/Inputs!$C$52)))-(Inputs!$H$6))*1000/Inputs!$C$12)</x:f>
        <x:v>-2.13562408544135</x:v>
      </x:c>
      <x:c r="K178" t="n">
        <x:f>Scenario_Data!I178-(((SQRT((Inputs!$C$52+(Inputs!$H$7))^2+Inputs!$C$52^2-2*(Inputs!$C$52+(Inputs!$H$7))*Inputs!$C$52*COS(SQRT((Scenario_Data!U178)^2+Inputs!$C$6^2)/Inputs!$C$52)))-(Inputs!$H$7))*1000/Inputs!$C$12)</x:f>
        <x:v>-26368.734852925336</x:v>
      </x:c>
      <x:c r="L178" t="n">
        <x:f>Scenario_Data!J178-(((SQRT((Inputs!$C$52+(Inputs!$H$8))^2+Inputs!$C$52^2-2*(Inputs!$C$52+(Inputs!$H$8))*Inputs!$C$52*COS(SQRT((Scenario_Data!V178)^2+Inputs!$C$6^2)/Inputs!$C$52)))-(Inputs!$H$8))*1000/Inputs!$C$12)</x:f>
        <x:v>-66799.5300210921</x:v>
      </x:c>
      <x:c r="M178" t="n">
        <x:f>Scenario_Data!K178-(((SQRT((Inputs!$C$52+(Inputs!$H$9))^2+Inputs!$C$52^2-2*(Inputs!$C$52+(Inputs!$H$9))*Inputs!$C$52*COS(SQRT((Scenario_Data!W178)^2+Inputs!$C$6^2)/Inputs!$C$52)))-(Inputs!$H$9))*1000/Inputs!$C$12)</x:f>
        <x:v>-69599.51053278941</x:v>
      </x:c>
      <x:c r="O178" t="n">
        <x:f>Scenario_Data!T178</x:f>
        <x:v>28.02000000000001</x:v>
      </x:c>
      <x:c r="P178" t="n">
        <x:f>2*(Scenario_Data!B178*1000)/Inputs!$C$21*1000000</x:f>
        <x:v>2674.33249438183</x:v>
      </x:c>
      <x:c r="Q178" t="n">
        <x:f>Scenario_Data!U178</x:f>
        <x:v>186.80000000000007</x:v>
      </x:c>
      <x:c r="R178" t="n">
        <x:f>2*(Scenario_Data!C178*1000)/Inputs!$C$21*1000000</x:f>
        <x:v>764.5454843296961</x:v>
      </x:c>
      <x:c r="S178" t="n">
        <x:f>Scenario_Data!V178</x:f>
        <x:v>373.60000000000014</x:v>
      </x:c>
      <x:c r="T178" t="n">
        <x:f>2*(Scenario_Data!D178*1000)/Inputs!$C$21*1000000</x:f>
        <x:v>1637.5054038217343</x:v>
      </x:c>
      <x:c r="U178" t="n">
        <x:f>Scenario_Data!W178</x:f>
        <x:v>373.60000000000014</x:v>
      </x:c>
      <x:c r="V178" t="n">
        <x:f>2*(Scenario_Data!E178*1000)/Inputs!$C$21*1000000</x:f>
        <x:v>1585.341916773638</x:v>
      </x:c>
      <x:c r="X178" t="n">
        <x:f>Scenario_Data!T178</x:f>
        <x:v>28.02000000000001</x:v>
      </x:c>
      <x:c r="Y178" t="n">
        <x: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x:f>
        <x:v>2674.008990974961</x:v>
      </x:c>
      <x:c r="Z178" t="n">
        <x:f>Scenario_Data!U178</x:f>
        <x:v>186.80000000000007</x:v>
      </x:c>
      <x:c r="AA178" t="n">
        <x: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x:f>
        <x:v>764.4798066752313</x:v>
      </x:c>
      <x:c r="AB178" t="n">
        <x:f>Scenario_Data!V178</x:f>
        <x:v>373.60000000000014</x:v>
      </x:c>
      <x:c r="AC178" t="n">
        <x: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x:f>
        <x:v>1637.3411182670352</x:v>
      </x:c>
      <x:c r="AD178" t="n">
        <x:f>Scenario_Data!W178</x:f>
        <x:v>373.60000000000014</x:v>
      </x:c>
      <x:c r="AE178" t="n">
        <x: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x:f>
        <x:v>1585.1776312189386</x:v>
      </x:c>
      <x:c r="AG178" t="n">
        <x:f>Scenario_Data!T178</x:f>
        <x:v>28.02000000000001</x:v>
      </x:c>
      <x:c r="AH178" t="n">
        <x:f>2*(SQRT((Inputs!$C$52+(Scenario_Data!B178))^2+Inputs!$C$52^2-2*(Inputs!$C$52+(Scenario_Data!B178))*Inputs!$C$52*COS(SQRT((Scenario_Data!T178)^2+Inputs!$C$6^2)/Inputs!$C$52))*1000)/Inputs!$C$21*1000000</x:f>
        <x:v>2689.038516240782</x:v>
      </x:c>
      <x:c r="AI178" t="n">
        <x:f>Scenario_Data!U178</x:f>
        <x:v>186.80000000000007</x:v>
      </x:c>
      <x:c r="AJ178" t="n">
        <x:f>2*(SQRT((Inputs!$C$52+(Scenario_Data!C178))^2+Inputs!$C$52^2-2*(Inputs!$C$52+(Scenario_Data!C178))*Inputs!$C$52*COS(SQRT((Scenario_Data!U178)^2+Inputs!$C$6^2)/Inputs!$C$52))*1000)/Inputs!$C$21*1000000</x:f>
        <x:v>1509.7552162254726</x:v>
      </x:c>
      <x:c r="AK178" t="n">
        <x:f>Scenario_Data!V178</x:f>
        <x:v>373.60000000000014</x:v>
      </x:c>
      <x:c r="AL178" t="n">
        <x:f>2*(SQRT((Inputs!$C$52+(Scenario_Data!D178))^2+Inputs!$C$52^2-2*(Inputs!$C$52+(Scenario_Data!D178))*Inputs!$C$52*COS(SQRT((Scenario_Data!V178)^2+Inputs!$C$6^2)/Inputs!$C$52))*1000)/Inputs!$C$21*1000000</x:f>
        <x:v>3141.3341110240226</x:v>
      </x:c>
      <x:c r="AM178" t="n">
        <x:f>Scenario_Data!W178</x:f>
        <x:v>373.60000000000014</x:v>
      </x:c>
      <x:c r="AN178" t="n">
        <x:f>2*(SQRT((Inputs!$C$52+(Scenario_Data!E178))^2+Inputs!$C$52^2-2*(Inputs!$C$52+(Scenario_Data!E178))*Inputs!$C$52*COS(SQRT((Scenario_Data!W178)^2+Inputs!$C$6^2)/Inputs!$C$52))*1000)/Inputs!$C$21*1000000</x:f>
        <x:v>3109.462192200807</x:v>
      </x:c>
      <x:c r="AP178" t="n">
        <x:f>Scenario_Data!T178</x:f>
        <x:v>28.02000000000001</x:v>
      </x:c>
      <x:c r="AQ178" t="n">
        <x: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x:f>
        <x:v>2686.848274404113</x:v>
      </x:c>
      <x:c r="AR178" t="n">
        <x:f>Scenario_Data!U178</x:f>
        <x:v>186.80000000000007</x:v>
      </x:c>
      <x:c r="AS178" t="n">
        <x: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x:f>
        <x:v>1509.2529786221405</x:v>
      </x:c>
      <x:c r="AT178" t="n">
        <x:f>Scenario_Data!V178</x:f>
        <x:v>373.60000000000014</x:v>
      </x:c>
      <x:c r="AU178" t="n">
        <x: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x:f>
        <x:v>3141.0226701663896</x:v>
      </x:c>
      <x:c r="AV178" t="n">
        <x:f>Scenario_Data!W178</x:f>
        <x:v>373.60000000000014</x:v>
      </x:c>
      <x:c r="AW178" t="n">
        <x: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x:f>
        <x:v>3109.1598983076765</x:v>
      </x:c>
    </x:row>
    <x:row r="179">
      <x:c r="A179" t="n">
        <x:f>Chart_Data!K179</x:f>
        <x:v>28.5</x:v>
      </x:c>
      <x:c r="B179" t="n">
        <x:f>Chart_Data!N179-Chart_Data!L179</x:f>
        <x:v>-55.904413669962196</x:v>
      </x:c>
      <x:c r="D179" t="n">
        <x:f>Chart_Data!G179</x:f>
        <x:v>28.5</x:v>
      </x:c>
      <x:c r="E179" t="n">
        <x:f>Chart_Data!H179</x:f>
        <x:v>310.4659866511931</x:v>
      </x:c>
      <x:c r="F179" t="n">
        <x:f>Chart_Data!I179</x:f>
        <x:v>310.4659866511931</x:v>
      </x:c>
      <x:c r="G179" t="n">
        <x:f>Chart_Data!J179</x:f>
        <x:v>53.72705851492565</x:v>
      </x:c>
      <x:c r="I179" t="n">
        <x:f>Scenario_Data!A179</x:f>
        <x:v>0.475</x:v>
      </x:c>
      <x:c r="J179" t="n">
        <x:f>Scenario_Data!H179-(((SQRT((Inputs!$C$52+(Inputs!$H$6))^2+Inputs!$C$52^2-2*(Inputs!$C$52+(Inputs!$H$6))*Inputs!$C$52*COS(SQRT((Scenario_Data!T179)^2+Inputs!$C$6^2)/Inputs!$C$52)))-(Inputs!$H$6))*1000/Inputs!$C$12)</x:f>
        <x:v>-2.251371436165755</x:v>
      </x:c>
      <x:c r="K179" t="n">
        <x:f>Scenario_Data!I179-(((SQRT((Inputs!$C$52+(Inputs!$H$7))^2+Inputs!$C$52^2-2*(Inputs!$C$52+(Inputs!$H$7))*Inputs!$C$52*COS(SQRT((Scenario_Data!U179)^2+Inputs!$C$6^2)/Inputs!$C$52)))-(Inputs!$H$7))*1000/Inputs!$C$12)</x:f>
        <x:v>-27232.458450313294</x:v>
      </x:c>
      <x:c r="L179" t="n">
        <x:f>Scenario_Data!J179-(((SQRT((Inputs!$C$52+(Inputs!$H$8))^2+Inputs!$C$52^2-2*(Inputs!$C$52+(Inputs!$H$8))*Inputs!$C$52*COS(SQRT((Scenario_Data!V179)^2+Inputs!$C$6^2)/Inputs!$C$52)))-(Inputs!$H$8))*1000/Inputs!$C$12)</x:f>
        <x:v>-68674.96006151366</x:v>
      </x:c>
      <x:c r="M179" t="n">
        <x:f>Scenario_Data!K179-(((SQRT((Inputs!$C$52+(Inputs!$H$9))^2+Inputs!$C$52^2-2*(Inputs!$C$52+(Inputs!$H$9))*Inputs!$C$52*COS(SQRT((Scenario_Data!W179)^2+Inputs!$C$6^2)/Inputs!$C$52)))-(Inputs!$H$9))*1000/Inputs!$C$12)</x:f>
        <x:v>-71510.49050705163</x:v>
      </x:c>
      <x:c r="O179" t="n">
        <x:f>Scenario_Data!T179</x:f>
        <x:v>28.5</x:v>
      </x:c>
      <x:c r="P179" t="n">
        <x:f>2*(Scenario_Data!B179*1000)/Inputs!$C$21*1000000</x:f>
        <x:v>2674.5335935035428</x:v>
      </x:c>
      <x:c r="Q179" t="n">
        <x:f>Scenario_Data!U179</x:f>
        <x:v>190</x:v>
      </x:c>
      <x:c r="R179" t="n">
        <x:f>2*(Scenario_Data!C179*1000)/Inputs!$C$21*1000000</x:f>
        <x:v>782.8957791860126</x:v>
      </x:c>
      <x:c r="S179" t="n">
        <x:f>Scenario_Data!V179</x:f>
        <x:v>380</x:v>
      </x:c>
      <x:c r="T179" t="n">
        <x:f>2*(Scenario_Data!D179*1000)/Inputs!$C$21*1000000</x:f>
        <x:v>1686.0205669350094</x:v>
      </x:c>
      <x:c r="U179" t="n">
        <x:f>Scenario_Data!W179</x:f>
        <x:v>380</x:v>
      </x:c>
      <x:c r="V179" t="n">
        <x:f>2*(Scenario_Data!E179*1000)/Inputs!$C$21*1000000</x:f>
        <x:v>1634.3598276911957</x:v>
      </x:c>
      <x:c r="X179" t="n">
        <x:f>Scenario_Data!T179</x:f>
        <x:v>28.5</x:v>
      </x:c>
      <x:c r="Y179" t="n">
        <x: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x:f>
        <x:v>2674.175165150319</x:v>
      </x:c>
      <x:c r="Z179" t="n">
        <x:f>Scenario_Data!U179</x:f>
        <x:v>190</x:v>
      </x:c>
      <x:c r="AA179" t="n">
        <x: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x:f>
        <x:v>783.3268131486861</x:v>
      </x:c>
      <x:c r="AB179" t="n">
        <x:f>Scenario_Data!V179</x:f>
        <x:v>380</x:v>
      </x:c>
      <x:c r="AC179" t="n">
        <x: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x:f>
        <x:v>1685.5394953979162</x:v>
      </x:c>
      <x:c r="AD179" t="n">
        <x:f>Scenario_Data!W179</x:f>
        <x:v>380</x:v>
      </x:c>
      <x:c r="AE179" t="n">
        <x: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x:f>
        <x:v>1633.8787561541026</x:v>
      </x:c>
      <x:c r="AG179" t="n">
        <x:f>Scenario_Data!T179</x:f>
        <x:v>28.5</x:v>
      </x:c>
      <x:c r="AH179" t="n">
        <x:f>2*(SQRT((Inputs!$C$52+(Scenario_Data!B179))^2+Inputs!$C$52^2-2*(Inputs!$C$52+(Scenario_Data!B179))*Inputs!$C$52*COS(SQRT((Scenario_Data!T179)^2+Inputs!$C$6^2)/Inputs!$C$52))*1000)/Inputs!$C$21*1000000</x:f>
        <x:v>2689.520854217586</x:v>
      </x:c>
      <x:c r="AI179" t="n">
        <x:f>Scenario_Data!U179</x:f>
        <x:v>190</x:v>
      </x:c>
      <x:c r="AJ179" t="n">
        <x:f>2*(SQRT((Inputs!$C$52+(Scenario_Data!C179))^2+Inputs!$C$52^2-2*(Inputs!$C$52+(Scenario_Data!C179))*Inputs!$C$52*COS(SQRT((Scenario_Data!U179)^2+Inputs!$C$6^2)/Inputs!$C$52))*1000)/Inputs!$C$21*1000000</x:f>
        <x:v>1538.8616802693725</x:v>
      </x:c>
      <x:c r="AK179" t="n">
        <x:f>Scenario_Data!V179</x:f>
        <x:v>380</x:v>
      </x:c>
      <x:c r="AL179" t="n">
        <x:f>2*(SQRT((Inputs!$C$52+(Scenario_Data!D179))^2+Inputs!$C$52^2-2*(Inputs!$C$52+(Scenario_Data!D179))*Inputs!$C$52*COS(SQRT((Scenario_Data!V179)^2+Inputs!$C$6^2)/Inputs!$C$52))*1000)/Inputs!$C$21*1000000</x:f>
        <x:v>3210.1620844044405</x:v>
      </x:c>
      <x:c r="AM179" t="n">
        <x:f>Scenario_Data!W179</x:f>
        <x:v>380</x:v>
      </x:c>
      <x:c r="AN179" t="n">
        <x:f>2*(SQRT((Inputs!$C$52+(Scenario_Data!E179))^2+Inputs!$C$52^2-2*(Inputs!$C$52+(Scenario_Data!E179))*Inputs!$C$52*COS(SQRT((Scenario_Data!W179)^2+Inputs!$C$6^2)/Inputs!$C$52))*1000)/Inputs!$C$21*1000000</x:f>
        <x:v>3178.323865680885</x:v>
      </x:c>
      <x:c r="AP179" t="n">
        <x:f>Scenario_Data!T179</x:f>
        <x:v>28.5</x:v>
      </x:c>
      <x:c r="AQ179" t="n">
        <x: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x:f>
        <x:v>2687.4641738490877</x:v>
      </x:c>
      <x:c r="AR179" t="n">
        <x:f>Scenario_Data!U179</x:f>
        <x:v>190</x:v>
      </x:c>
      <x:c r="AS179" t="n">
        <x: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x:f>
        <x:v>1538.4831289843698</x:v>
      </x:c>
      <x:c r="AT179" t="n">
        <x:f>Scenario_Data!V179</x:f>
        <x:v>380</x:v>
      </x:c>
      <x:c r="AU179" t="n">
        <x: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x:f>
        <x:v>3209.636377410934</x:v>
      </x:c>
      <x:c r="AV179" t="n">
        <x:f>Scenario_Data!W179</x:f>
        <x:v>380</x:v>
      </x:c>
      <x:c r="AW179" t="n">
        <x: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x:f>
        <x:v>3177.812951422256</x:v>
      </x:c>
    </x:row>
    <x:row r="180">
      <x:c r="A180" t="n">
        <x:f>Chart_Data!K180</x:f>
        <x:v>29</x:v>
      </x:c>
      <x:c r="B180" t="n">
        <x:f>Chart_Data!N180-Chart_Data!L180</x:f>
        <x:v>-31.39290658082129</x:v>
      </x:c>
      <x:c r="D180" t="n">
        <x:f>Chart_Data!G180</x:f>
        <x:v>29</x:v>
      </x:c>
      <x:c r="E180" t="n">
        <x:f>Chart_Data!H180</x:f>
        <x:v>283.98171018669603</x:v>
      </x:c>
      <x:c r="F180" t="n">
        <x:f>Chart_Data!I180</x:f>
        <x:v>283.98171018669603</x:v>
      </x:c>
      <x:c r="G180" t="n">
        <x:f>Chart_Data!J180</x:f>
        <x:v>29.362157595592716</x:v>
      </x:c>
      <x:c r="I180" t="n">
        <x:f>Scenario_Data!A180</x:f>
        <x:v>0.483</x:v>
      </x:c>
      <x:c r="J180" t="n">
        <x:f>Scenario_Data!H180-(((SQRT((Inputs!$C$52+(Inputs!$H$6))^2+Inputs!$C$52^2-2*(Inputs!$C$52+(Inputs!$H$6))*Inputs!$C$52*COS(SQRT((Scenario_Data!T180)^2+Inputs!$C$6^2)/Inputs!$C$52)))-(Inputs!$H$6))*1000/Inputs!$C$12)</x:f>
        <x:v>-2.371937016364882</x:v>
      </x:c>
      <x:c r="K180" t="n">
        <x:f>Scenario_Data!I180-(((SQRT((Inputs!$C$52+(Inputs!$H$7))^2+Inputs!$C$52^2-2*(Inputs!$C$52+(Inputs!$H$7))*Inputs!$C$52*COS(SQRT((Scenario_Data!U180)^2+Inputs!$C$6^2)/Inputs!$C$52)))-(Inputs!$H$7))*1000/Inputs!$C$12)</x:f>
        <x:v>-28105.166881475925</x:v>
      </x:c>
      <x:c r="L180" t="n">
        <x:f>Scenario_Data!J180-(((SQRT((Inputs!$C$52+(Inputs!$H$8))^2+Inputs!$C$52^2-2*(Inputs!$C$52+(Inputs!$H$8))*Inputs!$C$52*COS(SQRT((Scenario_Data!V180)^2+Inputs!$C$6^2)/Inputs!$C$52)))-(Inputs!$H$8))*1000/Inputs!$C$12)</x:f>
        <x:v>-70558.95654529486</x:v>
      </x:c>
      <x:c r="M180" t="n">
        <x:f>Scenario_Data!K180-(((SQRT((Inputs!$C$52+(Inputs!$H$9))^2+Inputs!$C$52^2-2*(Inputs!$C$52+(Inputs!$H$9))*Inputs!$C$52*COS(SQRT((Scenario_Data!W180)^2+Inputs!$C$6^2)/Inputs!$C$52)))-(Inputs!$H$9))*1000/Inputs!$C$12)</x:f>
        <x:v>-73429.38122625335</x:v>
      </x:c>
      <x:c r="O180" t="n">
        <x:f>Scenario_Data!T180</x:f>
        <x:v>28.980000000000004</x:v>
      </x:c>
      <x:c r="P180" t="n">
        <x:f>2*(Scenario_Data!B180*1000)/Inputs!$C$21*1000000</x:f>
        <x:v>2674.738108321591</x:v>
      </x:c>
      <x:c r="Q180" t="n">
        <x:f>Scenario_Data!U180</x:f>
        <x:v>193.20000000000005</x:v>
      </x:c>
      <x:c r="R180" t="n">
        <x:f>2*(Scenario_Data!C180*1000)/Inputs!$C$21*1000000</x:f>
        <x:v>801.557756332883</x:v>
      </x:c>
      <x:c r="S180" t="n">
        <x:f>Scenario_Data!V180</x:f>
        <x:v>386.4000000000001</x:v>
      </x:c>
      <x:c r="T180" t="n">
        <x:f>2*(Scenario_Data!D180*1000)/Inputs!$C$21*1000000</x:f>
        <x:v>1735.3597667890638</x:v>
      </x:c>
      <x:c r="U180" t="n">
        <x:f>Scenario_Data!W180</x:f>
        <x:v>386.4000000000001</x:v>
      </x:c>
      <x:c r="V180" t="n">
        <x:f>2*(Scenario_Data!E180*1000)/Inputs!$C$21*1000000</x:f>
        <x:v>1684.2103145903695</x:v>
      </x:c>
      <x:c r="X180" t="n">
        <x:f>Scenario_Data!T180</x:f>
        <x:v>28.980000000000004</x:v>
      </x:c>
      <x:c r="Y180" t="n">
        <x: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x:f>
        <x:v>2674.4235115684287</x:v>
      </x:c>
      <x:c r="Z180" t="n">
        <x:f>Scenario_Data!U180</x:f>
        <x:v>193.20000000000005</x:v>
      </x:c>
      <x:c r="AA180" t="n">
        <x: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x:f>
        <x:v>801.8464832007562</x:v>
      </x:c>
      <x:c r="AB180" t="n">
        <x:f>Scenario_Data!V180</x:f>
        <x:v>386.4000000000001</x:v>
      </x:c>
      <x:c r="AC180" t="n">
        <x: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x:f>
        <x:v>1735.101566695354</x:v>
      </x:c>
      <x:c r="AD180" t="n">
        <x:f>Scenario_Data!W180</x:f>
        <x:v>386.4000000000001</x:v>
      </x:c>
      <x:c r="AE180" t="n">
        <x: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x:f>
        <x:v>1683.9521144966598</x:v>
      </x:c>
      <x:c r="AG180" t="n">
        <x:f>Scenario_Data!T180</x:f>
        <x:v>28.980000000000004</x:v>
      </x:c>
      <x:c r="AH180" t="n">
        <x:f>2*(SQRT((Inputs!$C$52+(Scenario_Data!B180))^2+Inputs!$C$52^2-2*(Inputs!$C$52+(Scenario_Data!B180))*Inputs!$C$52*COS(SQRT((Scenario_Data!T180)^2+Inputs!$C$6^2)/Inputs!$C$52))*1000)/Inputs!$C$21*1000000</x:f>
        <x:v>2690.0113198410036</x:v>
      </x:c>
      <x:c r="AI180" t="n">
        <x:f>Scenario_Data!U180</x:f>
        <x:v>193.20000000000005</x:v>
      </x:c>
      <x:c r="AJ180" t="n">
        <x:f>2*(SQRT((Inputs!$C$52+(Scenario_Data!C180))^2+Inputs!$C$52^2-2*(Inputs!$C$52+(Scenario_Data!C180))*Inputs!$C$52*COS(SQRT((Scenario_Data!U180)^2+Inputs!$C$6^2)/Inputs!$C$52))*1000)/Inputs!$C$21*1000000</x:f>
        <x:v>1568.188843395766</x:v>
      </x:c>
      <x:c r="AK180" t="n">
        <x:f>Scenario_Data!V180</x:f>
        <x:v>386.4000000000001</x:v>
      </x:c>
      <x:c r="AL180" t="n">
        <x:f>2*(SQRT((Inputs!$C$52+(Scenario_Data!D180))^2+Inputs!$C$52^2-2*(Inputs!$C$52+(Scenario_Data!D180))*Inputs!$C$52*COS(SQRT((Scenario_Data!V180)^2+Inputs!$C$6^2)/Inputs!$C$52))*1000)/Inputs!$C$21*1000000</x:f>
        <x:v>3279.710632319749</x:v>
      </x:c>
      <x:c r="AM180" t="n">
        <x:f>Scenario_Data!W180</x:f>
        <x:v>386.4000000000001</x:v>
      </x:c>
      <x:c r="AN180" t="n">
        <x:f>2*(SQRT((Inputs!$C$52+(Scenario_Data!E180))^2+Inputs!$C$52^2-2*(Inputs!$C$52+(Scenario_Data!E180))*Inputs!$C$52*COS(SQRT((Scenario_Data!W180)^2+Inputs!$C$6^2)/Inputs!$C$52))*1000)/Inputs!$C$21*1000000</x:f>
        <x:v>3247.91960889348</x:v>
      </x:c>
      <x:c r="AP180" t="n">
        <x:f>Scenario_Data!T180</x:f>
        <x:v>28.980000000000004</x:v>
      </x:c>
      <x:c r="AQ180" t="n">
        <x: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x:f>
        <x:v>2688.187625072262</x:v>
      </x:c>
      <x:c r="AR180" t="n">
        <x:f>Scenario_Data!U180</x:f>
        <x:v>193.20000000000005</x:v>
      </x:c>
      <x:c r="AS180" t="n">
        <x: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x:f>
        <x:v>1567.9590204754618</x:v>
      </x:c>
      <x:c r="AT180" t="n">
        <x:f>Scenario_Data!V180</x:f>
        <x:v>386.4000000000001</x:v>
      </x:c>
      <x:c r="AU180" t="n">
        <x: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x:f>
        <x:v>3279.232942558983</x:v>
      </x:c>
      <x:c r="AV180" t="n">
        <x:f>Scenario_Data!W180</x:f>
        <x:v>386.4000000000001</x:v>
      </x:c>
      <x:c r="AW180" t="n">
        <x: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x:f>
        <x:v>3247.4547932261544</x:v>
      </x:c>
    </x:row>
    <x:row r="181">
      <x:c r="A181" t="n">
        <x:f>Chart_Data!K181</x:f>
        <x:v>29.5</x:v>
      </x:c>
      <x:c r="B181" t="n">
        <x:f>Chart_Data!N181-Chart_Data!L181</x:f>
        <x:v>-22.367241319432367</x:v>
      </x:c>
      <x:c r="D181" t="n">
        <x:f>Chart_Data!G181</x:f>
        <x:v>29.5</x:v>
      </x:c>
      <x:c r="E181" t="n">
        <x:f>Chart_Data!H181</x:f>
        <x:v>263.5246591496981</x:v>
      </x:c>
      <x:c r="F181" t="n">
        <x:f>Chart_Data!I181</x:f>
        <x:v>263.5246591496981</x:v>
      </x:c>
      <x:c r="G181" t="n">
        <x:f>Chart_Data!J181</x:f>
        <x:v>20.4458299890095</x:v>
      </x:c>
      <x:c r="I181" t="n">
        <x:f>Scenario_Data!A181</x:f>
        <x:v>0.492</x:v>
      </x:c>
      <x:c r="J181" t="n">
        <x:f>Scenario_Data!H181-(((SQRT((Inputs!$C$52+(Inputs!$H$6))^2+Inputs!$C$52^2-2*(Inputs!$C$52+(Inputs!$H$6))*Inputs!$C$52*COS(SQRT((Scenario_Data!T181)^2+Inputs!$C$6^2)/Inputs!$C$52)))-(Inputs!$H$6))*1000/Inputs!$C$12)</x:f>
        <x:v>-2.513509340354176</x:v>
      </x:c>
      <x:c r="K181" t="n">
        <x:f>Scenario_Data!I181-(((SQRT((Inputs!$C$52+(Inputs!$H$7))^2+Inputs!$C$52^2-2*(Inputs!$C$52+(Inputs!$H$7))*Inputs!$C$52*COS(SQRT((Scenario_Data!U181)^2+Inputs!$C$6^2)/Inputs!$C$52)))-(Inputs!$H$7))*1000/Inputs!$C$12)</x:f>
        <x:v>-29097.435135520704</x:v>
      </x:c>
      <x:c r="L181" t="n">
        <x:f>Scenario_Data!J181-(((SQRT((Inputs!$C$52+(Inputs!$H$8))^2+Inputs!$C$52^2-2*(Inputs!$C$52+(Inputs!$H$8))*Inputs!$C$52*COS(SQRT((Scenario_Data!V181)^2+Inputs!$C$6^2)/Inputs!$C$52)))-(Inputs!$H$8))*1000/Inputs!$C$12)</x:f>
        <x:v>-72687.99278310622</x:v>
      </x:c>
      <x:c r="M181" t="n">
        <x:f>Scenario_Data!K181-(((SQRT((Inputs!$C$52+(Inputs!$H$9))^2+Inputs!$C$52^2-2*(Inputs!$C$52+(Inputs!$H$9))*Inputs!$C$52*COS(SQRT((Scenario_Data!W181)^2+Inputs!$C$6^2)/Inputs!$C$52)))-(Inputs!$H$9))*1000/Inputs!$C$12)</x:f>
        <x:v>-75596.89314596399</x:v>
      </x:c>
      <x:c r="O181" t="n">
        <x:f>Scenario_Data!T181</x:f>
        <x:v>29.519999999999996</x:v>
      </x:c>
      <x:c r="P181" t="n">
        <x:f>2*(Scenario_Data!B181*1000)/Inputs!$C$21*1000000</x:f>
        <x:v>2674.9722703164202</x:v>
      </x:c>
      <x:c r="Q181" t="n">
        <x:f>Scenario_Data!U181</x:f>
        <x:v>196.79999999999995</x:v>
      </x:c>
      <x:c r="R181" t="n">
        <x:f>2*(Scenario_Data!C181*1000)/Inputs!$C$21*1000000</x:f>
        <x:v>822.9250383610382</x:v>
      </x:c>
      <x:c r="S181" t="n">
        <x:f>Scenario_Data!V181</x:f>
        <x:v>393.5999999999999</x:v>
      </x:c>
      <x:c r="T181" t="n">
        <x:f>2*(Scenario_Data!D181*1000)/Inputs!$C$21*1000000</x:f>
        <x:v>1791.8513480415836</x:v>
      </x:c>
      <x:c r="U181" t="n">
        <x:f>Scenario_Data!W181</x:f>
        <x:v>393.5999999999999</x:v>
      </x:c>
      <x:c r="V181" t="n">
        <x:f>2*(Scenario_Data!E181*1000)/Inputs!$C$21*1000000</x:f>
        <x:v>1741.2873008299623</x:v>
      </x:c>
      <x:c r="X181" t="n">
        <x:f>Scenario_Data!T181</x:f>
        <x:v>29.519999999999996</x:v>
      </x:c>
      <x:c r="Y181" t="n">
        <x: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x:f>
        <x:v>2674.858320794281</x:v>
      </x:c>
      <x:c r="Z181" t="n">
        <x:f>Scenario_Data!U181</x:f>
        <x:v>196.79999999999995</x:v>
      </x:c>
      <x:c r="AA181" t="n">
        <x: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x:f>
        <x:v>822.967307698896</x:v>
      </x:c>
      <x:c r="AB181" t="n">
        <x:f>Scenario_Data!V181</x:f>
        <x:v>393.5999999999999</x:v>
      </x:c>
      <x:c r="AC181" t="n">
        <x: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x:f>
        <x:v>1791.9512689962028</x:v>
      </x:c>
      <x:c r="AD181" t="n">
        <x:f>Scenario_Data!W181</x:f>
        <x:v>393.5999999999999</x:v>
      </x:c>
      <x:c r="AE181" t="n">
        <x: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x:f>
        <x:v>1741.3872217845812</x:v>
      </x:c>
      <x:c r="AG181" t="n">
        <x:f>Scenario_Data!T181</x:f>
        <x:v>29.519999999999996</x:v>
      </x:c>
      <x:c r="AH181" t="n">
        <x:f>2*(SQRT((Inputs!$C$52+(Scenario_Data!B181))^2+Inputs!$C$52^2-2*(Inputs!$C$52+(Scenario_Data!B181))*Inputs!$C$52*COS(SQRT((Scenario_Data!T181)^2+Inputs!$C$6^2)/Inputs!$C$52))*1000)/Inputs!$C$21*1000000</x:f>
        <x:v>2690.572804703775</x:v>
      </x:c>
      <x:c r="AI181" t="n">
        <x:f>Scenario_Data!U181</x:f>
        <x:v>196.79999999999995</x:v>
      </x:c>
      <x:c r="AJ181" t="n">
        <x:f>2*(SQRT((Inputs!$C$52+(Scenario_Data!C181))^2+Inputs!$C$52^2-2*(Inputs!$C$52+(Scenario_Data!C181))*Inputs!$C$52*COS(SQRT((Scenario_Data!U181)^2+Inputs!$C$6^2)/Inputs!$C$52))*1000)/Inputs!$C$21*1000000</x:f>
        <x:v>1601.4478772869256</x:v>
      </x:c>
      <x:c r="AK181" t="n">
        <x:f>Scenario_Data!V181</x:f>
        <x:v>393.5999999999999</x:v>
      </x:c>
      <x:c r="AL181" t="n">
        <x:f>2*(SQRT((Inputs!$C$52+(Scenario_Data!D181))^2+Inputs!$C$52^2-2*(Inputs!$C$52+(Scenario_Data!D181))*Inputs!$C$52*COS(SQRT((Scenario_Data!V181)^2+Inputs!$C$6^2)/Inputs!$C$52))*1000)/Inputs!$C$21*1000000</x:f>
        <x:v>3358.8216005216295</x:v>
      </x:c>
      <x:c r="AM181" t="n">
        <x:f>Scenario_Data!W181</x:f>
        <x:v>393.5999999999999</x:v>
      </x:c>
      <x:c r="AN181" t="n">
        <x:f>2*(SQRT((Inputs!$C$52+(Scenario_Data!E181))^2+Inputs!$C$52^2-2*(Inputs!$C$52+(Scenario_Data!E181))*Inputs!$C$52*COS(SQRT((Scenario_Data!W181)^2+Inputs!$C$6^2)/Inputs!$C$52))*1000)/Inputs!$C$21*1000000</x:f>
        <x:v>3327.0999332019915</x:v>
      </x:c>
      <x:c r="AP181" t="n">
        <x:f>Scenario_Data!T181</x:f>
        <x:v>29.519999999999996</x:v>
      </x:c>
      <x:c r="AQ181" t="n">
        <x: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x:f>
        <x:v>2688.722217643149</x:v>
      </x:c>
      <x:c r="AR181" t="n">
        <x:f>Scenario_Data!U181</x:f>
        <x:v>196.79999999999995</x:v>
      </x:c>
      <x:c r="AS181" t="n">
        <x: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x:f>
        <x:v>1601.1205159498156</x:v>
      </x:c>
      <x:c r="AT181" t="n">
        <x:f>Scenario_Data!V181</x:f>
        <x:v>393.5999999999999</x:v>
      </x:c>
      <x:c r="AU181" t="n">
        <x: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x:f>
        <x:v>3358.596047655168</x:v>
      </x:c>
      <x:c r="AV181" t="n">
        <x:f>Scenario_Data!W181</x:f>
        <x:v>393.5999999999999</x:v>
      </x:c>
      <x:c r="AW181" t="n">
        <x: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x:f>
        <x:v>3326.8801699923215</x:v>
      </x:c>
    </x:row>
    <x:row r="182">
      <x:c r="A182" t="n">
        <x:f>Chart_Data!K182</x:f>
        <x:v>30</x:v>
      </x:c>
      <x:c r="B182" t="n">
        <x:f>Chart_Data!N182-Chart_Data!L182</x:f>
        <x:v>-13.799924431809131</x:v>
      </x:c>
      <x:c r="D182" t="n">
        <x:f>Chart_Data!G182</x:f>
        <x:v>30</x:v>
      </x:c>
      <x:c r="E182" t="n">
        <x:f>Chart_Data!H182</x:f>
        <x:v>258.3810354027646</x:v>
      </x:c>
      <x:c r="F182" t="n">
        <x:f>Chart_Data!I182</x:f>
        <x:v>258.3810354027646</x:v>
      </x:c>
      <x:c r="G182" t="n">
        <x:f>Chart_Data!J182</x:f>
        <x:v>11.879118514207924</x:v>
      </x:c>
      <x:c r="I182" t="n">
        <x:f>Scenario_Data!A182</x:f>
        <x:v>0.5</x:v>
      </x:c>
      <x:c r="J182" t="n">
        <x:f>Scenario_Data!H182-(((SQRT((Inputs!$C$52+(Inputs!$H$6))^2+Inputs!$C$52^2-2*(Inputs!$C$52+(Inputs!$H$6))*Inputs!$C$52*COS(SQRT((Scenario_Data!T182)^2+Inputs!$C$6^2)/Inputs!$C$52)))-(Inputs!$H$6))*1000/Inputs!$C$12)</x:f>
        <x:v>-2.6447875068229223</x:v>
      </x:c>
      <x:c r="K182" t="n">
        <x:f>Scenario_Data!I182-(((SQRT((Inputs!$C$52+(Inputs!$H$7))^2+Inputs!$C$52^2-2*(Inputs!$C$52+(Inputs!$H$7))*Inputs!$C$52*COS(SQRT((Scenario_Data!U182)^2+Inputs!$C$6^2)/Inputs!$C$52)))-(Inputs!$H$7))*1000/Inputs!$C$12)</x:f>
        <x:v>-29988.524239953986</x:v>
      </x:c>
      <x:c r="L182" t="n">
        <x:f>Scenario_Data!J182-(((SQRT((Inputs!$C$52+(Inputs!$H$8))^2+Inputs!$C$52^2-2*(Inputs!$C$52+(Inputs!$H$8))*Inputs!$C$52*COS(SQRT((Scenario_Data!V182)^2+Inputs!$C$6^2)/Inputs!$C$52)))-(Inputs!$H$8))*1000/Inputs!$C$12)</x:f>
        <x:v>-74588.34383380503</x:v>
      </x:c>
      <x:c r="M182" t="n">
        <x:f>Scenario_Data!K182-(((SQRT((Inputs!$C$52+(Inputs!$H$9))^2+Inputs!$C$52^2-2*(Inputs!$C$52+(Inputs!$H$9))*Inputs!$C$52*COS(SQRT((Scenario_Data!W182)^2+Inputs!$C$6^2)/Inputs!$C$52)))-(Inputs!$H$9))*1000/Inputs!$C$12)</x:f>
        <x:v>-77530.75464681152</x:v>
      </x:c>
      <x:c r="O182" t="n">
        <x:f>Scenario_Data!T182</x:f>
        <x:v>30</x:v>
      </x:c>
      <x:c r="P182" t="n">
        <x:f>2*(Scenario_Data!B182*1000)/Inputs!$C$21*1000000</x:f>
        <x:v>2675.184043489179</x:v>
      </x:c>
      <x:c r="Q182" t="n">
        <x:f>Scenario_Data!U182</x:f>
        <x:v>200</x:v>
      </x:c>
      <x:c r="R182" t="n">
        <x:f>2*(Scenario_Data!C182*1000)/Inputs!$C$21*1000000</x:f>
        <x:v>842.2493403753339</x:v>
      </x:c>
      <x:c r="S182" t="n">
        <x:f>Scenario_Data!V182</x:f>
        <x:v>400</x:v>
      </x:c>
      <x:c r="T182" t="n">
        <x:f>2*(Scenario_Data!D182*1000)/Inputs!$C$21*1000000</x:f>
        <x:v>1842.9416259697903</x:v>
      </x:c>
      <x:c r="U182" t="n">
        <x:f>Scenario_Data!W182</x:f>
        <x:v>400</x:v>
      </x:c>
      <x:c r="V182" t="n">
        <x:f>2*(Scenario_Data!E182*1000)/Inputs!$C$21*1000000</x:f>
        <x:v>1792.9070116900673</x:v>
      </x:c>
      <x:c r="X182" t="n">
        <x:f>Scenario_Data!T182</x:f>
        <x:v>30</x:v>
      </x:c>
      <x:c r="Y182" t="n">
        <x: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x:f>
        <x:v>2675.1047945408004</x:v>
      </x:c>
      <x:c r="Z182" t="n">
        <x:f>Scenario_Data!U182</x:f>
        <x:v>200</x:v>
      </x:c>
      <x:c r="AA182" t="n">
        <x: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x:f>
        <x:v>842.217239852953</x:v>
      </x:c>
      <x:c r="AB182" t="n">
        <x:f>Scenario_Data!V182</x:f>
        <x:v>400</x:v>
      </x:c>
      <x:c r="AC182" t="n">
        <x: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x:f>
        <x:v>1842.7794861023433</x:v>
      </x:c>
      <x:c r="AD182" t="n">
        <x:f>Scenario_Data!W182</x:f>
        <x:v>400</x:v>
      </x:c>
      <x:c r="AE182" t="n">
        <x: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x:f>
        <x:v>1792.7448718226206</x:v>
      </x:c>
      <x:c r="AG182" t="n">
        <x:f>Scenario_Data!T182</x:f>
        <x:v>30</x:v>
      </x:c>
      <x:c r="AH182" t="n">
        <x:f>2*(SQRT((Inputs!$C$52+(Scenario_Data!B182))^2+Inputs!$C$52^2-2*(Inputs!$C$52+(Scenario_Data!B182))*Inputs!$C$52*COS(SQRT((Scenario_Data!T182)^2+Inputs!$C$6^2)/Inputs!$C$52))*1000)/Inputs!$C$21*1000000</x:f>
        <x:v>2691.0805307414003</x:v>
      </x:c>
      <x:c r="AI182" t="n">
        <x:f>Scenario_Data!U182</x:f>
        <x:v>200</x:v>
      </x:c>
      <x:c r="AJ182" t="n">
        <x:f>2*(SQRT((Inputs!$C$52+(Scenario_Data!C182))^2+Inputs!$C$52^2-2*(Inputs!$C$52+(Scenario_Data!C182))*Inputs!$C$52*COS(SQRT((Scenario_Data!U182)^2+Inputs!$C$6^2)/Inputs!$C$52))*1000)/Inputs!$C$21*1000000</x:f>
        <x:v>1631.2498263703887</x:v>
      </x:c>
      <x:c r="AK182" t="n">
        <x:f>Scenario_Data!V182</x:f>
        <x:v>400</x:v>
      </x:c>
      <x:c r="AL182" t="n">
        <x:f>2*(SQRT((Inputs!$C$52+(Scenario_Data!D182))^2+Inputs!$C$52^2-2*(Inputs!$C$52+(Scenario_Data!D182))*Inputs!$C$52*COS(SQRT((Scenario_Data!V182)^2+Inputs!$C$6^2)/Inputs!$C$52))*1000)/Inputs!$C$21*1000000</x:f>
        <x:v>3429.9213186632924</x:v>
      </x:c>
      <x:c r="AM182" t="n">
        <x:f>Scenario_Data!W182</x:f>
        <x:v>400</x:v>
      </x:c>
      <x:c r="AN182" t="n">
        <x:f>2*(SQRT((Inputs!$C$52+(Scenario_Data!E182))^2+Inputs!$C$52^2-2*(Inputs!$C$52+(Scenario_Data!E182))*Inputs!$C$52*COS(SQRT((Scenario_Data!W182)^2+Inputs!$C$6^2)/Inputs!$C$52))*1000)/Inputs!$C$21*1000000</x:f>
        <x:v>3398.275856941299</x:v>
      </x:c>
      <x:c r="AP182" t="n">
        <x:f>Scenario_Data!T182</x:f>
        <x:v>30</x:v>
      </x:c>
      <x:c r="AQ182" t="n">
        <x: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x:f>
        <x:v>2689.3696122533497</x:v>
      </x:c>
      <x:c r="AR182" t="n">
        <x:f>Scenario_Data!U182</x:f>
        <x:v>200</x:v>
      </x:c>
      <x:c r="AS182" t="n">
        <x: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x:f>
        <x:v>1630.7637614719622</x:v>
      </x:c>
      <x:c r="AT182" t="n">
        <x:f>Scenario_Data!V182</x:f>
        <x:v>400</x:v>
      </x:c>
      <x:c r="AU182" t="n">
        <x: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x:f>
        <x:v>3429.3588510465356</x:v>
      </x:c>
      <x:c r="AV182" t="n">
        <x:f>Scenario_Data!W182</x:f>
        <x:v>400</x:v>
      </x:c>
      <x:c r="AW182" t="n">
        <x: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x:f>
        <x:v>3397.727225112334</x:v>
      </x:c>
    </x:row>
    <x:row r="183">
      <x:c r="A183" t="n">
        <x:f>Chart_Data!K183</x:f>
        <x:v>30.5</x:v>
      </x:c>
      <x:c r="B183" t="n">
        <x:f>Chart_Data!N183-Chart_Data!L183</x:f>
        <x:v>-6.103628142965022</x:v>
      </x:c>
      <x:c r="D183" t="n">
        <x:f>Chart_Data!G183</x:f>
        <x:v>30.5</x:v>
      </x:c>
      <x:c r="E183" t="n">
        <x:f>Chart_Data!H183</x:f>
        <x:v>239.98613946224492</x:v>
      </x:c>
      <x:c r="F183" t="n">
        <x:f>Chart_Data!I183</x:f>
        <x:v>239.98613946224492</x:v>
      </x:c>
      <x:c r="G183" t="n">
        <x:f>Chart_Data!J183</x:f>
        <x:v>4.284803604386864</x:v>
      </x:c>
      <x:c r="I183" t="n">
        <x:f>Scenario_Data!A183</x:f>
        <x:v>0.508</x:v>
      </x:c>
      <x:c r="J183" t="n">
        <x:f>Scenario_Data!H183-(((SQRT((Inputs!$C$52+(Inputs!$H$6))^2+Inputs!$C$52^2-2*(Inputs!$C$52+(Inputs!$H$6))*Inputs!$C$52*COS(SQRT((Scenario_Data!T183)^2+Inputs!$C$6^2)/Inputs!$C$52)))-(Inputs!$H$6))*1000/Inputs!$C$12)</x:f>
        <x:v>-2.7813345652473345</x:v>
      </x:c>
      <x:c r="K183" t="n">
        <x:f>Scenario_Data!I183-(((SQRT((Inputs!$C$52+(Inputs!$H$7))^2+Inputs!$C$52^2-2*(Inputs!$C$52+(Inputs!$H$7))*Inputs!$C$52*COS(SQRT((Scenario_Data!U183)^2+Inputs!$C$6^2)/Inputs!$C$52)))-(Inputs!$H$7))*1000/Inputs!$C$12)</x:f>
        <x:v>-30887.934860679583</x:v>
      </x:c>
      <x:c r="L183" t="n">
        <x:f>Scenario_Data!J183-(((SQRT((Inputs!$C$52+(Inputs!$H$8))^2+Inputs!$C$52^2-2*(Inputs!$C$52+(Inputs!$H$8))*Inputs!$C$52*COS(SQRT((Scenario_Data!V183)^2+Inputs!$C$6^2)/Inputs!$C$52)))-(Inputs!$H$8))*1000/Inputs!$C$12)</x:f>
        <x:v>-76495.55061689264</x:v>
      </x:c>
      <x:c r="M183" t="n">
        <x:f>Scenario_Data!K183-(((SQRT((Inputs!$C$52+(Inputs!$H$9))^2+Inputs!$C$52^2-2*(Inputs!$C$52+(Inputs!$H$9))*Inputs!$C$52*COS(SQRT((Scenario_Data!W183)^2+Inputs!$C$6^2)/Inputs!$C$52)))-(Inputs!$H$9))*1000/Inputs!$C$12)</x:f>
        <x:v>-79470.82596585111</x:v>
      </x:c>
      <x:c r="O183" t="n">
        <x:f>Scenario_Data!T183</x:f>
        <x:v>30.480000000000004</x:v>
      </x:c>
      <x:c r="P183" t="n">
        <x:f>2*(Scenario_Data!B183*1000)/Inputs!$C$21*1000000</x:f>
        <x:v>2675.3992323582734</x:v>
      </x:c>
      <x:c r="Q183" t="n">
        <x:f>Scenario_Data!U183</x:f>
        <x:v>203.20000000000005</x:v>
      </x:c>
      <x:c r="R183" t="n">
        <x:f>2*(Scenario_Data!C183*1000)/Inputs!$C$21*1000000</x:f>
        <x:v>861.8853246801829</x:v>
      </x:c>
      <x:c r="S183" t="n">
        <x:f>Scenario_Data!V183</x:f>
        <x:v>406.4000000000001</x:v>
      </x:c>
      <x:c r="T183" t="n">
        <x:f>2*(Scenario_Data!D183*1000)/Inputs!$C$21*1000000</x:f>
        <x:v>1894.8559406387742</x:v>
      </x:c>
      <x:c r="U183" t="n">
        <x:f>Scenario_Data!W183</x:f>
        <x:v>406.4000000000001</x:v>
      </x:c>
      <x:c r="V183" t="n">
        <x:f>2*(Scenario_Data!E183*1000)/Inputs!$C$21*1000000</x:f>
        <x:v>1845.3592985317866</x:v>
      </x:c>
      <x:c r="X183" t="n">
        <x:f>Scenario_Data!T183</x:f>
        <x:v>30.480000000000004</x:v>
      </x:c>
      <x:c r="Y183" t="n">
        <x: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x:f>
        <x:v>2675.266200681919</x:v>
      </x:c>
      <x:c r="Z183" t="n">
        <x:f>Scenario_Data!U183</x:f>
        <x:v>203.20000000000005</x:v>
      </x:c>
      <x:c r="AA183" t="n">
        <x: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x:f>
        <x:v>861.7927147745436</x:v>
      </x:c>
      <x:c r="AB183" t="n">
        <x:f>Scenario_Data!V183</x:f>
        <x:v>406.4000000000001</x:v>
      </x:c>
      <x:c r="AC183" t="n">
        <x: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x:f>
        <x:v>1894.9471352963021</x:v>
      </x:c>
      <x:c r="AD183" t="n">
        <x:f>Scenario_Data!W183</x:f>
        <x:v>406.4000000000001</x:v>
      </x:c>
      <x:c r="AE183" t="n">
        <x: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x:f>
        <x:v>1845.4504931893146</x:v>
      </x:c>
      <x:c r="AG183" t="n">
        <x:f>Scenario_Data!T183</x:f>
        <x:v>30.480000000000004</x:v>
      </x:c>
      <x:c r="AH183" t="n">
        <x:f>2*(SQRT((Inputs!$C$52+(Scenario_Data!B183))^2+Inputs!$C$52^2-2*(Inputs!$C$52+(Scenario_Data!B183))*Inputs!$C$52*COS(SQRT((Scenario_Data!T183)^2+Inputs!$C$6^2)/Inputs!$C$52))*1000)/Inputs!$C$21*1000000</x:f>
        <x:v>2691.596374118459</x:v>
      </x:c>
      <x:c r="AI183" t="n">
        <x:f>Scenario_Data!U183</x:f>
        <x:v>203.20000000000005</x:v>
      </x:c>
      <x:c r="AJ183" t="n">
        <x:f>2*(SQRT((Inputs!$C$52+(Scenario_Data!C183))^2+Inputs!$C$52^2-2*(Inputs!$C$52+(Scenario_Data!C183))*Inputs!$C$52*COS(SQRT((Scenario_Data!U183)^2+Inputs!$C$6^2)/Inputs!$C$52))*1000)/Inputs!$C$21*1000000</x:f>
        <x:v>1661.27795099574</x:v>
      </x:c>
      <x:c r="AK183" t="n">
        <x:f>Scenario_Data!V183</x:f>
        <x:v>406.4000000000001</x:v>
      </x:c>
      <x:c r="AL183" t="n">
        <x:f>2*(SQRT((Inputs!$C$52+(Scenario_Data!D183))^2+Inputs!$C$52^2-2*(Inputs!$C$52+(Scenario_Data!D183))*Inputs!$C$52*COS(SQRT((Scenario_Data!V183)^2+Inputs!$C$6^2)/Inputs!$C$52))*1000)/Inputs!$C$21*1000000</x:f>
        <x:v>3501.760091807711</x:v>
      </x:c>
      <x:c r="AM183" t="n">
        <x:f>Scenario_Data!W183</x:f>
        <x:v>406.4000000000001</x:v>
      </x:c>
      <x:c r="AN183" t="n">
        <x:f>2*(SQRT((Inputs!$C$52+(Scenario_Data!E183))^2+Inputs!$C$52^2-2*(Inputs!$C$52+(Scenario_Data!E183))*Inputs!$C$52*COS(SQRT((Scenario_Data!W183)^2+Inputs!$C$6^2)/Inputs!$C$52))*1000)/Inputs!$C$21*1000000</x:f>
        <x:v>3470.2046174700704</x:v>
      </x:c>
      <x:c r="AP183" t="n">
        <x:f>Scenario_Data!T183</x:f>
        <x:v>30.480000000000004</x:v>
      </x:c>
      <x:c r="AQ183" t="n">
        <x: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x:f>
        <x:v>2689.9524090049945</x:v>
      </x:c>
      <x:c r="AR183" t="n">
        <x:f>Scenario_Data!U183</x:f>
        <x:v>203.20000000000005</x:v>
      </x:c>
      <x:c r="AS183" t="n">
        <x: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x:f>
        <x:v>1660.6990177446987</x:v>
      </x:c>
      <x:c r="AT183" t="n">
        <x:f>Scenario_Data!V183</x:f>
        <x:v>406.4000000000001</x:v>
      </x:c>
      <x:c r="AU183" t="n">
        <x: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x:f>
        <x:v>3501.549494764668</x:v>
      </x:c>
      <x:c r="AV183" t="n">
        <x:f>Scenario_Data!W183</x:f>
        <x:v>406.4000000000001</x:v>
      </x:c>
      <x:c r="AW183" t="n">
        <x: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x:f>
        <x:v>3469.9989806158574</x:v>
      </x:c>
    </x:row>
    <x:row r="184">
      <x:c r="A184" t="n">
        <x:f>Chart_Data!K184</x:f>
        <x:v>31</x:v>
      </x:c>
      <x:c r="B184" t="n">
        <x:f>Chart_Data!N184-Chart_Data!L184</x:f>
        <x:v>-20.543420099751472</x:v>
      </x:c>
      <x:c r="D184" t="n">
        <x:f>Chart_Data!G184</x:f>
        <x:v>31</x:v>
      </x:c>
      <x:c r="E184" t="n">
        <x:f>Chart_Data!H184</x:f>
        <x:v>239.58052305996605</x:v>
      </x:c>
      <x:c r="F184" t="n">
        <x:f>Chart_Data!I184</x:f>
        <x:v>239.58052305996605</x:v>
      </x:c>
      <x:c r="G184" t="n">
        <x:f>Chart_Data!J184</x:f>
        <x:v>18.692329061381155</x:v>
      </x:c>
      <x:c r="I184" t="n">
        <x:f>Scenario_Data!A184</x:f>
        <x:v>0.517</x:v>
      </x:c>
      <x:c r="J184" t="n">
        <x:f>Scenario_Data!H184-(((SQRT((Inputs!$C$52+(Inputs!$H$6))^2+Inputs!$C$52^2-2*(Inputs!$C$52+(Inputs!$H$6))*Inputs!$C$52*COS(SQRT((Scenario_Data!T184)^2+Inputs!$C$6^2)/Inputs!$C$52)))-(Inputs!$H$6))*1000/Inputs!$C$12)</x:f>
        <x:v>-2.941433207470027</x:v>
      </x:c>
      <x:c r="K184" t="n">
        <x:f>Scenario_Data!I184-(((SQRT((Inputs!$C$52+(Inputs!$H$7))^2+Inputs!$C$52^2-2*(Inputs!$C$52+(Inputs!$H$7))*Inputs!$C$52*COS(SQRT((Scenario_Data!U184)^2+Inputs!$C$6^2)/Inputs!$C$52)))-(Inputs!$H$7))*1000/Inputs!$C$12)</x:f>
        <x:v>-31909.462641600694</x:v>
      </x:c>
      <x:c r="L184" t="n">
        <x:f>Scenario_Data!J184-(((SQRT((Inputs!$C$52+(Inputs!$H$8))^2+Inputs!$C$52^2-2*(Inputs!$C$52+(Inputs!$H$8))*Inputs!$C$52*COS(SQRT((Scenario_Data!V184)^2+Inputs!$C$6^2)/Inputs!$C$52)))-(Inputs!$H$8))*1000/Inputs!$C$12)</x:f>
        <x:v>-78648.70676173811</x:v>
      </x:c>
      <x:c r="M184" t="n">
        <x:f>Scenario_Data!K184-(((SQRT((Inputs!$C$52+(Inputs!$H$9))^2+Inputs!$C$52^2-2*(Inputs!$C$52+(Inputs!$H$9))*Inputs!$C$52*COS(SQRT((Scenario_Data!W184)^2+Inputs!$C$6^2)/Inputs!$C$52)))-(Inputs!$H$9))*1000/Inputs!$C$12)</x:f>
        <x:v>-81660.1874346211</x:v>
      </x:c>
      <x:c r="O184" t="n">
        <x:f>Scenario_Data!T184</x:f>
        <x:v>31.019999999999996</x:v>
      </x:c>
      <x:c r="P184" t="n">
        <x:f>2*(Scenario_Data!B184*1000)/Inputs!$C$21*1000000</x:f>
        <x:v>2675.6454026605297</x:v>
      </x:c>
      <x:c r="Q184" t="n">
        <x:f>Scenario_Data!U184</x:f>
        <x:v>206.79999999999995</x:v>
      </x:c>
      <x:c r="R184" t="n">
        <x:f>2*(Scenario_Data!C184*1000)/Inputs!$C$21*1000000</x:f>
        <x:v>884.3483647610641</x:v>
      </x:c>
      <x:c r="S184" t="n">
        <x:f>Scenario_Data!V184</x:f>
        <x:v>413.5999999999999</x:v>
      </x:c>
      <x:c r="T184" t="n">
        <x:f>2*(Scenario_Data!D184*1000)/Inputs!$C$21*1000000</x:f>
        <x:v>1954.2445260580898</x:v>
      </x:c>
      <x:c r="U184" t="n">
        <x:f>Scenario_Data!W184</x:f>
        <x:v>413.5999999999999</x:v>
      </x:c>
      <x:c r="V184" t="n">
        <x:f>2*(Scenario_Data!E184*1000)/Inputs!$C$21*1000000</x:f>
        <x:v>1905.3633097067434</x:v>
      </x:c>
      <x:c r="X184" t="n">
        <x:f>Scenario_Data!T184</x:f>
        <x:v>31.019999999999996</x:v>
      </x:c>
      <x:c r="Y184" t="n">
        <x: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x:f>
        <x:v>2675.607009709583</x:v>
      </x:c>
      <x:c r="Z184" t="n">
        <x:f>Scenario_Data!U184</x:f>
        <x:v>206.79999999999995</x:v>
      </x:c>
      <x:c r="AA184" t="n">
        <x: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x:f>
        <x:v>884.3474875000024</x:v>
      </x:c>
      <x:c r="AB184" t="n">
        <x:f>Scenario_Data!V184</x:f>
        <x:v>413.5999999999999</x:v>
      </x:c>
      <x:c r="AC184" t="n">
        <x: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x:f>
        <x:v>1954.255429976066</x:v>
      </x:c>
      <x:c r="AD184" t="n">
        <x:f>Scenario_Data!W184</x:f>
        <x:v>413.5999999999999</x:v>
      </x:c>
      <x:c r="AE184" t="n">
        <x: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x:f>
        <x:v>1905.374213624719</x:v>
      </x:c>
      <x:c r="AG184" t="n">
        <x:f>Scenario_Data!T184</x:f>
        <x:v>31.019999999999996</x:v>
      </x:c>
      <x:c r="AH184" t="n">
        <x:f>2*(SQRT((Inputs!$C$52+(Scenario_Data!B184))^2+Inputs!$C$52^2-2*(Inputs!$C$52+(Scenario_Data!B184))*Inputs!$C$52*COS(SQRT((Scenario_Data!T184)^2+Inputs!$C$6^2)/Inputs!$C$52))*1000)/Inputs!$C$21*1000000</x:f>
        <x:v>2692.1863964353583</x:v>
      </x:c>
      <x:c r="AI184" t="n">
        <x:f>Scenario_Data!U184</x:f>
        <x:v>206.79999999999995</x:v>
      </x:c>
      <x:c r="AJ184" t="n">
        <x:f>2*(SQRT((Inputs!$C$52+(Scenario_Data!C184))^2+Inputs!$C$52^2-2*(Inputs!$C$52+(Scenario_Data!C184))*Inputs!$C$52*COS(SQRT((Scenario_Data!U184)^2+Inputs!$C$6^2)/Inputs!$C$52))*1000)/Inputs!$C$21*1000000</x:f>
        <x:v>1695.3321376263839</x:v>
      </x:c>
      <x:c r="AK184" t="n">
        <x:f>Scenario_Data!V184</x:f>
        <x:v>413.5999999999999</x:v>
      </x:c>
      <x:c r="AL184" t="n">
        <x:f>2*(SQRT((Inputs!$C$52+(Scenario_Data!D184))^2+Inputs!$C$52^2-2*(Inputs!$C$52+(Scenario_Data!D184))*Inputs!$C$52*COS(SQRT((Scenario_Data!V184)^2+Inputs!$C$6^2)/Inputs!$C$52))*1000)/Inputs!$C$21*1000000</x:f>
        <x:v>3583.4691205577215</x:v>
      </x:c>
      <x:c r="AM184" t="n">
        <x:f>Scenario_Data!W184</x:f>
        <x:v>413.5999999999999</x:v>
      </x:c>
      <x:c r="AN184" t="n">
        <x:f>2*(SQRT((Inputs!$C$52+(Scenario_Data!E184))^2+Inputs!$C$52^2-2*(Inputs!$C$52+(Scenario_Data!E184))*Inputs!$C$52*COS(SQRT((Scenario_Data!W184)^2+Inputs!$C$6^2)/Inputs!$C$52))*1000)/Inputs!$C$21*1000000</x:f>
        <x:v>3552.0314391676843</x:v>
      </x:c>
      <x:c r="AP184" t="n">
        <x:f>Scenario_Data!T184</x:f>
        <x:v>31.019999999999996</x:v>
      </x:c>
      <x:c r="AQ184" t="n">
        <x: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x:f>
        <x:v>2690.5667082175996</x:v>
      </x:c>
      <x:c r="AR184" t="n">
        <x:f>Scenario_Data!U184</x:f>
        <x:v>206.79999999999995</x:v>
      </x:c>
      <x:c r="AS184" t="n">
        <x: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x:f>
        <x:v>1694.822586614646</x:v>
      </x:c>
      <x:c r="AT184" t="n">
        <x:f>Scenario_Data!V184</x:f>
        <x:v>413.5999999999999</x:v>
      </x:c>
      <x:c r="AU184" t="n">
        <x: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x:f>
        <x:v>3583.0738605817146</x:v>
      </x:c>
      <x:c r="AV184" t="n">
        <x:f>Scenario_Data!W184</x:f>
        <x:v>413.5999999999999</x:v>
      </x:c>
      <x:c r="AW184" t="n">
        <x: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x:f>
        <x:v>3551.645051083141</x:v>
      </x:c>
    </x:row>
    <x:row r="185">
      <x:c r="A185" t="n">
        <x:f>Chart_Data!K185</x:f>
        <x:v>31.5</x:v>
      </x:c>
      <x:c r="B185" t="n">
        <x:f>Chart_Data!N185-Chart_Data!L185</x:f>
        <x:v>-20.285394627644735</x:v>
      </x:c>
      <x:c r="D185" t="n">
        <x:f>Chart_Data!G185</x:f>
        <x:v>31.5</x:v>
      </x:c>
      <x:c r="E185" t="n">
        <x:f>Chart_Data!H185</x:f>
        <x:v>216.56157473369862</x:v>
      </x:c>
      <x:c r="F185" t="n">
        <x:f>Chart_Data!I185</x:f>
        <x:v>216.56157473369862</x:v>
      </x:c>
      <x:c r="G185" t="n">
        <x:f>Chart_Data!J185</x:f>
        <x:v>18.579807279306877</x:v>
      </x:c>
      <x:c r="I185" t="n">
        <x:f>Scenario_Data!A185</x:f>
        <x:v>0.525</x:v>
      </x:c>
      <x:c r="J185" t="n">
        <x:f>Scenario_Data!H185-(((SQRT((Inputs!$C$52+(Inputs!$H$6))^2+Inputs!$C$52^2-2*(Inputs!$C$52+(Inputs!$H$6))*Inputs!$C$52*COS(SQRT((Scenario_Data!T185)^2+Inputs!$C$6^2)/Inputs!$C$52)))-(Inputs!$H$6))*1000/Inputs!$C$12)</x:f>
        <x:v>-3.089673071670859</x:v>
      </x:c>
      <x:c r="K185" t="n">
        <x:f>Scenario_Data!I185-(((SQRT((Inputs!$C$52+(Inputs!$H$7))^2+Inputs!$C$52^2-2*(Inputs!$C$52+(Inputs!$H$7))*Inputs!$C$52*COS(SQRT((Scenario_Data!U185)^2+Inputs!$C$6^2)/Inputs!$C$52)))-(Inputs!$H$7))*1000/Inputs!$C$12)</x:f>
        <x:v>-32825.87746268808</x:v>
      </x:c>
      <x:c r="L185" t="n">
        <x:f>Scenario_Data!J185-(((SQRT((Inputs!$C$52+(Inputs!$H$8))^2+Inputs!$C$52^2-2*(Inputs!$C$52+(Inputs!$H$8))*Inputs!$C$52*COS(SQRT((Scenario_Data!V185)^2+Inputs!$C$6^2)/Inputs!$C$52)))-(Inputs!$H$8))*1000/Inputs!$C$12)</x:f>
        <x:v>-80568.7736811837</x:v>
      </x:c>
      <x:c r="M185" t="n">
        <x:f>Scenario_Data!K185-(((SQRT((Inputs!$C$52+(Inputs!$H$9))^2+Inputs!$C$52^2-2*(Inputs!$C$52+(Inputs!$H$9))*Inputs!$C$52*COS(SQRT((Scenario_Data!W185)^2+Inputs!$C$6^2)/Inputs!$C$52)))-(Inputs!$H$9))*1000/Inputs!$C$12)</x:f>
        <x:v>-83611.75944718669</x:v>
      </x:c>
      <x:c r="O185" t="n">
        <x:f>Scenario_Data!T185</x:f>
        <x:v>31.5</x:v>
      </x:c>
      <x:c r="P185" t="n">
        <x:f>2*(Scenario_Data!B185*1000)/Inputs!$C$21*1000000</x:f>
        <x:v>2675.867849884336</x:v>
      </x:c>
      <x:c r="Q185" t="n">
        <x:f>Scenario_Data!U185</x:f>
        <x:v>210</x:v>
      </x:c>
      <x:c r="R185" t="n">
        <x:f>2*(Scenario_Data!C185*1000)/Inputs!$C$21*1000000</x:f>
        <x:v>904.6466739333382</x:v>
      </x:c>
      <x:c r="S185" t="n">
        <x:f>Scenario_Data!V185</x:f>
        <x:v>420</x:v>
      </x:c>
      <x:c r="T185" t="n">
        <x:f>2*(Scenario_Data!D185*1000)/Inputs!$C$21*1000000</x:f>
        <x:v>2007.9099188012265</x:v>
      </x:c>
      <x:c r="U185" t="n">
        <x:f>Scenario_Data!W185</x:f>
        <x:v>420</x:v>
      </x:c>
      <x:c r="V185" t="n">
        <x:f>2*(Scenario_Data!E185*1000)/Inputs!$C$21*1000000</x:f>
        <x:v>1959.584820509394</x:v>
      </x:c>
      <x:c r="X185" t="n">
        <x:f>Scenario_Data!T185</x:f>
        <x:v>31.5</x:v>
      </x:c>
      <x:c r="Y185" t="n">
        <x: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x:f>
        <x:v>2675.7438987522546</x:v>
      </x:c>
      <x:c r="Z185" t="n">
        <x:f>Scenario_Data!U185</x:f>
        <x:v>210</x:v>
      </x:c>
      <x:c r="AA185" t="n">
        <x: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x:f>
        <x:v>904.8934348311742</x:v>
      </x:c>
      <x:c r="AB185" t="n">
        <x:f>Scenario_Data!V185</x:f>
        <x:v>420</x:v>
      </x:c>
      <x:c r="AC185" t="n">
        <x: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x:f>
        <x:v>2007.7962312536533</x:v>
      </x:c>
      <x:c r="AD185" t="n">
        <x:f>Scenario_Data!W185</x:f>
        <x:v>420</x:v>
      </x:c>
      <x:c r="AE185" t="n">
        <x: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x:f>
        <x:v>1959.4711329618208</x:v>
      </x:c>
      <x:c r="AG185" t="n">
        <x:f>Scenario_Data!T185</x:f>
        <x:v>31.5</x:v>
      </x:c>
      <x:c r="AH185" t="n">
        <x:f>2*(SQRT((Inputs!$C$52+(Scenario_Data!B185))^2+Inputs!$C$52^2-2*(Inputs!$C$52+(Scenario_Data!B185))*Inputs!$C$52*COS(SQRT((Scenario_Data!T185)^2+Inputs!$C$6^2)/Inputs!$C$52))*1000)/Inputs!$C$21*1000000</x:f>
        <x:v>2692.7194777953123</x:v>
      </x:c>
      <x:c r="AI185" t="n">
        <x:f>Scenario_Data!U185</x:f>
        <x:v>210</x:v>
      </x:c>
      <x:c r="AJ185" t="n">
        <x:f>2*(SQRT((Inputs!$C$52+(Scenario_Data!C185))^2+Inputs!$C$52^2-2*(Inputs!$C$52+(Scenario_Data!C185))*Inputs!$C$52*COS(SQRT((Scenario_Data!U185)^2+Inputs!$C$6^2)/Inputs!$C$52))*1000)/Inputs!$C$21*1000000</x:f>
        <x:v>1725.8467418024873</x:v>
      </x:c>
      <x:c r="AK185" t="n">
        <x:f>Scenario_Data!V185</x:f>
        <x:v>420</x:v>
      </x:c>
      <x:c r="AL185" t="n">
        <x:f>2*(SQRT((Inputs!$C$52+(Scenario_Data!D185))^2+Inputs!$C$52^2-2*(Inputs!$C$52+(Scenario_Data!D185))*Inputs!$C$52*COS(SQRT((Scenario_Data!V185)^2+Inputs!$C$6^2)/Inputs!$C$52))*1000)/Inputs!$C$21*1000000</x:f>
        <x:v>3656.896918210815</x:v>
      </x:c>
      <x:c r="AM185" t="n">
        <x:f>Scenario_Data!W185</x:f>
        <x:v>420</x:v>
      </x:c>
      <x:c r="AN185" t="n">
        <x:f>2*(SQRT((Inputs!$C$52+(Scenario_Data!E185))^2+Inputs!$C$52^2-2*(Inputs!$C$52+(Scenario_Data!E185))*Inputs!$C$52*COS(SQRT((Scenario_Data!W185)^2+Inputs!$C$6^2)/Inputs!$C$52))*1000)/Inputs!$C$21*1000000</x:f>
        <x:v>3625.578721629772</x:v>
      </x:c>
      <x:c r="AP185" t="n">
        <x:f>Scenario_Data!T185</x:f>
        <x:v>31.5</x:v>
      </x:c>
      <x:c r="AQ185" t="n">
        <x: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x:f>
        <x:v>2691.286112934711</x:v>
      </x:c>
      <x:c r="AR185" t="n">
        <x:f>Scenario_Data!U185</x:f>
        <x:v>210</x:v>
      </x:c>
      <x:c r="AS185" t="n">
        <x: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x:f>
        <x:v>1725.5482605386435</x:v>
      </x:c>
      <x:c r="AT185" t="n">
        <x:f>Scenario_Data!V185</x:f>
        <x:v>420</x:v>
      </x:c>
      <x:c r="AU185" t="n">
        <x: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x:f>
        <x:v>3656.4070068229435</x:v>
      </x:c>
      <x:c r="AV185" t="n">
        <x:f>Scenario_Data!W185</x:f>
        <x:v>420</x:v>
      </x:c>
      <x:c r="AW185" t="n">
        <x: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x:f>
        <x:v>3625.099344864144</x:v>
      </x:c>
    </x:row>
    <x:row r="186">
      <x:c r="A186" t="n">
        <x:f>Chart_Data!K186</x:f>
        <x:v>32</x:v>
      </x:c>
      <x:c r="B186" t="n">
        <x:f>Chart_Data!N186-Chart_Data!L186</x:f>
        <x:v>-0.4268979215809736</x:v>
      </x:c>
      <x:c r="D186" t="n">
        <x:f>Chart_Data!G186</x:f>
        <x:v>32</x:v>
      </x:c>
      <x:c r="E186" t="n">
        <x:f>Chart_Data!H186</x:f>
        <x:v>222.43770342182788</x:v>
      </x:c>
      <x:c r="F186" t="n">
        <x:f>Chart_Data!I186</x:f>
        <x:v>222.43770342182788</x:v>
      </x:c>
      <x:c r="G186" t="n">
        <x:f>Chart_Data!J186</x:f>
        <x:v>-1.3588316603362678</x:v>
      </x:c>
      <x:c r="I186" t="n">
        <x:f>Scenario_Data!A186</x:f>
        <x:v>0.533</x:v>
      </x:c>
      <x:c r="J186" t="n">
        <x:f>Scenario_Data!H186-(((SQRT((Inputs!$C$52+(Inputs!$H$6))^2+Inputs!$C$52^2-2*(Inputs!$C$52+(Inputs!$H$6))*Inputs!$C$52*COS(SQRT((Scenario_Data!T186)^2+Inputs!$C$6^2)/Inputs!$C$52)))-(Inputs!$H$6))*1000/Inputs!$C$12)</x:f>
        <x:v>-3.243653659340225</x:v>
      </x:c>
      <x:c r="K186" t="n">
        <x:f>Scenario_Data!I186-(((SQRT((Inputs!$C$52+(Inputs!$H$7))^2+Inputs!$C$52^2-2*(Inputs!$C$52+(Inputs!$H$7))*Inputs!$C$52*COS(SQRT((Scenario_Data!U186)^2+Inputs!$C$6^2)/Inputs!$C$52)))-(Inputs!$H$7))*1000/Inputs!$C$12)</x:f>
        <x:v>-33749.98145308635</x:v>
      </x:c>
      <x:c r="L186" t="n">
        <x:f>Scenario_Data!J186-(((SQRT((Inputs!$C$52+(Inputs!$H$8))^2+Inputs!$C$52^2-2*(Inputs!$C$52+(Inputs!$H$8))*Inputs!$C$52*COS(SQRT((Scenario_Data!V186)^2+Inputs!$C$6^2)/Inputs!$C$52)))-(Inputs!$H$8))*1000/Inputs!$C$12)</x:f>
        <x:v>-82494.11644292518</x:v>
      </x:c>
      <x:c r="M186" t="n">
        <x:f>Scenario_Data!K186-(((SQRT((Inputs!$C$52+(Inputs!$H$9))^2+Inputs!$C$52^2-2*(Inputs!$C$52+(Inputs!$H$9))*Inputs!$C$52*COS(SQRT((Scenario_Data!W186)^2+Inputs!$C$6^2)/Inputs!$C$52)))-(Inputs!$H$9))*1000/Inputs!$C$12)</x:f>
        <x:v>-85567.97437946207</x:v>
      </x:c>
      <x:c r="O186" t="n">
        <x:f>Scenario_Data!T186</x:f>
        <x:v>31.97999999999999</x:v>
      </x:c>
      <x:c r="P186" t="n">
        <x:f>2*(Scenario_Data!B186*1000)/Inputs!$C$21*1000000</x:f>
        <x:v>2676.093712804476</x:v>
      </x:c>
      <x:c r="Q186" t="n">
        <x:f>Scenario_Data!U186</x:f>
        <x:v>213.19999999999993</x:v>
      </x:c>
      <x:c r="R186" t="n">
        <x:f>2*(Scenario_Data!C186*1000)/Inputs!$C$21*1000000</x:f>
        <x:v>925.256665396165</x:v>
      </x:c>
      <x:c r="S186" t="n">
        <x:f>Scenario_Data!V186</x:f>
        <x:v>426.39999999999986</x:v>
      </x:c>
      <x:c r="T186" t="n">
        <x:f>2*(Scenario_Data!D186*1000)/Inputs!$C$21*1000000</x:f>
        <x:v>2062.3993482851374</x:v>
      </x:c>
      <x:c r="U186" t="n">
        <x:f>Scenario_Data!W186</x:f>
        <x:v>426.39999999999986</x:v>
      </x:c>
      <x:c r="V186" t="n">
        <x:f>2*(Scenario_Data!E186*1000)/Inputs!$C$21*1000000</x:f>
        <x:v>2014.638907293657</x:v>
      </x:c>
      <x:c r="X186" t="n">
        <x:f>Scenario_Data!T186</x:f>
        <x:v>31.97999999999999</x:v>
      </x:c>
      <x:c r="Y186" t="n">
        <x: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x:f>
        <x:v>2676.0368656583214</x:v>
      </x:c>
      <x:c r="Z186" t="n">
        <x:f>Scenario_Data!U186</x:f>
        <x:v>213.19999999999993</x:v>
      </x:c>
      <x:c r="AA186" t="n">
        <x: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x:f>
        <x:v>925.2961133666385</x:v>
      </x:c>
      <x:c r="AB186" t="n">
        <x:f>Scenario_Data!V186</x:f>
        <x:v>426.39999999999986</x:v>
      </x:c>
      <x:c r="AC186" t="n">
        <x: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x:f>
        <x:v>2062.4558981393748</x:v>
      </x:c>
      <x:c r="AD186" t="n">
        <x:f>Scenario_Data!W186</x:f>
        <x:v>426.39999999999986</x:v>
      </x:c>
      <x:c r="AE186" t="n">
        <x: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x:f>
        <x:v>2014.695457147894</x:v>
      </x:c>
      <x:c r="AG186" t="n">
        <x:f>Scenario_Data!T186</x:f>
        <x:v>31.97999999999999</x:v>
      </x:c>
      <x:c r="AH186" t="n">
        <x:f>2*(SQRT((Inputs!$C$52+(Scenario_Data!B186))^2+Inputs!$C$52^2-2*(Inputs!$C$52+(Scenario_Data!B186))*Inputs!$C$52*COS(SQRT((Scenario_Data!T186)^2+Inputs!$C$6^2)/Inputs!$C$52))*1000)/Inputs!$C$21*1000000</x:f>
        <x:v>2693.260665691084</x:v>
      </x:c>
      <x:c r="AI186" t="n">
        <x:f>Scenario_Data!U186</x:f>
        <x:v>213.19999999999993</x:v>
      </x:c>
      <x:c r="AJ186" t="n">
        <x:f>2*(SQRT((Inputs!$C$52+(Scenario_Data!C186))^2+Inputs!$C$52^2-2*(Inputs!$C$52+(Scenario_Data!C186))*Inputs!$C$52*COS(SQRT((Scenario_Data!U186)^2+Inputs!$C$6^2)/Inputs!$C$52))*1000)/Inputs!$C$21*1000000</x:f>
        <x:v>1756.5930320423138</x:v>
      </x:c>
      <x:c r="AK186" t="n">
        <x:f>Scenario_Data!V186</x:f>
        <x:v>426.39999999999986</x:v>
      </x:c>
      <x:c r="AL186" t="n">
        <x:f>2*(SQRT((Inputs!$C$52+(Scenario_Data!D186))^2+Inputs!$C$52^2-2*(Inputs!$C$52+(Scenario_Data!D186))*Inputs!$C$52*COS(SQRT((Scenario_Data!V186)^2+Inputs!$C$6^2)/Inputs!$C$52))*1000)/Inputs!$C$21*1000000</x:f>
        <x:v>3731.0809261239924</x:v>
      </x:c>
      <x:c r="AM186" t="n">
        <x:f>Scenario_Data!W186</x:f>
        <x:v>426.39999999999986</x:v>
      </x:c>
      <x:c r="AN186" t="n">
        <x:f>2*(SQRT((Inputs!$C$52+(Scenario_Data!E186))^2+Inputs!$C$52^2-2*(Inputs!$C$52+(Scenario_Data!E186))*Inputs!$C$52*COS(SQRT((Scenario_Data!W186)^2+Inputs!$C$6^2)/Inputs!$C$52))*1000)/Inputs!$C$21*1000000</x:f>
        <x:v>3699.896173425861</x:v>
      </x:c>
      <x:c r="AP186" t="n">
        <x:f>Scenario_Data!T186</x:f>
        <x:v>31.97999999999999</x:v>
      </x:c>
      <x:c r="AQ186" t="n">
        <x: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x:f>
        <x:v>2691.7084514155754</x:v>
      </x:c>
      <x:c r="AR186" t="n">
        <x:f>Scenario_Data!U186</x:f>
        <x:v>213.19999999999993</x:v>
      </x:c>
      <x:c r="AS186" t="n">
        <x: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x:f>
        <x:v>1756.3205691070345</x:v>
      </x:c>
      <x:c r="AT186" t="n">
        <x:f>Scenario_Data!V186</x:f>
        <x:v>426.39999999999986</x:v>
      </x:c>
      <x:c r="AU186" t="n">
        <x: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x:f>
        <x:v>3730.743436868081</x:v>
      </x:c>
      <x:c r="AV186" t="n">
        <x:f>Scenario_Data!W186</x:f>
        <x:v>426.39999999999986</x:v>
      </x:c>
      <x:c r="AW186" t="n">
        <x: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x:f>
        <x:v>3699.56563439895</x:v>
      </x:c>
    </x:row>
    <x:row r="187">
      <x:c r="A187" t="n">
        <x:f>Chart_Data!K187</x:f>
        <x:v>32.5</x:v>
      </x:c>
      <x:c r="B187" t="n">
        <x:f>Chart_Data!N187-Chart_Data!L187</x:f>
        <x:v>-7.712229584010402</x:v>
      </x:c>
      <x:c r="D187" t="n">
        <x:f>Chart_Data!G187</x:f>
        <x:v>32.5</x:v>
      </x:c>
      <x:c r="E187" t="n">
        <x:f>Chart_Data!H187</x:f>
        <x:v>227.97180197677312</x:v>
      </x:c>
      <x:c r="F187" t="n">
        <x:f>Chart_Data!I187</x:f>
        <x:v>227.97180197677312</x:v>
      </x:c>
      <x:c r="G187" t="n">
        <x:f>Chart_Data!J187</x:f>
        <x:v>5.846843018322446</x:v>
      </x:c>
      <x:c r="I187" t="n">
        <x:f>Scenario_Data!A187</x:f>
        <x:v>0.542</x:v>
      </x:c>
      <x:c r="J187" t="n">
        <x:f>Scenario_Data!H187-(((SQRT((Inputs!$C$52+(Inputs!$H$6))^2+Inputs!$C$52^2-2*(Inputs!$C$52+(Inputs!$H$6))*Inputs!$C$52*COS(SQRT((Scenario_Data!T187)^2+Inputs!$C$6^2)/Inputs!$C$52)))-(Inputs!$H$6))*1000/Inputs!$C$12)</x:f>
        <x:v>-3.423937371721422</x:v>
      </x:c>
      <x:c r="K187" t="n">
        <x:f>Scenario_Data!I187-(((SQRT((Inputs!$C$52+(Inputs!$H$7))^2+Inputs!$C$52^2-2*(Inputs!$C$52+(Inputs!$H$7))*Inputs!$C$52*COS(SQRT((Scenario_Data!U187)^2+Inputs!$C$6^2)/Inputs!$C$52)))-(Inputs!$H$7))*1000/Inputs!$C$12)</x:f>
        <x:v>-34798.54556291025</x:v>
      </x:c>
      <x:c r="L187" t="n">
        <x:f>Scenario_Data!J187-(((SQRT((Inputs!$C$52+(Inputs!$H$8))^2+Inputs!$C$52^2-2*(Inputs!$C$52+(Inputs!$H$8))*Inputs!$C$52*COS(SQRT((Scenario_Data!V187)^2+Inputs!$C$6^2)/Inputs!$C$52)))-(Inputs!$H$8))*1000/Inputs!$C$12)</x:f>
        <x:v>-84665.8371283485</x:v>
      </x:c>
      <x:c r="M187" t="n">
        <x:f>Scenario_Data!K187-(((SQRT((Inputs!$C$52+(Inputs!$H$9))^2+Inputs!$C$52^2-2*(Inputs!$C$52+(Inputs!$H$9))*Inputs!$C$52*COS(SQRT((Scenario_Data!W187)^2+Inputs!$C$6^2)/Inputs!$C$52)))-(Inputs!$H$9))*1000/Inputs!$C$12)</x:f>
        <x:v>-87773.67562430893</x:v>
      </x:c>
      <x:c r="O187" t="n">
        <x:f>Scenario_Data!T187</x:f>
        <x:v>32.519999999999996</x:v>
      </x:c>
      <x:c r="P187" t="n">
        <x:f>2*(Scenario_Data!B187*1000)/Inputs!$C$21*1000000</x:f>
        <x:v>2676.3518914141596</x:v>
      </x:c>
      <x:c r="Q187" t="n">
        <x:f>Scenario_Data!U187</x:f>
        <x:v>216.80000000000007</x:v>
      </x:c>
      <x:c r="R187" t="n">
        <x:f>2*(Scenario_Data!C187*1000)/Inputs!$C$21*1000000</x:f>
        <x:v>948.8154635297733</x:v>
      </x:c>
      <x:c r="S187" t="n">
        <x:f>Scenario_Data!V187</x:f>
        <x:v>433.60000000000014</x:v>
      </x:c>
      <x:c r="T187" t="n">
        <x:f>2*(Scenario_Data!D187*1000)/Inputs!$C$21*1000000</x:f>
        <x:v>2124.684937871253</x:v>
      </x:c>
      <x:c r="U187" t="n">
        <x:f>Scenario_Data!W187</x:f>
        <x:v>433.60000000000014</x:v>
      </x:c>
      <x:c r="V187" t="n">
        <x:f>2*(Scenario_Data!E187*1000)/Inputs!$C$21*1000000</x:f>
        <x:v>2077.5699434039807</x:v>
      </x:c>
      <x:c r="X187" t="n">
        <x:f>Scenario_Data!T187</x:f>
        <x:v>32.519999999999996</x:v>
      </x:c>
      <x:c r="Y187" t="n">
        <x: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x:f>
        <x:v>2676.2888769199035</x:v>
      </x:c>
      <x:c r="Z187" t="n">
        <x:f>Scenario_Data!U187</x:f>
        <x:v>216.80000000000007</x:v>
      </x:c>
      <x:c r="AA187" t="n">
        <x: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x:f>
        <x:v>948.5491738828646</x:v>
      </x:c>
      <x:c r="AB187" t="n">
        <x:f>Scenario_Data!V187</x:f>
        <x:v>433.60000000000014</x:v>
      </x:c>
      <x:c r="AC187" t="n">
        <x: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x:f>
        <x:v>2124.427620402392</x:v>
      </x:c>
      <x:c r="AD187" t="n">
        <x:f>Scenario_Data!W187</x:f>
        <x:v>433.60000000000014</x:v>
      </x:c>
      <x:c r="AE187" t="n">
        <x: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x:f>
        <x:v>2077.3126259351197</x:v>
      </x:c>
      <x:c r="AG187" t="n">
        <x:f>Scenario_Data!T187</x:f>
        <x:v>32.519999999999996</x:v>
      </x:c>
      <x:c r="AH187" t="n">
        <x:f>2*(SQRT((Inputs!$C$52+(Scenario_Data!B187))^2+Inputs!$C$52^2-2*(Inputs!$C$52+(Scenario_Data!B187))*Inputs!$C$52*COS(SQRT((Scenario_Data!T187)^2+Inputs!$C$6^2)/Inputs!$C$52))*1000)/Inputs!$C$21*1000000</x:f>
        <x:v>2693.8791874812646</x:v>
      </x:c>
      <x:c r="AI187" t="n">
        <x:f>Scenario_Data!U187</x:f>
        <x:v>216.80000000000007</x:v>
      </x:c>
      <x:c r="AJ187" t="n">
        <x:f>2*(SQRT((Inputs!$C$52+(Scenario_Data!C187))^2+Inputs!$C$52^2-2*(Inputs!$C$52+(Scenario_Data!C187))*Inputs!$C$52*COS(SQRT((Scenario_Data!U187)^2+Inputs!$C$6^2)/Inputs!$C$52))*1000)/Inputs!$C$21*1000000</x:f>
        <x:v>1791.4617344869769</x:v>
      </x:c>
      <x:c r="AK187" t="n">
        <x:f>Scenario_Data!V187</x:f>
        <x:v>433.60000000000014</x:v>
      </x:c>
      <x:c r="AL187" t="n">
        <x:f>2*(SQRT((Inputs!$C$52+(Scenario_Data!D187))^2+Inputs!$C$52^2-2*(Inputs!$C$52+(Scenario_Data!D187))*Inputs!$C$52*COS(SQRT((Scenario_Data!V187)^2+Inputs!$C$6^2)/Inputs!$C$52))*1000)/Inputs!$C$21*1000000</x:f>
        <x:v>3815.4483329742607</x:v>
      </x:c>
      <x:c r="AM187" t="n">
        <x:f>Scenario_Data!W187</x:f>
        <x:v>433.60000000000014</x:v>
      </x:c>
      <x:c r="AN187" t="n">
        <x:f>2*(SQRT((Inputs!$C$52+(Scenario_Data!E187))^2+Inputs!$C$52^2-2*(Inputs!$C$52+(Scenario_Data!E187))*Inputs!$C$52*COS(SQRT((Scenario_Data!W187)^2+Inputs!$C$6^2)/Inputs!$C$52))*1000)/Inputs!$C$21*1000000</x:f>
        <x:v>3784.430436320021</x:v>
      </x:c>
      <x:c r="AP187" t="n">
        <x:f>Scenario_Data!T187</x:f>
        <x:v>32.519999999999996</x:v>
      </x:c>
      <x:c r="AQ187" t="n">
        <x: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x:f>
        <x:v>2692.3320799684448</x:v>
      </x:c>
      <x:c r="AR187" t="n">
        <x:f>Scenario_Data!U187</x:f>
        <x:v>216.80000000000007</x:v>
      </x:c>
      <x:c r="AS187" t="n">
        <x: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x:f>
        <x:v>1790.9188228799637</x:v>
      </x:c>
      <x:c r="AT187" t="n">
        <x:f>Scenario_Data!V187</x:f>
        <x:v>433.60000000000014</x:v>
      </x:c>
      <x:c r="AU187" t="n">
        <x: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x:f>
        <x:v>3814.9219703228828</x:v>
      </x:c>
      <x:c r="AV187" t="n">
        <x:f>Scenario_Data!W187</x:f>
        <x:v>433.60000000000014</x:v>
      </x:c>
      <x:c r="AW187" t="n">
        <x: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x:f>
        <x:v>3783.9144030090297</x:v>
      </x:c>
    </x:row>
    <x:row r="188">
      <x:c r="A188" t="n">
        <x:f>Chart_Data!K188</x:f>
        <x:v>33</x:v>
      </x:c>
      <x:c r="B188" t="n">
        <x:f>Chart_Data!N188-Chart_Data!L188</x:f>
        <x:v>1.724927204582798</x:v>
      </x:c>
      <x:c r="D188" t="n">
        <x:f>Chart_Data!G188</x:f>
        <x:v>33</x:v>
      </x:c>
      <x:c r="E188" t="n">
        <x:f>Chart_Data!H188</x:f>
        <x:v>226.0841822180117</x:v>
      </x:c>
      <x:c r="F188" t="n">
        <x:f>Chart_Data!I188</x:f>
        <x:v>226.0841822180117</x:v>
      </x:c>
      <x:c r="G188" t="n">
        <x:f>Chart_Data!J188</x:f>
        <x:v>-3.610290991247414</x:v>
      </x:c>
      <x:c r="I188" t="n">
        <x:f>Scenario_Data!A188</x:f>
        <x:v>0.55</x:v>
      </x:c>
      <x:c r="J188" t="n">
        <x:f>Scenario_Data!H188-(((SQRT((Inputs!$C$52+(Inputs!$H$6))^2+Inputs!$C$52^2-2*(Inputs!$C$52+(Inputs!$H$6))*Inputs!$C$52*COS(SQRT((Scenario_Data!T188)^2+Inputs!$C$6^2)/Inputs!$C$52)))-(Inputs!$H$6))*1000/Inputs!$C$12)</x:f>
        <x:v>-3.590635671074324</x:v>
      </x:c>
      <x:c r="K188" t="n">
        <x:f>Scenario_Data!I188-(((SQRT((Inputs!$C$52+(Inputs!$H$7))^2+Inputs!$C$52^2-2*(Inputs!$C$52+(Inputs!$H$7))*Inputs!$C$52*COS(SQRT((Scenario_Data!U188)^2+Inputs!$C$6^2)/Inputs!$C$52)))-(Inputs!$H$7))*1000/Inputs!$C$12)</x:f>
        <x:v>-35738.342299056225</x:v>
      </x:c>
      <x:c r="L188" t="n">
        <x:f>Scenario_Data!J188-(((SQRT((Inputs!$C$52+(Inputs!$H$8))^2+Inputs!$C$52^2-2*(Inputs!$C$52+(Inputs!$H$8))*Inputs!$C$52*COS(SQRT((Scenario_Data!V188)^2+Inputs!$C$6^2)/Inputs!$C$52)))-(Inputs!$H$8))*1000/Inputs!$C$12)</x:f>
        <x:v>-86600.81524649766</x:v>
      </x:c>
      <x:c r="M188" t="n">
        <x:f>Scenario_Data!K188-(((SQRT((Inputs!$C$52+(Inputs!$H$9))^2+Inputs!$C$52^2-2*(Inputs!$C$52+(Inputs!$H$9))*Inputs!$C$52*COS(SQRT((Scenario_Data!W188)^2+Inputs!$C$6^2)/Inputs!$C$52)))-(Inputs!$H$9))*1000/Inputs!$C$12)</x:f>
        <x:v>-89738.19699014083</x:v>
      </x:c>
      <x:c r="O188" t="n">
        <x:f>Scenario_Data!T188</x:f>
        <x:v>33</x:v>
      </x:c>
      <x:c r="P188" t="n">
        <x:f>2*(Scenario_Data!B188*1000)/Inputs!$C$21*1000000</x:f>
        <x:v>2676.585012689012</x:v>
      </x:c>
      <x:c r="Q188" t="n">
        <x:f>Scenario_Data!U188</x:f>
        <x:v>220</x:v>
      </x:c>
      <x:c r="R188" t="n">
        <x:f>2*(Scenario_Data!C188*1000)/Inputs!$C$21*1000000</x:f>
        <x:v>970.0877798600259</x:v>
      </x:c>
      <x:c r="S188" t="n">
        <x:f>Scenario_Data!V188</x:f>
        <x:v>440</x:v>
      </x:c>
      <x:c r="T188" t="n">
        <x:f>2*(Scenario_Data!D188*1000)/Inputs!$C$21*1000000</x:f>
        <x:v>2180.9254454293177</x:v>
      </x:c>
      <x:c r="U188" t="n">
        <x:f>Scenario_Data!W188</x:f>
        <x:v>440</x:v>
      </x:c>
      <x:c r="V188" t="n">
        <x:f>2*(Scenario_Data!E188*1000)/Inputs!$C$21*1000000</x:f>
        <x:v>2134.393254149176</x:v>
      </x:c>
      <x:c r="X188" t="n">
        <x:f>Scenario_Data!T188</x:f>
        <x:v>33</x:v>
      </x:c>
      <x:c r="Y188" t="n">
        <x: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x:f>
        <x:v>2676.60909795797</x:v>
      </x:c>
      <x:c r="Z188" t="n">
        <x:f>Scenario_Data!U188</x:f>
        <x:v>220</x:v>
      </x:c>
      <x:c r="AA188" t="n">
        <x: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x:f>
        <x:v>969.7240027915016</x:v>
      </x:c>
      <x:c r="AB188" t="n">
        <x:f>Scenario_Data!V188</x:f>
        <x:v>440</x:v>
      </x:c>
      <x:c r="AC188" t="n">
        <x: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x:f>
        <x:v>2180.714249526638</x:v>
      </x:c>
      <x:c r="AD188" t="n">
        <x:f>Scenario_Data!W188</x:f>
        <x:v>440</x:v>
      </x:c>
      <x:c r="AE188" t="n">
        <x: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x:f>
        <x:v>2134.182058246496</x:v>
      </x:c>
      <x:c r="AG188" t="n">
        <x:f>Scenario_Data!T188</x:f>
        <x:v>33</x:v>
      </x:c>
      <x:c r="AH188" t="n">
        <x:f>2*(SQRT((Inputs!$C$52+(Scenario_Data!B188))^2+Inputs!$C$52^2-2*(Inputs!$C$52+(Scenario_Data!B188))*Inputs!$C$52*COS(SQRT((Scenario_Data!T188)^2+Inputs!$C$6^2)/Inputs!$C$52))*1000)/Inputs!$C$21*1000000</x:f>
        <x:v>2694.4375898786375</x:v>
      </x:c>
      <x:c r="AI188" t="n">
        <x:f>Scenario_Data!U188</x:f>
        <x:v>220</x:v>
      </x:c>
      <x:c r="AJ188" t="n">
        <x:f>2*(SQRT((Inputs!$C$52+(Scenario_Data!C188))^2+Inputs!$C$52^2-2*(Inputs!$C$52+(Scenario_Data!C188))*Inputs!$C$52*COS(SQRT((Scenario_Data!U188)^2+Inputs!$C$6^2)/Inputs!$C$52))*1000)/Inputs!$C$21*1000000</x:f>
        <x:v>1822.7061870307282</x:v>
      </x:c>
      <x:c r="AK188" t="n">
        <x:f>Scenario_Data!V188</x:f>
        <x:v>440</x:v>
      </x:c>
      <x:c r="AL188" t="n">
        <x:f>2*(SQRT((Inputs!$C$52+(Scenario_Data!D188))^2+Inputs!$C$52^2-2*(Inputs!$C$52+(Scenario_Data!D188))*Inputs!$C$52*COS(SQRT((Scenario_Data!V188)^2+Inputs!$C$6^2)/Inputs!$C$52))*1000)/Inputs!$C$21*1000000</x:f>
        <x:v>3891.256447672386</x:v>
      </x:c>
      <x:c r="AM188" t="n">
        <x:f>Scenario_Data!W188</x:f>
        <x:v>440</x:v>
      </x:c>
      <x:c r="AN188" t="n">
        <x:f>2*(SQRT((Inputs!$C$52+(Scenario_Data!E188))^2+Inputs!$C$52^2-2*(Inputs!$C$52+(Scenario_Data!E188))*Inputs!$C$52*COS(SQRT((Scenario_Data!W188)^2+Inputs!$C$6^2)/Inputs!$C$52))*1000)/Inputs!$C$21*1000000</x:f>
        <x:v>3860.401771777322</x:v>
      </x:c>
      <x:c r="AP188" t="n">
        <x:f>Scenario_Data!T188</x:f>
        <x:v>33</x:v>
      </x:c>
      <x:c r="AQ188" t="n">
        <x: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x:f>
        <x:v>2692.9418963583466</x:v>
      </x:c>
      <x:c r="AR188" t="n">
        <x:f>Scenario_Data!U188</x:f>
        <x:v>220</x:v>
      </x:c>
      <x:c r="AS188" t="n">
        <x: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x:f>
        <x:v>1821.953328576106</x:v>
      </x:c>
      <x:c r="AT188" t="n">
        <x:f>Scenario_Data!V188</x:f>
        <x:v>440</x:v>
      </x:c>
      <x:c r="AU188" t="n">
        <x: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x:f>
        <x:v>3890.7671657116257</x:v>
      </x:c>
      <x:c r="AV188" t="n">
        <x:f>Scenario_Data!W188</x:f>
        <x:v>440</x:v>
      </x:c>
      <x:c r="AW188" t="n">
        <x: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x:f>
        <x:v>3859.9216859248836</x:v>
      </x:c>
    </x:row>
    <x:row r="189">
      <x:c r="A189" t="n">
        <x:f>Chart_Data!K189</x:f>
        <x:v>33.5</x:v>
      </x:c>
      <x:c r="B189" t="n">
        <x:f>Chart_Data!N189-Chart_Data!L189</x:f>
        <x:v>-4.742014780506821</x:v>
      </x:c>
      <x:c r="D189" t="n">
        <x:f>Chart_Data!G189</x:f>
        <x:v>33.5</x:v>
      </x:c>
      <x:c r="E189" t="n">
        <x:f>Chart_Data!H189</x:f>
        <x:v>226.23942491253771</x:v>
      </x:c>
      <x:c r="F189" t="n">
        <x:f>Chart_Data!I189</x:f>
        <x:v>226.23942491253771</x:v>
      </x:c>
      <x:c r="G189" t="n">
        <x:f>Chart_Data!J189</x:f>
        <x:v>2.8193818928466783</x:v>
      </x:c>
      <x:c r="I189" t="n">
        <x:f>Scenario_Data!A189</x:f>
        <x:v>0.558</x:v>
      </x:c>
      <x:c r="J189" t="n">
        <x:f>Scenario_Data!H189-(((SQRT((Inputs!$C$52+(Inputs!$H$6))^2+Inputs!$C$52^2-2*(Inputs!$C$52+(Inputs!$H$6))*Inputs!$C$52*COS(SQRT((Scenario_Data!T189)^2+Inputs!$C$6^2)/Inputs!$C$52)))-(Inputs!$H$6))*1000/Inputs!$C$12)</x:f>
        <x:v>-3.763567414630188</x:v>
      </x:c>
      <x:c r="K189" t="n">
        <x:f>Scenario_Data!I189-(((SQRT((Inputs!$C$52+(Inputs!$H$7))^2+Inputs!$C$52^2-2*(Inputs!$C$52+(Inputs!$H$7))*Inputs!$C$52*COS(SQRT((Scenario_Data!U189)^2+Inputs!$C$6^2)/Inputs!$C$52)))-(Inputs!$H$7))*1000/Inputs!$C$12)</x:f>
        <x:v>-36685.22606722002</x:v>
      </x:c>
      <x:c r="L189" t="n">
        <x:f>Scenario_Data!J189-(((SQRT((Inputs!$C$52+(Inputs!$H$8))^2+Inputs!$C$52^2-2*(Inputs!$C$52+(Inputs!$H$8))*Inputs!$C$52*COS(SQRT((Scenario_Data!V189)^2+Inputs!$C$6^2)/Inputs!$C$52)))-(Inputs!$H$8))*1000/Inputs!$C$12)</x:f>
        <x:v>-88539.61228230715</x:v>
      </x:c>
      <x:c r="M189" t="n">
        <x:f>Scenario_Data!K189-(((SQRT((Inputs!$C$52+(Inputs!$H$9))^2+Inputs!$C$52^2-2*(Inputs!$C$52+(Inputs!$H$9))*Inputs!$C$52*COS(SQRT((Scenario_Data!W189)^2+Inputs!$C$6^2)/Inputs!$C$52)))-(Inputs!$H$9))*1000/Inputs!$C$12)</x:f>
        <x:v>-91705.91995911617</x:v>
      </x:c>
      <x:c r="O189" t="n">
        <x:f>Scenario_Data!T189</x:f>
        <x:v>33.480000000000004</x:v>
      </x:c>
      <x:c r="P189" t="n">
        <x:f>2*(Scenario_Data!B189*1000)/Inputs!$C$21*1000000</x:f>
        <x:v>2676.821549660199</x:v>
      </x:c>
      <x:c r="Q189" t="n">
        <x:f>Scenario_Data!U189</x:f>
        <x:v>223.20000000000005</x:v>
      </x:c>
      <x:c r="R189" t="n">
        <x:f>2*(Scenario_Data!C189*1000)/Inputs!$C$21*1000000</x:f>
        <x:v>991.671778480832</x:v>
      </x:c>
      <x:c r="S189" t="n">
        <x:f>Scenario_Data!V189</x:f>
        <x:v>446.4000000000001</x:v>
      </x:c>
      <x:c r="T189" t="n">
        <x:f>2*(Scenario_Data!D189*1000)/Inputs!$C$21*1000000</x:f>
        <x:v>2237.989989728162</x:v>
      </x:c>
      <x:c r="U189" t="n">
        <x:f>Scenario_Data!W189</x:f>
        <x:v>446.4000000000001</x:v>
      </x:c>
      <x:c r="V189" t="n">
        <x:f>2*(Scenario_Data!E189*1000)/Inputs!$C$21*1000000</x:f>
        <x:v>2192.0491408759867</x:v>
      </x:c>
      <x:c r="X189" t="n">
        <x:f>Scenario_Data!T189</x:f>
        <x:v>33.480000000000004</x:v>
      </x:c>
      <x:c r="Y189" t="n">
        <x: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x:f>
        <x:v>2676.761436837114</x:v>
      </x:c>
      <x:c r="Z189" t="n">
        <x:f>Scenario_Data!U189</x:f>
        <x:v>223.20000000000005</x:v>
      </x:c>
      <x:c r="AA189" t="n">
        <x: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x:f>
        <x:v>991.3044296756246</x:v>
      </x:c>
      <x:c r="AB189" t="n">
        <x:f>Scenario_Data!V189</x:f>
        <x:v>446.4000000000001</x:v>
      </x:c>
      <x:c r="AC189" t="n">
        <x: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x:f>
        <x:v>2237.9762205627926</x:v>
      </x:c>
      <x:c r="AD189" t="n">
        <x:f>Scenario_Data!W189</x:f>
        <x:v>446.4000000000001</x:v>
      </x:c>
      <x:c r="AE189" t="n">
        <x: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x:f>
        <x:v>2192.0353717106177</x:v>
      </x:c>
      <x:c r="AG189" t="n">
        <x:f>Scenario_Data!T189</x:f>
        <x:v>33.480000000000004</x:v>
      </x:c>
      <x:c r="AH189" t="n">
        <x:f>2*(SQRT((Inputs!$C$52+(Scenario_Data!B189))^2+Inputs!$C$52^2-2*(Inputs!$C$52+(Scenario_Data!B189))*Inputs!$C$52*COS(SQRT((Scenario_Data!T189)^2+Inputs!$C$6^2)/Inputs!$C$52))*1000)/Inputs!$C$21*1000000</x:f>
        <x:v>2695.0040875164605</x:v>
      </x:c>
      <x:c r="AI189" t="n">
        <x:f>Scenario_Data!U189</x:f>
        <x:v>223.20000000000005</x:v>
      </x:c>
      <x:c r="AJ189" t="n">
        <x:f>2*(SQRT((Inputs!$C$52+(Scenario_Data!C189))^2+Inputs!$C$52^2-2*(Inputs!$C$52+(Scenario_Data!C189))*Inputs!$C$52*COS(SQRT((Scenario_Data!U189)^2+Inputs!$C$6^2)/Inputs!$C$52))*1000)/Inputs!$C$21*1000000</x:f>
        <x:v>1854.1877969704217</x:v>
      </x:c>
      <x:c r="AK189" t="n">
        <x:f>Scenario_Data!V189</x:f>
        <x:v>446.4000000000001</x:v>
      </x:c>
      <x:c r="AL189" t="n">
        <x:f>2*(SQRT((Inputs!$C$52+(Scenario_Data!D189))^2+Inputs!$C$52^2-2*(Inputs!$C$52+(Scenario_Data!D189))*Inputs!$C$52*COS(SQRT((Scenario_Data!V189)^2+Inputs!$C$6^2)/Inputs!$C$52))*1000)/Inputs!$C$21*1000000</x:f>
        <x:v>3967.8366472645534</x:v>
      </x:c>
      <x:c r="AM189" t="n">
        <x:f>Scenario_Data!W189</x:f>
        <x:v>446.4000000000001</x:v>
      </x:c>
      <x:c r="AN189" t="n">
        <x:f>2*(SQRT((Inputs!$C$52+(Scenario_Data!E189))^2+Inputs!$C$52^2-2*(Inputs!$C$52+(Scenario_Data!E189))*Inputs!$C$52*COS(SQRT((Scenario_Data!W189)^2+Inputs!$C$6^2)/Inputs!$C$52))*1000)/Inputs!$C$21*1000000</x:f>
        <x:v>3937.159241278996</x:v>
      </x:c>
      <x:c r="AP189" t="n">
        <x:f>Scenario_Data!T189</x:f>
        <x:v>33.480000000000004</x:v>
      </x:c>
      <x:c r="AQ189" t="n">
        <x: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x:f>
        <x:v>2693.5471794573295</x:v>
      </x:c>
      <x:c r="AR189" t="n">
        <x:f>Scenario_Data!U189</x:f>
        <x:v>223.20000000000005</x:v>
      </x:c>
      <x:c r="AS189" t="n">
        <x: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x:f>
        <x:v>1853.59624895787</x:v>
      </x:c>
      <x:c r="AT189" t="n">
        <x:f>Scenario_Data!V189</x:f>
        <x:v>446.4000000000001</x:v>
      </x:c>
      <x:c r="AU189" t="n">
        <x: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x:f>
        <x:v>3967.480748745818</x:v>
      </x:c>
      <x:c r="AV189" t="n">
        <x:f>Scenario_Data!W189</x:f>
        <x:v>446.4000000000001</x:v>
      </x:c>
      <x:c r="AW189" t="n">
        <x: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x:f>
        <x:v>3936.8097483681768</x:v>
      </x:c>
    </x:row>
    <x:row r="190">
      <x:c r="A190" t="n">
        <x:f>Chart_Data!K190</x:f>
        <x:v>34</x:v>
      </x:c>
      <x:c r="B190" t="n">
        <x:f>Chart_Data!N190-Chart_Data!L190</x:f>
        <x:v>-12.008270604959733</x:v>
      </x:c>
      <x:c r="D190" t="n">
        <x:f>Chart_Data!G190</x:f>
        <x:v>34</x:v>
      </x:c>
      <x:c r="E190" t="n">
        <x:f>Chart_Data!H190</x:f>
        <x:v>243.2704274883201</x:v>
      </x:c>
      <x:c r="F190" t="n">
        <x:f>Chart_Data!I190</x:f>
        <x:v>243.2704274883201</x:v>
      </x:c>
      <x:c r="G190" t="n">
        <x:f>Chart_Data!J190</x:f>
        <x:v>9.90157819415245</x:v>
      </x:c>
      <x:c r="I190" t="n">
        <x:f>Scenario_Data!A190</x:f>
        <x:v>0.567</x:v>
      </x:c>
      <x:c r="J190" t="n">
        <x:f>Scenario_Data!H190-(((SQRT((Inputs!$C$52+(Inputs!$H$6))^2+Inputs!$C$52^2-2*(Inputs!$C$52+(Inputs!$H$6))*Inputs!$C$52*COS(SQRT((Scenario_Data!T190)^2+Inputs!$C$6^2)/Inputs!$C$52)))-(Inputs!$H$6))*1000/Inputs!$C$12)</x:f>
        <x:v>-3.965768378529674</x:v>
      </x:c>
      <x:c r="K190" t="n">
        <x:f>Scenario_Data!I190-(((SQRT((Inputs!$C$52+(Inputs!$H$7))^2+Inputs!$C$52^2-2*(Inputs!$C$52+(Inputs!$H$7))*Inputs!$C$52*COS(SQRT((Scenario_Data!U190)^2+Inputs!$C$6^2)/Inputs!$C$52)))-(Inputs!$H$7))*1000/Inputs!$C$12)</x:f>
        <x:v>-37758.70950600899</x:v>
      </x:c>
      <x:c r="L190" t="n">
        <x:f>Scenario_Data!J190-(((SQRT((Inputs!$C$52+(Inputs!$H$8))^2+Inputs!$C$52^2-2*(Inputs!$C$52+(Inputs!$H$8))*Inputs!$C$52*COS(SQRT((Scenario_Data!V190)^2+Inputs!$C$6^2)/Inputs!$C$52)))-(Inputs!$H$8))*1000/Inputs!$C$12)</x:f>
        <x:v>-90724.77444856253</x:v>
      </x:c>
      <x:c r="M190" t="n">
        <x:f>Scenario_Data!K190-(((SQRT((Inputs!$C$52+(Inputs!$H$9))^2+Inputs!$C$52^2-2*(Inputs!$C$52+(Inputs!$H$9))*Inputs!$C$52*COS(SQRT((Scenario_Data!W190)^2+Inputs!$C$6^2)/Inputs!$C$52)))-(Inputs!$H$9))*1000/Inputs!$C$12)</x:f>
        <x:v>-93922.89271885797</x:v>
      </x:c>
      <x:c r="O190" t="n">
        <x:f>Scenario_Data!T190</x:f>
        <x:v>34.019999999999996</x:v>
      </x:c>
      <x:c r="P190" t="n">
        <x:f>2*(Scenario_Data!B190*1000)/Inputs!$C$21*1000000</x:f>
        <x:v>2677.091736577309</x:v>
      </x:c>
      <x:c r="Q190" t="n">
        <x:f>Scenario_Data!U190</x:f>
        <x:v>226.79999999999995</x:v>
      </x:c>
      <x:c r="R190" t="n">
        <x:f>2*(Scenario_Data!C190*1000)/Inputs!$C$21*1000000</x:f>
        <x:v>1016.3263346671646</x:v>
      </x:c>
      <x:c r="S190" t="n">
        <x:f>Scenario_Data!V190</x:f>
        <x:v>453.5999999999999</x:v>
      </x:c>
      <x:c r="T190" t="n">
        <x:f>2*(Scenario_Data!D190*1000)/Inputs!$C$21*1000000</x:f>
        <x:v>2303.1725834810677</x:v>
      </x:c>
      <x:c r="U190" t="n">
        <x:f>Scenario_Data!W190</x:f>
        <x:v>453.5999999999999</x:v>
      </x:c>
      <x:c r="V190" t="n">
        <x:f>2*(Scenario_Data!E190*1000)/Inputs!$C$21*1000000</x:f>
        <x:v>2257.90720192167</x:v>
      </x:c>
      <x:c r="X190" t="n">
        <x:f>Scenario_Data!T190</x:f>
        <x:v>34.019999999999996</x:v>
      </x:c>
      <x:c r="Y190" t="n">
        <x: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x:f>
        <x:v>2676.9678952459385</x:v>
      </x:c>
      <x:c r="Z190" t="n">
        <x:f>Scenario_Data!U190</x:f>
        <x:v>226.79999999999995</x:v>
      </x:c>
      <x:c r="AA190" t="n">
        <x: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x:f>
        <x:v>1016.1752855742253</x:v>
      </x:c>
      <x:c r="AB190" t="n">
        <x:f>Scenario_Data!V190</x:f>
        <x:v>453.5999999999999</x:v>
      </x:c>
      <x:c r="AC190" t="n">
        <x: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x:f>
        <x:v>2302.749358961962</x:v>
      </x:c>
      <x:c r="AD190" t="n">
        <x:f>Scenario_Data!W190</x:f>
        <x:v>453.5999999999999</x:v>
      </x:c>
      <x:c r="AE190" t="n">
        <x: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x:f>
        <x:v>2257.4839774025636</x:v>
      </x:c>
      <x:c r="AG190" t="n">
        <x:f>Scenario_Data!T190</x:f>
        <x:v>34.019999999999996</x:v>
      </x:c>
      <x:c r="AH190" t="n">
        <x:f>2*(SQRT((Inputs!$C$52+(Scenario_Data!B190))^2+Inputs!$C$52^2-2*(Inputs!$C$52+(Scenario_Data!B190))*Inputs!$C$52*COS(SQRT((Scenario_Data!T190)^2+Inputs!$C$6^2)/Inputs!$C$52))*1000)/Inputs!$C$21*1000000</x:f>
        <x:v>2695.6510690703108</x:v>
      </x:c>
      <x:c r="AI190" t="n">
        <x:f>Scenario_Data!U190</x:f>
        <x:v>226.79999999999995</x:v>
      </x:c>
      <x:c r="AJ190" t="n">
        <x:f>2*(SQRT((Inputs!$C$52+(Scenario_Data!C190))^2+Inputs!$C$52^2-2*(Inputs!$C$52+(Scenario_Data!C190))*Inputs!$C$52*COS(SQRT((Scenario_Data!U190)^2+Inputs!$C$6^2)/Inputs!$C$52))*1000)/Inputs!$C$21*1000000</x:f>
        <x:v>1889.8902432096763</x:v>
      </x:c>
      <x:c r="AK190" t="n">
        <x:f>Scenario_Data!V190</x:f>
        <x:v>453.5999999999999</x:v>
      </x:c>
      <x:c r="AL190" t="n">
        <x:f>2*(SQRT((Inputs!$C$52+(Scenario_Data!D190))^2+Inputs!$C$52^2-2*(Inputs!$C$52+(Scenario_Data!D190))*Inputs!$C$52*COS(SQRT((Scenario_Data!V190)^2+Inputs!$C$6^2)/Inputs!$C$52))*1000)/Inputs!$C$21*1000000</x:f>
        <x:v>4054.918249107175</x:v>
      </x:c>
      <x:c r="AM190" t="n">
        <x:f>Scenario_Data!W190</x:f>
        <x:v>453.5999999999999</x:v>
      </x:c>
      <x:c r="AN190" t="n">
        <x:f>2*(SQRT((Inputs!$C$52+(Scenario_Data!E190))^2+Inputs!$C$52^2-2*(Inputs!$C$52+(Scenario_Data!E190))*Inputs!$C$52*COS(SQRT((Scenario_Data!W190)^2+Inputs!$C$6^2)/Inputs!$C$52))*1000)/Inputs!$C$21*1000000</x:f>
        <x:v>4024.457081346861</x:v>
      </x:c>
      <x:c r="AP190" t="n">
        <x:f>Scenario_Data!T190</x:f>
        <x:v>34.019999999999996</x:v>
      </x:c>
      <x:c r="AQ190" t="n">
        <x: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x:f>
        <x:v>2694.1066115218923</x:v>
      </x:c>
      <x:c r="AR190" t="n">
        <x:f>Scenario_Data!U190</x:f>
        <x:v>226.79999999999995</x:v>
      </x:c>
      <x:c r="AS190" t="n">
        <x: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x:f>
        <x:v>1889.5699053140243</x:v>
      </x:c>
      <x:c r="AT190" t="n">
        <x:f>Scenario_Data!V190</x:f>
        <x:v>453.5999999999999</x:v>
      </x:c>
      <x:c r="AU190" t="n">
        <x: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x:f>
        <x:v>4054.3706512176195</x:v>
      </x:c>
      <x:c r="AV190" t="n">
        <x:f>Scenario_Data!W190</x:f>
        <x:v>453.5999999999999</x:v>
      </x:c>
      <x:c r="AW190" t="n">
        <x: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x:f>
        <x:v>4023.918873075728</x:v>
      </x:c>
    </x:row>
    <x:row r="191">
      <x:c r="A191" t="n">
        <x:f>Chart_Data!K191</x:f>
        <x:v>34.5</x:v>
      </x:c>
      <x:c r="B191" t="n">
        <x:f>Chart_Data!N191-Chart_Data!L191</x:f>
        <x:v>-24.501863179500816</x:v>
      </x:c>
      <x:c r="D191" t="n">
        <x:f>Chart_Data!G191</x:f>
        <x:v>34.5</x:v>
      </x:c>
      <x:c r="E191" t="n">
        <x:f>Chart_Data!H191</x:f>
        <x:v>248.8414359782273</x:v>
      </x:c>
      <x:c r="F191" t="n">
        <x:f>Chart_Data!I191</x:f>
        <x:v>248.8414359782273</x:v>
      </x:c>
      <x:c r="G191" t="n">
        <x:f>Chart_Data!J191</x:f>
        <x:v>22.306190725387925</x:v>
      </x:c>
      <x:c r="I191" t="n">
        <x:f>Scenario_Data!A191</x:f>
        <x:v>0.575</x:v>
      </x:c>
      <x:c r="J191" t="n">
        <x:f>Scenario_Data!H191-(((SQRT((Inputs!$C$52+(Inputs!$H$6))^2+Inputs!$C$52^2-2*(Inputs!$C$52+(Inputs!$H$6))*Inputs!$C$52*COS(SQRT((Scenario_Data!T191)^2+Inputs!$C$6^2)/Inputs!$C$52)))-(Inputs!$H$6))*1000/Inputs!$C$12)</x:f>
        <x:v>-4.152486814658005</x:v>
      </x:c>
      <x:c r="K191" t="n">
        <x:f>Scenario_Data!I191-(((SQRT((Inputs!$C$52+(Inputs!$H$7))^2+Inputs!$C$52^2-2*(Inputs!$C$52+(Inputs!$H$7))*Inputs!$C$52*COS(SQRT((Scenario_Data!U191)^2+Inputs!$C$6^2)/Inputs!$C$52)))-(Inputs!$H$7))*1000/Inputs!$C$12)</x:f>
        <x:v>-38720.0379034832</x:v>
      </x:c>
      <x:c r="L191" t="n">
        <x:f>Scenario_Data!J191-(((SQRT((Inputs!$C$52+(Inputs!$H$8))^2+Inputs!$C$52^2-2*(Inputs!$C$52+(Inputs!$H$8))*Inputs!$C$52*COS(SQRT((Scenario_Data!V191)^2+Inputs!$C$6^2)/Inputs!$C$52)))-(Inputs!$H$8))*1000/Inputs!$C$12)</x:f>
        <x:v>-92670.23504071141</x:v>
      </x:c>
      <x:c r="M191" t="n">
        <x:f>Scenario_Data!K191-(((SQRT((Inputs!$C$52+(Inputs!$H$9))^2+Inputs!$C$52^2-2*(Inputs!$C$52+(Inputs!$H$9))*Inputs!$C$52*COS(SQRT((Scenario_Data!W191)^2+Inputs!$C$6^2)/Inputs!$C$52)))-(Inputs!$H$9))*1000/Inputs!$C$12)</x:f>
        <x:v>-95895.98581265062</x:v>
      </x:c>
      <x:c r="O191" t="n">
        <x:f>Scenario_Data!T191</x:f>
        <x:v>34.5</x:v>
      </x:c>
      <x:c r="P191" t="n">
        <x:f>2*(Scenario_Data!B191*1000)/Inputs!$C$21*1000000</x:f>
        <x:v>2677.3355319032075</x:v>
      </x:c>
      <x:c r="Q191" t="n">
        <x:f>Scenario_Data!U191</x:f>
        <x:v>230</x:v>
      </x:c>
      <x:c r="R191" t="n">
        <x:f>2*(Scenario_Data!C191*1000)/Inputs!$C$21*1000000</x:f>
        <x:v>1038.572658155396</x:v>
      </x:c>
      <x:c r="S191" t="n">
        <x:f>Scenario_Data!V191</x:f>
        <x:v>460</x:v>
      </x:c>
      <x:c r="T191" t="n">
        <x:f>2*(Scenario_Data!D191*1000)/Inputs!$C$21*1000000</x:f>
        <x:v>2361.988205854064</x:v>
      </x:c>
      <x:c r="U191" t="n">
        <x:f>Scenario_Data!W191</x:f>
        <x:v>460</x:v>
      </x:c>
      <x:c r="V191" t="n">
        <x:f>2*(Scenario_Data!E191*1000)/Inputs!$C$21*1000000</x:f>
        <x:v>2317.3323126094115</x:v>
      </x:c>
      <x:c r="X191" t="n">
        <x:f>Scenario_Data!T191</x:f>
        <x:v>34.5</x:v>
      </x:c>
      <x:c r="Y191" t="n">
        <x: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x:f>
        <x:v>2677.1867210166747</x:v>
      </x:c>
      <x:c r="Z191" t="n">
        <x:f>Scenario_Data!U191</x:f>
        <x:v>230</x:v>
      </x:c>
      <x:c r="AA191" t="n">
        <x: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x:f>
        <x:v>1038.401723688319</x:v>
      </x:c>
      <x:c r="AB191" t="n">
        <x:f>Scenario_Data!V191</x:f>
        <x:v>460</x:v>
      </x:c>
      <x:c r="AC191" t="n">
        <x: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x:f>
        <x:v>2361.943478253393</x:v>
      </x:c>
      <x:c r="AD191" t="n">
        <x:f>Scenario_Data!W191</x:f>
        <x:v>460</x:v>
      </x:c>
      <x:c r="AE191" t="n">
        <x: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x:f>
        <x:v>2317.2875850087407</x:v>
      </x:c>
      <x:c r="AG191" t="n">
        <x:f>Scenario_Data!T191</x:f>
        <x:v>34.5</x:v>
      </x:c>
      <x:c r="AH191" t="n">
        <x:f>2*(SQRT((Inputs!$C$52+(Scenario_Data!B191))^2+Inputs!$C$52^2-2*(Inputs!$C$52+(Scenario_Data!B191))*Inputs!$C$52*COS(SQRT((Scenario_Data!T191)^2+Inputs!$C$6^2)/Inputs!$C$52))*1000)/Inputs!$C$21*1000000</x:f>
        <x:v>2696.234756688648</x:v>
      </x:c>
      <x:c r="AI191" t="n">
        <x:f>Scenario_Data!U191</x:f>
        <x:v>230</x:v>
      </x:c>
      <x:c r="AJ191" t="n">
        <x:f>2*(SQRT((Inputs!$C$52+(Scenario_Data!C191))^2+Inputs!$C$52^2-2*(Inputs!$C$52+(Scenario_Data!C191))*Inputs!$C$52*COS(SQRT((Scenario_Data!U191)^2+Inputs!$C$6^2)/Inputs!$C$52))*1000)/Inputs!$C$21*1000000</x:f>
        <x:v>1921.881554297467</x:v>
      </x:c>
      <x:c r="AK191" t="n">
        <x:f>Scenario_Data!V191</x:f>
        <x:v>460</x:v>
      </x:c>
      <x:c r="AL191" t="n">
        <x:f>2*(SQRT((Inputs!$C$52+(Scenario_Data!D191))^2+Inputs!$C$52^2-2*(Inputs!$C$52+(Scenario_Data!D191))*Inputs!$C$52*COS(SQRT((Scenario_Data!V191)^2+Inputs!$C$6^2)/Inputs!$C$52))*1000)/Inputs!$C$21*1000000</x:f>
        <x:v>4133.154973866361</x:v>
      </x:c>
      <x:c r="AM191" t="n">
        <x:f>Scenario_Data!W191</x:f>
        <x:v>460</x:v>
      </x:c>
      <x:c r="AN191" t="n">
        <x:f>2*(SQRT((Inputs!$C$52+(Scenario_Data!E191))^2+Inputs!$C$52^2-2*(Inputs!$C$52+(Scenario_Data!E191))*Inputs!$C$52*COS(SQRT((Scenario_Data!W191)^2+Inputs!$C$6^2)/Inputs!$C$52))*1000)/Inputs!$C$21*1000000</x:f>
        <x:v>4102.900966862511</x:v>
      </x:c>
      <x:c r="AP191" t="n">
        <x:f>Scenario_Data!T191</x:f>
        <x:v>34.5</x:v>
      </x:c>
      <x:c r="AQ191" t="n">
        <x: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x:f>
        <x:v>2694.58931326976</x:v>
      </x:c>
      <x:c r="AR191" t="n">
        <x:f>Scenario_Data!U191</x:f>
        <x:v>230</x:v>
      </x:c>
      <x:c r="AS191" t="n">
        <x: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x:f>
        <x:v>1921.4798302362296</x:v>
      </x:c>
      <x:c r="AT191" t="n">
        <x:f>Scenario_Data!V191</x:f>
        <x:v>460</x:v>
      </x:c>
      <x:c r="AU191" t="n">
        <x: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x:f>
        <x:v>4132.747732519659</x:v>
      </x:c>
      <x:c r="AV191" t="n">
        <x:f>Scenario_Data!W191</x:f>
        <x:v>460</x:v>
      </x:c>
      <x:c r="AW191" t="n">
        <x: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x:f>
        <x:v>4102.500411292229</x:v>
      </x:c>
    </x:row>
    <x:row r="192">
      <x:c r="A192" t="n">
        <x:f>Chart_Data!K192</x:f>
        <x:v>35</x:v>
      </x:c>
      <x:c r="B192" t="n">
        <x:f>Chart_Data!N192-Chart_Data!L192</x:f>
        <x:v>-31.09945778927886</x:v>
      </x:c>
      <x:c r="D192" t="n">
        <x:f>Chart_Data!G192</x:f>
        <x:v>35</x:v>
      </x:c>
      <x:c r="E192" t="n">
        <x:f>Chart_Data!H192</x:f>
        <x:v>242.00890812042311</x:v>
      </x:c>
      <x:c r="F192" t="n">
        <x:f>Chart_Data!I192</x:f>
        <x:v>242.00890812042311</x:v>
      </x:c>
      <x:c r="G192" t="n">
        <x:f>Chart_Data!J192</x:f>
        <x:v>28.92396994213728</x:v>
      </x:c>
      <x:c r="I192" t="n">
        <x:f>Scenario_Data!A192</x:f>
        <x:v>0.583</x:v>
      </x:c>
      <x:c r="J192" t="n">
        <x:f>Scenario_Data!H192-(((SQRT((Inputs!$C$52+(Inputs!$H$6))^2+Inputs!$C$52^2-2*(Inputs!$C$52+(Inputs!$H$6))*Inputs!$C$52*COS(SQRT((Scenario_Data!T192)^2+Inputs!$C$6^2)/Inputs!$C$52)))-(Inputs!$H$6))*1000/Inputs!$C$12)</x:f>
        <x:v>-4.3459520128728855</x:v>
      </x:c>
      <x:c r="K192" t="n">
        <x:f>Scenario_Data!I192-(((SQRT((Inputs!$C$52+(Inputs!$H$7))^2+Inputs!$C$52^2-2*(Inputs!$C$52+(Inputs!$H$7))*Inputs!$C$52*COS(SQRT((Scenario_Data!U192)^2+Inputs!$C$6^2)/Inputs!$C$52)))-(Inputs!$H$7))*1000/Inputs!$C$12)</x:f>
        <x:v>-39687.88058628062</x:v>
      </x:c>
      <x:c r="L192" t="n">
        <x:f>Scenario_Data!J192-(((SQRT((Inputs!$C$52+(Inputs!$H$8))^2+Inputs!$C$52^2-2*(Inputs!$C$52+(Inputs!$H$8))*Inputs!$C$52*COS(SQRT((Scenario_Data!V192)^2+Inputs!$C$6^2)/Inputs!$C$52)))-(Inputs!$H$8))*1000/Inputs!$C$12)</x:f>
        <x:v>-94618.17278073911</x:v>
      </x:c>
      <x:c r="M192" t="n">
        <x:f>Scenario_Data!K192-(((SQRT((Inputs!$C$52+(Inputs!$H$9))^2+Inputs!$C$52^2-2*(Inputs!$C$52+(Inputs!$H$9))*Inputs!$C$52*COS(SQRT((Scenario_Data!W192)^2+Inputs!$C$6^2)/Inputs!$C$52)))-(Inputs!$H$9))*1000/Inputs!$C$12)</x:f>
        <x:v>-97870.95642178803</x:v>
      </x:c>
      <x:c r="O192" t="n">
        <x:f>Scenario_Data!T192</x:f>
        <x:v>34.980000000000004</x:v>
      </x:c>
      <x:c r="P192" t="n">
        <x:f>2*(Scenario_Data!B192*1000)/Inputs!$C$21*1000000</x:f>
        <x:v>2677.582742925441</x:v>
      </x:c>
      <x:c r="Q192" t="n">
        <x:f>Scenario_Data!U192</x:f>
        <x:v>233.19999999999993</x:v>
      </x:c>
      <x:c r="R192" t="n">
        <x:f>2*(Scenario_Data!C192*1000)/Inputs!$C$21*1000000</x:f>
        <x:v>1061.1306639341801</x:v>
      </x:c>
      <x:c r="S192" t="n">
        <x:f>Scenario_Data!V192</x:f>
        <x:v>466.39999999999986</x:v>
      </x:c>
      <x:c r="T192" t="n">
        <x:f>2*(Scenario_Data!D192*1000)/Inputs!$C$21*1000000</x:f>
        <x:v>2421.627864967836</x:v>
      </x:c>
      <x:c r="U192" t="n">
        <x:f>Scenario_Data!W192</x:f>
        <x:v>466.39999999999986</x:v>
      </x:c>
      <x:c r="V192" t="n">
        <x:f>2*(Scenario_Data!E192*1000)/Inputs!$C$21*1000000</x:f>
        <x:v>2377.5899992787668</x:v>
      </x:c>
      <x:c r="X192" t="n">
        <x:f>Scenario_Data!T192</x:f>
        <x:v>34.980000000000004</x:v>
      </x:c>
      <x:c r="Y192" t="n">
        <x: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x:f>
        <x:v>2677.3815092232917</x:v>
      </x:c>
      <x:c r="Z192" t="n">
        <x:f>Scenario_Data!U192</x:f>
        <x:v>233.19999999999993</x:v>
      </x:c>
      <x:c r="AA192" t="n">
        <x: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x:f>
        <x:v>1060.8081910527985</x:v>
      </x:c>
      <x:c r="AB192" t="n">
        <x:f>Scenario_Data!V192</x:f>
        <x:v>466.39999999999986</x:v>
      </x:c>
      <x:c r="AC192" t="n">
        <x: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x:f>
        <x:v>2421.619819894157</x:v>
      </x:c>
      <x:c r="AD192" t="n">
        <x:f>Scenario_Data!W192</x:f>
        <x:v>466.39999999999986</x:v>
      </x:c>
      <x:c r="AE192" t="n">
        <x: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x:f>
        <x:v>2377.581954205088</x:v>
      </x:c>
      <x:c r="AG192" t="n">
        <x:f>Scenario_Data!T192</x:f>
        <x:v>34.980000000000004</x:v>
      </x:c>
      <x:c r="AH192" t="n">
        <x:f>2*(SQRT((Inputs!$C$52+(Scenario_Data!B192))^2+Inputs!$C$52^2-2*(Inputs!$C$52+(Scenario_Data!B192))*Inputs!$C$52*COS(SQRT((Scenario_Data!T192)^2+Inputs!$C$6^2)/Inputs!$C$52))*1000)/Inputs!$C$21*1000000</x:f>
        <x:v>2696.8265277651735</x:v>
      </x:c>
      <x:c r="AI192" t="n">
        <x:f>Scenario_Data!U192</x:f>
        <x:v>233.19999999999993</x:v>
      </x:c>
      <x:c r="AJ192" t="n">
        <x:f>2*(SQRT((Inputs!$C$52+(Scenario_Data!C192))^2+Inputs!$C$52^2-2*(Inputs!$C$52+(Scenario_Data!C192))*Inputs!$C$52*COS(SQRT((Scenario_Data!U192)^2+Inputs!$C$6^2)/Inputs!$C$52))*1000)/Inputs!$C$21*1000000</x:f>
        <x:v>1954.1154016181265</x:v>
      </x:c>
      <x:c r="AK192" t="n">
        <x:f>Scenario_Data!V192</x:f>
        <x:v>466.39999999999986</x:v>
      </x:c>
      <x:c r="AL192" t="n">
        <x:f>2*(SQRT((Inputs!$C$52+(Scenario_Data!D192))^2+Inputs!$C$52^2-2*(Inputs!$C$52+(Scenario_Data!D192))*Inputs!$C$52*COS(SQRT((Scenario_Data!V192)^2+Inputs!$C$6^2)/Inputs!$C$52))*1000)/Inputs!$C$21*1000000</x:f>
        <x:v>4212.178433547609</x:v>
      </x:c>
      <x:c r="AM192" t="n">
        <x:f>Scenario_Data!W192</x:f>
        <x:v>466.39999999999986</x:v>
      </x:c>
      <x:c r="AN192" t="n">
        <x:f>2*(SQRT((Inputs!$C$52+(Scenario_Data!E192))^2+Inputs!$C$52^2-2*(Inputs!$C$52+(Scenario_Data!E192))*Inputs!$C$52*COS(SQRT((Scenario_Data!W192)^2+Inputs!$C$6^2)/Inputs!$C$52))*1000)/Inputs!$C$21*1000000</x:f>
        <x:v>4182.145657173544</x:v>
      </x:c>
      <x:c r="AP192" t="n">
        <x:f>Scenario_Data!T192</x:f>
        <x:v>34.980000000000004</x:v>
      </x:c>
      <x:c r="AQ192" t="n">
        <x: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x:f>
        <x:v>2695.227838941296</x:v>
      </x:c>
      <x:c r="AR192" t="n">
        <x:f>Scenario_Data!U192</x:f>
        <x:v>233.19999999999993</x:v>
      </x:c>
      <x:c r="AS192" t="n">
        <x: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x:f>
        <x:v>1953.587948364663</x:v>
      </x:c>
      <x:c r="AT192" t="n">
        <x:f>Scenario_Data!V192</x:f>
        <x:v>466.39999999999986</x:v>
      </x:c>
      <x:c r="AU192" t="n">
        <x: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x:f>
        <x:v>4211.941309035313</x:v>
      </x:c>
      <x:c r="AV192" t="n">
        <x:f>Scenario_Data!W192</x:f>
        <x:v>466.39999999999986</x:v>
      </x:c>
      <x:c r="AW192" t="n">
        <x: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x:f>
        <x:v>4181.912259453965</x:v>
      </x:c>
    </x:row>
    <x:row r="193">
      <x:c r="A193" t="n">
        <x:f>Chart_Data!K193</x:f>
        <x:v>35.5</x:v>
      </x:c>
      <x:c r="B193" t="n">
        <x:f>Chart_Data!N193-Chart_Data!L193</x:f>
        <x:v>-34.44955577121655</x:v>
      </x:c>
      <x:c r="D193" t="n">
        <x:f>Chart_Data!G193</x:f>
        <x:v>35.5</x:v>
      </x:c>
      <x:c r="E193" t="n">
        <x:f>Chart_Data!H193</x:f>
        <x:v>242.63788270086079</x:v>
      </x:c>
      <x:c r="F193" t="n">
        <x:f>Chart_Data!I193</x:f>
        <x:v>242.63788270086079</x:v>
      </x:c>
      <x:c r="G193" t="n">
        <x:f>Chart_Data!J193</x:f>
        <x:v>32.227616256478356</x:v>
      </x:c>
      <x:c r="I193" t="n">
        <x:f>Scenario_Data!A193</x:f>
        <x:v>0.592</x:v>
      </x:c>
      <x:c r="J193" t="n">
        <x:f>Scenario_Data!H193-(((SQRT((Inputs!$C$52+(Inputs!$H$6))^2+Inputs!$C$52^2-2*(Inputs!$C$52+(Inputs!$H$6))*Inputs!$C$52*COS(SQRT((Scenario_Data!T193)^2+Inputs!$C$6^2)/Inputs!$C$52)))-(Inputs!$H$6))*1000/Inputs!$C$12)</x:f>
        <x:v>-4.571874809995052</x:v>
      </x:c>
      <x:c r="K193" t="n">
        <x:f>Scenario_Data!I193-(((SQRT((Inputs!$C$52+(Inputs!$H$7))^2+Inputs!$C$52^2-2*(Inputs!$C$52+(Inputs!$H$7))*Inputs!$C$52*COS(SQRT((Scenario_Data!U193)^2+Inputs!$C$6^2)/Inputs!$C$52)))-(Inputs!$H$7))*1000/Inputs!$C$12)</x:f>
        <x:v>-40784.26967339731</x:v>
      </x:c>
      <x:c r="L193" t="n">
        <x:f>Scenario_Data!J193-(((SQRT((Inputs!$C$52+(Inputs!$H$8))^2+Inputs!$C$52^2-2*(Inputs!$C$52+(Inputs!$H$8))*Inputs!$C$52*COS(SQRT((Scenario_Data!V193)^2+Inputs!$C$6^2)/Inputs!$C$52)))-(Inputs!$H$8))*1000/Inputs!$C$12)</x:f>
        <x:v>-96812.05822906029</x:v>
      </x:c>
      <x:c r="M193" t="n">
        <x:f>Scenario_Data!K193-(((SQRT((Inputs!$C$52+(Inputs!$H$9))^2+Inputs!$C$52^2-2*(Inputs!$C$52+(Inputs!$H$9))*Inputs!$C$52*COS(SQRT((Scenario_Data!W193)^2+Inputs!$C$6^2)/Inputs!$C$52)))-(Inputs!$H$9))*1000/Inputs!$C$12)</x:f>
        <x:v>-100094.54459469789</x:v>
      </x:c>
      <x:c r="O193" t="n">
        <x:f>Scenario_Data!T193</x:f>
        <x:v>35.52000000000001</x:v>
      </x:c>
      <x:c r="P193" t="n">
        <x:f>2*(Scenario_Data!B193*1000)/Inputs!$C$21*1000000</x:f>
        <x:v>2677.8649381499786</x:v>
      </x:c>
      <x:c r="Q193" t="n">
        <x:f>Scenario_Data!U193</x:f>
        <x:v>236.80000000000007</x:v>
      </x:c>
      <x:c r="R193" t="n">
        <x:f>2*(Scenario_Data!C193*1000)/Inputs!$C$21*1000000</x:f>
        <x:v>1086.8809781732407</x:v>
      </x:c>
      <x:c r="S193" t="n">
        <x:f>Scenario_Data!V193</x:f>
        <x:v>473.60000000000014</x:v>
      </x:c>
      <x:c r="T193" t="n">
        <x:f>2*(Scenario_Data!D193*1000)/Inputs!$C$21*1000000</x:f>
        <x:v>2489.7074628875434</x:v>
      </x:c>
      <x:c r="U193" t="n">
        <x:f>Scenario_Data!W193</x:f>
        <x:v>473.60000000000014</x:v>
      </x:c>
      <x:c r="V193" t="n">
        <x:f>2*(Scenario_Data!E193*1000)/Inputs!$C$21*1000000</x:f>
        <x:v>2446.3750852598187</x:v>
      </x:c>
      <x:c r="X193" t="n">
        <x:f>Scenario_Data!T193</x:f>
        <x:v>35.52000000000001</x:v>
      </x:c>
      <x:c r="Y193" t="n">
        <x: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x:f>
        <x:v>2677.619339587693</x:v>
      </x:c>
      <x:c r="Z193" t="n">
        <x:f>Scenario_Data!U193</x:f>
        <x:v>236.80000000000007</x:v>
      </x:c>
      <x:c r="AA193" t="n">
        <x: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x:f>
        <x:v>1086.4391980001599</x:v>
      </x:c>
      <x:c r="AB193" t="n">
        <x:f>Scenario_Data!V193</x:f>
        <x:v>473.60000000000014</x:v>
      </x:c>
      <x:c r="AC193" t="n">
        <x: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x:f>
        <x:v>2489.383536065449</x:v>
      </x:c>
      <x:c r="AD193" t="n">
        <x:f>Scenario_Data!W193</x:f>
        <x:v>473.60000000000014</x:v>
      </x:c>
      <x:c r="AE193" t="n">
        <x: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x:f>
        <x:v>2446.0511584377236</x:v>
      </x:c>
      <x:c r="AG193" t="n">
        <x:f>Scenario_Data!T193</x:f>
        <x:v>35.52000000000001</x:v>
      </x:c>
      <x:c r="AH193" t="n">
        <x:f>2*(SQRT((Inputs!$C$52+(Scenario_Data!B193))^2+Inputs!$C$52^2-2*(Inputs!$C$52+(Scenario_Data!B193))*Inputs!$C$52*COS(SQRT((Scenario_Data!T193)^2+Inputs!$C$6^2)/Inputs!$C$52))*1000)/Inputs!$C$21*1000000</x:f>
        <x:v>2697.5019276614603</x:v>
      </x:c>
      <x:c r="AI193" t="n">
        <x:f>Scenario_Data!U193</x:f>
        <x:v>236.80000000000007</x:v>
      </x:c>
      <x:c r="AJ193" t="n">
        <x:f>2*(SQRT((Inputs!$C$52+(Scenario_Data!C193))^2+Inputs!$C$52^2-2*(Inputs!$C$52+(Scenario_Data!C193))*Inputs!$C$52*COS(SQRT((Scenario_Data!U193)^2+Inputs!$C$6^2)/Inputs!$C$52))*1000)/Inputs!$C$21*1000000</x:f>
        <x:v>1990.6704964522148</x:v>
      </x:c>
      <x:c r="AK193" t="n">
        <x:f>Scenario_Data!V193</x:f>
        <x:v>473.60000000000014</x:v>
      </x:c>
      <x:c r="AL193" t="n">
        <x:f>2*(SQRT((Inputs!$C$52+(Scenario_Data!D193))^2+Inputs!$C$52^2-2*(Inputs!$C$52+(Scenario_Data!D193))*Inputs!$C$52*COS(SQRT((Scenario_Data!V193)^2+Inputs!$C$6^2)/Inputs!$C$52))*1000)/Inputs!$C$21*1000000</x:f>
        <x:v>4302.02574295159</x:v>
      </x:c>
      <x:c r="AM193" t="n">
        <x:f>Scenario_Data!W193</x:f>
        <x:v>473.60000000000014</x:v>
      </x:c>
      <x:c r="AN193" t="n">
        <x:f>2*(SQRT((Inputs!$C$52+(Scenario_Data!E193))^2+Inputs!$C$52^2-2*(Inputs!$C$52+(Scenario_Data!E193))*Inputs!$C$52*COS(SQRT((Scenario_Data!W193)^2+Inputs!$C$6^2)/Inputs!$C$52))*1000)/Inputs!$C$21*1000000</x:f>
        <x:v>4272.258661802538</x:v>
      </x:c>
      <x:c r="AP193" t="n">
        <x:f>Scenario_Data!T193</x:f>
        <x:v>35.52000000000001</x:v>
      </x:c>
      <x:c r="AQ193" t="n">
        <x: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x:f>
        <x:v>2695.8930735840954</x:v>
      </x:c>
      <x:c r="AR193" t="n">
        <x:f>Scenario_Data!U193</x:f>
        <x:v>236.80000000000007</x:v>
      </x:c>
      <x:c r="AS193" t="n">
        <x: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x:f>
        <x:v>1990.0401318933384</x:v>
      </x:c>
      <x:c r="AT193" t="n">
        <x:f>Scenario_Data!V193</x:f>
        <x:v>473.60000000000014</x:v>
      </x:c>
      <x:c r="AU193" t="n">
        <x: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x:f>
        <x:v>4301.463511833895</x:v>
      </x:c>
      <x:c r="AV193" t="n">
        <x:f>Scenario_Data!W193</x:f>
        <x:v>473.60000000000014</x:v>
      </x:c>
      <x:c r="AW193" t="n">
        <x: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x:f>
        <x:v>4271.704846882371</x:v>
      </x:c>
    </x:row>
    <x:row r="194">
      <x:c r="A194" t="n">
        <x:f>Chart_Data!K194</x:f>
        <x:v>36</x:v>
      </x:c>
      <x:c r="B194" t="n">
        <x:f>Chart_Data!N194-Chart_Data!L194</x:f>
        <x:v>-47.77178417863914</x:v>
      </x:c>
      <x:c r="D194" t="n">
        <x:f>Chart_Data!G194</x:f>
        <x:v>36</x:v>
      </x:c>
      <x:c r="E194" t="n">
        <x:f>Chart_Data!H194</x:f>
        <x:v>251.8480330414438</x:v>
      </x:c>
      <x:c r="F194" t="n">
        <x:f>Chart_Data!I194</x:f>
        <x:v>251.8480330414438</x:v>
      </x:c>
      <x:c r="G194" t="n">
        <x:f>Chart_Data!J194</x:f>
        <x:v>45.422536466318</x:v>
      </x:c>
      <x:c r="I194" t="n">
        <x:f>Scenario_Data!A194</x:f>
        <x:v>0.6</x:v>
      </x:c>
      <x:c r="J194" t="n">
        <x:f>Scenario_Data!H194-(((SQRT((Inputs!$C$52+(Inputs!$H$6))^2+Inputs!$C$52^2-2*(Inputs!$C$52+(Inputs!$H$6))*Inputs!$C$52*COS(SQRT((Scenario_Data!T194)^2+Inputs!$C$6^2)/Inputs!$C$52)))-(Inputs!$H$6))*1000/Inputs!$C$12)</x:f>
        <x:v>-4.780239127223922</x:v>
      </x:c>
      <x:c r="K194" t="n">
        <x:f>Scenario_Data!I194-(((SQRT((Inputs!$C$52+(Inputs!$H$7))^2+Inputs!$C$52^2-2*(Inputs!$C$52+(Inputs!$H$7))*Inputs!$C$52*COS(SQRT((Scenario_Data!U194)^2+Inputs!$C$6^2)/Inputs!$C$52)))-(Inputs!$H$7))*1000/Inputs!$C$12)</x:f>
        <x:v>-41765.370410184376</x:v>
      </x:c>
      <x:c r="L194" t="n">
        <x:f>Scenario_Data!J194-(((SQRT((Inputs!$C$52+(Inputs!$H$8))^2+Inputs!$C$52^2-2*(Inputs!$C$52+(Inputs!$H$8))*Inputs!$C$52*COS(SQRT((Scenario_Data!V194)^2+Inputs!$C$6^2)/Inputs!$C$52)))-(Inputs!$H$8))*1000/Inputs!$C$12)</x:f>
        <x:v>-98763.92423983713</x:v>
      </x:c>
      <x:c r="M194" t="n">
        <x:f>Scenario_Data!K194-(((SQRT((Inputs!$C$52+(Inputs!$H$9))^2+Inputs!$C$52^2-2*(Inputs!$C$52+(Inputs!$H$9))*Inputs!$C$52*COS(SQRT((Scenario_Data!W194)^2+Inputs!$C$6^2)/Inputs!$C$52)))-(Inputs!$H$9))*1000/Inputs!$C$12)</x:f>
        <x:v>-102072.18940950758</x:v>
      </x:c>
      <x:c r="O194" t="n">
        <x:f>Scenario_Data!T194</x:f>
        <x:v>36</x:v>
      </x:c>
      <x:c r="P194" t="n">
        <x:f>2*(Scenario_Data!B194*1000)/Inputs!$C$21*1000000</x:f>
        <x:v>2678.119407526923</x:v>
      </x:c>
      <x:c r="Q194" t="n">
        <x:f>Scenario_Data!U194</x:f>
        <x:v>240</x:v>
      </x:c>
      <x:c r="R194" t="n">
        <x:f>2*(Scenario_Data!C194*1000)/Inputs!$C$21*1000000</x:f>
        <x:v>1110.1013088194502</x:v>
      </x:c>
      <x:c r="S194" t="n">
        <x:f>Scenario_Data!V194</x:f>
        <x:v>480</x:v>
      </x:c>
      <x:c r="T194" t="n">
        <x:f>2*(Scenario_Data!D194*1000)/Inputs!$C$21*1000000</x:f>
        <x:v>2551.098200075467</x:v>
      </x:c>
      <x:c r="U194" t="n">
        <x:f>Scenario_Data!W194</x:f>
        <x:v>480</x:v>
      </x:c>
      <x:c r="V194" t="n">
        <x:f>2*(Scenario_Data!E194*1000)/Inputs!$C$21*1000000</x:f>
        <x:v>2508.4019958901035</x:v>
      </x:c>
      <x:c r="X194" t="n">
        <x:f>Scenario_Data!T194</x:f>
        <x:v>36</x:v>
      </x:c>
      <x:c r="Y194" t="n">
        <x: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x:f>
        <x:v>2677.816380981363</x:v>
      </x:c>
      <x:c r="Z194" t="n">
        <x:f>Scenario_Data!U194</x:f>
        <x:v>240</x:v>
      </x:c>
      <x:c r="AA194" t="n">
        <x: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x:f>
        <x:v>1109.513437541667</x:v>
      </x:c>
      <x:c r="AB194" t="n">
        <x:f>Scenario_Data!V194</x:f>
        <x:v>480</x:v>
      </x:c>
      <x:c r="AC194" t="n">
        <x: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x:f>
        <x:v>2551.1472763301194</x:v>
      </x:c>
      <x:c r="AD194" t="n">
        <x:f>Scenario_Data!W194</x:f>
        <x:v>480</x:v>
      </x:c>
      <x:c r="AE194" t="n">
        <x: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x:f>
        <x:v>2508.451072144756</x:v>
      </x:c>
      <x:c r="AG194" t="n">
        <x:f>Scenario_Data!T194</x:f>
        <x:v>36</x:v>
      </x:c>
      <x:c r="AH194" t="n">
        <x:f>2*(SQRT((Inputs!$C$52+(Scenario_Data!B194))^2+Inputs!$C$52^2-2*(Inputs!$C$52+(Scenario_Data!B194))*Inputs!$C$52*COS(SQRT((Scenario_Data!T194)^2+Inputs!$C$6^2)/Inputs!$C$52))*1000)/Inputs!$C$21*1000000</x:f>
        <x:v>2698.110863168117</x:v>
      </x:c>
      <x:c r="AI194" t="n">
        <x:f>Scenario_Data!U194</x:f>
        <x:v>240</x:v>
      </x:c>
      <x:c r="AJ194" t="n">
        <x:f>2*(SQRT((Inputs!$C$52+(Scenario_Data!C194))^2+Inputs!$C$52^2-2*(Inputs!$C$52+(Scenario_Data!C194))*Inputs!$C$52*COS(SQRT((Scenario_Data!U194)^2+Inputs!$C$6^2)/Inputs!$C$52))*1000)/Inputs!$C$21*1000000</x:f>
        <x:v>2023.4253433638573</x:v>
      </x:c>
      <x:c r="AK194" t="n">
        <x:f>Scenario_Data!V194</x:f>
        <x:v>480</x:v>
      </x:c>
      <x:c r="AL194" t="n">
        <x:f>2*(SQRT((Inputs!$C$52+(Scenario_Data!D194))^2+Inputs!$C$52^2-2*(Inputs!$C$52+(Scenario_Data!D194))*Inputs!$C$52*COS(SQRT((Scenario_Data!V194)^2+Inputs!$C$6^2)/Inputs!$C$52))*1000)/Inputs!$C$21*1000000</x:f>
        <x:v>4382.735609610576</x:v>
      </x:c>
      <x:c r="AM194" t="n">
        <x:f>Scenario_Data!W194</x:f>
        <x:v>480</x:v>
      </x:c>
      <x:c r="AN194" t="n">
        <x:f>2*(SQRT((Inputs!$C$52+(Scenario_Data!E194))^2+Inputs!$C$52^2-2*(Inputs!$C$52+(Scenario_Data!E194))*Inputs!$C$52*COS(SQRT((Scenario_Data!W194)^2+Inputs!$C$6^2)/Inputs!$C$52))*1000)/Inputs!$C$21*1000000</x:f>
        <x:v>4353.219632675859</x:v>
      </x:c>
      <x:c r="AP194" t="n">
        <x:f>Scenario_Data!T194</x:f>
        <x:v>36</x:v>
      </x:c>
      <x:c r="AQ194" t="n">
        <x: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x:f>
        <x:v>2696.4463864364902</x:v>
      </x:c>
      <x:c r="AR194" t="n">
        <x:f>Scenario_Data!U194</x:f>
        <x:v>240</x:v>
      </x:c>
      <x:c r="AS194" t="n">
        <x: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x:f>
        <x:v>2022.880167968336</x:v>
      </x:c>
      <x:c r="AT194" t="n">
        <x:f>Scenario_Data!V194</x:f>
        <x:v>480</x:v>
      </x:c>
      <x:c r="AU194" t="n">
        <x: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x:f>
        <x:v>4382.539155040683</x:v>
      </x:c>
      <x:c r="AV194" t="n">
        <x:f>Scenario_Data!W194</x:f>
        <x:v>480</x:v>
      </x:c>
      <x:c r="AW194" t="n">
        <x: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x:f>
        <x:v>4353.025992120449</x:v>
      </x:c>
    </x:row>
    <x:row r="195">
      <x:c r="A195" t="n">
        <x:f>Chart_Data!K195</x:f>
        <x:v>36.5</x:v>
      </x:c>
      <x:c r="B195" t="n">
        <x:f>Chart_Data!N195-Chart_Data!L195</x:f>
        <x:v>-47.58850500560911</x:v>
      </x:c>
      <x:c r="D195" t="n">
        <x:f>Chart_Data!G195</x:f>
        <x:v>36.5</x:v>
      </x:c>
      <x:c r="E195" t="n">
        <x:f>Chart_Data!H195</x:f>
        <x:v>274.3131350022337</x:v>
      </x:c>
      <x:c r="F195" t="n">
        <x:f>Chart_Data!I195</x:f>
        <x:v>274.3131350022337</x:v>
      </x:c>
      <x:c r="G195" t="n">
        <x:f>Chart_Data!J195</x:f>
        <x:v>44.98219479967033</x:v>
      </x:c>
      <x:c r="I195" t="n">
        <x:f>Scenario_Data!A195</x:f>
        <x:v>0.608</x:v>
      </x:c>
      <x:c r="J195" t="n">
        <x:f>Scenario_Data!H195-(((SQRT((Inputs!$C$52+(Inputs!$H$6))^2+Inputs!$C$52^2-2*(Inputs!$C$52+(Inputs!$H$6))*Inputs!$C$52*COS(SQRT((Scenario_Data!T195)^2+Inputs!$C$6^2)/Inputs!$C$52)))-(Inputs!$H$6))*1000/Inputs!$C$12)</x:f>
        <x:v>-4.995883813084447</x:v>
      </x:c>
      <x:c r="K195" t="n">
        <x:f>Scenario_Data!I195-(((SQRT((Inputs!$C$52+(Inputs!$H$7))^2+Inputs!$C$52^2-2*(Inputs!$C$52+(Inputs!$H$7))*Inputs!$C$52*COS(SQRT((Scenario_Data!U195)^2+Inputs!$C$6^2)/Inputs!$C$52)))-(Inputs!$H$7))*1000/Inputs!$C$12)</x:f>
        <x:v>-42752.441205505645</x:v>
      </x:c>
      <x:c r="L195" t="n">
        <x:f>Scenario_Data!J195-(((SQRT((Inputs!$C$52+(Inputs!$H$8))^2+Inputs!$C$52^2-2*(Inputs!$C$52+(Inputs!$H$8))*Inputs!$C$52*COS(SQRT((Scenario_Data!V195)^2+Inputs!$C$6^2)/Inputs!$C$52)))-(Inputs!$H$8))*1000/Inputs!$C$12)</x:f>
        <x:v>-100717.0331168441</x:v>
      </x:c>
      <x:c r="M195" t="n">
        <x:f>Scenario_Data!K195-(((SQRT((Inputs!$C$52+(Inputs!$H$9))^2+Inputs!$C$52^2-2*(Inputs!$C$52+(Inputs!$H$9))*Inputs!$C$52*COS(SQRT((Scenario_Data!W195)^2+Inputs!$C$6^2)/Inputs!$C$52)))-(Inputs!$H$9))*1000/Inputs!$C$12)</x:f>
        <x:v>-104050.49672552545</x:v>
      </x:c>
      <x:c r="O195" t="n">
        <x:f>Scenario_Data!T195</x:f>
        <x:v>36.480000000000004</x:v>
      </x:c>
      <x:c r="P195" t="n">
        <x:f>2*(Scenario_Data!B195*1000)/Inputs!$C$21*1000000</x:f>
        <x:v>2678.377292600203</x:v>
      </x:c>
      <x:c r="Q195" t="n">
        <x:f>Scenario_Data!U195</x:f>
        <x:v>243.20000000000005</x:v>
      </x:c>
      <x:c r="R195" t="n">
        <x:f>2*(Scenario_Data!C195*1000)/Inputs!$C$21*1000000</x:f>
        <x:v>1133.6333217562135</x:v>
      </x:c>
      <x:c r="S195" t="n">
        <x:f>Scenario_Data!V195</x:f>
        <x:v>486.4000000000001</x:v>
      </x:c>
      <x:c r="T195" t="n">
        <x:f>2*(Scenario_Data!D195*1000)/Inputs!$C$21*1000000</x:f>
        <x:v>2613.31297400417</x:v>
      </x:c>
      <x:c r="U195" t="n">
        <x:f>Scenario_Data!W195</x:f>
        <x:v>486.4000000000001</x:v>
      </x:c>
      <x:c r="V195" t="n">
        <x:f>2*(Scenario_Data!E195*1000)/Inputs!$C$21*1000000</x:f>
        <x:v>2571.2614825020055</x:v>
      </x:c>
      <x:c r="X195" t="n">
        <x:f>Scenario_Data!T195</x:f>
        <x:v>36.480000000000004</x:v>
      </x:c>
      <x:c r="Y195" t="n">
        <x: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x:f>
        <x:v>2678.077818920377</x:v>
      </x:c>
      <x:c r="Z195" t="n">
        <x:f>Scenario_Data!U195</x:f>
        <x:v>243.20000000000005</x:v>
      </x:c>
      <x:c r="AA195" t="n">
        <x: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x:f>
        <x:v>1133.2303407408722</x:v>
      </x:c>
      <x:c r="AB195" t="n">
        <x:f>Scenario_Data!V195</x:f>
        <x:v>486.4000000000001</x:v>
      </x:c>
      <x:c r="AC195" t="n">
        <x: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x:f>
        <x:v>2612.9574942317936</x:v>
      </x:c>
      <x:c r="AD195" t="n">
        <x:f>Scenario_Data!W195</x:f>
        <x:v>486.4000000000001</x:v>
      </x:c>
      <x:c r="AE195" t="n">
        <x: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x:f>
        <x:v>2570.906002729629</x:v>
      </x:c>
      <x:c r="AG195" t="n">
        <x:f>Scenario_Data!T195</x:f>
        <x:v>36.480000000000004</x:v>
      </x:c>
      <x:c r="AH195" t="n">
        <x:f>2*(SQRT((Inputs!$C$52+(Scenario_Data!B195))^2+Inputs!$C$52^2-2*(Inputs!$C$52+(Scenario_Data!B195))*Inputs!$C$52*COS(SQRT((Scenario_Data!T195)^2+Inputs!$C$6^2)/Inputs!$C$52))*1000)/Inputs!$C$21*1000000</x:f>
        <x:v>2698.7278698689106</x:v>
      </x:c>
      <x:c r="AI195" t="n">
        <x:f>Scenario_Data!U195</x:f>
        <x:v>243.20000000000005</x:v>
      </x:c>
      <x:c r="AJ195" t="n">
        <x:f>2*(SQRT((Inputs!$C$52+(Scenario_Data!C195))^2+Inputs!$C$52^2-2*(Inputs!$C$52+(Scenario_Data!C195))*Inputs!$C$52*COS(SQRT((Scenario_Data!U195)^2+Inputs!$C$6^2)/Inputs!$C$52))*1000)/Inputs!$C$21*1000000</x:f>
        <x:v>2056.4279743959246</x:v>
      </x:c>
      <x:c r="AK195" t="n">
        <x:f>Scenario_Data!V195</x:f>
        <x:v>486.4000000000001</x:v>
      </x:c>
      <x:c r="AL195" t="n">
        <x:f>2*(SQRT((Inputs!$C$52+(Scenario_Data!D195))^2+Inputs!$C$52^2-2*(Inputs!$C$52+(Scenario_Data!D195))*Inputs!$C$52*COS(SQRT((Scenario_Data!V195)^2+Inputs!$C$6^2)/Inputs!$C$52))*1000)/Inputs!$C$21*1000000</x:f>
        <x:v>4464.245699599919</x:v>
      </x:c>
      <x:c r="AM195" t="n">
        <x:f>Scenario_Data!W195</x:f>
        <x:v>486.4000000000001</x:v>
      </x:c>
      <x:c r="AN195" t="n">
        <x:f>2*(SQRT((Inputs!$C$52+(Scenario_Data!E195))^2+Inputs!$C$52^2-2*(Inputs!$C$52+(Scenario_Data!E195))*Inputs!$C$52*COS(SQRT((Scenario_Data!W195)^2+Inputs!$C$6^2)/Inputs!$C$52))*1000)/Inputs!$C$21*1000000</x:f>
        <x:v>4434.994862669758</x:v>
      </x:c>
      <x:c r="AP195" t="n">
        <x:f>Scenario_Data!T195</x:f>
        <x:v>36.480000000000004</x:v>
      </x:c>
      <x:c r="AQ195" t="n">
        <x: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x:f>
        <x:v>2696.984703352465</x:v>
      </x:c>
      <x:c r="AR195" t="n">
        <x:f>Scenario_Data!U195</x:f>
        <x:v>243.20000000000005</x:v>
      </x:c>
      <x:c r="AS195" t="n">
        <x: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x:f>
        <x:v>2055.916701140966</x:v>
      </x:c>
      <x:c r="AT195" t="n">
        <x:f>Scenario_Data!V195</x:f>
        <x:v>486.4000000000001</x:v>
      </x:c>
      <x:c r="AU195" t="n">
        <x: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x:f>
        <x:v>4463.734853187518</x:v>
      </x:c>
      <x:c r="AV195" t="n">
        <x:f>Scenario_Data!W195</x:f>
        <x:v>486.4000000000001</x:v>
      </x:c>
      <x:c r="AW195" t="n">
        <x: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x:f>
        <x:v>4434.491021465697</x:v>
      </x:c>
    </x:row>
    <x:row r="196">
      <x:c r="A196" t="n">
        <x:f>Chart_Data!K196</x:f>
        <x:v>37</x:v>
      </x:c>
      <x:c r="B196" t="n">
        <x:f>Chart_Data!N196-Chart_Data!L196</x:f>
        <x:v>-61.04391279282535</x:v>
      </x:c>
      <x:c r="D196" t="n">
        <x:f>Chart_Data!G196</x:f>
        <x:v>37</x:v>
      </x:c>
      <x:c r="E196" t="n">
        <x:f>Chart_Data!H196</x:f>
        <x:v>277.26991348245565</x:v>
      </x:c>
      <x:c r="F196" t="n">
        <x:f>Chart_Data!I196</x:f>
        <x:v>277.26991348245565</x:v>
      </x:c>
      <x:c r="G196" t="n">
        <x:f>Chart_Data!J196</x:f>
        <x:v>58.36098804305038</x:v>
      </x:c>
      <x:c r="I196" t="n">
        <x:f>Scenario_Data!A196</x:f>
        <x:v>0.617</x:v>
      </x:c>
      <x:c r="J196" t="n">
        <x:f>Scenario_Data!H196-(((SQRT((Inputs!$C$52+(Inputs!$H$6))^2+Inputs!$C$52^2-2*(Inputs!$C$52+(Inputs!$H$6))*Inputs!$C$52*COS(SQRT((Scenario_Data!T196)^2+Inputs!$C$6^2)/Inputs!$C$52)))-(Inputs!$H$6))*1000/Inputs!$C$12)</x:f>
        <x:v>-5.247404357237883</x:v>
      </x:c>
      <x:c r="K196" t="n">
        <x:f>Scenario_Data!I196-(((SQRT((Inputs!$C$52+(Inputs!$H$7))^2+Inputs!$C$52^2-2*(Inputs!$C$52+(Inputs!$H$7))*Inputs!$C$52*COS(SQRT((Scenario_Data!U196)^2+Inputs!$C$6^2)/Inputs!$C$52)))-(Inputs!$H$7))*1000/Inputs!$C$12)</x:f>
        <x:v>-43869.822519639056</x:v>
      </x:c>
      <x:c r="L196" t="n">
        <x:f>Scenario_Data!J196-(((SQRT((Inputs!$C$52+(Inputs!$H$8))^2+Inputs!$C$52^2-2*(Inputs!$C$52+(Inputs!$H$8))*Inputs!$C$52*COS(SQRT((Scenario_Data!V196)^2+Inputs!$C$6^2)/Inputs!$C$52)))-(Inputs!$H$8))*1000/Inputs!$C$12)</x:f>
        <x:v>-102915.30156679449</x:v>
      </x:c>
      <x:c r="M196" t="n">
        <x:f>Scenario_Data!K196-(((SQRT((Inputs!$C$52+(Inputs!$H$9))^2+Inputs!$C$52^2-2*(Inputs!$C$52+(Inputs!$H$9))*Inputs!$C$52*COS(SQRT((Scenario_Data!W196)^2+Inputs!$C$6^2)/Inputs!$C$52)))-(Inputs!$H$9))*1000/Inputs!$C$12)</x:f>
        <x:v>-106276.42770998081</x:v>
      </x:c>
      <x:c r="O196" t="n">
        <x:f>Scenario_Data!T196</x:f>
        <x:v>37.019999999999996</x:v>
      </x:c>
      <x:c r="P196" t="n">
        <x:f>2*(Scenario_Data!B196*1000)/Inputs!$C$21*1000000</x:f>
        <x:v>2678.6714961321677</x:v>
      </x:c>
      <x:c r="Q196" t="n">
        <x:f>Scenario_Data!U196</x:f>
        <x:v>246.79999999999995</x:v>
      </x:c>
      <x:c r="R196" t="n">
        <x:f>2*(Scenario_Data!C196*1000)/Inputs!$C$21*1000000</x:f>
        <x:v>1160.4793940479979</x:v>
      </x:c>
      <x:c r="S196" t="n">
        <x:f>Scenario_Data!V196</x:f>
        <x:v>493.5999999999999</x:v>
      </x:c>
      <x:c r="T196" t="n">
        <x:f>2*(Scenario_Data!D196*1000)/Inputs!$C$21*1000000</x:f>
        <x:v>2684.289576090669</x:v>
      </x:c>
      <x:c r="U196" t="n">
        <x:f>Scenario_Data!W196</x:f>
        <x:v>493.5999999999999</x:v>
      </x:c>
      <x:c r="V196" t="n">
        <x:f>2*(Scenario_Data!E196*1000)/Inputs!$C$21*1000000</x:f>
        <x:v>2642.973593418417</x:v>
      </x:c>
      <x:c r="X196" t="n">
        <x:f>Scenario_Data!T196</x:f>
        <x:v>37.019999999999996</x:v>
      </x:c>
      <x:c r="Y196" t="n">
        <x: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x:f>
        <x:v>2678.257267408554</x:v>
      </x:c>
      <x:c r="Z196" t="n">
        <x:f>Scenario_Data!U196</x:f>
        <x:v>246.79999999999995</x:v>
      </x:c>
      <x:c r="AA196" t="n">
        <x: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x:f>
        <x:v>1160.442414389766</x:v>
      </x:c>
      <x:c r="AB196" t="n">
        <x:f>Scenario_Data!V196</x:f>
        <x:v>493.5999999999999</x:v>
      </x:c>
      <x:c r="AC196" t="n">
        <x: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x:f>
        <x:v>2683.9185129860057</x:v>
      </x:c>
      <x:c r="AD196" t="n">
        <x:f>Scenario_Data!W196</x:f>
        <x:v>493.5999999999999</x:v>
      </x:c>
      <x:c r="AE196" t="n">
        <x: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x:f>
        <x:v>2642.6025303137535</x:v>
      </x:c>
      <x:c r="AG196" t="n">
        <x:f>Scenario_Data!T196</x:f>
        <x:v>37.019999999999996</x:v>
      </x:c>
      <x:c r="AH196" t="n">
        <x:f>2*(SQRT((Inputs!$C$52+(Scenario_Data!B196))^2+Inputs!$C$52^2-2*(Inputs!$C$52+(Scenario_Data!B196))*Inputs!$C$52*COS(SQRT((Scenario_Data!T196)^2+Inputs!$C$6^2)/Inputs!$C$52))*1000)/Inputs!$C$21*1000000</x:f>
        <x:v>2699.43164499259</x:v>
      </x:c>
      <x:c r="AI196" t="n">
        <x:f>Scenario_Data!U196</x:f>
        <x:v>246.79999999999995</x:v>
      </x:c>
      <x:c r="AJ196" t="n">
        <x:f>2*(SQRT((Inputs!$C$52+(Scenario_Data!C196))^2+Inputs!$C$52^2-2*(Inputs!$C$52+(Scenario_Data!C196))*Inputs!$C$52*COS(SQRT((Scenario_Data!U196)^2+Inputs!$C$6^2)/Inputs!$C$52))*1000)/Inputs!$C$21*1000000</x:f>
        <x:v>2093.854163760291</x:v>
      </x:c>
      <x:c r="AK196" t="n">
        <x:f>Scenario_Data!V196</x:f>
        <x:v>493.5999999999999</x:v>
      </x:c>
      <x:c r="AL196" t="n">
        <x:f>2*(SQRT((Inputs!$C$52+(Scenario_Data!D196))^2+Inputs!$C$52^2-2*(Inputs!$C$52+(Scenario_Data!D196))*Inputs!$C$52*COS(SQRT((Scenario_Data!V196)^2+Inputs!$C$6^2)/Inputs!$C$52))*1000)/Inputs!$C$21*1000000</x:f>
        <x:v>4556.906145812415</x:v>
      </x:c>
      <x:c r="AM196" t="n">
        <x:f>Scenario_Data!W196</x:f>
        <x:v>493.5999999999999</x:v>
      </x:c>
      <x:c r="AN196" t="n">
        <x:f>2*(SQRT((Inputs!$C$52+(Scenario_Data!E196))^2+Inputs!$C$52^2-2*(Inputs!$C$52+(Scenario_Data!E196))*Inputs!$C$52*COS(SQRT((Scenario_Data!W196)^2+Inputs!$C$6^2)/Inputs!$C$52))*1000)/Inputs!$C$21*1000000</x:f>
        <x:v>4527.970342892097</x:v>
      </x:c>
      <x:c r="AP196" t="n">
        <x:f>Scenario_Data!T196</x:f>
        <x:v>37.019999999999996</x:v>
      </x:c>
      <x:c r="AQ196" t="n">
        <x: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x:f>
        <x:v>2697.5027559631244</x:v>
      </x:c>
      <x:c r="AR196" t="n">
        <x:f>Scenario_Data!U196</x:f>
        <x:v>246.79999999999995</x:v>
      </x:c>
      <x:c r="AS196" t="n">
        <x: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x:f>
        <x:v>2093.535999451723</x:v>
      </x:c>
      <x:c r="AT196" t="n">
        <x:f>Scenario_Data!V196</x:f>
        <x:v>493.5999999999999</x:v>
      </x:c>
      <x:c r="AU196" t="n">
        <x: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x:f>
        <x:v>4556.388569519348</x:v>
      </x:c>
      <x:c r="AV196" t="n">
        <x:f>Scenario_Data!W196</x:f>
        <x:v>493.5999999999999</x:v>
      </x:c>
      <x:c r="AW196" t="n">
        <x: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x:f>
        <x:v>4527.459520818479</x:v>
      </x:c>
    </x:row>
    <x:row r="197">
      <x:c r="A197" t="n">
        <x:f>Chart_Data!K197</x:f>
        <x:v>37.5</x:v>
      </x:c>
      <x:c r="B197" t="n">
        <x:f>Chart_Data!N197-Chart_Data!L197</x:f>
        <x:v>-58.84680272570924</x:v>
      </x:c>
      <x:c r="D197" t="n">
        <x:f>Chart_Data!G197</x:f>
        <x:v>37.5</x:v>
      </x:c>
      <x:c r="E197" t="n">
        <x:f>Chart_Data!H197</x:f>
        <x:v>280.6842863692354</x:v>
      </x:c>
      <x:c r="F197" t="n">
        <x:f>Chart_Data!I197</x:f>
        <x:v>280.6842863692354</x:v>
      </x:c>
      <x:c r="G197" t="n">
        <x:f>Chart_Data!J197</x:f>
        <x:v>56.08108474403666</x:v>
      </x:c>
      <x:c r="I197" t="n">
        <x:f>Scenario_Data!A197</x:f>
        <x:v>0.625</x:v>
      </x:c>
      <x:c r="J197" t="n">
        <x:f>Scenario_Data!H197-(((SQRT((Inputs!$C$52+(Inputs!$H$6))^2+Inputs!$C$52^2-2*(Inputs!$C$52+(Inputs!$H$6))*Inputs!$C$52*COS(SQRT((Scenario_Data!T197)^2+Inputs!$C$6^2)/Inputs!$C$52)))-(Inputs!$H$6))*1000/Inputs!$C$12)</x:f>
        <x:v>-5.479103372775171</x:v>
      </x:c>
      <x:c r="K197" t="n">
        <x:f>Scenario_Data!I197-(((SQRT((Inputs!$C$52+(Inputs!$H$7))^2+Inputs!$C$52^2-2*(Inputs!$C$52+(Inputs!$H$7))*Inputs!$C$52*COS(SQRT((Scenario_Data!U197)^2+Inputs!$C$6^2)/Inputs!$C$52)))-(Inputs!$H$7))*1000/Inputs!$C$12)</x:f>
        <x:v>-44869.024435891464</x:v>
      </x:c>
      <x:c r="L197" t="n">
        <x:f>Scenario_Data!J197-(((SQRT((Inputs!$C$52+(Inputs!$H$8))^2+Inputs!$C$52^2-2*(Inputs!$C$52+(Inputs!$H$8))*Inputs!$C$52*COS(SQRT((Scenario_Data!V197)^2+Inputs!$C$6^2)/Inputs!$C$52)))-(Inputs!$H$8))*1000/Inputs!$C$12)</x:f>
        <x:v>-104869.82387216578</x:v>
      </x:c>
      <x:c r="M197" t="n">
        <x:f>Scenario_Data!K197-(((SQRT((Inputs!$C$52+(Inputs!$H$9))^2+Inputs!$C$52^2-2*(Inputs!$C$52+(Inputs!$H$9))*Inputs!$C$52*COS(SQRT((Scenario_Data!W197)^2+Inputs!$C$6^2)/Inputs!$C$52)))-(Inputs!$H$9))*1000/Inputs!$C$12)</x:f>
        <x:v>-108254.93665267841</x:v>
      </x:c>
      <x:c r="O197" t="n">
        <x:f>Scenario_Data!T197</x:f>
        <x:v>37.5</x:v>
      </x:c>
      <x:c r="P197" t="n">
        <x:f>2*(Scenario_Data!B197*1000)/Inputs!$C$21*1000000</x:f>
        <x:v>2678.9366395601587</x:v>
      </x:c>
      <x:c r="Q197" t="n">
        <x:f>Scenario_Data!U197</x:f>
        <x:v>250</x:v>
      </x:c>
      <x:c r="R197" t="n">
        <x:f>2*(Scenario_Data!C197*1000)/Inputs!$C$21*1000000</x:f>
        <x:v>1184.6737318521868</x:v>
      </x:c>
      <x:c r="S197" t="n">
        <x:f>Scenario_Data!V197</x:f>
        <x:v>500</x:v>
      </x:c>
      <x:c r="T197" t="n">
        <x:f>2*(Scenario_Data!D197*1000)/Inputs!$C$21*1000000</x:f>
        <x:v>2748.2554280935246</x:v>
      </x:c>
      <x:c r="U197" t="n">
        <x:f>Scenario_Data!W197</x:f>
        <x:v>500</x:v>
      </x:c>
      <x:c r="V197" t="n">
        <x:f>2*(Scenario_Data!E197*1000)/Inputs!$C$21*1000000</x:f>
        <x:v>2707.6023039912498</x:v>
      </x:c>
      <x:c r="X197" t="n">
        <x:f>Scenario_Data!T197</x:f>
        <x:v>37.5</x:v>
      </x:c>
      <x:c r="Y197" t="n">
        <x: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x:f>
        <x:v>2678.562506834351</x:v>
      </x:c>
      <x:c r="Z197" t="n">
        <x:f>Scenario_Data!U197</x:f>
        <x:v>250</x:v>
      </x:c>
      <x:c r="AA197" t="n">
        <x: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x:f>
        <x:v>1184.7688552263792</x:v>
      </x:c>
      <x:c r="AB197" t="n">
        <x:f>Scenario_Data!V197</x:f>
        <x:v>500</x:v>
      </x:c>
      <x:c r="AC197" t="n">
        <x: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x:f>
        <x:v>2748.1539582175906</x:v>
      </x:c>
      <x:c r="AD197" t="n">
        <x:f>Scenario_Data!W197</x:f>
        <x:v>500</x:v>
      </x:c>
      <x:c r="AE197" t="n">
        <x: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x:f>
        <x:v>2707.5008341153157</x:v>
      </x:c>
      <x:c r="AG197" t="n">
        <x:f>Scenario_Data!T197</x:f>
        <x:v>37.5</x:v>
      </x:c>
      <x:c r="AH197" t="n">
        <x:f>2*(SQRT((Inputs!$C$52+(Scenario_Data!B197))^2+Inputs!$C$52^2-2*(Inputs!$C$52+(Scenario_Data!B197))*Inputs!$C$52*COS(SQRT((Scenario_Data!T197)^2+Inputs!$C$6^2)/Inputs!$C$52))*1000)/Inputs!$C$21*1000000</x:f>
        <x:v>2700.065789554835</x:v>
      </x:c>
      <x:c r="AI197" t="n">
        <x:f>Scenario_Data!U197</x:f>
        <x:v>250</x:v>
      </x:c>
      <x:c r="AJ197" t="n">
        <x:f>2*(SQRT((Inputs!$C$52+(Scenario_Data!C197))^2+Inputs!$C$52^2-2*(Inputs!$C$52+(Scenario_Data!C197))*Inputs!$C$52*COS(SQRT((Scenario_Data!U197)^2+Inputs!$C$6^2)/Inputs!$C$52))*1000)/Inputs!$C$21*1000000</x:f>
        <x:v>2127.3887833117165</x:v>
      </x:c>
      <x:c r="AK197" t="n">
        <x:f>Scenario_Data!V197</x:f>
        <x:v>500</x:v>
      </x:c>
      <x:c r="AL197" t="n">
        <x:f>2*(SQRT((Inputs!$C$52+(Scenario_Data!D197))^2+Inputs!$C$52^2-2*(Inputs!$C$52+(Scenario_Data!D197))*Inputs!$C$52*COS(SQRT((Scenario_Data!V197)^2+Inputs!$C$6^2)/Inputs!$C$52))*1000)/Inputs!$C$21*1000000</x:f>
        <x:v>4640.130126474501</x:v>
      </x:c>
      <x:c r="AM197" t="n">
        <x:f>Scenario_Data!W197</x:f>
        <x:v>500</x:v>
      </x:c>
      <x:c r="AN197" t="n">
        <x:f>2*(SQRT((Inputs!$C$52+(Scenario_Data!E197))^2+Inputs!$C$52^2-2*(Inputs!$C$52+(Scenario_Data!E197))*Inputs!$C$52*COS(SQRT((Scenario_Data!W197)^2+Inputs!$C$6^2)/Inputs!$C$52))*1000)/Inputs!$C$21*1000000</x:f>
        <x:v>4611.489216623593</x:v>
      </x:c>
      <x:c r="AP197" t="n">
        <x:f>Scenario_Data!T197</x:f>
        <x:v>37.5</x:v>
      </x:c>
      <x:c r="AQ197" t="n">
        <x: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x:f>
        <x:v>2698.211716438776</x:v>
      </x:c>
      <x:c r="AR197" t="n">
        <x:f>Scenario_Data!U197</x:f>
        <x:v>250</x:v>
      </x:c>
      <x:c r="AS197" t="n">
        <x: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x:f>
        <x:v>2127.089015227387</x:v>
      </x:c>
      <x:c r="AT197" t="n">
        <x:f>Scenario_Data!V197</x:f>
        <x:v>500</x:v>
      </x:c>
      <x:c r="AU197" t="n">
        <x: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x:f>
        <x:v>4639.808507150277</x:v>
      </x:c>
      <x:c r="AV197" t="n">
        <x:f>Scenario_Data!W197</x:f>
        <x:v>500</x:v>
      </x:c>
      <x:c r="AW197" t="n">
        <x: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x:f>
        <x:v>4611.171611868267</x:v>
      </x:c>
    </x:row>
    <x:row r="198">
      <x:c r="A198" t="n">
        <x:f>Chart_Data!K198</x:f>
        <x:v>38</x:v>
      </x:c>
      <x:c r="B198" t="n">
        <x:f>Chart_Data!N198-Chart_Data!L198</x:f>
        <x:v>-77.72439146435559</x:v>
      </x:c>
      <x:c r="D198" t="n">
        <x:f>Chart_Data!G198</x:f>
        <x:v>38</x:v>
      </x:c>
      <x:c r="E198" t="n">
        <x:f>Chart_Data!H198</x:f>
        <x:v>282.3717678695042</x:v>
      </x:c>
      <x:c r="F198" t="n">
        <x:f>Chart_Data!I198</x:f>
        <x:v>282.3717678695042</x:v>
      </x:c>
      <x:c r="G198" t="n">
        <x:f>Chart_Data!J198</x:f>
        <x:v>74.89136844725374</x:v>
      </x:c>
      <x:c r="I198" t="n">
        <x:f>Scenario_Data!A198</x:f>
        <x:v>0.633</x:v>
      </x:c>
      <x:c r="J198" t="n">
        <x:f>Scenario_Data!H198-(((SQRT((Inputs!$C$52+(Inputs!$H$6))^2+Inputs!$C$52^2-2*(Inputs!$C$52+(Inputs!$H$6))*Inputs!$C$52*COS(SQRT((Scenario_Data!T198)^2+Inputs!$C$6^2)/Inputs!$C$52)))-(Inputs!$H$6))*1000/Inputs!$C$12)</x:f>
        <x:v>-5.718636339065142</x:v>
      </x:c>
      <x:c r="K198" t="n">
        <x:f>Scenario_Data!I198-(((SQRT((Inputs!$C$52+(Inputs!$H$7))^2+Inputs!$C$52^2-2*(Inputs!$C$52+(Inputs!$H$7))*Inputs!$C$52*COS(SQRT((Scenario_Data!U198)^2+Inputs!$C$6^2)/Inputs!$C$52)))-(Inputs!$H$7))*1000/Inputs!$C$12)</x:f>
        <x:v>-45873.67978905518</x:v>
      </x:c>
      <x:c r="L198" t="n">
        <x:f>Scenario_Data!J198-(((SQRT((Inputs!$C$52+(Inputs!$H$8))^2+Inputs!$C$52^2-2*(Inputs!$C$52+(Inputs!$H$8))*Inputs!$C$52*COS(SQRT((Scenario_Data!V198)^2+Inputs!$C$6^2)/Inputs!$C$52)))-(Inputs!$H$8))*1000/Inputs!$C$12)</x:f>
        <x:v>-106824.4548063119</x:v>
      </x:c>
      <x:c r="M198" t="n">
        <x:f>Scenario_Data!K198-(((SQRT((Inputs!$C$52+(Inputs!$H$9))^2+Inputs!$C$52^2-2*(Inputs!$C$52+(Inputs!$H$9))*Inputs!$C$52*COS(SQRT((Scenario_Data!W198)^2+Inputs!$C$6^2)/Inputs!$C$52)))-(Inputs!$H$9))*1000/Inputs!$C$12)</x:f>
        <x:v>-110232.99428005761</x:v>
      </x:c>
      <x:c r="O198" t="n">
        <x:f>Scenario_Data!T198</x:f>
        <x:v>37.980000000000004</x:v>
      </x:c>
      <x:c r="P198" t="n">
        <x:f>2*(Scenario_Data!B198*1000)/Inputs!$C$21*1000000</x:f>
        <x:v>2679.205198684485</x:v>
      </x:c>
      <x:c r="Q198" t="n">
        <x:f>Scenario_Data!U198</x:f>
        <x:v>253.20000000000005</x:v>
      </x:c>
      <x:c r="R198" t="n">
        <x:f>2*(Scenario_Data!C198*1000)/Inputs!$C$21*1000000</x:f>
        <x:v>1209.1797519469292</x:v>
      </x:c>
      <x:c r="S198" t="n">
        <x:f>Scenario_Data!V198</x:f>
        <x:v>506.4000000000001</x:v>
      </x:c>
      <x:c r="T198" t="n">
        <x:f>2*(Scenario_Data!D198*1000)/Inputs!$C$21*1000000</x:f>
        <x:v>2813.0453168371578</x:v>
      </x:c>
      <x:c r="U198" t="n">
        <x:f>Scenario_Data!W198</x:f>
        <x:v>506.4000000000001</x:v>
      </x:c>
      <x:c r="V198" t="n">
        <x:f>2*(Scenario_Data!E198*1000)/Inputs!$C$21*1000000</x:f>
        <x:v>2773.0635905456975</x:v>
      </x:c>
      <x:c r="X198" t="n">
        <x:f>Scenario_Data!T198</x:f>
        <x:v>37.980000000000004</x:v>
      </x:c>
      <x:c r="Y198" t="n">
        <x: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x:f>
        <x:v>2678.7296092144975</x:v>
      </x:c>
      <x:c r="Z198" t="n">
        <x:f>Scenario_Data!U198</x:f>
        <x:v>253.20000000000005</x:v>
      </x:c>
      <x:c r="AA198" t="n">
        <x: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x:f>
        <x:v>1208.9011254281424</x:v>
      </x:c>
      <x:c r="AB198" t="n">
        <x:f>Scenario_Data!V198</x:f>
        <x:v>506.4000000000001</x:v>
      </x:c>
      <x:c r="AC198" t="n">
        <x: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x:f>
        <x:v>2812.643021194951</x:v>
      </x:c>
      <x:c r="AD198" t="n">
        <x:f>Scenario_Data!W198</x:f>
        <x:v>506.4000000000001</x:v>
      </x:c>
      <x:c r="AE198" t="n">
        <x: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x:f>
        <x:v>2772.661294903491</x:v>
      </x:c>
      <x:c r="AG198" t="n">
        <x:f>Scenario_Data!T198</x:f>
        <x:v>37.980000000000004</x:v>
      </x:c>
      <x:c r="AH198" t="n">
        <x:f>2*(SQRT((Inputs!$C$52+(Scenario_Data!B198))^2+Inputs!$C$52^2-2*(Inputs!$C$52+(Scenario_Data!B198))*Inputs!$C$52*COS(SQRT((Scenario_Data!T198)^2+Inputs!$C$6^2)/Inputs!$C$52))*1000)/Inputs!$C$21*1000000</x:f>
        <x:v>2700.7079925706203</x:v>
      </x:c>
      <x:c r="AI198" t="n">
        <x:f>Scenario_Data!U198</x:f>
        <x:v>253.20000000000005</x:v>
      </x:c>
      <x:c r="AJ198" t="n">
        <x:f>2*(SQRT((Inputs!$C$52+(Scenario_Data!C198))^2+Inputs!$C$52^2-2*(Inputs!$C$52+(Scenario_Data!C198))*Inputs!$C$52*COS(SQRT((Scenario_Data!U198)^2+Inputs!$C$6^2)/Inputs!$C$52))*1000)/Inputs!$C$21*1000000</x:f>
        <x:v>2161.1762766414804</x:v>
      </x:c>
      <x:c r="AK198" t="n">
        <x:f>Scenario_Data!V198</x:f>
        <x:v>506.4000000000001</x:v>
      </x:c>
      <x:c r="AL198" t="n">
        <x:f>2*(SQRT((Inputs!$C$52+(Scenario_Data!D198))^2+Inputs!$C$52^2-2*(Inputs!$C$52+(Scenario_Data!D198))*Inputs!$C$52*COS(SQRT((Scenario_Data!V198)^2+Inputs!$C$6^2)/Inputs!$C$52))*1000)/Inputs!$C$21*1000000</x:f>
        <x:v>4724.1667239784065</x:v>
      </x:c>
      <x:c r="AM198" t="n">
        <x:f>Scenario_Data!W198</x:f>
        <x:v>506.4000000000001</x:v>
      </x:c>
      <x:c r="AN198" t="n">
        <x:f>2*(SQRT((Inputs!$C$52+(Scenario_Data!E198))^2+Inputs!$C$52^2-2*(Inputs!$C$52+(Scenario_Data!E198))*Inputs!$C$52*COS(SQRT((Scenario_Data!W198)^2+Inputs!$C$6^2)/Inputs!$C$52))*1000)/Inputs!$C$21*1000000</x:f>
        <x:v>4695.8346660074885</x:v>
      </x:c>
      <x:c r="AP198" t="n">
        <x:f>Scenario_Data!T198</x:f>
        <x:v>37.980000000000004</x:v>
      </x:c>
      <x:c r="AQ198" t="n">
        <x: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x:f>
        <x:v>2698.7445748679534</x:v>
      </x:c>
      <x:c r="AR198" t="n">
        <x:f>Scenario_Data!U198</x:f>
        <x:v>253.20000000000005</x:v>
      </x:c>
      <x:c r="AS198" t="n">
        <x: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x:f>
        <x:v>2160.681927524224</x:v>
      </x:c>
      <x:c r="AT198" t="n">
        <x:f>Scenario_Data!V198</x:f>
        <x:v>506.4000000000001</x:v>
      </x:c>
      <x:c r="AU198" t="n">
        <x: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x:f>
        <x:v>4723.475434804295</x:v>
      </x:c>
      <x:c r="AV198" t="n">
        <x:f>Scenario_Data!W198</x:f>
        <x:v>506.4000000000001</x:v>
      </x:c>
      <x:c r="AW198" t="n">
        <x: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x:f>
        <x:v>4695.15163279323</x:v>
      </x:c>
    </x:row>
    <x:row r="199">
      <x:c r="A199" t="n">
        <x:f>Chart_Data!K199</x:f>
        <x:v>38.5</x:v>
      </x:c>
      <x:c r="B199" t="n">
        <x:f>Chart_Data!N199-Chart_Data!L199</x:f>
        <x:v>-84.40826877550307</x:v>
      </x:c>
      <x:c r="D199" t="n">
        <x:f>Chart_Data!G199</x:f>
        <x:v>38.5</x:v>
      </x:c>
      <x:c r="E199" t="n">
        <x:f>Chart_Data!H199</x:f>
        <x:v>311.18191933727104</x:v>
      </x:c>
      <x:c r="F199" t="n">
        <x:f>Chart_Data!I199</x:f>
        <x:v>311.18191933727104</x:v>
      </x:c>
      <x:c r="G199" t="n">
        <x:f>Chart_Data!J199</x:f>
        <x:v>81.22943665181958</x:v>
      </x:c>
      <x:c r="I199" t="n">
        <x:f>Scenario_Data!A199</x:f>
        <x:v>0.642</x:v>
      </x:c>
      <x:c r="J199" t="n">
        <x:f>Scenario_Data!H199-(((SQRT((Inputs!$C$52+(Inputs!$H$6))^2+Inputs!$C$52^2-2*(Inputs!$C$52+(Inputs!$H$6))*Inputs!$C$52*COS(SQRT((Scenario_Data!T199)^2+Inputs!$C$6^2)/Inputs!$C$52)))-(Inputs!$H$6))*1000/Inputs!$C$12)</x:f>
        <x:v>-5.997700776976217</x:v>
      </x:c>
      <x:c r="K199" t="n">
        <x:f>Scenario_Data!I199-(((SQRT((Inputs!$C$52+(Inputs!$H$7))^2+Inputs!$C$52^2-2*(Inputs!$C$52+(Inputs!$H$7))*Inputs!$C$52*COS(SQRT((Scenario_Data!U199)^2+Inputs!$C$6^2)/Inputs!$C$52)))-(Inputs!$H$7))*1000/Inputs!$C$12)</x:f>
        <x:v>-47010.23695345006</x:v>
      </x:c>
      <x:c r="L199" t="n">
        <x:f>Scenario_Data!J199-(((SQRT((Inputs!$C$52+(Inputs!$H$8))^2+Inputs!$C$52^2-2*(Inputs!$C$52+(Inputs!$H$8))*Inputs!$C$52*COS(SQRT((Scenario_Data!V199)^2+Inputs!$C$6^2)/Inputs!$C$52)))-(Inputs!$H$8))*1000/Inputs!$C$12)</x:f>
        <x:v>-109023.11773384197</x:v>
      </x:c>
      <x:c r="M199" t="n">
        <x:f>Scenario_Data!K199-(((SQRT((Inputs!$C$52+(Inputs!$H$9))^2+Inputs!$C$52^2-2*(Inputs!$C$52+(Inputs!$H$9))*Inputs!$C$52*COS(SQRT((Scenario_Data!W199)^2+Inputs!$C$6^2)/Inputs!$C$52)))-(Inputs!$H$9))*1000/Inputs!$C$12)</x:f>
        <x:v>-112457.3512933722</x:v>
      </x:c>
      <x:c r="O199" t="n">
        <x:f>Scenario_Data!T199</x:f>
        <x:v>38.519999999999996</x:v>
      </x:c>
      <x:c r="P199" t="n">
        <x:f>2*(Scenario_Data!B199*1000)/Inputs!$C$21*1000000</x:f>
        <x:v>2679.5114105238763</x:v>
      </x:c>
      <x:c r="Q199" t="n">
        <x:f>Scenario_Data!U199</x:f>
        <x:v>256.79999999999995</x:v>
      </x:c>
      <x:c r="R199" t="n">
        <x:f>2*(Scenario_Data!C199*1000)/Inputs!$C$21*1000000</x:f>
        <x:v>1237.1215822914396</x:v>
      </x:c>
      <x:c r="S199" t="n">
        <x:f>Scenario_Data!V199</x:f>
        <x:v>513.5999999999999</x:v>
      </x:c>
      <x:c r="T199" t="n">
        <x:f>2*(Scenario_Data!D199*1000)/Inputs!$C$21*1000000</x:f>
        <x:v>2886.918923090452</x:v>
      </x:c>
      <x:c r="U199" t="n">
        <x:f>Scenario_Data!W199</x:f>
        <x:v>513.5999999999999</x:v>
      </x:c>
      <x:c r="V199" t="n">
        <x:f>2*(Scenario_Data!E199*1000)/Inputs!$C$21*1000000</x:f>
        <x:v>2847.7027263974724</x:v>
      </x:c>
      <x:c r="X199" t="n">
        <x:f>Scenario_Data!T199</x:f>
        <x:v>38.519999999999996</x:v>
      </x:c>
      <x:c r="Y199" t="n">
        <x: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x:f>
        <x:v>2678.9468219985</x:v>
      </x:c>
      <x:c r="Z199" t="n">
        <x:f>Scenario_Data!U199</x:f>
        <x:v>256.79999999999995</x:v>
      </x:c>
      <x:c r="AA199" t="n">
        <x: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x:f>
        <x:v>1236.442375381141</x:v>
      </x:c>
      <x:c r="AB199" t="n">
        <x:f>Scenario_Data!V199</x:f>
        <x:v>513.5999999999999</x:v>
      </x:c>
      <x:c r="AC199" t="n">
        <x: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x:f>
        <x:v>2886.745461194615</x:v>
      </x:c>
      <x:c r="AD199" t="n">
        <x:f>Scenario_Data!W199</x:f>
        <x:v>513.5999999999999</x:v>
      </x:c>
      <x:c r="AE199" t="n">
        <x: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x:f>
        <x:v>2847.5292645016348</x:v>
      </x:c>
      <x:c r="AG199" t="n">
        <x:f>Scenario_Data!T199</x:f>
        <x:v>38.519999999999996</x:v>
      </x:c>
      <x:c r="AH199" t="n">
        <x:f>2*(SQRT((Inputs!$C$52+(Scenario_Data!B199))^2+Inputs!$C$52^2-2*(Inputs!$C$52+(Scenario_Data!B199))*Inputs!$C$52*COS(SQRT((Scenario_Data!T199)^2+Inputs!$C$6^2)/Inputs!$C$52))*1000)/Inputs!$C$21*1000000</x:f>
        <x:v>2701.440098131209</x:v>
      </x:c>
      <x:c r="AI199" t="n">
        <x:f>Scenario_Data!U199</x:f>
        <x:v>256.79999999999995</x:v>
      </x:c>
      <x:c r="AJ199" t="n">
        <x:f>2*(SQRT((Inputs!$C$52+(Scenario_Data!C199))^2+Inputs!$C$52^2-2*(Inputs!$C$52+(Scenario_Data!C199))*Inputs!$C$52*COS(SQRT((Scenario_Data!U199)^2+Inputs!$C$6^2)/Inputs!$C$52))*1000)/Inputs!$C$21*1000000</x:f>
        <x:v>2199.4914513372773</x:v>
      </x:c>
      <x:c r="AK199" t="n">
        <x:f>Scenario_Data!V199</x:f>
        <x:v>513.5999999999999</x:v>
      </x:c>
      <x:c r="AL199" t="n">
        <x:f>2*(SQRT((Inputs!$C$52+(Scenario_Data!D199))^2+Inputs!$C$52^2-2*(Inputs!$C$52+(Scenario_Data!D199))*Inputs!$C$52*COS(SQRT((Scenario_Data!V199)^2+Inputs!$C$6^2)/Inputs!$C$52))*1000)/Inputs!$C$21*1000000</x:f>
        <x:v>4819.683887182147</x:v>
      </x:c>
      <x:c r="AM199" t="n">
        <x:f>Scenario_Data!W199</x:f>
        <x:v>513.5999999999999</x:v>
      </x:c>
      <x:c r="AN199" t="n">
        <x:f>2*(SQRT((Inputs!$C$52+(Scenario_Data!E199))^2+Inputs!$C$52^2-2*(Inputs!$C$52+(Scenario_Data!E199))*Inputs!$C$52*COS(SQRT((Scenario_Data!W199)^2+Inputs!$C$6^2)/Inputs!$C$52))*1000)/Inputs!$C$21*1000000</x:f>
        <x:v>4791.715932694854</x:v>
      </x:c>
      <x:c r="AP199" t="n">
        <x:f>Scenario_Data!T199</x:f>
        <x:v>38.519999999999996</x:v>
      </x:c>
      <x:c r="AQ199" t="n">
        <x: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x:f>
        <x:v>2699.550750181976</x:v>
      </x:c>
      <x:c r="AR199" t="n">
        <x:f>Scenario_Data!U199</x:f>
        <x:v>256.79999999999995</x:v>
      </x:c>
      <x:c r="AS199" t="n">
        <x: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x:f>
        <x:v>2198.86700095953</x:v>
      </x:c>
      <x:c r="AT199" t="n">
        <x:f>Scenario_Data!V199</x:f>
        <x:v>513.5999999999999</x:v>
      </x:c>
      <x:c r="AU199" t="n">
        <x: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x:f>
        <x:v>4819.254362723023</x:v>
      </x:c>
      <x:c r="AV199" t="n">
        <x:f>Scenario_Data!W199</x:f>
        <x:v>513.5999999999999</x:v>
      </x:c>
      <x:c r="AW199" t="n">
        <x: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x:f>
        <x:v>4791.291285020115</x:v>
      </x:c>
    </x:row>
    <x:row r="200">
      <x:c r="A200" t="n">
        <x:f>Chart_Data!K200</x:f>
        <x:v>39</x:v>
      </x:c>
      <x:c r="B200" t="n">
        <x:f>Chart_Data!N200-Chart_Data!L200</x:f>
        <x:v>-85.90700470954434</x:v>
      </x:c>
      <x:c r="D200" t="n">
        <x:f>Chart_Data!G200</x:f>
        <x:v>39</x:v>
      </x:c>
      <x:c r="E200" t="n">
        <x:f>Chart_Data!H200</x:f>
        <x:v>302.8435496777789</x:v>
      </x:c>
      <x:c r="F200" t="n">
        <x:f>Chart_Data!I200</x:f>
        <x:v>302.8435496777789</x:v>
      </x:c>
      <x:c r="G200" t="n">
        <x:f>Chart_Data!J200</x:f>
        <x:v>82.75771702731363</x:v>
      </x:c>
      <x:c r="I200" t="n">
        <x:f>Scenario_Data!A200</x:f>
        <x:v>0.65</x:v>
      </x:c>
      <x:c r="J200" t="n">
        <x:f>Scenario_Data!H200-(((SQRT((Inputs!$C$52+(Inputs!$H$6))^2+Inputs!$C$52^2-2*(Inputs!$C$52+(Inputs!$H$6))*Inputs!$C$52*COS(SQRT((Scenario_Data!T200)^2+Inputs!$C$6^2)/Inputs!$C$52)))-(Inputs!$H$6))*1000/Inputs!$C$12)</x:f>
        <x:v>-6.254485391421895</x:v>
      </x:c>
      <x:c r="K200" t="n">
        <x:f>Scenario_Data!I200-(((SQRT((Inputs!$C$52+(Inputs!$H$7))^2+Inputs!$C$52^2-2*(Inputs!$C$52+(Inputs!$H$7))*Inputs!$C$52*COS(SQRT((Scenario_Data!U200)^2+Inputs!$C$6^2)/Inputs!$C$52)))-(Inputs!$H$7))*1000/Inputs!$C$12)</x:f>
        <x:v>-48025.954152811115</x:v>
      </x:c>
      <x:c r="L200" t="n">
        <x:f>Scenario_Data!J200-(((SQRT((Inputs!$C$52+(Inputs!$H$8))^2+Inputs!$C$52^2-2*(Inputs!$C$52+(Inputs!$H$8))*Inputs!$C$52*COS(SQRT((Scenario_Data!V200)^2+Inputs!$C$6^2)/Inputs!$C$52)))-(Inputs!$H$8))*1000/Inputs!$C$12)</x:f>
        <x:v>-110976.85216755129</x:v>
      </x:c>
      <x:c r="M200" t="n">
        <x:f>Scenario_Data!K200-(((SQRT((Inputs!$C$52+(Inputs!$H$9))^2+Inputs!$C$52^2-2*(Inputs!$C$52+(Inputs!$H$9))*Inputs!$C$52*COS(SQRT((Scenario_Data!W200)^2+Inputs!$C$6^2)/Inputs!$C$52)))-(Inputs!$H$9))*1000/Inputs!$C$12)</x:f>
        <x:v>-114433.34492030981</x:v>
      </x:c>
      <x:c r="O200" t="n">
        <x:f>Scenario_Data!T200</x:f>
        <x:v>39</x:v>
      </x:c>
      <x:c r="P200" t="n">
        <x:f>2*(Scenario_Data!B200*1000)/Inputs!$C$21*1000000</x:f>
        <x:v>2679.7872280029137</x:v>
      </x:c>
      <x:c r="Q200" t="n">
        <x:f>Scenario_Data!U200</x:f>
        <x:v>260</x:v>
      </x:c>
      <x:c r="R200" t="n">
        <x:f>2*(Scenario_Data!C200*1000)/Inputs!$C$21*1000000</x:f>
        <x:v>1262.2899272536067</x:v>
      </x:c>
      <x:c r="S200" t="n">
        <x:f>Scenario_Data!V200</x:f>
        <x:v>520</x:v>
      </x:c>
      <x:c r="T200" t="n">
        <x:f>2*(Scenario_Data!D200*1000)/Inputs!$C$21*1000000</x:f>
        <x:v>2953.459889908238</x:v>
      </x:c>
      <x:c r="U200" t="n">
        <x:f>Scenario_Data!W200</x:f>
        <x:v>520</x:v>
      </x:c>
      <x:c r="V200" t="n">
        <x:f>2*(Scenario_Data!E200*1000)/Inputs!$C$21*1000000</x:f>
        <x:v>2914.9332369128515</x:v>
      </x:c>
      <x:c r="X200" t="n">
        <x:f>Scenario_Data!T200</x:f>
        <x:v>39</x:v>
      </x:c>
      <x:c r="Y200" t="n">
        <x: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x:f>
        <x:v>2679.2351279428963</x:v>
      </x:c>
      <x:c r="Z200" t="n">
        <x:f>Scenario_Data!U200</x:f>
        <x:v>260</x:v>
      </x:c>
      <x:c r="AA200" t="n">
        <x: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x:f>
        <x:v>1261.9553443495988</x:v>
      </x:c>
      <x:c r="AB200" t="n">
        <x:f>Scenario_Data!V200</x:f>
        <x:v>520</x:v>
      </x:c>
      <x:c r="AC200" t="n">
        <x: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x:f>
        <x:v>2953.4833326943153</x:v>
      </x:c>
      <x:c r="AD200" t="n">
        <x:f>Scenario_Data!W200</x:f>
        <x:v>520</x:v>
      </x:c>
      <x:c r="AE200" t="n">
        <x: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x:f>
        <x:v>2914.956679698929</x:v>
      </x:c>
      <x:c r="AG200" t="n">
        <x:f>Scenario_Data!T200</x:f>
        <x:v>39</x:v>
      </x:c>
      <x:c r="AH200" t="n">
        <x:f>2*(SQRT((Inputs!$C$52+(Scenario_Data!B200))^2+Inputs!$C$52^2-2*(Inputs!$C$52+(Scenario_Data!B200))*Inputs!$C$52*COS(SQRT((Scenario_Data!T200)^2+Inputs!$C$6^2)/Inputs!$C$52))*1000)/Inputs!$C$21*1000000</x:f>
        <x:v>2702.0994114328023</x:v>
      </x:c>
      <x:c r="AI200" t="n">
        <x:f>Scenario_Data!U200</x:f>
        <x:v>260</x:v>
      </x:c>
      <x:c r="AJ200" t="n">
        <x:f>2*(SQRT((Inputs!$C$52+(Scenario_Data!C200))^2+Inputs!$C$52^2-2*(Inputs!$C$52+(Scenario_Data!C200))*Inputs!$C$52*COS(SQRT((Scenario_Data!U200)^2+Inputs!$C$6^2)/Inputs!$C$52))*1000)/Inputs!$C$21*1000000</x:f>
        <x:v>2233.821564177517</x:v>
      </x:c>
      <x:c r="AK200" t="n">
        <x:f>Scenario_Data!V200</x:f>
        <x:v>520</x:v>
      </x:c>
      <x:c r="AL200" t="n">
        <x:f>2*(SQRT((Inputs!$C$52+(Scenario_Data!D200))^2+Inputs!$C$52^2-2*(Inputs!$C$52+(Scenario_Data!D200))*Inputs!$C$52*COS(SQRT((Scenario_Data!V200)^2+Inputs!$C$6^2)/Inputs!$C$52))*1000)/Inputs!$C$21*1000000</x:f>
        <x:v>4905.459604666784</x:v>
      </x:c>
      <x:c r="AM200" t="n">
        <x:f>Scenario_Data!W200</x:f>
        <x:v>520</x:v>
      </x:c>
      <x:c r="AN200" t="n">
        <x:f>2*(SQRT((Inputs!$C$52+(Scenario_Data!E200))^2+Inputs!$C$52^2-2*(Inputs!$C$52+(Scenario_Data!E200))*Inputs!$C$52*COS(SQRT((Scenario_Data!W200)^2+Inputs!$C$6^2)/Inputs!$C$52))*1000)/Inputs!$C$21*1000000</x:f>
        <x:v>4877.830054285296</x:v>
      </x:c>
      <x:c r="AP200" t="n">
        <x:f>Scenario_Data!T200</x:f>
        <x:v>39</x:v>
      </x:c>
      <x:c r="AQ200" t="n">
        <x: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x:f>
        <x:v>2700.1000665260294</x:v>
      </x:c>
      <x:c r="AR200" t="n">
        <x:f>Scenario_Data!U200</x:f>
        <x:v>260</x:v>
      </x:c>
      <x:c r="AS200" t="n">
        <x: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x:f>
        <x:v>2233.3796452003226</x:v>
      </x:c>
      <x:c r="AT200" t="n">
        <x:f>Scenario_Data!V200</x:f>
        <x:v>520</x:v>
      </x:c>
      <x:c r="AU200" t="n">
        <x: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x:f>
        <x:v>4905.006260578229</x:v>
      </x:c>
      <x:c r="AV200" t="n">
        <x:f>Scenario_Data!W200</x:f>
        <x:v>520</x:v>
      </x:c>
      <x:c r="AW200" t="n">
        <x: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x:f>
        <x:v>4877.381630844184</x:v>
      </x:c>
    </x:row>
    <x:row r="201">
      <x:c r="A201" t="n">
        <x:f>Chart_Data!K201</x:f>
        <x:v>39.5</x:v>
      </x:c>
      <x:c r="B201" t="n">
        <x:f>Chart_Data!N201-Chart_Data!L201</x:f>
        <x:v>-79.47691436011348</x:v>
      </x:c>
      <x:c r="D201" t="n">
        <x:f>Chart_Data!G201</x:f>
        <x:v>39.5</x:v>
      </x:c>
      <x:c r="E201" t="n">
        <x:f>Chart_Data!H201</x:f>
        <x:v>298.92940490783735</x:v>
      </x:c>
      <x:c r="F201" t="n">
        <x:f>Chart_Data!I201</x:f>
        <x:v>298.92940490783735</x:v>
      </x:c>
      <x:c r="G201" t="n">
        <x:f>Chart_Data!J201</x:f>
        <x:v>76.31271490051972</x:v>
      </x:c>
      <x:c r="I201" t="n">
        <x:f>Scenario_Data!A201</x:f>
        <x:v>0.658</x:v>
      </x:c>
      <x:c r="J201" t="n">
        <x:f>Scenario_Data!H201-(((SQRT((Inputs!$C$52+(Inputs!$H$6))^2+Inputs!$C$52^2-2*(Inputs!$C$52+(Inputs!$H$6))*Inputs!$C$52*COS(SQRT((Scenario_Data!T201)^2+Inputs!$C$6^2)/Inputs!$C$52)))-(Inputs!$H$6))*1000/Inputs!$C$12)</x:f>
        <x:v>-6.51967719021377</x:v>
      </x:c>
      <x:c r="K201" t="n">
        <x:f>Scenario_Data!I201-(((SQRT((Inputs!$C$52+(Inputs!$H$7))^2+Inputs!$C$52^2-2*(Inputs!$C$52+(Inputs!$H$7))*Inputs!$C$52*COS(SQRT((Scenario_Data!U201)^2+Inputs!$C$6^2)/Inputs!$C$52)))-(Inputs!$H$7))*1000/Inputs!$C$12)</x:f>
        <x:v>-49046.63482196606</x:v>
      </x:c>
      <x:c r="L201" t="n">
        <x:f>Scenario_Data!J201-(((SQRT((Inputs!$C$52+(Inputs!$H$8))^2+Inputs!$C$52^2-2*(Inputs!$C$52+(Inputs!$H$8))*Inputs!$C$52*COS(SQRT((Scenario_Data!V201)^2+Inputs!$C$6^2)/Inputs!$C$52)))-(Inputs!$H$8))*1000/Inputs!$C$12)</x:f>
        <x:v>-112929.65387596656</x:v>
      </x:c>
      <x:c r="M201" t="n">
        <x:f>Scenario_Data!K201-(((SQRT((Inputs!$C$52+(Inputs!$H$9))^2+Inputs!$C$52^2-2*(Inputs!$C$52+(Inputs!$H$9))*Inputs!$C$52*COS(SQRT((Scenario_Data!W201)^2+Inputs!$C$6^2)/Inputs!$C$52)))-(Inputs!$H$9))*1000/Inputs!$C$12)</x:f>
        <x:v>-116407.86707581836</x:v>
      </x:c>
      <x:c r="O201" t="n">
        <x:f>Scenario_Data!T201</x:f>
        <x:v>39.47999999999999</x:v>
      </x:c>
      <x:c r="P201" t="n">
        <x:f>2*(Scenario_Data!B201*1000)/Inputs!$C$21*1000000</x:f>
        <x:v>2680.0664611782863</x:v>
      </x:c>
      <x:c r="Q201" t="n">
        <x:f>Scenario_Data!U201</x:f>
        <x:v>263.19999999999993</x:v>
      </x:c>
      <x:c r="R201" t="n">
        <x:f>2*(Scenario_Data!C201*1000)/Inputs!$C$21*1000000</x:f>
        <x:v>1287.7699545063265</x:v>
      </x:c>
      <x:c r="S201" t="n">
        <x:f>Scenario_Data!V201</x:f>
        <x:v>526.3999999999999</x:v>
      </x:c>
      <x:c r="T201" t="n">
        <x:f>2*(Scenario_Data!D201*1000)/Inputs!$C$21*1000000</x:f>
        <x:v>3020.8248934667977</x:v>
      </x:c>
      <x:c r="U201" t="n">
        <x:f>Scenario_Data!W201</x:f>
        <x:v>526.3999999999999</x:v>
      </x:c>
      <x:c r="V201" t="n">
        <x:f>2*(Scenario_Data!E201*1000)/Inputs!$C$21*1000000</x:f>
        <x:v>2982.996323409842</x:v>
      </x:c>
      <x:c r="X201" t="n">
        <x:f>Scenario_Data!T201</x:f>
        <x:v>39.47999999999999</x:v>
      </x:c>
      <x:c r="Y201" t="n">
        <x: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x:f>
        <x:v>2679.5429217645637</x:v>
      </x:c>
      <x:c r="Z201" t="n">
        <x:f>Scenario_Data!U201</x:f>
        <x:v>263.19999999999993</x:v>
      </x:c>
      <x:c r="AA201" t="n">
        <x: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x:f>
        <x:v>1287.9071431225977</x:v>
      </x:c>
      <x:c r="AB201" t="n">
        <x:f>Scenario_Data!V201</x:f>
        <x:v>526.3999999999999</x:v>
      </x:c>
      <x:c r="AC201" t="n">
        <x: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x:f>
        <x:v>3020.547672175684</x:v>
      </x:c>
      <x:c r="AD201" t="n">
        <x:f>Scenario_Data!W201</x:f>
        <x:v>526.3999999999999</x:v>
      </x:c>
      <x:c r="AE201" t="n">
        <x: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x:f>
        <x:v>2982.719102118728</x:v>
      </x:c>
      <x:c r="AG201" t="n">
        <x:f>Scenario_Data!T201</x:f>
        <x:v>39.47999999999999</x:v>
      </x:c>
      <x:c r="AH201" t="n">
        <x:f>2*(SQRT((Inputs!$C$52+(Scenario_Data!B201))^2+Inputs!$C$52^2-2*(Inputs!$C$52+(Scenario_Data!B201))*Inputs!$C$52*COS(SQRT((Scenario_Data!T201)^2+Inputs!$C$6^2)/Inputs!$C$52))*1000)/Inputs!$C$21*1000000</x:f>
        <x:v>2702.766769976195</x:v>
      </x:c>
      <x:c r="AI201" t="n">
        <x:f>Scenario_Data!U201</x:f>
        <x:v>263.19999999999993</x:v>
      </x:c>
      <x:c r="AJ201" t="n">
        <x:f>2*(SQRT((Inputs!$C$52+(Scenario_Data!C201))^2+Inputs!$C$52^2-2*(Inputs!$C$52+(Scenario_Data!C201))*Inputs!$C$52*COS(SQRT((Scenario_Data!U201)^2+Inputs!$C$6^2)/Inputs!$C$52))*1000)/Inputs!$C$21*1000000</x:f>
        <x:v>2268.4094634231324</x:v>
      </x:c>
      <x:c r="AK201" t="n">
        <x:f>Scenario_Data!V201</x:f>
        <x:v>526.3999999999999</x:v>
      </x:c>
      <x:c r="AL201" t="n">
        <x:f>2*(SQRT((Inputs!$C$52+(Scenario_Data!D201))^2+Inputs!$C$52^2-2*(Inputs!$C$52+(Scenario_Data!D201))*Inputs!$C$52*COS(SQRT((Scenario_Data!V201)^2+Inputs!$C$6^2)/Inputs!$C$52))*1000)/Inputs!$C$21*1000000</x:f>
        <x:v>4992.0593057230435</x:v>
      </x:c>
      <x:c r="AM201" t="n">
        <x:f>Scenario_Data!W201</x:f>
        <x:v>526.3999999999999</x:v>
      </x:c>
      <x:c r="AN201" t="n">
        <x:f>2*(SQRT((Inputs!$C$52+(Scenario_Data!E201))^2+Inputs!$C$52^2-2*(Inputs!$C$52+(Scenario_Data!E201))*Inputs!$C$52*COS(SQRT((Scenario_Data!W201)^2+Inputs!$C$6^2)/Inputs!$C$52))*1000)/Inputs!$C$21*1000000</x:f>
        <x:v>4964.7820081571645</x:v>
      </x:c>
      <x:c r="AP201" t="n">
        <x:f>Scenario_Data!T201</x:f>
        <x:v>39.47999999999999</x:v>
      </x:c>
      <x:c r="AQ201" t="n">
        <x: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x:f>
        <x:v>2700.798934050626</x:v>
      </x:c>
      <x:c r="AR201" t="n">
        <x:f>Scenario_Data!U201</x:f>
        <x:v>263.19999999999993</x:v>
      </x:c>
      <x:c r="AS201" t="n">
        <x: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x:f>
        <x:v>2268.093572924754</x:v>
      </x:c>
      <x:c r="AT201" t="n">
        <x:f>Scenario_Data!V201</x:f>
        <x:v>526.3999999999999</x:v>
      </x:c>
      <x:c r="AU201" t="n">
        <x: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x:f>
        <x:v>4991.48938144948</x:v>
      </x:c>
      <x:c r="AV201" t="n">
        <x:f>Scenario_Data!W201</x:f>
        <x:v>526.3999999999999</x:v>
      </x:c>
      <x:c r="AW201" t="n">
        <x: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x:f>
        <x:v>4964.217996293782</x:v>
      </x:c>
    </x:row>
    <x:row r="202">
      <x:c r="A202" t="n">
        <x:f>Chart_Data!K202</x:f>
        <x:v>40</x:v>
      </x:c>
      <x:c r="B202" t="n">
        <x:f>Chart_Data!N202-Chart_Data!L202</x:f>
        <x:v>-69.5501227158025</x:v>
      </x:c>
      <x:c r="D202" t="n">
        <x:f>Chart_Data!G202</x:f>
        <x:v>40</x:v>
      </x:c>
      <x:c r="E202" t="n">
        <x:f>Chart_Data!H202</x:f>
        <x:v>304.82117281231683</x:v>
      </x:c>
      <x:c r="F202" t="n">
        <x:f>Chart_Data!I202</x:f>
        <x:v>304.82117281231683</x:v>
      </x:c>
      <x:c r="G202" t="n">
        <x:f>Chart_Data!J202</x:f>
        <x:v>66.26609020115302</x:v>
      </x:c>
      <x:c r="I202" t="n">
        <x:f>Scenario_Data!A202</x:f>
        <x:v>0.667</x:v>
      </x:c>
      <x:c r="J202" t="n">
        <x:f>Scenario_Data!H202-(((SQRT((Inputs!$C$52+(Inputs!$H$6))^2+Inputs!$C$52^2-2*(Inputs!$C$52+(Inputs!$H$6))*Inputs!$C$52*COS(SQRT((Scenario_Data!T202)^2+Inputs!$C$6^2)/Inputs!$C$52)))-(Inputs!$H$6))*1000/Inputs!$C$12)</x:f>
        <x:v>-6.828300748499714</x:v>
      </x:c>
      <x:c r="K202" t="n">
        <x:f>Scenario_Data!I202-(((SQRT((Inputs!$C$52+(Inputs!$H$7))^2+Inputs!$C$52^2-2*(Inputs!$C$52+(Inputs!$H$7))*Inputs!$C$52*COS(SQRT((Scenario_Data!U202)^2+Inputs!$C$6^2)/Inputs!$C$52)))-(Inputs!$H$7))*1000/Inputs!$C$12)</x:f>
        <x:v>-50200.64516336979</x:v>
      </x:c>
      <x:c r="L202" t="n">
        <x:f>Scenario_Data!J202-(((SQRT((Inputs!$C$52+(Inputs!$H$8))^2+Inputs!$C$52^2-2*(Inputs!$C$52+(Inputs!$H$8))*Inputs!$C$52*COS(SQRT((Scenario_Data!V202)^2+Inputs!$C$6^2)/Inputs!$C$52)))-(Inputs!$H$8))*1000/Inputs!$C$12)</x:f>
        <x:v>-115125.04934461691</x:v>
      </x:c>
      <x:c r="M202" t="n">
        <x:f>Scenario_Data!K202-(((SQRT((Inputs!$C$52+(Inputs!$H$9))^2+Inputs!$C$52^2-2*(Inputs!$C$52+(Inputs!$H$9))*Inputs!$C$52*COS(SQRT((Scenario_Data!W202)^2+Inputs!$C$6^2)/Inputs!$C$52)))-(Inputs!$H$9))*1000/Inputs!$C$12)</x:f>
        <x:v>-118627.06266188357</x:v>
      </x:c>
      <x:c r="O202" t="n">
        <x:f>Scenario_Data!T202</x:f>
        <x:v>40.019999999999996</x:v>
      </x:c>
      <x:c r="P202" t="n">
        <x:f>2*(Scenario_Data!B202*1000)/Inputs!$C$21*1000000</x:f>
        <x:v>2680.3846813251052</x:v>
      </x:c>
      <x:c r="Q202" t="n">
        <x:f>Scenario_Data!U202</x:f>
        <x:v>266.80000000000007</x:v>
      </x:c>
      <x:c r="R202" t="n">
        <x:f>2*(Scenario_Data!C202*1000)/Inputs!$C$21*1000000</x:f>
        <x:v>1316.8075429035648</x:v>
      </x:c>
      <x:c r="S202" t="n">
        <x:f>Scenario_Data!V202</x:f>
        <x:v>533.6000000000001</x:v>
      </x:c>
      <x:c r="T202" t="n">
        <x:f>2*(Scenario_Data!D202*1000)/Inputs!$C$21*1000000</x:f>
        <x:v>3097.5955038868938</x:v>
      </x:c>
      <x:c r="U202" t="n">
        <x:f>Scenario_Data!W202</x:f>
        <x:v>533.6000000000001</x:v>
      </x:c>
      <x:c r="V202" t="n">
        <x:f>2*(Scenario_Data!E202*1000)/Inputs!$C$21*1000000</x:f>
        <x:v>3060.562484196985</x:v>
      </x:c>
      <x:c r="X202" t="n">
        <x:f>Scenario_Data!T202</x:f>
        <x:v>40.019999999999996</x:v>
      </x:c>
      <x:c r="Y202" t="n">
        <x: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x:f>
        <x:v>2679.910579902679</x:v>
      </x:c>
      <x:c r="Z202" t="n">
        <x:f>Scenario_Data!U202</x:f>
        <x:v>266.80000000000007</x:v>
      </x:c>
      <x:c r="AA202" t="n">
        <x: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x:f>
        <x:v>1316.7488441310127</x:v>
      </x:c>
      <x:c r="AB202" t="n">
        <x:f>Scenario_Data!V202</x:f>
        <x:v>533.6000000000001</x:v>
      </x:c>
      <x:c r="AC202" t="n">
        <x: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x:f>
        <x:v>3097.7527678159954</x:v>
      </x:c>
      <x:c r="AD202" t="n">
        <x:f>Scenario_Data!W202</x:f>
        <x:v>533.6000000000001</x:v>
      </x:c>
      <x:c r="AE202" t="n">
        <x: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x:f>
        <x:v>3060.7197481260864</x:v>
      </x:c>
      <x:c r="AG202" t="n">
        <x:f>Scenario_Data!T202</x:f>
        <x:v>40.019999999999996</x:v>
      </x:c>
      <x:c r="AH202" t="n">
        <x:f>2*(SQRT((Inputs!$C$52+(Scenario_Data!B202))^2+Inputs!$C$52^2-2*(Inputs!$C$52+(Scenario_Data!B202))*Inputs!$C$52*COS(SQRT((Scenario_Data!T202)^2+Inputs!$C$6^2)/Inputs!$C$52))*1000)/Inputs!$C$21*1000000</x:f>
        <x:v>2703.527159526966</x:v>
      </x:c>
      <x:c r="AI202" t="n">
        <x:f>Scenario_Data!U202</x:f>
        <x:v>266.80000000000007</x:v>
      </x:c>
      <x:c r="AJ202" t="n">
        <x:f>2*(SQRT((Inputs!$C$52+(Scenario_Data!C202))^2+Inputs!$C$52^2-2*(Inputs!$C$52+(Scenario_Data!C202))*Inputs!$C$52*COS(SQRT((Scenario_Data!U202)^2+Inputs!$C$6^2)/Inputs!$C$52))*1000)/Inputs!$C$21*1000000</x:f>
        <x:v>2307.6308927499517</x:v>
      </x:c>
      <x:c r="AK202" t="n">
        <x:f>Scenario_Data!V202</x:f>
        <x:v>533.6000000000001</x:v>
      </x:c>
      <x:c r="AL202" t="n">
        <x:f>2*(SQRT((Inputs!$C$52+(Scenario_Data!D202))^2+Inputs!$C$52^2-2*(Inputs!$C$52+(Scenario_Data!D202))*Inputs!$C$52*COS(SQRT((Scenario_Data!V202)^2+Inputs!$C$6^2)/Inputs!$C$52))*1000)/Inputs!$C$21*1000000</x:f>
        <x:v>5090.473156276304</x:v>
      </x:c>
      <x:c r="AM202" t="n">
        <x:f>Scenario_Data!W202</x:f>
        <x:v>533.6000000000001</x:v>
      </x:c>
      <x:c r="AN202" t="n">
        <x:f>2*(SQRT((Inputs!$C$52+(Scenario_Data!E202))^2+Inputs!$C$52^2-2*(Inputs!$C$52+(Scenario_Data!E202))*Inputs!$C$52*COS(SQRT((Scenario_Data!W202)^2+Inputs!$C$6^2)/Inputs!$C$52))*1000)/Inputs!$C$21*1000000</x:f>
        <x:v>5063.608645679323</x:v>
      </x:c>
      <x:c r="AP202" t="n">
        <x:f>Scenario_Data!T202</x:f>
        <x:v>40.019999999999996</x:v>
      </x:c>
      <x:c r="AQ202" t="n">
        <x: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x:f>
        <x:v>2701.6135071673953</x:v>
      </x:c>
      <x:c r="AR202" t="n">
        <x:f>Scenario_Data!U202</x:f>
        <x:v>266.80000000000007</x:v>
      </x:c>
      <x:c r="AS202" t="n">
        <x: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x:f>
        <x:v>2307.269279658743</x:v>
      </x:c>
      <x:c r="AT202" t="n">
        <x:f>Scenario_Data!V202</x:f>
        <x:v>533.6000000000001</x:v>
      </x:c>
      <x:c r="AU202" t="n">
        <x: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x:f>
        <x:v>5090.147049793061</x:v>
      </x:c>
      <x:c r="AV202" t="n">
        <x:f>Scenario_Data!W202</x:f>
        <x:v>533.6000000000001</x:v>
      </x:c>
      <x:c r="AW202" t="n">
        <x: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x:f>
        <x:v>5063.28575218447</x:v>
      </x:c>
    </x:row>
    <x:row r="203">
      <x:c r="A203" t="n">
        <x:f>Chart_Data!K203</x:f>
        <x:v>40.5</x:v>
      </x:c>
      <x:c r="B203" t="n">
        <x:f>Chart_Data!N203-Chart_Data!L203</x:f>
        <x:v>-63.449089898240885</x:v>
      </x:c>
      <x:c r="D203" t="n">
        <x:f>Chart_Data!G203</x:f>
        <x:v>40.5</x:v>
      </x:c>
      <x:c r="E203" t="n">
        <x:f>Chart_Data!H203</x:f>
        <x:v>300.6975060152245</x:v>
      </x:c>
      <x:c r="F203" t="n">
        <x:f>Chart_Data!I203</x:f>
        <x:v>300.6975060152245</x:v>
      </x:c>
      <x:c r="G203" t="n">
        <x:f>Chart_Data!J203</x:f>
        <x:v>60.152205166209214</x:v>
      </x:c>
      <x:c r="I203" t="n">
        <x:f>Scenario_Data!A203</x:f>
        <x:v>0.675</x:v>
      </x:c>
      <x:c r="J203" t="n">
        <x:f>Scenario_Data!H203-(((SQRT((Inputs!$C$52+(Inputs!$H$6))^2+Inputs!$C$52^2-2*(Inputs!$C$52+(Inputs!$H$6))*Inputs!$C$52*COS(SQRT((Scenario_Data!T203)^2+Inputs!$C$6^2)/Inputs!$C$52)))-(Inputs!$H$6))*1000/Inputs!$C$12)</x:f>
        <x:v>-7.111982920109767</x:v>
      </x:c>
      <x:c r="K203" t="n">
        <x:f>Scenario_Data!I203-(((SQRT((Inputs!$C$52+(Inputs!$H$7))^2+Inputs!$C$52^2-2*(Inputs!$C$52+(Inputs!$H$7))*Inputs!$C$52*COS(SQRT((Scenario_Data!U203)^2+Inputs!$C$6^2)/Inputs!$C$52)))-(Inputs!$H$7))*1000/Inputs!$C$12)</x:f>
        <x:v>-51231.374010913656</x:v>
      </x:c>
      <x:c r="L203" t="n">
        <x:f>Scenario_Data!J203-(((SQRT((Inputs!$C$52+(Inputs!$H$8))^2+Inputs!$C$52^2-2*(Inputs!$C$52+(Inputs!$H$8))*Inputs!$C$52*COS(SQRT((Scenario_Data!V203)^2+Inputs!$C$6^2)/Inputs!$C$52)))-(Inputs!$H$8))*1000/Inputs!$C$12)</x:f>
        <x:v>-117074.83465957025</x:v>
      </x:c>
      <x:c r="M203" t="n">
        <x:f>Scenario_Data!K203-(((SQRT((Inputs!$C$52+(Inputs!$H$9))^2+Inputs!$C$52^2-2*(Inputs!$C$52+(Inputs!$H$9))*Inputs!$C$52*COS(SQRT((Scenario_Data!W203)^2+Inputs!$C$6^2)/Inputs!$C$52)))-(Inputs!$H$9))*1000/Inputs!$C$12)</x:f>
        <x:v>-120597.44652148281</x:v>
      </x:c>
      <x:c r="O203" t="n">
        <x:f>Scenario_Data!T203</x:f>
        <x:v>40.5</x:v>
      </x:c>
      <x:c r="P203" t="n">
        <x:f>2*(Scenario_Data!B203*1000)/Inputs!$C$21*1000000</x:f>
        <x:v>2680.671172855189</x:v>
      </x:c>
      <x:c r="Q203" t="n">
        <x:f>Scenario_Data!U203</x:f>
        <x:v>270</x:v>
      </x:c>
      <x:c r="R203" t="n">
        <x:f>2*(Scenario_Data!C203*1000)/Inputs!$C$21*1000000</x:f>
        <x:v>1342.9498950237103</x:v>
      </x:c>
      <x:c r="S203" t="n">
        <x:f>Scenario_Data!V203</x:f>
        <x:v>540</x:v>
      </x:c>
      <x:c r="T203" t="n">
        <x:f>2*(Scenario_Data!D203*1000)/Inputs!$C$21*1000000</x:f>
        <x:v>3166.7115855196066</x:v>
      </x:c>
      <x:c r="U203" t="n">
        <x:f>Scenario_Data!W203</x:f>
        <x:v>540</x:v>
      </x:c>
      <x:c r="V203" t="n">
        <x:f>2*(Scenario_Data!E203*1000)/Inputs!$C$21*1000000</x:f>
        <x:v>3130.3947946549083</x:v>
      </x:c>
      <x:c r="X203" t="n">
        <x:f>Scenario_Data!T203</x:f>
        <x:v>40.5</x:v>
      </x:c>
      <x:c r="Y203" t="n">
        <x: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x:f>
        <x:v>2680.26988053738</x:v>
      </x:c>
      <x:c r="Z203" t="n">
        <x:f>Scenario_Data!U203</x:f>
        <x:v>270</x:v>
      </x:c>
      <x:c r="AA203" t="n">
        <x: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x:f>
        <x:v>1342.781784912361</x:v>
      </x:c>
      <x:c r="AB203" t="n">
        <x:f>Scenario_Data!V203</x:f>
        <x:v>540</x:v>
      </x:c>
      <x:c r="AC203" t="n">
        <x: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x:f>
        <x:v>3166.73583463882</x:v>
      </x:c>
      <x:c r="AD203" t="n">
        <x:f>Scenario_Data!W203</x:f>
        <x:v>540</x:v>
      </x:c>
      <x:c r="AE203" t="n">
        <x: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x:f>
        <x:v>3130.4190437741213</x:v>
      </x:c>
      <x:c r="AG203" t="n">
        <x:f>Scenario_Data!T203</x:f>
        <x:v>40.5</x:v>
      </x:c>
      <x:c r="AH203" t="n">
        <x:f>2*(SQRT((Inputs!$C$52+(Scenario_Data!B203))^2+Inputs!$C$52^2-2*(Inputs!$C$52+(Scenario_Data!B203))*Inputs!$C$52*COS(SQRT((Scenario_Data!T203)^2+Inputs!$C$6^2)/Inputs!$C$52))*1000)/Inputs!$C$21*1000000</x:f>
        <x:v>2704.2115997852675</x:v>
      </x:c>
      <x:c r="AI203" t="n">
        <x:f>Scenario_Data!U203</x:f>
        <x:v>270</x:v>
      </x:c>
      <x:c r="AJ203" t="n">
        <x:f>2*(SQRT((Inputs!$C$52+(Scenario_Data!C203))^2+Inputs!$C$52^2-2*(Inputs!$C$52+(Scenario_Data!C203))*Inputs!$C$52*COS(SQRT((Scenario_Data!U203)^2+Inputs!$C$6^2)/Inputs!$C$52))*1000)/Inputs!$C$21*1000000</x:f>
        <x:v>2342.7716518918514</x:v>
      </x:c>
      <x:c r="AK203" t="n">
        <x:f>Scenario_Data!V203</x:f>
        <x:v>540</x:v>
      </x:c>
      <x:c r="AL203" t="n">
        <x:f>2*(SQRT((Inputs!$C$52+(Scenario_Data!D203))^2+Inputs!$C$52^2-2*(Inputs!$C$52+(Scenario_Data!D203))*Inputs!$C$52*COS(SQRT((Scenario_Data!V203)^2+Inputs!$C$6^2)/Inputs!$C$52))*1000)/Inputs!$C$21*1000000</x:f>
        <x:v>5178.835096993912</x:v>
      </x:c>
      <x:c r="AM203" t="n">
        <x:f>Scenario_Data!W203</x:f>
        <x:v>540</x:v>
      </x:c>
      <x:c r="AN203" t="n">
        <x:f>2*(SQRT((Inputs!$C$52+(Scenario_Data!E203))^2+Inputs!$C$52^2-2*(Inputs!$C$52+(Scenario_Data!E203))*Inputs!$C$52*COS(SQRT((Scenario_Data!W203)^2+Inputs!$C$6^2)/Inputs!$C$52))*1000)/Inputs!$C$21*1000000</x:f>
        <x:v>5152.352129116699</x:v>
      </x:c>
      <x:c r="AP203" t="n">
        <x:f>Scenario_Data!T203</x:f>
        <x:v>40.5</x:v>
      </x:c>
      <x:c r="AQ203" t="n">
        <x: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x:f>
        <x:v>2702.227556402274</x:v>
      </x:c>
      <x:c r="AR203" t="n">
        <x:f>Scenario_Data!U203</x:f>
        <x:v>270</x:v>
      </x:c>
      <x:c r="AS203" t="n">
        <x: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x:f>
        <x:v>2342.397836711693</x:v>
      </x:c>
      <x:c r="AT203" t="n">
        <x:f>Scenario_Data!V203</x:f>
        <x:v>540</x:v>
      </x:c>
      <x:c r="AU203" t="n">
        <x: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x:f>
        <x:v>5178.508279581122</x:v>
      </x:c>
      <x:c r="AV203" t="n">
        <x:f>Scenario_Data!W203</x:f>
        <x:v>540</x:v>
      </x:c>
      <x:c r="AW203" t="n">
        <x: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x:f>
        <x:v>5152.028386800917</x:v>
      </x:c>
    </x:row>
    <x:row r="204">
      <x:c r="A204" t="n">
        <x:f>Chart_Data!K204</x:f>
        <x:v>41</x:v>
      </x:c>
      <x:c r="B204" t="n">
        <x:f>Chart_Data!N204-Chart_Data!L204</x:f>
        <x:v>-55.6946862509956</x:v>
      </x:c>
      <x:c r="D204" t="n">
        <x:f>Chart_Data!G204</x:f>
        <x:v>41</x:v>
      </x:c>
      <x:c r="E204" t="n">
        <x:f>Chart_Data!H204</x:f>
        <x:v>276.55710773836364</x:v>
      </x:c>
      <x:c r="F204" t="n">
        <x:f>Chart_Data!I204</x:f>
        <x:v>276.55710773836364</x:v>
      </x:c>
      <x:c r="G204" t="n">
        <x:f>Chart_Data!J204</x:f>
        <x:v>52.60933898915909</x:v>
      </x:c>
      <x:c r="I204" t="n">
        <x:f>Scenario_Data!A204</x:f>
        <x:v>0.683</x:v>
      </x:c>
      <x:c r="J204" t="n">
        <x:f>Scenario_Data!H204-(((SQRT((Inputs!$C$52+(Inputs!$H$6))^2+Inputs!$C$52^2-2*(Inputs!$C$52+(Inputs!$H$6))*Inputs!$C$52*COS(SQRT((Scenario_Data!T204)^2+Inputs!$C$6^2)/Inputs!$C$52)))-(Inputs!$H$6))*1000/Inputs!$C$12)</x:f>
        <x:v>-7.404664824446172</x:v>
      </x:c>
      <x:c r="K204" t="n">
        <x:f>Scenario_Data!I204-(((SQRT((Inputs!$C$52+(Inputs!$H$7))^2+Inputs!$C$52^2-2*(Inputs!$C$52+(Inputs!$H$7))*Inputs!$C$52*COS(SQRT((Scenario_Data!U204)^2+Inputs!$C$6^2)/Inputs!$C$52)))-(Inputs!$H$7))*1000/Inputs!$C$12)</x:f>
        <x:v>-52266.60203742246</x:v>
      </x:c>
      <x:c r="L204" t="n">
        <x:f>Scenario_Data!J204-(((SQRT((Inputs!$C$52+(Inputs!$H$8))^2+Inputs!$C$52^2-2*(Inputs!$C$52+(Inputs!$H$8))*Inputs!$C$52*COS(SQRT((Scenario_Data!V204)^2+Inputs!$C$6^2)/Inputs!$C$52)))-(Inputs!$H$8))*1000/Inputs!$C$12)</x:f>
        <x:v>-119022.73194468833</x:v>
      </x:c>
      <x:c r="M204" t="n">
        <x:f>Scenario_Data!K204-(((SQRT((Inputs!$C$52+(Inputs!$H$9))^2+Inputs!$C$52^2-2*(Inputs!$C$52+(Inputs!$H$9))*Inputs!$C$52*COS(SQRT((Scenario_Data!W204)^2+Inputs!$C$6^2)/Inputs!$C$52)))-(Inputs!$H$9))*1000/Inputs!$C$12)</x:f>
        <x:v>-122565.42525707473</x:v>
      </x:c>
      <x:c r="O204" t="n">
        <x:f>Scenario_Data!T204</x:f>
        <x:v>40.980000000000004</x:v>
      </x:c>
      <x:c r="P204" t="n">
        <x:f>2*(Scenario_Data!B204*1000)/Inputs!$C$21*1000000</x:f>
        <x:v>2680.9610800816076</x:v>
      </x:c>
      <x:c r="Q204" t="n">
        <x:f>Scenario_Data!U204</x:f>
        <x:v>273.20000000000005</x:v>
      </x:c>
      <x:c r="R204" t="n">
        <x:f>2*(Scenario_Data!C204*1000)/Inputs!$C$21*1000000</x:f>
        <x:v>1369.4039294344093</x:v>
      </x:c>
      <x:c r="S204" t="n">
        <x:f>Scenario_Data!V204</x:f>
        <x:v>546.4000000000001</x:v>
      </x:c>
      <x:c r="T204" t="n">
        <x:f>2*(Scenario_Data!D204*1000)/Inputs!$C$21*1000000</x:f>
        <x:v>3236.6517038930992</x:v>
      </x:c>
      <x:c r="U204" t="n">
        <x:f>Scenario_Data!W204</x:f>
        <x:v>546.4000000000001</x:v>
      </x:c>
      <x:c r="V204" t="n">
        <x:f>2*(Scenario_Data!E204*1000)/Inputs!$C$21*1000000</x:f>
        <x:v>3201.059681094447</x:v>
      </x:c>
      <x:c r="X204" t="n">
        <x:f>Scenario_Data!T204</x:f>
        <x:v>40.980000000000004</x:v>
      </x:c>
      <x:c r="Y204" t="n">
        <x: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x:f>
        <x:v>2680.6154974151013</x:v>
      </x:c>
      <x:c r="Z204" t="n">
        <x:f>Scenario_Data!U204</x:f>
        <x:v>273.20000000000005</x:v>
      </x:c>
      <x:c r="AA204" t="n">
        <x: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x:f>
        <x:v>1369.0331480409086</x:v>
      </x:c>
      <x:c r="AB204" t="n">
        <x:f>Scenario_Data!V204</x:f>
        <x:v>546.4000000000001</x:v>
      </x:c>
      <x:c r="AC204" t="n">
        <x: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x:f>
        <x:v>3236.505927024445</x:v>
      </x:c>
      <x:c r="AD204" t="n">
        <x:f>Scenario_Data!W204</x:f>
        <x:v>546.4000000000001</x:v>
      </x:c>
      <x:c r="AE204" t="n">
        <x: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x:f>
        <x:v>3200.913904225793</x:v>
      </x:c>
      <x:c r="AG204" t="n">
        <x:f>Scenario_Data!T204</x:f>
        <x:v>40.980000000000004</x:v>
      </x:c>
      <x:c r="AH204" t="n">
        <x:f>2*(SQRT((Inputs!$C$52+(Scenario_Data!B204))^2+Inputs!$C$52^2-2*(Inputs!$C$52+(Scenario_Data!B204))*Inputs!$C$52*COS(SQRT((Scenario_Data!T204)^2+Inputs!$C$6^2)/Inputs!$C$52))*1000)/Inputs!$C$21*1000000</x:f>
        <x:v>2704.9040716081277</x:v>
      </x:c>
      <x:c r="AI204" t="n">
        <x:f>Scenario_Data!U204</x:f>
        <x:v>273.20000000000005</x:v>
      </x:c>
      <x:c r="AJ204" t="n">
        <x:f>2*(SQRT((Inputs!$C$52+(Scenario_Data!C204))^2+Inputs!$C$52^2-2*(Inputs!$C$52+(Scenario_Data!C204))*Inputs!$C$52*COS(SQRT((Scenario_Data!U204)^2+Inputs!$C$6^2)/Inputs!$C$52))*1000)/Inputs!$C$21*1000000</x:f>
        <x:v>2378.1749207105045</x:v>
      </x:c>
      <x:c r="AK204" t="n">
        <x:f>Scenario_Data!V204</x:f>
        <x:v>546.4000000000001</x:v>
      </x:c>
      <x:c r="AL204" t="n">
        <x:f>2*(SQRT((Inputs!$C$52+(Scenario_Data!D204))^2+Inputs!$C$52^2-2*(Inputs!$C$52+(Scenario_Data!D204))*Inputs!$C$52*COS(SQRT((Scenario_Data!V204)^2+Inputs!$C$6^2)/Inputs!$C$52))*1000)/Inputs!$C$21*1000000</x:f>
        <x:v>5268.031429047745</x:v>
      </x:c>
      <x:c r="AM204" t="n">
        <x:f>Scenario_Data!W204</x:f>
        <x:v>546.4000000000001</x:v>
      </x:c>
      <x:c r="AN204" t="n">
        <x:f>2*(SQRT((Inputs!$C$52+(Scenario_Data!E204))^2+Inputs!$C$52^2-2*(Inputs!$C$52+(Scenario_Data!E204))*Inputs!$C$52*COS(SQRT((Scenario_Data!W204)^2+Inputs!$C$6^2)/Inputs!$C$52))*1000)/Inputs!$C$21*1000000</x:f>
        <x:v>5241.943717406506</x:v>
      </x:c>
      <x:c r="AP204" t="n">
        <x:f>Scenario_Data!T204</x:f>
        <x:v>40.980000000000004</x:v>
      </x:c>
      <x:c r="AQ204" t="n">
        <x: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x:f>
        <x:v>2702.9347012405674</x:v>
      </x:c>
      <x:c r="AR204" t="n">
        <x:f>Scenario_Data!U204</x:f>
        <x:v>273.20000000000005</x:v>
      </x:c>
      <x:c r="AS204" t="n">
        <x: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x:f>
        <x:v>2377.586319197082</x:v>
      </x:c>
      <x:c r="AT204" t="n">
        <x:f>Scenario_Data!V204</x:f>
        <x:v>546.4000000000001</x:v>
      </x:c>
      <x:c r="AU204" t="n">
        <x: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x:f>
        <x:v>5267.481291794921</x:v>
      </x:c>
      <x:c r="AV204" t="n">
        <x:f>Scenario_Data!W204</x:f>
        <x:v>546.4000000000001</x:v>
      </x:c>
      <x:c r="AW204" t="n">
        <x: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x:f>
        <x:v>5241.398522516475</x:v>
      </x:c>
    </x:row>
    <x:row r="205">
      <x:c r="A205" t="n">
        <x:f>Chart_Data!K205</x:f>
        <x:v>41.5</x:v>
      </x:c>
      <x:c r="B205" t="n">
        <x:f>Chart_Data!N205-Chart_Data!L205</x:f>
        <x:v>-61.436839734876884</x:v>
      </x:c>
      <x:c r="D205" t="n">
        <x:f>Chart_Data!G205</x:f>
        <x:v>41.5</x:v>
      </x:c>
      <x:c r="E205" t="n">
        <x:f>Chart_Data!H205</x:f>
        <x:v>269.21554101681534</x:v>
      </x:c>
      <x:c r="F205" t="n">
        <x:f>Chart_Data!I205</x:f>
        <x:v>269.21554101681534</x:v>
      </x:c>
      <x:c r="G205" t="n">
        <x:f>Chart_Data!J205</x:f>
        <x:v>58.38095189793533</x:v>
      </x:c>
      <x:c r="I205" t="n">
        <x:f>Scenario_Data!A205</x:f>
        <x:v>0.692</x:v>
      </x:c>
      <x:c r="J205" t="n">
        <x:f>Scenario_Data!H205-(((SQRT((Inputs!$C$52+(Inputs!$H$6))^2+Inputs!$C$52^2-2*(Inputs!$C$52+(Inputs!$H$6))*Inputs!$C$52*COS(SQRT((Scenario_Data!T205)^2+Inputs!$C$6^2)/Inputs!$C$52)))-(Inputs!$H$6))*1000/Inputs!$C$12)</x:f>
        <x:v>-7.744930637363723</x:v>
      </x:c>
      <x:c r="K205" t="n">
        <x:f>Scenario_Data!I205-(((SQRT((Inputs!$C$52+(Inputs!$H$7))^2+Inputs!$C$52^2-2*(Inputs!$C$52+(Inputs!$H$7))*Inputs!$C$52*COS(SQRT((Scenario_Data!U205)^2+Inputs!$C$6^2)/Inputs!$C$52)))-(Inputs!$H$7))*1000/Inputs!$C$12)</x:f>
        <x:v>-53436.43314820457</x:v>
      </x:c>
      <x:c r="L205" t="n">
        <x:f>Scenario_Data!J205-(((SQRT((Inputs!$C$52+(Inputs!$H$8))^2+Inputs!$C$52^2-2*(Inputs!$C$52+(Inputs!$H$8))*Inputs!$C$52*COS(SQRT((Scenario_Data!V205)^2+Inputs!$C$6^2)/Inputs!$C$52)))-(Inputs!$H$8))*1000/Inputs!$C$12)</x:f>
        <x:v>-121211.50058427514</x:v>
      </x:c>
      <x:c r="M205" t="n">
        <x:f>Scenario_Data!K205-(((SQRT((Inputs!$C$52+(Inputs!$H$9))^2+Inputs!$C$52^2-2*(Inputs!$C$52+(Inputs!$H$9))*Inputs!$C$52*COS(SQRT((Scenario_Data!W205)^2+Inputs!$C$6^2)/Inputs!$C$52)))-(Inputs!$H$9))*1000/Inputs!$C$12)</x:f>
        <x:v>-124776.17612891932</x:v>
      </x:c>
      <x:c r="O205" t="n">
        <x:f>Scenario_Data!T205</x:f>
        <x:v>41.519999999999996</x:v>
      </x:c>
      <x:c r="P205" t="n">
        <x:f>2*(Scenario_Data!B205*1000)/Inputs!$C$21*1000000</x:f>
        <x:v>2681.2913085358537</x:v>
      </x:c>
      <x:c r="Q205" t="n">
        <x:f>Scenario_Data!U205</x:f>
        <x:v>276.79999999999995</x:v>
      </x:c>
      <x:c r="R205" t="n">
        <x:f>2*(Scenario_Data!C205*1000)/Inputs!$C$21*1000000</x:f>
        <x:v>1399.5372758843714</x:v>
      </x:c>
      <x:c r="S205" t="n">
        <x:f>Scenario_Data!V205</x:f>
        <x:v>553.5999999999999</x:v>
      </x:c>
      <x:c r="T205" t="n">
        <x:f>2*(Scenario_Data!D205*1000)/Inputs!$C$21*1000000</x:f>
        <x:v>3316.319318479985</x:v>
      </x:c>
      <x:c r="U205" t="n">
        <x:f>Scenario_Data!W205</x:f>
        <x:v>553.5999999999999</x:v>
      </x:c>
      <x:c r="V205" t="n">
        <x:f>2*(Scenario_Data!E205*1000)/Inputs!$C$21*1000000</x:f>
        <x:v>3281.552866816948</x:v>
      </x:c>
      <x:c r="X205" t="n">
        <x:f>Scenario_Data!T205</x:f>
        <x:v>41.519999999999996</x:v>
      </x:c>
      <x:c r="Y205" t="n">
        <x: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x:f>
        <x:v>2681.0146298396603</x:v>
      </x:c>
      <x:c r="Z205" t="n">
        <x:f>Scenario_Data!U205</x:f>
        <x:v>276.79999999999995</x:v>
      </x:c>
      <x:c r="AA205" t="n">
        <x: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x:f>
        <x:v>1399.215260026979</x:v>
      </x:c>
      <x:c r="AB205" t="n">
        <x:f>Scenario_Data!V205</x:f>
        <x:v>553.5999999999999</x:v>
      </x:c>
      <x:c r="AC205" t="n">
        <x: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x:f>
        <x:v>3316.518811792082</x:v>
      </x:c>
      <x:c r="AD205" t="n">
        <x:f>Scenario_Data!W205</x:f>
        <x:v>553.5999999999999</x:v>
      </x:c>
      <x:c r="AE205" t="n">
        <x: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x:f>
        <x:v>3281.7523601290454</x:v>
      </x:c>
      <x:c r="AG205" t="n">
        <x:f>Scenario_Data!T205</x:f>
        <x:v>41.519999999999996</x:v>
      </x:c>
      <x:c r="AH205" t="n">
        <x:f>2*(SQRT((Inputs!$C$52+(Scenario_Data!B205))^2+Inputs!$C$52^2-2*(Inputs!$C$52+(Scenario_Data!B205))*Inputs!$C$52*COS(SQRT((Scenario_Data!T205)^2+Inputs!$C$6^2)/Inputs!$C$52))*1000)/Inputs!$C$21*1000000</x:f>
        <x:v>2705.692697065748</x:v>
      </x:c>
      <x:c r="AI205" t="n">
        <x:f>Scenario_Data!U205</x:f>
        <x:v>276.79999999999995</x:v>
      </x:c>
      <x:c r="AJ205" t="n">
        <x:f>2*(SQRT((Inputs!$C$52+(Scenario_Data!C205))^2+Inputs!$C$52^2-2*(Inputs!$C$52+(Scenario_Data!C205))*Inputs!$C$52*COS(SQRT((Scenario_Data!U205)^2+Inputs!$C$6^2)/Inputs!$C$52))*1000)/Inputs!$C$21*1000000</x:f>
        <x:v>2418.3192089337513</x:v>
      </x:c>
      <x:c r="AK205" t="n">
        <x:f>Scenario_Data!V205</x:f>
        <x:v>553.5999999999999</x:v>
      </x:c>
      <x:c r="AL205" t="n">
        <x:f>2*(SQRT((Inputs!$C$52+(Scenario_Data!D205))^2+Inputs!$C$52^2-2*(Inputs!$C$52+(Scenario_Data!D205))*Inputs!$C$52*COS(SQRT((Scenario_Data!V205)^2+Inputs!$C$6^2)/Inputs!$C$52))*1000)/Inputs!$C$21*1000000</x:f>
        <x:v>5369.3785657395565</x:v>
      </x:c>
      <x:c r="AM205" t="n">
        <x:f>Scenario_Data!W205</x:f>
        <x:v>553.5999999999999</x:v>
      </x:c>
      <x:c r="AN205" t="n">
        <x:f>2*(SQRT((Inputs!$C$52+(Scenario_Data!E205))^2+Inputs!$C$52^2-2*(Inputs!$C$52+(Scenario_Data!E205))*Inputs!$C$52*COS(SQRT((Scenario_Data!W205)^2+Inputs!$C$6^2)/Inputs!$C$52))*1000)/Inputs!$C$21*1000000</x:f>
        <x:v>5343.751850152343</x:v>
      </x:c>
      <x:c r="AP205" t="n">
        <x:f>Scenario_Data!T205</x:f>
        <x:v>41.519999999999996</x:v>
      </x:c>
      <x:c r="AQ205" t="n">
        <x: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x:f>
        <x:v>2703.810254870827</x:v>
      </x:c>
      <x:c r="AR205" t="n">
        <x:f>Scenario_Data!U205</x:f>
        <x:v>276.79999999999995</x:v>
      </x:c>
      <x:c r="AS205" t="n">
        <x: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x:f>
        <x:v>2417.6598864735997</x:v>
      </x:c>
      <x:c r="AT205" t="n">
        <x:f>Scenario_Data!V205</x:f>
        <x:v>553.5999999999999</x:v>
      </x:c>
      <x:c r="AU205" t="n">
        <x: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x:f>
        <x:v>5369.156120221762</x:v>
      </x:c>
      <x:c r="AV205" t="n">
        <x:f>Scenario_Data!W205</x:f>
        <x:v>553.5999999999999</x:v>
      </x:c>
      <x:c r="AW205" t="n">
        <x: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x:f>
        <x:v>5343.531299949264</x:v>
      </x:c>
    </x:row>
    <x:row r="206">
      <x:c r="A206" t="n">
        <x:f>Chart_Data!K206</x:f>
        <x:v>42</x:v>
      </x:c>
      <x:c r="B206" t="n">
        <x:f>Chart_Data!N206-Chart_Data!L206</x:f>
        <x:v>-37.65230230192819</x:v>
      </x:c>
      <x:c r="D206" t="n">
        <x:f>Chart_Data!G206</x:f>
        <x:v>42</x:v>
      </x:c>
      <x:c r="E206" t="n">
        <x:f>Chart_Data!H206</x:f>
        <x:v>271.1262021129023</x:v>
      </x:c>
      <x:c r="F206" t="n">
        <x:f>Chart_Data!I206</x:f>
        <x:v>271.1262021129023</x:v>
      </x:c>
      <x:c r="G206" t="n">
        <x:f>Chart_Data!J206</x:f>
        <x:v>34.52124211278962</x:v>
      </x:c>
      <x:c r="I206" t="n">
        <x:f>Scenario_Data!A206</x:f>
        <x:v>0.7</x:v>
      </x:c>
      <x:c r="J206" t="n">
        <x:f>Scenario_Data!H206-(((SQRT((Inputs!$C$52+(Inputs!$H$6))^2+Inputs!$C$52^2-2*(Inputs!$C$52+(Inputs!$H$6))*Inputs!$C$52*COS(SQRT((Scenario_Data!T206)^2+Inputs!$C$6^2)/Inputs!$C$52)))-(Inputs!$H$6))*1000/Inputs!$C$12)</x:f>
        <x:v>-8.057382321536807</x:v>
      </x:c>
      <x:c r="K206" t="n">
        <x:f>Scenario_Data!I206-(((SQRT((Inputs!$C$52+(Inputs!$H$7))^2+Inputs!$C$52^2-2*(Inputs!$C$52+(Inputs!$H$7))*Inputs!$C$52*COS(SQRT((Scenario_Data!U206)^2+Inputs!$C$6^2)/Inputs!$C$52)))-(Inputs!$H$7))*1000/Inputs!$C$12)</x:f>
        <x:v>-54480.74919119819</x:v>
      </x:c>
      <x:c r="L206" t="n">
        <x:f>Scenario_Data!J206-(((SQRT((Inputs!$C$52+(Inputs!$H$8))^2+Inputs!$C$52^2-2*(Inputs!$C$52+(Inputs!$H$8))*Inputs!$C$52*COS(SQRT((Scenario_Data!V206)^2+Inputs!$C$6^2)/Inputs!$C$52)))-(Inputs!$H$8))*1000/Inputs!$C$12)</x:f>
        <x:v>-123154.43747008915</x:v>
      </x:c>
      <x:c r="M206" t="n">
        <x:f>Scenario_Data!K206-(((SQRT((Inputs!$C$52+(Inputs!$H$9))^2+Inputs!$C$52^2-2*(Inputs!$C$52+(Inputs!$H$9))*Inputs!$C$52*COS(SQRT((Scenario_Data!W206)^2+Inputs!$C$6^2)/Inputs!$C$52)))-(Inputs!$H$9))*1000/Inputs!$C$12)</x:f>
        <x:v>-126738.11882360443</x:v>
      </x:c>
      <x:c r="O206" t="n">
        <x:f>Scenario_Data!T206</x:f>
        <x:v>42</x:v>
      </x:c>
      <x:c r="P206" t="n">
        <x:f>2*(Scenario_Data!B206*1000)/Inputs!$C$21*1000000</x:f>
        <x:v>2681.588474116984</x:v>
      </x:c>
      <x:c r="Q206" t="n">
        <x:f>Scenario_Data!U206</x:f>
        <x:v>280</x:v>
      </x:c>
      <x:c r="R206" t="n">
        <x:f>2*(Scenario_Data!C206*1000)/Inputs!$C$21*1000000</x:f>
        <x:v>1426.6536351624961</x:v>
      </x:c>
      <x:c r="S206" t="n">
        <x:f>Scenario_Data!V206</x:f>
        <x:v>560</x:v>
      </x:c>
      <x:c r="T206" t="n">
        <x:f>2*(Scenario_Data!D206*1000)/Inputs!$C$21*1000000</x:f>
        <x:v>3388.01051492763</x:v>
      </x:c>
      <x:c r="U206" t="n">
        <x:f>Scenario_Data!W206</x:f>
        <x:v>560</x:v>
      </x:c>
      <x:c r="V206" t="n">
        <x:f>2*(Scenario_Data!E206*1000)/Inputs!$C$21*1000000</x:f>
        <x:v>3353.9869772174184</x:v>
      </x:c>
      <x:c r="X206" t="n">
        <x:f>Scenario_Data!T206</x:f>
        <x:v>42</x:v>
      </x:c>
      <x:c r="Y206" t="n">
        <x: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x:f>
        <x:v>2681.3581731791746</x:v>
      </x:c>
      <x:c r="Z206" t="n">
        <x:f>Scenario_Data!U206</x:f>
        <x:v>280</x:v>
      </x:c>
      <x:c r="AA206" t="n">
        <x: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x:f>
        <x:v>1426.519680102296</x:v>
      </x:c>
      <x:c r="AB206" t="n">
        <x:f>Scenario_Data!V206</x:f>
        <x:v>560</x:v>
      </x:c>
      <x:c r="AC206" t="n">
        <x: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x:f>
        <x:v>3387.654474031865</x:v>
      </x:c>
      <x:c r="AD206" t="n">
        <x:f>Scenario_Data!W206</x:f>
        <x:v>560</x:v>
      </x:c>
      <x:c r="AE206" t="n">
        <x: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x:f>
        <x:v>3353.6309363216533</x:v>
      </x:c>
      <x:c r="AG206" t="n">
        <x:f>Scenario_Data!T206</x:f>
        <x:v>42</x:v>
      </x:c>
      <x:c r="AH206" t="n">
        <x:f>2*(SQRT((Inputs!$C$52+(Scenario_Data!B206))^2+Inputs!$C$52^2-2*(Inputs!$C$52+(Scenario_Data!B206))*Inputs!$C$52*COS(SQRT((Scenario_Data!T206)^2+Inputs!$C$6^2)/Inputs!$C$52))*1000)/Inputs!$C$21*1000000</x:f>
        <x:v>2706.402221049479</x:v>
      </x:c>
      <x:c r="AI206" t="n">
        <x:f>Scenario_Data!U206</x:f>
        <x:v>280</x:v>
      </x:c>
      <x:c r="AJ206" t="n">
        <x:f>2*(SQRT((Inputs!$C$52+(Scenario_Data!C206))^2+Inputs!$C$52^2-2*(Inputs!$C$52+(Scenario_Data!C206))*Inputs!$C$52*COS(SQRT((Scenario_Data!U206)^2+Inputs!$C$6^2)/Inputs!$C$52))*1000)/Inputs!$C$21*1000000</x:f>
        <x:v>2454.285166823356</x:v>
      </x:c>
      <x:c r="AK206" t="n">
        <x:f>Scenario_Data!V206</x:f>
        <x:v>560</x:v>
      </x:c>
      <x:c r="AL206" t="n">
        <x:f>2*(SQRT((Inputs!$C$52+(Scenario_Data!D206))^2+Inputs!$C$52^2-2*(Inputs!$C$52+(Scenario_Data!D206))*Inputs!$C$52*COS(SQRT((Scenario_Data!V206)^2+Inputs!$C$6^2)/Inputs!$C$52))*1000)/Inputs!$C$21*1000000</x:f>
        <x:v>5460.3582902555545</x:v>
      </x:c>
      <x:c r="AM206" t="n">
        <x:f>Scenario_Data!W206</x:f>
        <x:v>560</x:v>
      </x:c>
      <x:c r="AN206" t="n">
        <x:f>2*(SQRT((Inputs!$C$52+(Scenario_Data!E206))^2+Inputs!$C$52^2-2*(Inputs!$C$52+(Scenario_Data!E206))*Inputs!$C$52*COS(SQRT((Scenario_Data!W206)^2+Inputs!$C$6^2)/Inputs!$C$52))*1000)/Inputs!$C$21*1000000</x:f>
        <x:v>5435.1558124688245</x:v>
      </x:c>
      <x:c r="AP206" t="n">
        <x:f>Scenario_Data!T206</x:f>
        <x:v>42</x:v>
      </x:c>
      <x:c r="AQ206" t="n">
        <x: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x:f>
        <x:v>2704.614349908813</x:v>
      </x:c>
      <x:c r="AR206" t="n">
        <x:f>Scenario_Data!U206</x:f>
        <x:v>280</x:v>
      </x:c>
      <x:c r="AS206" t="n">
        <x: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x:f>
        <x:v>2453.8264418630224</x:v>
      </x:c>
      <x:c r="AT206" t="n">
        <x:f>Scenario_Data!V206</x:f>
        <x:v>560</x:v>
      </x:c>
      <x:c r="AU206" t="n">
        <x: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x:f>
        <x:v>5459.8605829957</x:v>
      </x:c>
      <x:c r="AV206" t="n">
        <x:f>Scenario_Data!W206</x:f>
        <x:v>560</x:v>
      </x:c>
      <x:c r="AW206" t="n">
        <x: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x:f>
        <x:v>5434.662150530807</x:v>
      </x:c>
    </x:row>
    <x:row r="207">
      <x:c r="A207" t="n">
        <x:f>Chart_Data!K207</x:f>
        <x:v>42.5</x:v>
      </x:c>
      <x:c r="B207" t="n">
        <x:f>Chart_Data!N207-Chart_Data!L207</x:f>
        <x:v>-43.30298834836995</x:v>
      </x:c>
      <x:c r="D207" t="n">
        <x:f>Chart_Data!G207</x:f>
        <x:v>42.5</x:v>
      </x:c>
      <x:c r="E207" t="n">
        <x:f>Chart_Data!H207</x:f>
        <x:v>259.7768551367322</x:v>
      </x:c>
      <x:c r="F207" t="n">
        <x:f>Chart_Data!I207</x:f>
        <x:v>259.7768551367322</x:v>
      </x:c>
      <x:c r="G207" t="n">
        <x:f>Chart_Data!J207</x:f>
        <x:v>40.25127636090155</x:v>
      </x:c>
      <x:c r="I207" t="n">
        <x:f>Scenario_Data!A207</x:f>
        <x:v>0.708</x:v>
      </x:c>
      <x:c r="J207" t="n">
        <x:f>Scenario_Data!H207-(((SQRT((Inputs!$C$52+(Inputs!$H$6))^2+Inputs!$C$52^2-2*(Inputs!$C$52+(Inputs!$H$6))*Inputs!$C$52*COS(SQRT((Scenario_Data!T207)^2+Inputs!$C$6^2)/Inputs!$C$52)))-(Inputs!$H$6))*1000/Inputs!$C$12)</x:f>
        <x:v>-8.379445258978194</x:v>
      </x:c>
      <x:c r="K207" t="n">
        <x:f>Scenario_Data!I207-(((SQRT((Inputs!$C$52+(Inputs!$H$7))^2+Inputs!$C$52^2-2*(Inputs!$C$52+(Inputs!$H$7))*Inputs!$C$52*COS(SQRT((Scenario_Data!U207)^2+Inputs!$C$6^2)/Inputs!$C$52)))-(Inputs!$H$7))*1000/Inputs!$C$12)</x:f>
        <x:v>-55529.124801208076</x:v>
      </x:c>
      <x:c r="L207" t="n">
        <x:f>Scenario_Data!J207-(((SQRT((Inputs!$C$52+(Inputs!$H$8))^2+Inputs!$C$52^2-2*(Inputs!$C$52+(Inputs!$H$8))*Inputs!$C$52*COS(SQRT((Scenario_Data!V207)^2+Inputs!$C$6^2)/Inputs!$C$52)))-(Inputs!$H$8))*1000/Inputs!$C$12)</x:f>
        <x:v>-125094.61059367246</x:v>
      </x:c>
      <x:c r="M207" t="n">
        <x:f>Scenario_Data!K207-(((SQRT((Inputs!$C$52+(Inputs!$H$9))^2+Inputs!$C$52^2-2*(Inputs!$C$52+(Inputs!$H$9))*Inputs!$C$52*COS(SQRT((Scenario_Data!W207)^2+Inputs!$C$6^2)/Inputs!$C$52)))-(Inputs!$H$9))*1000/Inputs!$C$12)</x:f>
        <x:v>-128696.80249462544</x:v>
      </x:c>
      <x:c r="O207" t="n">
        <x:f>Scenario_Data!T207</x:f>
        <x:v>42.480000000000004</x:v>
      </x:c>
      <x:c r="P207" t="n">
        <x:f>2*(Scenario_Data!B207*1000)/Inputs!$C$21*1000000</x:f>
        <x:v>2681.8890553944493</x:v>
      </x:c>
      <x:c r="Q207" t="n">
        <x:f>Scenario_Data!U207</x:f>
        <x:v>283.19999999999993</x:v>
      </x:c>
      <x:c r="R207" t="n">
        <x:f>2*(Scenario_Data!C207*1000)/Inputs!$C$21*1000000</x:f>
        <x:v>1454.0816767311733</x:v>
      </x:c>
      <x:c r="S207" t="n">
        <x:f>Scenario_Data!V207</x:f>
        <x:v>566.3999999999999</x:v>
      </x:c>
      <x:c r="T207" t="n">
        <x:f>2*(Scenario_Data!D207*1000)/Inputs!$C$21*1000000</x:f>
        <x:v>3460.5257481160506</x:v>
      </x:c>
      <x:c r="U207" t="n">
        <x:f>Scenario_Data!W207</x:f>
        <x:v>566.3999999999999</x:v>
      </x:c>
      <x:c r="V207" t="n">
        <x:f>2*(Scenario_Data!E207*1000)/Inputs!$C$21*1000000</x:f>
        <x:v>3427.2536635995016</x:v>
      </x:c>
      <x:c r="X207" t="n">
        <x:f>Scenario_Data!T207</x:f>
        <x:v>42.480000000000004</x:v>
      </x:c>
      <x:c r="Y207" t="n">
        <x: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x:f>
        <x:v>2681.7323374639054</x:v>
      </x:c>
      <x:c r="Z207" t="n">
        <x:f>Scenario_Data!U207</x:f>
        <x:v>283.19999999999993</x:v>
      </x:c>
      <x:c r="AA207" t="n">
        <x: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x:f>
        <x:v>1454.3031298706867</x:v>
      </x:c>
      <x:c r="AB207" t="n">
        <x:f>Scenario_Data!V207</x:f>
        <x:v>566.3999999999999</x:v>
      </x:c>
      <x:c r="AC207" t="n">
        <x: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x:f>
        <x:v>3460.2015967853595</x:v>
      </x:c>
      <x:c r="AD207" t="n">
        <x:f>Scenario_Data!W207</x:f>
        <x:v>566.3999999999999</x:v>
      </x:c>
      <x:c r="AE207" t="n">
        <x: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x:f>
        <x:v>3426.929512268811</x:v>
      </x:c>
      <x:c r="AG207" t="n">
        <x:f>Scenario_Data!T207</x:f>
        <x:v>42.480000000000004</x:v>
      </x:c>
      <x:c r="AH207" t="n">
        <x:f>2*(SQRT((Inputs!$C$52+(Scenario_Data!B207))^2+Inputs!$C$52^2-2*(Inputs!$C$52+(Scenario_Data!B207))*Inputs!$C$52*COS(SQRT((Scenario_Data!T207)^2+Inputs!$C$6^2)/Inputs!$C$52))*1000)/Inputs!$C$21*1000000</x:f>
        <x:v>2707.119762460756</x:v>
      </x:c>
      <x:c r="AI207" t="n">
        <x:f>Scenario_Data!U207</x:f>
        <x:v>283.19999999999993</x:v>
      </x:c>
      <x:c r="AJ207" t="n">
        <x:f>2*(SQRT((Inputs!$C$52+(Scenario_Data!C207))^2+Inputs!$C$52^2-2*(Inputs!$C$52+(Scenario_Data!C207))*Inputs!$C$52*COS(SQRT((Scenario_Data!U207)^2+Inputs!$C$6^2)/Inputs!$C$52))*1000)/Inputs!$C$21*1000000</x:f>
        <x:v>2490.518160948682</x:v>
      </x:c>
      <x:c r="AK207" t="n">
        <x:f>Scenario_Data!V207</x:f>
        <x:v>566.3999999999999</x:v>
      </x:c>
      <x:c r="AL207" t="n">
        <x:f>2*(SQRT((Inputs!$C$52+(Scenario_Data!D207))^2+Inputs!$C$52^2-2*(Inputs!$C$52+(Scenario_Data!D207))*Inputs!$C$52*COS(SQRT((Scenario_Data!V207)^2+Inputs!$C$6^2)/Inputs!$C$52))*1000)/Inputs!$C$21*1000000</x:f>
        <x:v>5552.181921221128</x:v>
      </x:c>
      <x:c r="AM207" t="n">
        <x:f>Scenario_Data!W207</x:f>
        <x:v>566.3999999999999</x:v>
      </x:c>
      <x:c r="AN207" t="n">
        <x:f>2*(SQRT((Inputs!$C$52+(Scenario_Data!E207))^2+Inputs!$C$52^2-2*(Inputs!$C$52+(Scenario_Data!E207))*Inputs!$C$52*COS(SQRT((Scenario_Data!W207)^2+Inputs!$C$6^2)/Inputs!$C$52))*1000)/Inputs!$C$21*1000000</x:f>
        <x:v>5527.4172410510055</x:v>
      </x:c>
      <x:c r="AP207" t="n">
        <x:f>Scenario_Data!T207</x:f>
        <x:v>42.480000000000004</x:v>
      </x:c>
      <x:c r="AQ207" t="n">
        <x: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x:f>
        <x:v>2705.349531148823</x:v>
      </x:c>
      <x:c r="AR207" t="n">
        <x:f>Scenario_Data!U207</x:f>
        <x:v>283.19999999999993</x:v>
      </x:c>
      <x:c r="AS207" t="n">
        <x: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x:f>
        <x:v>2490.2166397829856</x:v>
      </x:c>
      <x:c r="AT207" t="n">
        <x:f>Scenario_Data!V207</x:f>
        <x:v>566.3999999999999</x:v>
      </x:c>
      <x:c r="AU207" t="n">
        <x: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x:f>
        <x:v>5551.638851287593</x:v>
      </x:c>
      <x:c r="AV207" t="n">
        <x:f>Scenario_Data!W207</x:f>
        <x:v>566.3999999999999</x:v>
      </x:c>
      <x:c r="AW207" t="n">
        <x: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x:f>
        <x:v>5526.87837903783</x:v>
      </x:c>
    </x:row>
    <x:row r="208">
      <x:c r="A208" t="n">
        <x:f>Chart_Data!K208</x:f>
        <x:v>43</x:v>
      </x:c>
      <x:c r="B208" t="n">
        <x:f>Chart_Data!N208-Chart_Data!L208</x:f>
        <x:v>-36.28244299194577</x:v>
      </x:c>
      <x:c r="D208" t="n">
        <x:f>Chart_Data!G208</x:f>
        <x:v>43</x:v>
      </x:c>
      <x:c r="E208" t="n">
        <x:f>Chart_Data!H208</x:f>
        <x:v>247.2629698422237</x:v>
      </x:c>
      <x:c r="F208" t="n">
        <x:f>Chart_Data!I208</x:f>
        <x:v>247.2629698422237</x:v>
      </x:c>
      <x:c r="G208" t="n">
        <x:f>Chart_Data!J208</x:f>
        <x:v>33.32797910139238</x:v>
      </x:c>
      <x:c r="I208" t="n">
        <x:f>Scenario_Data!A208</x:f>
        <x:v>0.717</x:v>
      </x:c>
      <x:c r="J208" t="n">
        <x:f>Scenario_Data!H208-(((SQRT((Inputs!$C$52+(Inputs!$H$6))^2+Inputs!$C$52^2-2*(Inputs!$C$52+(Inputs!$H$6))*Inputs!$C$52*COS(SQRT((Scenario_Data!T208)^2+Inputs!$C$6^2)/Inputs!$C$52)))-(Inputs!$H$6))*1000/Inputs!$C$12)</x:f>
        <x:v>-8.753503156986426</x:v>
      </x:c>
      <x:c r="K208" t="n">
        <x:f>Scenario_Data!I208-(((SQRT((Inputs!$C$52+(Inputs!$H$7))^2+Inputs!$C$52^2-2*(Inputs!$C$52+(Inputs!$H$7))*Inputs!$C$52*COS(SQRT((Scenario_Data!U208)^2+Inputs!$C$6^2)/Inputs!$C$52)))-(Inputs!$H$7))*1000/Inputs!$C$12)</x:f>
        <x:v>-56713.231033901524</x:v>
      </x:c>
      <x:c r="L208" t="n">
        <x:f>Scenario_Data!J208-(((SQRT((Inputs!$C$52+(Inputs!$H$8))^2+Inputs!$C$52^2-2*(Inputs!$C$52+(Inputs!$H$8))*Inputs!$C$52*COS(SQRT((Scenario_Data!V208)^2+Inputs!$C$6^2)/Inputs!$C$52)))-(Inputs!$H$8))*1000/Inputs!$C$12)</x:f>
        <x:v>-127273.67283059817</x:v>
      </x:c>
      <x:c r="M208" t="n">
        <x:f>Scenario_Data!K208-(((SQRT((Inputs!$C$52+(Inputs!$H$9))^2+Inputs!$C$52^2-2*(Inputs!$C$52+(Inputs!$H$9))*Inputs!$C$52*COS(SQRT((Scenario_Data!W208)^2+Inputs!$C$6^2)/Inputs!$C$52)))-(Inputs!$H$9))*1000/Inputs!$C$12)</x:f>
        <x:v>-130896.1058035729</x:v>
      </x:c>
      <x:c r="O208" t="n">
        <x:f>Scenario_Data!T208</x:f>
        <x:v>43.02000000000001</x:v>
      </x:c>
      <x:c r="P208" t="n">
        <x:f>2*(Scenario_Data!B208*1000)/Inputs!$C$21*1000000</x:f>
        <x:v>2682.231292156122</x:v>
      </x:c>
      <x:c r="Q208" t="n">
        <x:f>Scenario_Data!U208</x:f>
        <x:v>286.80000000000007</x:v>
      </x:c>
      <x:c r="R208" t="n">
        <x:f>2*(Scenario_Data!C208*1000)/Inputs!$C$21*1000000</x:f>
        <x:v>1485.3107812338633</x:v>
      </x:c>
      <x:c r="S208" t="n">
        <x:f>Scenario_Data!V208</x:f>
        <x:v>573.6000000000001</x:v>
      </x:c>
      <x:c r="T208" t="n">
        <x:f>2*(Scenario_Data!D208*1000)/Inputs!$C$21*1000000</x:f>
        <x:v>3543.090366869737</x:v>
      </x:c>
      <x:c r="U208" t="n">
        <x:f>Scenario_Data!W208</x:f>
        <x:v>573.6000000000001</x:v>
      </x:c>
      <x:c r="V208" t="n">
        <x:f>2*(Scenario_Data!E208*1000)/Inputs!$C$21*1000000</x:f>
        <x:v>3510.673874257372</x:v>
      </x:c>
      <x:c r="X208" t="n">
        <x:f>Scenario_Data!T208</x:f>
        <x:v>43.02000000000001</x:v>
      </x:c>
      <x:c r="Y208" t="n">
        <x: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x:f>
        <x:v>2682.021911892592</x:v>
      </x:c>
      <x:c r="Z208" t="n">
        <x:f>Scenario_Data!U208</x:f>
        <x:v>286.80000000000007</x:v>
      </x:c>
      <x:c r="AA208" t="n">
        <x: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x:f>
        <x:v>1485.1953185400328</x:v>
      </x:c>
      <x:c r="AB208" t="n">
        <x:f>Scenario_Data!V208</x:f>
        <x:v>573.6000000000001</x:v>
      </x:c>
      <x:c r="AC208" t="n">
        <x: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x:f>
        <x:v>3542.824705902011</x:v>
      </x:c>
      <x:c r="AD208" t="n">
        <x:f>Scenario_Data!W208</x:f>
        <x:v>573.6000000000001</x:v>
      </x:c>
      <x:c r="AE208" t="n">
        <x: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x:f>
        <x:v>3510.4082132896456</x:v>
      </x:c>
      <x:c r="AG208" t="n">
        <x:f>Scenario_Data!T208</x:f>
        <x:v>43.02000000000001</x:v>
      </x:c>
      <x:c r="AH208" t="n">
        <x:f>2*(SQRT((Inputs!$C$52+(Scenario_Data!B208))^2+Inputs!$C$52^2-2*(Inputs!$C$52+(Scenario_Data!B208))*Inputs!$C$52*COS(SQRT((Scenario_Data!T208)^2+Inputs!$C$6^2)/Inputs!$C$52))*1000)/Inputs!$C$21*1000000</x:f>
        <x:v>2707.9365741255974</x:v>
      </x:c>
      <x:c r="AI208" t="n">
        <x:f>Scenario_Data!U208</x:f>
        <x:v>286.80000000000007</x:v>
      </x:c>
      <x:c r="AJ208" t="n">
        <x:f>2*(SQRT((Inputs!$C$52+(Scenario_Data!C208))^2+Inputs!$C$52^2-2*(Inputs!$C$52+(Scenario_Data!C208))*Inputs!$C$52*COS(SQRT((Scenario_Data!U208)^2+Inputs!$C$6^2)/Inputs!$C$52))*1000)/Inputs!$C$21*1000000</x:f>
        <x:v>2531.601221281773</x:v>
      </x:c>
      <x:c r="AK208" t="n">
        <x:f>Scenario_Data!V208</x:f>
        <x:v>573.6000000000001</x:v>
      </x:c>
      <x:c r="AL208" t="n">
        <x:f>2*(SQRT((Inputs!$C$52+(Scenario_Data!D208))^2+Inputs!$C$52^2-2*(Inputs!$C$52+(Scenario_Data!D208))*Inputs!$C$52*COS(SQRT((Scenario_Data!V208)^2+Inputs!$C$6^2)/Inputs!$C$52))*1000)/Inputs!$C$21*1000000</x:f>
        <x:v>5656.495804293952</x:v>
      </x:c>
      <x:c r="AM208" t="n">
        <x:f>Scenario_Data!W208</x:f>
        <x:v>573.6000000000001</x:v>
      </x:c>
      <x:c r="AN208" t="n">
        <x:f>2*(SQRT((Inputs!$C$52+(Scenario_Data!E208))^2+Inputs!$C$52^2-2*(Inputs!$C$52+(Scenario_Data!E208))*Inputs!$C$52*COS(SQRT((Scenario_Data!W208)^2+Inputs!$C$6^2)/Inputs!$C$52))*1000)/Inputs!$C$21*1000000</x:f>
        <x:v>5632.239789639232</x:v>
      </x:c>
      <x:c r="AP208" t="n">
        <x:f>Scenario_Data!T208</x:f>
        <x:v>43.02000000000001</x:v>
      </x:c>
      <x:c r="AQ208" t="n">
        <x: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x:f>
        <x:v>2706.4288747660044</x:v>
      </x:c>
      <x:c r="AR208" t="n">
        <x:f>Scenario_Data!U208</x:f>
        <x:v>286.80000000000007</x:v>
      </x:c>
      <x:c r="AS208" t="n">
        <x: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x:f>
        <x:v>2531.154808755311</x:v>
      </x:c>
      <x:c r="AT208" t="n">
        <x:f>Scenario_Data!V208</x:f>
        <x:v>573.6000000000001</x:v>
      </x:c>
      <x:c r="AU208" t="n">
        <x: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x:f>
        <x:v>5656.251189079561</x:v>
      </x:c>
      <x:c r="AV208" t="n">
        <x:f>Scenario_Data!W208</x:f>
        <x:v>573.6000000000001</x:v>
      </x:c>
      <x:c r="AW208" t="n">
        <x: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x:f>
        <x:v>5631.996968936285</x:v>
      </x:c>
    </x:row>
    <x:row r="209">
      <x:c r="A209" t="n">
        <x:f>Chart_Data!K209</x:f>
        <x:v>43.5</x:v>
      </x:c>
      <x:c r="B209" t="n">
        <x:f>Chart_Data!N209-Chart_Data!L209</x:f>
        <x:v>-23.261421172748356</x:v>
      </x:c>
      <x:c r="D209" t="n">
        <x:f>Chart_Data!G209</x:f>
        <x:v>43.5</x:v>
      </x:c>
      <x:c r="E209" t="n">
        <x:f>Chart_Data!H209</x:f>
        <x:v>225.35528260314678</x:v>
      </x:c>
      <x:c r="F209" t="n">
        <x:f>Chart_Data!I209</x:f>
        <x:v>225.35528260314678</x:v>
      </x:c>
      <x:c r="G209" t="n">
        <x:f>Chart_Data!J209</x:f>
        <x:v>20.522948331606614</x:v>
      </x:c>
      <x:c r="I209" t="n">
        <x:f>Scenario_Data!A209</x:f>
        <x:v>0.725</x:v>
      </x:c>
      <x:c r="J209" t="n">
        <x:f>Scenario_Data!H209-(((SQRT((Inputs!$C$52+(Inputs!$H$6))^2+Inputs!$C$52^2-2*(Inputs!$C$52+(Inputs!$H$6))*Inputs!$C$52*COS(SQRT((Scenario_Data!T209)^2+Inputs!$C$6^2)/Inputs!$C$52)))-(Inputs!$H$6))*1000/Inputs!$C$12)</x:f>
        <x:v>-9.096655219469085</x:v>
      </x:c>
      <x:c r="K209" t="n">
        <x:f>Scenario_Data!I209-(((SQRT((Inputs!$C$52+(Inputs!$H$7))^2+Inputs!$C$52^2-2*(Inputs!$C$52+(Inputs!$H$7))*Inputs!$C$52*COS(SQRT((Scenario_Data!U209)^2+Inputs!$C$6^2)/Inputs!$C$52)))-(Inputs!$H$7))*1000/Inputs!$C$12)</x:f>
        <x:v>-57769.785871170316</x:v>
      </x:c>
      <x:c r="L209" t="n">
        <x:f>Scenario_Data!J209-(((SQRT((Inputs!$C$52+(Inputs!$H$8))^2+Inputs!$C$52^2-2*(Inputs!$C$52+(Inputs!$H$8))*Inputs!$C$52*COS(SQRT((Scenario_Data!V209)^2+Inputs!$C$6^2)/Inputs!$C$52)))-(Inputs!$H$8))*1000/Inputs!$C$12)</x:f>
        <x:v>-129207.10406628711</x:v>
      </x:c>
      <x:c r="M209" t="n">
        <x:f>Scenario_Data!K209-(((SQRT((Inputs!$C$52+(Inputs!$H$9))^2+Inputs!$C$52^2-2*(Inputs!$C$52+(Inputs!$H$9))*Inputs!$C$52*COS(SQRT((Scenario_Data!W209)^2+Inputs!$C$6^2)/Inputs!$C$52)))-(Inputs!$H$9))*1000/Inputs!$C$12)</x:f>
        <x:v>-132847.0183380536</x:v>
      </x:c>
      <x:c r="O209" t="n">
        <x:f>Scenario_Data!T209</x:f>
        <x:v>43.5</x:v>
      </x:c>
      <x:c r="P209" t="n">
        <x:f>2*(Scenario_Data!B209*1000)/Inputs!$C$21*1000000</x:f>
        <x:v>2682.539131788299</x:v>
      </x:c>
      <x:c r="Q209" t="n">
        <x:f>Scenario_Data!U209</x:f>
        <x:v>290</x:v>
      </x:c>
      <x:c r="R209" t="n">
        <x:f>2*(Scenario_Data!C209*1000)/Inputs!$C$21*1000000</x:f>
        <x:v>1513.401147669966</x:v>
      </x:c>
      <x:c r="S209" t="n">
        <x:f>Scenario_Data!V209</x:f>
        <x:v>580</x:v>
      </x:c>
      <x:c r="T209" t="n">
        <x:f>2*(Scenario_Data!D209*1000)/Inputs!$C$21*1000000</x:f>
        <x:v>3617.3566781323107</x:v>
      </x:c>
      <x:c r="U209" t="n">
        <x:f>Scenario_Data!W209</x:f>
        <x:v>580</x:v>
      </x:c>
      <x:c r="V209" t="n">
        <x:f>2*(Scenario_Data!E209*1000)/Inputs!$C$21*1000000</x:f>
        <x:v>3585.709784600385</x:v>
      </x:c>
      <x:c r="X209" t="n">
        <x:f>Scenario_Data!T209</x:f>
        <x:v>43.5</x:v>
      </x:c>
      <x:c r="Y209" t="n">
        <x: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x:f>
        <x:v>2682.402217414478</x:v>
      </x:c>
      <x:c r="Z209" t="n">
        <x:f>Scenario_Data!U209</x:f>
        <x:v>290</x:v>
      </x:c>
      <x:c r="AA209" t="n">
        <x: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x:f>
        <x:v>1512.9108568074805</x:v>
      </x:c>
      <x:c r="AB209" t="n">
        <x:f>Scenario_Data!V209</x:f>
        <x:v>580</x:v>
      </x:c>
      <x:c r="AC209" t="n">
        <x: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x:f>
        <x:v>3616.803052164902</x:v>
      </x:c>
      <x:c r="AD209" t="n">
        <x:f>Scenario_Data!W209</x:f>
        <x:v>580</x:v>
      </x:c>
      <x:c r="AE209" t="n">
        <x: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x:f>
        <x:v>3585.1561586329767</x:v>
      </x:c>
      <x:c r="AG209" t="n">
        <x:f>Scenario_Data!T209</x:f>
        <x:v>43.5</x:v>
      </x:c>
      <x:c r="AH209" t="n">
        <x:f>2*(SQRT((Inputs!$C$52+(Scenario_Data!B209))^2+Inputs!$C$52^2-2*(Inputs!$C$52+(Scenario_Data!B209))*Inputs!$C$52*COS(SQRT((Scenario_Data!T209)^2+Inputs!$C$6^2)/Inputs!$C$52))*1000)/Inputs!$C$21*1000000</x:f>
        <x:v>2708.6711371730257</x:v>
      </x:c>
      <x:c r="AI209" t="n">
        <x:f>Scenario_Data!U209</x:f>
        <x:v>290</x:v>
      </x:c>
      <x:c r="AJ209" t="n">
        <x:f>2*(SQRT((Inputs!$C$52+(Scenario_Data!C209))^2+Inputs!$C$52^2-2*(Inputs!$C$52+(Scenario_Data!C209))*Inputs!$C$52*COS(SQRT((Scenario_Data!U209)^2+Inputs!$C$6^2)/Inputs!$C$52))*1000)/Inputs!$C$21*1000000</x:f>
        <x:v>2568.4063111009086</x:v>
      </x:c>
      <x:c r="AK209" t="n">
        <x:f>Scenario_Data!V209</x:f>
        <x:v>580</x:v>
      </x:c>
      <x:c r="AL209" t="n">
        <x:f>2*(SQRT((Inputs!$C$52+(Scenario_Data!D209))^2+Inputs!$C$52^2-2*(Inputs!$C$52+(Scenario_Data!D209))*Inputs!$C$52*COS(SQRT((Scenario_Data!V209)^2+Inputs!$C$6^2)/Inputs!$C$52))*1000)/Inputs!$C$21*1000000</x:f>
        <x:v>5750.1221522344285</x:v>
      </x:c>
      <x:c r="AM209" t="n">
        <x:f>Scenario_Data!W209</x:f>
        <x:v>580</x:v>
      </x:c>
      <x:c r="AN209" t="n">
        <x:f>2*(SQRT((Inputs!$C$52+(Scenario_Data!E209))^2+Inputs!$C$52^2-2*(Inputs!$C$52+(Scenario_Data!E209))*Inputs!$C$52*COS(SQRT((Scenario_Data!W209)^2+Inputs!$C$6^2)/Inputs!$C$52))*1000)/Inputs!$C$21*1000000</x:f>
        <x:v>5726.332575075653</x:v>
      </x:c>
      <x:c r="AP209" t="n">
        <x:f>Scenario_Data!T209</x:f>
        <x:v>43.5</x:v>
      </x:c>
      <x:c r="AQ209" t="n">
        <x: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x:f>
        <x:v>2707.1859976785427</x:v>
      </x:c>
      <x:c r="AR209" t="n">
        <x:f>Scenario_Data!U209</x:f>
        <x:v>290</x:v>
      </x:c>
      <x:c r="AS209" t="n">
        <x: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x:f>
        <x:v>2567.7411755466196</x:v>
      </x:c>
      <x:c r="AT209" t="n">
        <x:f>Scenario_Data!V209</x:f>
        <x:v>580</x:v>
      </x:c>
      <x:c r="AU209" t="n">
        <x: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x:f>
        <x:v>5749.3574043712215</x:v>
      </x:c>
      <x:c r="AV209" t="n">
        <x:f>Scenario_Data!W209</x:f>
        <x:v>580</x:v>
      </x:c>
      <x:c r="AW209" t="n">
        <x: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x:f>
        <x:v>5725.5731708500725</x:v>
      </x:c>
    </x:row>
    <x:row r="210">
      <x:c r="A210" t="n">
        <x:f>Chart_Data!K210</x:f>
        <x:v>44</x:v>
      </x:c>
      <x:c r="B210" t="n">
        <x:f>Chart_Data!N210-Chart_Data!L210</x:f>
        <x:v>-9.63259125781883</x:v>
      </x:c>
      <x:c r="D210" t="n">
        <x:f>Chart_Data!G210</x:f>
        <x:v>44</x:v>
      </x:c>
      <x:c r="E210" t="n">
        <x:f>Chart_Data!H210</x:f>
        <x:v>208.84015984832814</x:v>
      </x:c>
      <x:c r="F210" t="n">
        <x:f>Chart_Data!I210</x:f>
        <x:v>208.84015984832814</x:v>
      </x:c>
      <x:c r="G210" t="n">
        <x:f>Chart_Data!J210</x:f>
        <x:v>7.051899638170276</x:v>
      </x:c>
      <x:c r="I210" t="n">
        <x:f>Scenario_Data!A210</x:f>
        <x:v>0.733</x:v>
      </x:c>
      <x:c r="J210" t="n">
        <x:f>Scenario_Data!H210-(((SQRT((Inputs!$C$52+(Inputs!$H$6))^2+Inputs!$C$52^2-2*(Inputs!$C$52+(Inputs!$H$6))*Inputs!$C$52*COS(SQRT((Scenario_Data!T210)^2+Inputs!$C$6^2)/Inputs!$C$52)))-(Inputs!$H$6))*1000/Inputs!$C$12)</x:f>
        <x:v>-9.45004867322723</x:v>
      </x:c>
      <x:c r="K210" t="n">
        <x:f>Scenario_Data!I210-(((SQRT((Inputs!$C$52+(Inputs!$H$7))^2+Inputs!$C$52^2-2*(Inputs!$C$52+(Inputs!$H$7))*Inputs!$C$52*COS(SQRT((Scenario_Data!U210)^2+Inputs!$C$6^2)/Inputs!$C$52)))-(Inputs!$H$7))*1000/Inputs!$C$12)</x:f>
        <x:v>-58829.984333780376</x:v>
      </x:c>
      <x:c r="L210" t="n">
        <x:f>Scenario_Data!J210-(((SQRT((Inputs!$C$52+(Inputs!$H$8))^2+Inputs!$C$52^2-2*(Inputs!$C$52+(Inputs!$H$8))*Inputs!$C$52*COS(SQRT((Scenario_Data!V210)^2+Inputs!$C$6^2)/Inputs!$C$52)))-(Inputs!$H$8))*1000/Inputs!$C$12)</x:f>
        <x:v>-131136.96927609123</x:v>
      </x:c>
      <x:c r="M210" t="n">
        <x:f>Scenario_Data!K210-(((SQRT((Inputs!$C$52+(Inputs!$H$9))^2+Inputs!$C$52^2-2*(Inputs!$C$52+(Inputs!$H$9))*Inputs!$C$52*COS(SQRT((Scenario_Data!W210)^2+Inputs!$C$6^2)/Inputs!$C$52)))-(Inputs!$H$9))*1000/Inputs!$C$12)</x:f>
        <x:v>-134793.8913710381</x:v>
      </x:c>
      <x:c r="O210" t="n">
        <x:f>Scenario_Data!T210</x:f>
        <x:v>43.980000000000004</x:v>
      </x:c>
      <x:c r="P210" t="n">
        <x:f>2*(Scenario_Data!B210*1000)/Inputs!$C$21*1000000</x:f>
        <x:v>2682.85038711681</x:v>
      </x:c>
      <x:c r="Q210" t="n">
        <x:f>Scenario_Data!U210</x:f>
        <x:v>293.20000000000005</x:v>
      </x:c>
      <x:c r="R210" t="n">
        <x:f>2*(Scenario_Data!C210*1000)/Inputs!$C$21*1000000</x:f>
        <x:v>1541.803196396622</x:v>
      </x:c>
      <x:c r="S210" t="n">
        <x:f>Scenario_Data!V210</x:f>
        <x:v>586.4000000000001</x:v>
      </x:c>
      <x:c r="T210" t="n">
        <x:f>2*(Scenario_Data!D210*1000)/Inputs!$C$21*1000000</x:f>
        <x:v>3692.4470261356614</x:v>
      </x:c>
      <x:c r="U210" t="n">
        <x:f>Scenario_Data!W210</x:f>
        <x:v>586.4000000000001</x:v>
      </x:c>
      <x:c r="V210" t="n">
        <x:f>2*(Scenario_Data!E210*1000)/Inputs!$C$21*1000000</x:f>
        <x:v>3661.5782709250157</x:v>
      </x:c>
      <x:c r="X210" t="n">
        <x:f>Scenario_Data!T210</x:f>
        <x:v>43.980000000000004</x:v>
      </x:c>
      <x:c r="Y210" t="n">
        <x: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x:f>
        <x:v>2682.7748799157594</x:v>
      </x:c>
      <x:c r="Z210" t="n">
        <x:f>Scenario_Data!U210</x:f>
        <x:v>293.20000000000005</x:v>
      </x:c>
      <x:c r="AA210" t="n">
        <x: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x:f>
        <x:v>1541.4540654481948</x:v>
      </x:c>
      <x:c r="AB210" t="n">
        <x:f>Scenario_Data!V210</x:f>
        <x:v>586.4000000000001</x:v>
      </x:c>
      <x:c r="AC210" t="n">
        <x: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x:f>
        <x:v>3692.183049402466</x:v>
      </x:c>
      <x:c r="AD210" t="n">
        <x:f>Scenario_Data!W210</x:f>
        <x:v>586.4000000000001</x:v>
      </x:c>
      <x:c r="AE210" t="n">
        <x: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x:f>
        <x:v>3661.3142941918195</x:v>
      </x:c>
      <x:c r="AG210" t="n">
        <x:f>Scenario_Data!T210</x:f>
        <x:v>43.980000000000004</x:v>
      </x:c>
      <x:c r="AH210" t="n">
        <x:f>2*(SQRT((Inputs!$C$52+(Scenario_Data!B210))^2+Inputs!$C$52^2-2*(Inputs!$C$52+(Scenario_Data!B210))*Inputs!$C$52*COS(SQRT((Scenario_Data!T210)^2+Inputs!$C$6^2)/Inputs!$C$52))*1000)/Inputs!$C$21*1000000</x:f>
        <x:v>2709.41370305717</x:v>
      </x:c>
      <x:c r="AI210" t="n">
        <x:f>Scenario_Data!U210</x:f>
        <x:v>293.20000000000005</x:v>
      </x:c>
      <x:c r="AJ210" t="n">
        <x:f>2*(SQRT((Inputs!$C$52+(Scenario_Data!C210))^2+Inputs!$C$52^2-2*(Inputs!$C$52+(Scenario_Data!C210))*Inputs!$C$52*COS(SQRT((Scenario_Data!U210)^2+Inputs!$C$6^2)/Inputs!$C$52))*1000)/Inputs!$C$21*1000000</x:f>
        <x:v>2605.4827634648645</x:v>
      </x:c>
      <x:c r="AK210" t="n">
        <x:f>Scenario_Data!V210</x:f>
        <x:v>586.4000000000001</x:v>
      </x:c>
      <x:c r="AL210" t="n">
        <x:f>2*(SQRT((Inputs!$C$52+(Scenario_Data!D210))^2+Inputs!$C$52^2-2*(Inputs!$C$52+(Scenario_Data!D210))*Inputs!$C$52*COS(SQRT((Scenario_Data!V210)^2+Inputs!$C$6^2)/Inputs!$C$52))*1000)/Inputs!$C$21*1000000</x:f>
        <x:v>5844.601093061466</x:v>
      </x:c>
      <x:c r="AM210" t="n">
        <x:f>Scenario_Data!W210</x:f>
        <x:v>586.4000000000001</x:v>
      </x:c>
      <x:c r="AN210" t="n">
        <x:f>2*(SQRT((Inputs!$C$52+(Scenario_Data!E210))^2+Inputs!$C$52^2-2*(Inputs!$C$52+(Scenario_Data!E210))*Inputs!$C$52*COS(SQRT((Scenario_Data!W210)^2+Inputs!$C$6^2)/Inputs!$C$52))*1000)/Inputs!$C$21*1000000</x:f>
        <x:v>5821.291346397364</x:v>
      </x:c>
      <x:c r="AP210" t="n">
        <x:f>Scenario_Data!T210</x:f>
        <x:v>43.980000000000004</x:v>
      </x:c>
      <x:c r="AQ210" t="n">
        <x: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x:f>
        <x:v>2708.0535136916324</x:v>
      </x:c>
      <x:c r="AR210" t="n">
        <x:f>Scenario_Data!U210</x:f>
        <x:v>293.20000000000005</x:v>
      </x:c>
      <x:c r="AS210" t="n">
        <x: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x:f>
        <x:v>2604.7028372749974</x:v>
      </x:c>
      <x:c r="AT210" t="n">
        <x:f>Scenario_Data!V210</x:f>
        <x:v>586.4000000000001</x:v>
      </x:c>
      <x:c r="AU210" t="n">
        <x: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x:f>
        <x:v>5844.274620092532</x:v>
      </x:c>
      <x:c r="AV210" t="n">
        <x:f>Scenario_Data!W210</x:f>
        <x:v>586.4000000000001</x:v>
      </x:c>
      <x:c r="AW210" t="n">
        <x: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x:f>
        <x:v>5820.9670434296495</x:v>
      </x:c>
    </x:row>
    <x:row r="211">
      <x:c r="A211" t="n">
        <x:f>Chart_Data!K211</x:f>
        <x:v>44.5</x:v>
      </x:c>
      <x:c r="B211" t="n">
        <x:f>Chart_Data!N211-Chart_Data!L211</x:f>
        <x:v>1.0351428006268861</x:v>
      </x:c>
      <x:c r="D211" t="n">
        <x:f>Chart_Data!G211</x:f>
        <x:v>44.5</x:v>
      </x:c>
      <x:c r="E211" t="n">
        <x:f>Chart_Data!H211</x:f>
        <x:v>178.96296340227542</x:v>
      </x:c>
      <x:c r="F211" t="n">
        <x:f>Chart_Data!I211</x:f>
        <x:v>178.96296340227542</x:v>
      </x:c>
      <x:c r="G211" t="n">
        <x:f>Chart_Data!J211</x:f>
        <x:v>-3.283716108943903</x:v>
      </x:c>
      <x:c r="I211" t="n">
        <x:f>Scenario_Data!A211</x:f>
        <x:v>0.742</x:v>
      </x:c>
      <x:c r="J211" t="n">
        <x:f>Scenario_Data!H211-(((SQRT((Inputs!$C$52+(Inputs!$H$6))^2+Inputs!$C$52^2-2*(Inputs!$C$52+(Inputs!$H$6))*Inputs!$C$52*COS(SQRT((Scenario_Data!T211)^2+Inputs!$C$6^2)/Inputs!$C$52)))-(Inputs!$H$6))*1000/Inputs!$C$12)</x:f>
        <x:v>-9.86011393674653</x:v>
      </x:c>
      <x:c r="K211" t="n">
        <x:f>Scenario_Data!I211-(((SQRT((Inputs!$C$52+(Inputs!$H$7))^2+Inputs!$C$52^2-2*(Inputs!$C$52+(Inputs!$H$7))*Inputs!$C$52*COS(SQRT((Scenario_Data!U211)^2+Inputs!$C$6^2)/Inputs!$C$52)))-(Inputs!$H$7))*1000/Inputs!$C$12)</x:f>
        <x:v>-60026.903256236474</x:v>
      </x:c>
      <x:c r="L211" t="n">
        <x:f>Scenario_Data!J211-(((SQRT((Inputs!$C$52+(Inputs!$H$8))^2+Inputs!$C$52^2-2*(Inputs!$C$52+(Inputs!$H$8))*Inputs!$C$52*COS(SQRT((Scenario_Data!V211)^2+Inputs!$C$6^2)/Inputs!$C$52)))-(Inputs!$H$8))*1000/Inputs!$C$12)</x:f>
        <x:v>-133303.50387707388</x:v>
      </x:c>
      <x:c r="M211" t="n">
        <x:f>Scenario_Data!K211-(((SQRT((Inputs!$C$52+(Inputs!$H$9))^2+Inputs!$C$52^2-2*(Inputs!$C$52+(Inputs!$H$9))*Inputs!$C$52*COS(SQRT((Scenario_Data!W211)^2+Inputs!$C$6^2)/Inputs!$C$52)))-(Inputs!$H$9))*1000/Inputs!$C$12)</x:f>
        <x:v>-136979.00244933437</x:v>
      </x:c>
      <x:c r="O211" t="n">
        <x:f>Scenario_Data!T211</x:f>
        <x:v>44.519999999999996</x:v>
      </x:c>
      <x:c r="P211" t="n">
        <x:f>2*(Scenario_Data!B211*1000)/Inputs!$C$21*1000000</x:f>
        <x:v>2683.20463218591</x:v>
      </x:c>
      <x:c r="Q211" t="n">
        <x:f>Scenario_Data!U211</x:f>
        <x:v>296.79999999999995</x:v>
      </x:c>
      <x:c r="R211" t="n">
        <x:f>2*(Scenario_Data!C211*1000)/Inputs!$C$21*1000000</x:f>
        <x:v>1574.1280589520366</x:v>
      </x:c>
      <x:c r="S211" t="n">
        <x:f>Scenario_Data!V211</x:f>
        <x:v>593.5999999999999</x:v>
      </x:c>
      <x:c r="T211" t="n">
        <x:f>2*(Scenario_Data!D211*1000)/Inputs!$C$21*1000000</x:f>
        <x:v>3777.90864905614</x:v>
      </x:c>
      <x:c r="U211" t="n">
        <x:f>Scenario_Data!W211</x:f>
        <x:v>593.5999999999999</x:v>
      </x:c>
      <x:c r="V211" t="n">
        <x:f>2*(Scenario_Data!E211*1000)/Inputs!$C$21*1000000</x:f>
        <x:v>3747.9255065182456</x:v>
      </x:c>
      <x:c r="X211" t="n">
        <x:f>Scenario_Data!T211</x:f>
        <x:v>44.519999999999996</x:v>
      </x:c>
      <x:c r="Y211" t="n">
        <x: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x:f>
        <x:v>2683.2285243627853</x:v>
      </x:c>
      <x:c r="Z211" t="n">
        <x:f>Scenario_Data!U211</x:f>
        <x:v>296.79999999999995</x:v>
      </x:c>
      <x:c r="AA211" t="n">
        <x: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x:f>
        <x:v>1574.197633849197</x:v>
      </x:c>
      <x:c r="AB211" t="n">
        <x:f>Scenario_Data!V211</x:f>
        <x:v>593.5999999999999</x:v>
      </x:c>
      <x:c r="AC211" t="n">
        <x: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x:f>
        <x:v>3777.6203108286313</x:v>
      </x:c>
      <x:c r="AD211" t="n">
        <x:f>Scenario_Data!W211</x:f>
        <x:v>593.5999999999999</x:v>
      </x:c>
      <x:c r="AE211" t="n">
        <x: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x:f>
        <x:v>3747.6371682907366</x:v>
      </x:c>
      <x:c r="AG211" t="n">
        <x:f>Scenario_Data!T211</x:f>
        <x:v>44.519999999999996</x:v>
      </x:c>
      <x:c r="AH211" t="n">
        <x:f>2*(SQRT((Inputs!$C$52+(Scenario_Data!B211))^2+Inputs!$C$52^2-2*(Inputs!$C$52+(Scenario_Data!B211))*Inputs!$C$52*COS(SQRT((Scenario_Data!T211)^2+Inputs!$C$6^2)/Inputs!$C$52))*1000)/Inputs!$C$21*1000000</x:f>
        <x:v>2710.258649634195</x:v>
      </x:c>
      <x:c r="AI211" t="n">
        <x:f>Scenario_Data!U211</x:f>
        <x:v>296.79999999999995</x:v>
      </x:c>
      <x:c r="AJ211" t="n">
        <x:f>2*(SQRT((Inputs!$C$52+(Scenario_Data!C211))^2+Inputs!$C$52^2-2*(Inputs!$C$52+(Scenario_Data!C211))*Inputs!$C$52*COS(SQRT((Scenario_Data!U211)^2+Inputs!$C$6^2)/Inputs!$C$52))*1000)/Inputs!$C$21*1000000</x:f>
        <x:v>2647.519805513155</x:v>
      </x:c>
      <x:c r="AK211" t="n">
        <x:f>Scenario_Data!V211</x:f>
        <x:v>593.5999999999999</x:v>
      </x:c>
      <x:c r="AL211" t="n">
        <x:f>2*(SQRT((Inputs!$C$52+(Scenario_Data!D211))^2+Inputs!$C$52^2-2*(Inputs!$C$52+(Scenario_Data!D211))*Inputs!$C$52*COS(SQRT((Scenario_Data!V211)^2+Inputs!$C$6^2)/Inputs!$C$52))*1000)/Inputs!$C$21*1000000</x:f>
        <x:v>5951.912269047644</x:v>
      </x:c>
      <x:c r="AM211" t="n">
        <x:f>Scenario_Data!W211</x:f>
        <x:v>593.5999999999999</x:v>
      </x:c>
      <x:c r="AN211" t="n">
        <x:f>2*(SQRT((Inputs!$C$52+(Scenario_Data!E211))^2+Inputs!$C$52^2-2*(Inputs!$C$52+(Scenario_Data!E211))*Inputs!$C$52*COS(SQRT((Scenario_Data!W211)^2+Inputs!$C$6^2)/Inputs!$C$52))*1000)/Inputs!$C$21*1000000</x:f>
        <x:v>5929.1582714862625</x:v>
      </x:c>
      <x:c r="AP211" t="n">
        <x:f>Scenario_Data!T211</x:f>
        <x:v>44.519999999999996</x:v>
      </x:c>
      <x:c r="AQ211" t="n">
        <x: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x:f>
        <x:v>2708.9759331232062</x:v>
      </x:c>
      <x:c r="AR211" t="n">
        <x:f>Scenario_Data!U211</x:f>
        <x:v>296.79999999999995</x:v>
      </x:c>
      <x:c r="AS211" t="n">
        <x: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x:f>
        <x:v>2646.979433940708</x:v>
      </x:c>
      <x:c r="AT211" t="n">
        <x:f>Scenario_Data!V211</x:f>
        <x:v>593.5999999999999</x:v>
      </x:c>
      <x:c r="AU211" t="n">
        <x: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x:f>
        <x:v>5951.428965774956</x:v>
      </x:c>
      <x:c r="AV211" t="n">
        <x:f>Scenario_Data!W211</x:f>
        <x:v>593.5999999999999</x:v>
      </x:c>
      <x:c r="AW211" t="n">
        <x: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x:f>
        <x:v>5928.678003819094</x:v>
      </x:c>
    </x:row>
    <x:row r="212">
      <x:c r="A212" t="n">
        <x:f>Chart_Data!K212</x:f>
        <x:v>45</x:v>
      </x:c>
      <x:c r="B212" t="n">
        <x:f>Chart_Data!N212-Chart_Data!L212</x:f>
        <x:v>2.635051893500531</x:v>
      </x:c>
      <x:c r="D212" t="n">
        <x:f>Chart_Data!G212</x:f>
        <x:v>45</x:v>
      </x:c>
      <x:c r="E212" t="n">
        <x:f>Chart_Data!H212</x:f>
        <x:v>165.26573251393552</x:v>
      </x:c>
      <x:c r="F212" t="n">
        <x:f>Chart_Data!I212</x:f>
        <x:v>165.26573251393552</x:v>
      </x:c>
      <x:c r="G212" t="n">
        <x:f>Chart_Data!J212</x:f>
        <x:v>-4.746207968267804</x:v>
      </x:c>
      <x:c r="I212" t="n">
        <x:f>Scenario_Data!A212</x:f>
        <x:v>0.75</x:v>
      </x:c>
      <x:c r="J212" t="n">
        <x:f>Scenario_Data!H212-(((SQRT((Inputs!$C$52+(Inputs!$H$6))^2+Inputs!$C$52^2-2*(Inputs!$C$52+(Inputs!$H$6))*Inputs!$C$52*COS(SQRT((Scenario_Data!T212)^2+Inputs!$C$6^2)/Inputs!$C$52)))-(Inputs!$H$6))*1000/Inputs!$C$12)</x:f>
        <x:v>-10.235955038383963</x:v>
      </x:c>
      <x:c r="K212" t="n">
        <x:f>Scenario_Data!I212-(((SQRT((Inputs!$C$52+(Inputs!$H$7))^2+Inputs!$C$52^2-2*(Inputs!$C$52+(Inputs!$H$7))*Inputs!$C$52*COS(SQRT((Scenario_Data!U212)^2+Inputs!$C$6^2)/Inputs!$C$52)))-(Inputs!$H$7))*1000/Inputs!$C$12)</x:f>
        <x:v>-61094.421380709784</x:v>
      </x:c>
      <x:c r="L212" t="n">
        <x:f>Scenario_Data!J212-(((SQRT((Inputs!$C$52+(Inputs!$H$8))^2+Inputs!$C$52^2-2*(Inputs!$C$52+(Inputs!$H$8))*Inputs!$C$52*COS(SQRT((Scenario_Data!V212)^2+Inputs!$C$6^2)/Inputs!$C$52)))-(Inputs!$H$8))*1000/Inputs!$C$12)</x:f>
        <x:v>-135224.99566257387</x:v>
      </x:c>
      <x:c r="M212" t="n">
        <x:f>Scenario_Data!K212-(((SQRT((Inputs!$C$52+(Inputs!$H$9))^2+Inputs!$C$52^2-2*(Inputs!$C$52+(Inputs!$H$9))*Inputs!$C$52*COS(SQRT((Scenario_Data!W212)^2+Inputs!$C$6^2)/Inputs!$C$52)))-(Inputs!$H$9))*1000/Inputs!$C$12)</x:f>
        <x:v>-138916.5188951826</x:v>
      </x:c>
      <x:c r="O212" t="n">
        <x:f>Scenario_Data!T212</x:f>
        <x:v>45</x:v>
      </x:c>
      <x:c r="P212" t="n">
        <x:f>2*(Scenario_Data!B212*1000)/Inputs!$C$21*1000000</x:f>
        <x:v>2683.5231458691333</x:v>
      </x:c>
      <x:c r="Q212" t="n">
        <x:f>Scenario_Data!U212</x:f>
        <x:v>300</x:v>
      </x:c>
      <x:c r="R212" t="n">
        <x:f>2*(Scenario_Data!C212*1000)/Inputs!$C$21*1000000</x:f>
        <x:v>1603.1924325461182</x:v>
      </x:c>
      <x:c r="S212" t="n">
        <x:f>Scenario_Data!V212</x:f>
        <x:v>600</x:v>
      </x:c>
      <x:c r="T212" t="n">
        <x:f>2*(Scenario_Data!D212*1000)/Inputs!$C$21*1000000</x:f>
        <x:v>3854.7500751336447</x:v>
      </x:c>
      <x:c r="U212" t="n">
        <x:f>Scenario_Data!W212</x:f>
        <x:v>600</x:v>
      </x:c>
      <x:c r="V212" t="n">
        <x:f>2*(Scenario_Data!E212*1000)/Inputs!$C$21*1000000</x:f>
        <x:v>3825.5632168038064</x:v>
      </x:c>
      <x:c r="X212" t="n">
        <x:f>Scenario_Data!T212</x:f>
        <x:v>45</x:v>
      </x:c>
      <x:c r="Y212" t="n">
        <x: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x:f>
        <x:v>2683.554809160464</x:v>
      </x:c>
      <x:c r="Z212" t="n">
        <x:f>Scenario_Data!U212</x:f>
        <x:v>300</x:v>
      </x:c>
      <x:c r="AA212" t="n">
        <x: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x:f>
        <x:v>1603.1443212159713</x:v>
      </x:c>
      <x:c r="AB212" t="n">
        <x:f>Scenario_Data!V212</x:f>
        <x:v>600</x:v>
      </x:c>
      <x:c r="AC212" t="n">
        <x: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x:f>
        <x:v>3854.309398143715</x:v>
      </x:c>
      <x:c r="AD212" t="n">
        <x:f>Scenario_Data!W212</x:f>
        <x:v>600</x:v>
      </x:c>
      <x:c r="AE212" t="n">
        <x: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x:f>
        <x:v>3825.1225398138768</x:v>
      </x:c>
      <x:c r="AG212" t="n">
        <x:f>Scenario_Data!T212</x:f>
        <x:v>45</x:v>
      </x:c>
      <x:c r="AH212" t="n">
        <x:f>2*(SQRT((Inputs!$C$52+(Scenario_Data!B212))^2+Inputs!$C$52^2-2*(Inputs!$C$52+(Scenario_Data!B212))*Inputs!$C$52*COS(SQRT((Scenario_Data!T212)^2+Inputs!$C$6^2)/Inputs!$C$52))*1000)/Inputs!$C$21*1000000</x:f>
        <x:v>2711.018205671868</x:v>
      </x:c>
      <x:c r="AI212" t="n">
        <x:f>Scenario_Data!U212</x:f>
        <x:v>300</x:v>
      </x:c>
      <x:c r="AJ212" t="n">
        <x:f>2*(SQRT((Inputs!$C$52+(Scenario_Data!C212))^2+Inputs!$C$52^2-2*(Inputs!$C$52+(Scenario_Data!C212))*Inputs!$C$52*COS(SQRT((Scenario_Data!U212)^2+Inputs!$C$6^2)/Inputs!$C$52))*1000)/Inputs!$C$21*1000000</x:f>
        <x:v>2685.177333423242</x:v>
      </x:c>
      <x:c r="AK212" t="n">
        <x:f>Scenario_Data!V212</x:f>
        <x:v>600</x:v>
      </x:c>
      <x:c r="AL212" t="n">
        <x:f>2*(SQRT((Inputs!$C$52+(Scenario_Data!D212))^2+Inputs!$C$52^2-2*(Inputs!$C$52+(Scenario_Data!D212))*Inputs!$C$52*COS(SQRT((Scenario_Data!V212)^2+Inputs!$C$6^2)/Inputs!$C$52))*1000)/Inputs!$C$21*1000000</x:f>
        <x:v>6048.211556044975</x:v>
      </x:c>
      <x:c r="AM212" t="n">
        <x:f>Scenario_Data!W212</x:f>
        <x:v>600</x:v>
      </x:c>
      <x:c r="AN212" t="n">
        <x:f>2*(SQRT((Inputs!$C$52+(Scenario_Data!E212))^2+Inputs!$C$52^2-2*(Inputs!$C$52+(Scenario_Data!E212))*Inputs!$C$52*COS(SQRT((Scenario_Data!W212)^2+Inputs!$C$6^2)/Inputs!$C$52))*1000)/Inputs!$C$21*1000000</x:f>
        <x:v>6025.965664177064</x:v>
      </x:c>
      <x:c r="AP212" t="n">
        <x:f>Scenario_Data!T212</x:f>
        <x:v>45</x:v>
      </x:c>
      <x:c r="AQ212" t="n">
        <x: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x:f>
        <x:v>2709.9297554985205</x:v>
      </x:c>
      <x:c r="AR212" t="n">
        <x:f>Scenario_Data!U212</x:f>
        <x:v>300</x:v>
      </x:c>
      <x:c r="AS212" t="n">
        <x: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x:f>
        <x:v>2684.8439175922745</x:v>
      </x:c>
      <x:c r="AT212" t="n">
        <x:f>Scenario_Data!V212</x:f>
        <x:v>600</x:v>
      </x:c>
      <x:c r="AU212" t="n">
        <x: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x:f>
        <x:v>6047.7020502811065</x:v>
      </x:c>
      <x:c r="AV212" t="n">
        <x:f>Scenario_Data!W212</x:f>
        <x:v>600</x:v>
      </x:c>
      <x:c r="AW212" t="n">
        <x: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x:f>
        <x:v>6025.4591988659095</x:v>
      </x:c>
    </x:row>
    <x:row r="213">
      <x:c r="A213" t="n">
        <x:f>Chart_Data!K213</x:f>
        <x:v>45.5</x:v>
      </x:c>
      <x:c r="B213" t="n">
        <x:f>Chart_Data!N213-Chart_Data!L213</x:f>
        <x:v>2.762829766127794</x:v>
      </x:c>
      <x:c r="D213" t="n">
        <x:f>Chart_Data!G213</x:f>
        <x:v>45.5</x:v>
      </x:c>
      <x:c r="E213" t="n">
        <x:f>Chart_Data!H213</x:f>
        <x:v>168.78187987738474</x:v>
      </x:c>
      <x:c r="F213" t="n">
        <x:f>Chart_Data!I213</x:f>
        <x:v>168.78187987738474</x:v>
      </x:c>
      <x:c r="G213" t="n">
        <x:f>Chart_Data!J213</x:f>
        <x:v>-4.954776418919145</x:v>
      </x:c>
      <x:c r="I213" t="n">
        <x:f>Scenario_Data!A213</x:f>
        <x:v>0.758</x:v>
      </x:c>
      <x:c r="J213" t="n">
        <x:f>Scenario_Data!H213-(((SQRT((Inputs!$C$52+(Inputs!$H$6))^2+Inputs!$C$52^2-2*(Inputs!$C$52+(Inputs!$H$6))*Inputs!$C$52*COS(SQRT((Scenario_Data!T213)^2+Inputs!$C$6^2)/Inputs!$C$52)))-(Inputs!$H$6))*1000/Inputs!$C$12)</x:f>
        <x:v>-10.622685923482095</x:v>
      </x:c>
      <x:c r="K213" t="n">
        <x:f>Scenario_Data!I213-(((SQRT((Inputs!$C$52+(Inputs!$H$7))^2+Inputs!$C$52^2-2*(Inputs!$C$52+(Inputs!$H$7))*Inputs!$C$52*COS(SQRT((Scenario_Data!U213)^2+Inputs!$C$6^2)/Inputs!$C$52)))-(Inputs!$H$7))*1000/Inputs!$C$12)</x:f>
        <x:v>-62165.18984686682</x:v>
      </x:c>
      <x:c r="L213" t="n">
        <x:f>Scenario_Data!J213-(((SQRT((Inputs!$C$52+(Inputs!$H$8))^2+Inputs!$C$52^2-2*(Inputs!$C$52+(Inputs!$H$8))*Inputs!$C$52*COS(SQRT((Scenario_Data!V213)^2+Inputs!$C$6^2)/Inputs!$C$52)))-(Inputs!$H$8))*1000/Inputs!$C$12)</x:f>
        <x:v>-137142.1869054522</x:v>
      </x:c>
      <x:c r="M213" t="n">
        <x:f>Scenario_Data!K213-(((SQRT((Inputs!$C$52+(Inputs!$H$9))^2+Inputs!$C$52^2-2*(Inputs!$C$52+(Inputs!$H$9))*Inputs!$C$52*COS(SQRT((Scenario_Data!W213)^2+Inputs!$C$6^2)/Inputs!$C$52)))-(Inputs!$H$9))*1000/Inputs!$C$12)</x:f>
        <x:v>-140849.28287495405</x:v>
      </x:c>
      <x:c r="O213" t="n">
        <x:f>Scenario_Data!T213</x:f>
        <x:v>45.480000000000004</x:v>
      </x:c>
      <x:c r="P213" t="n">
        <x:f>2*(Scenario_Data!B213*1000)/Inputs!$C$21*1000000</x:f>
        <x:v>2683.8450752486906</x:v>
      </x:c>
      <x:c r="Q213" t="n">
        <x:f>Scenario_Data!U213</x:f>
        <x:v>303.20000000000005</x:v>
      </x:c>
      <x:c r="R213" t="n">
        <x:f>2*(Scenario_Data!C213*1000)/Inputs!$C$21*1000000</x:f>
        <x:v>1632.5684884307536</x:v>
      </x:c>
      <x:c r="S213" t="n">
        <x:f>Scenario_Data!V213</x:f>
        <x:v>606.4000000000001</x:v>
      </x:c>
      <x:c r="T213" t="n">
        <x:f>2*(Scenario_Data!D213*1000)/Inputs!$C$21*1000000</x:f>
        <x:v>3932.4155379519266</x:v>
      </x:c>
      <x:c r="U213" t="n">
        <x:f>Scenario_Data!W213</x:f>
        <x:v>606.4000000000001</x:v>
      </x:c>
      <x:c r="V213" t="n">
        <x:f>2*(Scenario_Data!E213*1000)/Inputs!$C$21*1000000</x:f>
        <x:v>3904.0335030709825</x:v>
      </x:c>
      <x:c r="X213" t="n">
        <x:f>Scenario_Data!T213</x:f>
        <x:v>45.480000000000004</x:v>
      </x:c>
      <x:c r="Y213" t="n">
        <x: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x:f>
        <x:v>2683.8975540425167</x:v>
      </x:c>
      <x:c r="Z213" t="n">
        <x:f>Scenario_Data!U213</x:f>
        <x:v>303.20000000000005</x:v>
      </x:c>
      <x:c r="AA213" t="n">
        <x: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x:f>
        <x:v>1632.5427234407928</x:v>
      </x:c>
      <x:c r="AB213" t="n">
        <x:f>Scenario_Data!V213</x:f>
        <x:v>606.4000000000001</x:v>
      </x:c>
      <x:c r="AC213" t="n">
        <x: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x:f>
        <x:v>3932.4165893514773</x:v>
      </x:c>
      <x:c r="AD213" t="n">
        <x:f>Scenario_Data!W213</x:f>
        <x:v>606.4000000000001</x:v>
      </x:c>
      <x:c r="AE213" t="n">
        <x: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x:f>
        <x:v>3904.0345544705324</x:v>
      </x:c>
      <x:c r="AG213" t="n">
        <x:f>Scenario_Data!T213</x:f>
        <x:v>45.480000000000004</x:v>
      </x:c>
      <x:c r="AH213" t="n">
        <x:f>2*(SQRT((Inputs!$C$52+(Scenario_Data!B213))^2+Inputs!$C$52^2-2*(Inputs!$C$52+(Scenario_Data!B213))*Inputs!$C$52*COS(SQRT((Scenario_Data!T213)^2+Inputs!$C$6^2)/Inputs!$C$52))*1000)/Inputs!$C$21*1000000</x:f>
        <x:v>2711.7857495077187</x:v>
      </x:c>
      <x:c r="AI213" t="n">
        <x:f>Scenario_Data!U213</x:f>
        <x:v>303.20000000000005</x:v>
      </x:c>
      <x:c r="AJ213" t="n">
        <x:f>2*(SQRT((Inputs!$C$52+(Scenario_Data!C213))^2+Inputs!$C$52^2-2*(Inputs!$C$52+(Scenario_Data!C213))*Inputs!$C$52*COS(SQRT((Scenario_Data!U213)^2+Inputs!$C$6^2)/Inputs!$C$52))*1000)/Inputs!$C$21*1000000</x:f>
        <x:v>2723.110349333624</x:v>
      </x:c>
      <x:c r="AK213" t="n">
        <x:f>Scenario_Data!V213</x:f>
        <x:v>606.4000000000001</x:v>
      </x:c>
      <x:c r="AL213" t="n">
        <x:f>2*(SQRT((Inputs!$C$52+(Scenario_Data!D213))^2+Inputs!$C$52^2-2*(Inputs!$C$52+(Scenario_Data!D213))*Inputs!$C$52*COS(SQRT((Scenario_Data!V213)^2+Inputs!$C$6^2)/Inputs!$C$52))*1000)/Inputs!$C$21*1000000</x:f>
        <x:v>6145.371354766013</x:v>
      </x:c>
      <x:c r="AM213" t="n">
        <x:f>Scenario_Data!W213</x:f>
        <x:v>606.4000000000001</x:v>
      </x:c>
      <x:c r="AN213" t="n">
        <x:f>2*(SQRT((Inputs!$C$52+(Scenario_Data!E213))^2+Inputs!$C$52^2-2*(Inputs!$C$52+(Scenario_Data!E213))*Inputs!$C$52*COS(SQRT((Scenario_Data!W213)^2+Inputs!$C$6^2)/Inputs!$C$52))*1000)/Inputs!$C$21*1000000</x:f>
        <x:v>6123.6467860475295</x:v>
      </x:c>
      <x:c r="AP213" t="n">
        <x:f>Scenario_Data!T213</x:f>
        <x:v>45.480000000000004</x:v>
      </x:c>
      <x:c r="AQ213" t="n">
        <x: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x:f>
        <x:v>2710.776759778393</x:v>
      </x:c>
      <x:c r="AR213" t="n">
        <x:f>Scenario_Data!U213</x:f>
        <x:v>303.20000000000005</x:v>
      </x:c>
      <x:c r="AS213" t="n">
        <x: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x:f>
        <x:v>2722.7356281270404</x:v>
      </x:c>
      <x:c r="AT213" t="n">
        <x:f>Scenario_Data!V213</x:f>
        <x:v>606.4000000000001</x:v>
      </x:c>
      <x:c r="AU213" t="n">
        <x: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x:f>
        <x:v>6145.111338452737</x:v>
      </x:c>
      <x:c r="AV213" t="n">
        <x:f>Scenario_Data!W213</x:f>
        <x:v>606.4000000000001</x:v>
      </x:c>
      <x:c r="AW213" t="n">
        <x: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x:f>
        <x:v>6123.388242453002</x:v>
      </x:c>
    </x:row>
    <x:row r="214">
      <x:c r="A214" t="n">
        <x:f>Chart_Data!K214</x:f>
        <x:v>46</x:v>
      </x:c>
      <x:c r="B214" t="n">
        <x:f>Chart_Data!N214-Chart_Data!L214</x:f>
        <x:v>-1.8952716670484335</x:v>
      </x:c>
      <x:c r="D214" t="n">
        <x:f>Chart_Data!G214</x:f>
        <x:v>46</x:v>
      </x:c>
      <x:c r="E214" t="n">
        <x:f>Chart_Data!H214</x:f>
        <x:v>147.2236511039814</x:v>
      </x:c>
      <x:c r="F214" t="n">
        <x:f>Chart_Data!I214</x:f>
        <x:v>147.2236511039814</x:v>
      </x:c>
      <x:c r="G214" t="n">
        <x:f>Chart_Data!J214</x:f>
        <x:v>-0.04819256513620118</x:v>
      </x:c>
      <x:c r="I214" t="n">
        <x:f>Scenario_Data!A214</x:f>
        <x:v>0.767</x:v>
      </x:c>
      <x:c r="J214" t="n">
        <x:f>Scenario_Data!H214-(((SQRT((Inputs!$C$52+(Inputs!$H$6))^2+Inputs!$C$52^2-2*(Inputs!$C$52+(Inputs!$H$6))*Inputs!$C$52*COS(SQRT((Scenario_Data!T214)^2+Inputs!$C$6^2)/Inputs!$C$52)))-(Inputs!$H$6))*1000/Inputs!$C$12)</x:f>
        <x:v>-11.071038001998204</x:v>
      </x:c>
      <x:c r="K214" t="n">
        <x:f>Scenario_Data!I214-(((SQRT((Inputs!$C$52+(Inputs!$H$7))^2+Inputs!$C$52^2-2*(Inputs!$C$52+(Inputs!$H$7))*Inputs!$C$52*COS(SQRT((Scenario_Data!U214)^2+Inputs!$C$6^2)/Inputs!$C$52)))-(Inputs!$H$7))*1000/Inputs!$C$12)</x:f>
        <x:v>-63373.53868446988</x:v>
      </x:c>
      <x:c r="L214" t="n">
        <x:f>Scenario_Data!J214-(((SQRT((Inputs!$C$52+(Inputs!$H$8))^2+Inputs!$C$52^2-2*(Inputs!$C$52+(Inputs!$H$8))*Inputs!$C$52*COS(SQRT((Scenario_Data!V214)^2+Inputs!$C$6^2)/Inputs!$C$52)))-(Inputs!$H$8))*1000/Inputs!$C$12)</x:f>
        <x:v>-139293.61086167686</x:v>
      </x:c>
      <x:c r="M214" t="n">
        <x:f>Scenario_Data!K214-(((SQRT((Inputs!$C$52+(Inputs!$H$9))^2+Inputs!$C$52^2-2*(Inputs!$C$52+(Inputs!$H$9))*Inputs!$C$52*COS(SQRT((Scenario_Data!W214)^2+Inputs!$C$6^2)/Inputs!$C$52)))-(Inputs!$H$9))*1000/Inputs!$C$12)</x:f>
        <x:v>-143017.6944627408</x:v>
      </x:c>
      <x:c r="O214" t="n">
        <x:f>Scenario_Data!T214</x:f>
        <x:v>46.019999999999996</x:v>
      </x:c>
      <x:c r="P214" t="n">
        <x:f>2*(Scenario_Data!B214*1000)/Inputs!$C$21*1000000</x:f>
        <x:v>2684.211328625219</x:v>
      </x:c>
      <x:c r="Q214" t="n">
        <x:f>Scenario_Data!U214</x:f>
        <x:v>306.79999999999995</x:v>
      </x:c>
      <x:c r="R214" t="n">
        <x:f>2*(Scenario_Data!C214*1000)/Inputs!$C$21*1000000</x:f>
        <x:v>1665.9891090388933</x:v>
      </x:c>
      <x:c r="S214" t="n">
        <x:f>Scenario_Data!V214</x:f>
        <x:v>613.5999999999999</x:v>
      </x:c>
      <x:c r="T214" t="n">
        <x:f>2*(Scenario_Data!D214*1000)/Inputs!$C$21*1000000</x:f>
        <x:v>4020.7741650392004</x:v>
      </x:c>
      <x:c r="U214" t="n">
        <x:f>Scenario_Data!W214</x:f>
        <x:v>613.5999999999999</x:v>
      </x:c>
      <x:c r="V214" t="n">
        <x:f>2*(Scenario_Data!E214*1000)/Inputs!$C$21*1000000</x:f>
        <x:v>3993.3077635995755</x:v>
      </x:c>
      <x:c r="X214" t="n">
        <x:f>Scenario_Data!T214</x:f>
        <x:v>46.019999999999996</x:v>
      </x:c>
      <x:c r="Y214" t="n">
        <x: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x:f>
        <x:v>2684.276394237561</x:v>
      </x:c>
      <x:c r="Z214" t="n">
        <x:f>Scenario_Data!U214</x:f>
        <x:v>306.79999999999995</x:v>
      </x:c>
      <x:c r="AA214" t="n">
        <x: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x:f>
        <x:v>1665.8157365634884</x:v>
      </x:c>
      <x:c r="AB214" t="n">
        <x:f>Scenario_Data!V214</x:f>
        <x:v>613.5999999999999</x:v>
      </x:c>
      <x:c r="AC214" t="n">
        <x: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x:f>
        <x:v>4020.5820211383852</x:v>
      </x:c>
      <x:c r="AD214" t="n">
        <x:f>Scenario_Data!W214</x:f>
        <x:v>613.5999999999999</x:v>
      </x:c>
      <x:c r="AE214" t="n">
        <x: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x:f>
        <x:v>3993.1156196987613</x:v>
      </x:c>
      <x:c r="AG214" t="n">
        <x:f>Scenario_Data!T214</x:f>
        <x:v>46.019999999999996</x:v>
      </x:c>
      <x:c r="AH214" t="n">
        <x:f>2*(SQRT((Inputs!$C$52+(Scenario_Data!B214))^2+Inputs!$C$52^2-2*(Inputs!$C$52+(Scenario_Data!B214))*Inputs!$C$52*COS(SQRT((Scenario_Data!T214)^2+Inputs!$C$6^2)/Inputs!$C$52))*1000)/Inputs!$C$21*1000000</x:f>
        <x:v>2712.658778127942</x:v>
      </x:c>
      <x:c r="AI214" t="n">
        <x:f>Scenario_Data!U214</x:f>
        <x:v>306.79999999999995</x:v>
      </x:c>
      <x:c r="AJ214" t="n">
        <x:f>2*(SQRT((Inputs!$C$52+(Scenario_Data!C214))^2+Inputs!$C$52^2-2*(Inputs!$C$52+(Scenario_Data!C214))*Inputs!$C$52*COS(SQRT((Scenario_Data!U214)^2+Inputs!$C$6^2)/Inputs!$C$52))*1000)/Inputs!$C$21*1000000</x:f>
        <x:v>2766.1158768793084</x:v>
      </x:c>
      <x:c r="AK214" t="n">
        <x:f>Scenario_Data!V214</x:f>
        <x:v>613.5999999999999</x:v>
      </x:c>
      <x:c r="AL214" t="n">
        <x:f>2*(SQRT((Inputs!$C$52+(Scenario_Data!D214))^2+Inputs!$C$52^2-2*(Inputs!$C$52+(Scenario_Data!D214))*Inputs!$C$52*COS(SQRT((Scenario_Data!V214)^2+Inputs!$C$6^2)/Inputs!$C$52))*1000)/Inputs!$C$21*1000000</x:f>
        <x:v>6255.7076711632635</x:v>
      </x:c>
      <x:c r="AM214" t="n">
        <x:f>Scenario_Data!W214</x:f>
        <x:v>613.5999999999999</x:v>
      </x:c>
      <x:c r="AN214" t="n">
        <x:f>2*(SQRT((Inputs!$C$52+(Scenario_Data!E214))^2+Inputs!$C$52^2-2*(Inputs!$C$52+(Scenario_Data!E214))*Inputs!$C$52*COS(SQRT((Scenario_Data!W214)^2+Inputs!$C$6^2)/Inputs!$C$52))*1000)/Inputs!$C$21*1000000</x:f>
        <x:v>6234.585318473166</x:v>
      </x:c>
      <x:c r="AP214" t="n">
        <x:f>Scenario_Data!T214</x:f>
        <x:v>46.019999999999996</x:v>
      </x:c>
      <x:c r="AQ214" t="n">
        <x: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x:f>
        <x:v>2711.675685734151</x:v>
      </x:c>
      <x:c r="AR214" t="n">
        <x:f>Scenario_Data!U214</x:f>
        <x:v>306.79999999999995</x:v>
      </x:c>
      <x:c r="AS214" t="n">
        <x: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x:f>
        <x:v>2765.514130169189</x:v>
      </x:c>
      <x:c r="AT214" t="n">
        <x:f>Scenario_Data!V214</x:f>
        <x:v>613.5999999999999</x:v>
      </x:c>
      <x:c r="AU214" t="n">
        <x: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x:f>
        <x:v>6255.2175947007745</x:v>
      </x:c>
      <x:c r="AV214" t="n">
        <x:f>Scenario_Data!W214</x:f>
        <x:v>613.5999999999999</x:v>
      </x:c>
      <x:c r="AW214" t="n">
        <x: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x:f>
        <x:v>6234.097857525002</x:v>
      </x:c>
    </x:row>
    <x:row r="215">
      <x:c r="A215" t="n">
        <x:f>Chart_Data!K215</x:f>
        <x:v>46.5</x:v>
      </x:c>
      <x:c r="B215" t="n">
        <x:f>Chart_Data!N215-Chart_Data!L215</x:f>
        <x:v>10.643125662069693</x:v>
      </x:c>
      <x:c r="D215" t="n">
        <x:f>Chart_Data!G215</x:f>
        <x:v>46.5</x:v>
      </x:c>
      <x:c r="E215" t="n">
        <x:f>Chart_Data!H215</x:f>
        <x:v>125.26409736726505</x:v>
      </x:c>
      <x:c r="F215" t="n">
        <x:f>Chart_Data!I215</x:f>
        <x:v>125.26409736726505</x:v>
      </x:c>
      <x:c r="G215" t="n">
        <x:f>Chart_Data!J215</x:f>
        <x:v>-12.32376640540756</x:v>
      </x:c>
      <x:c r="I215" t="n">
        <x:f>Scenario_Data!A215</x:f>
        <x:v>0.775</x:v>
      </x:c>
      <x:c r="J215" t="n">
        <x:f>Scenario_Data!H215-(((SQRT((Inputs!$C$52+(Inputs!$H$6))^2+Inputs!$C$52^2-2*(Inputs!$C$52+(Inputs!$H$6))*Inputs!$C$52*COS(SQRT((Scenario_Data!T215)^2+Inputs!$C$6^2)/Inputs!$C$52)))-(Inputs!$H$6))*1000/Inputs!$C$12)</x:f>
        <x:v>-11.481613456182458</x:v>
      </x:c>
      <x:c r="K215" t="n">
        <x:f>Scenario_Data!I215-(((SQRT((Inputs!$C$52+(Inputs!$H$7))^2+Inputs!$C$52^2-2*(Inputs!$C$52+(Inputs!$H$7))*Inputs!$C$52*COS(SQRT((Scenario_Data!U215)^2+Inputs!$C$6^2)/Inputs!$C$52)))-(Inputs!$H$7))*1000/Inputs!$C$12)</x:f>
        <x:v>-64450.81432177829</x:v>
      </x:c>
      <x:c r="L215" t="n">
        <x:f>Scenario_Data!J215-(((SQRT((Inputs!$C$52+(Inputs!$H$8))^2+Inputs!$C$52^2-2*(Inputs!$C$52+(Inputs!$H$8))*Inputs!$C$52*COS(SQRT((Scenario_Data!V215)^2+Inputs!$C$6^2)/Inputs!$C$52)))-(Inputs!$H$8))*1000/Inputs!$C$12)</x:f>
        <x:v>-141200.9353430962</x:v>
      </x:c>
      <x:c r="M215" t="n">
        <x:f>Scenario_Data!K215-(((SQRT((Inputs!$C$52+(Inputs!$H$9))^2+Inputs!$C$52^2-2*(Inputs!$C$52+(Inputs!$H$9))*Inputs!$C$52*COS(SQRT((Scenario_Data!W215)^2+Inputs!$C$6^2)/Inputs!$C$52)))-(Inputs!$H$9))*1000/Inputs!$C$12)</x:f>
        <x:v>-144939.65393967155</x:v>
      </x:c>
      <x:c r="O215" t="n">
        <x:f>Scenario_Data!T215</x:f>
        <x:v>46.5</x:v>
      </x:c>
      <x:c r="P215" t="n">
        <x:f>2*(Scenario_Data!B215*1000)/Inputs!$C$21*1000000</x:f>
        <x:v>2684.540516359488</x:v>
      </x:c>
      <x:c r="Q215" t="n">
        <x:f>Scenario_Data!U215</x:f>
        <x:v>310</x:v>
      </x:c>
      <x:c r="R215" t="n">
        <x:f>2*(Scenario_Data!C215*1000)/Inputs!$C$21*1000000</x:f>
        <x:v>1696.0274897909542</x:v>
      </x:c>
      <x:c r="S215" t="n">
        <x:f>Scenario_Data!V215</x:f>
        <x:v>620</x:v>
      </x:c>
      <x:c r="T215" t="n">
        <x:f>2*(Scenario_Data!D215*1000)/Inputs!$C$21*1000000</x:f>
        <x:v>4100.190705931635</x:v>
      </x:c>
      <x:c r="U215" t="n">
        <x:f>Scenario_Data!W215</x:f>
        <x:v>620</x:v>
      </x:c>
      <x:c r="V215" t="n">
        <x:f>2*(Scenario_Data!E215*1000)/Inputs!$C$21*1000000</x:f>
        <x:v>4073.547273827683</x:v>
      </x:c>
      <x:c r="X215" t="n">
        <x:f>Scenario_Data!T215</x:f>
        <x:v>46.5</x:v>
      </x:c>
      <x:c r="Y215" t="n">
        <x: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x:f>
        <x:v>2684.622731679297</x:v>
      </x:c>
      <x:c r="Z215" t="n">
        <x:f>Scenario_Data!U215</x:f>
        <x:v>310</x:v>
      </x:c>
      <x:c r="AA215" t="n">
        <x: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x:f>
        <x:v>1695.927154650577</x:v>
      </x:c>
      <x:c r="AB215" t="n">
        <x:f>Scenario_Data!V215</x:f>
        <x:v>620</x:v>
      </x:c>
      <x:c r="AC215" t="n">
        <x: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x:f>
        <x:v>4100.086231470472</x:v>
      </x:c>
      <x:c r="AD215" t="n">
        <x:f>Scenario_Data!W215</x:f>
        <x:v>620</x:v>
      </x:c>
      <x:c r="AE215" t="n">
        <x: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x:f>
        <x:v>4073.442799366519</x:v>
      </x:c>
      <x:c r="AG215" t="n">
        <x:f>Scenario_Data!T215</x:f>
        <x:v>46.5</x:v>
      </x:c>
      <x:c r="AH215" t="n">
        <x:f>2*(SQRT((Inputs!$C$52+(Scenario_Data!B215))^2+Inputs!$C$52^2-2*(Inputs!$C$52+(Scenario_Data!B215))*Inputs!$C$52*COS(SQRT((Scenario_Data!T215)^2+Inputs!$C$6^2)/Inputs!$C$52))*1000)/Inputs!$C$21*1000000</x:f>
        <x:v>2713.4432796899005</x:v>
      </x:c>
      <x:c r="AI215" t="n">
        <x:f>Scenario_Data!U215</x:f>
        <x:v>310</x:v>
      </x:c>
      <x:c r="AJ215" t="n">
        <x:f>2*(SQRT((Inputs!$C$52+(Scenario_Data!C215))^2+Inputs!$C$52^2-2*(Inputs!$C$52+(Scenario_Data!C215))*Inputs!$C$52*COS(SQRT((Scenario_Data!U215)^2+Inputs!$C$6^2)/Inputs!$C$52))*1000)/Inputs!$C$21*1000000</x:f>
        <x:v>2804.638522662561</x:v>
      </x:c>
      <x:c r="AK215" t="n">
        <x:f>Scenario_Data!V215</x:f>
        <x:v>620</x:v>
      </x:c>
      <x:c r="AL215" t="n">
        <x:f>2*(SQRT((Inputs!$C$52+(Scenario_Data!D215))^2+Inputs!$C$52^2-2*(Inputs!$C$52+(Scenario_Data!D215))*Inputs!$C$52*COS(SQRT((Scenario_Data!V215)^2+Inputs!$C$6^2)/Inputs!$C$52))*1000)/Inputs!$C$21*1000000</x:f>
        <x:v>6354.703876330992</x:v>
      </x:c>
      <x:c r="AM215" t="n">
        <x:f>Scenario_Data!W215</x:f>
        <x:v>620</x:v>
      </x:c>
      <x:c r="AN215" t="n">
        <x:f>2*(SQRT((Inputs!$C$52+(Scenario_Data!E215))^2+Inputs!$C$52^2-2*(Inputs!$C$52+(Scenario_Data!E215))*Inputs!$C$52*COS(SQRT((Scenario_Data!W215)^2+Inputs!$C$6^2)/Inputs!$C$52))*1000)/Inputs!$C$21*1000000</x:f>
        <x:v>6334.130742726853</x:v>
      </x:c>
      <x:c r="AP215" t="n">
        <x:f>Scenario_Data!T215</x:f>
        <x:v>46.5</x:v>
      </x:c>
      <x:c r="AQ215" t="n">
        <x: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x:f>
        <x:v>2712.618819612096</x:v>
      </x:c>
      <x:c r="AR215" t="n">
        <x:f>Scenario_Data!U215</x:f>
        <x:v>310</x:v>
      </x:c>
      <x:c r="AS215" t="n">
        <x: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x:f>
        <x:v>2803.976331236653</x:v>
      </x:c>
      <x:c r="AT215" t="n">
        <x:f>Scenario_Data!V215</x:f>
        <x:v>620</x:v>
      </x:c>
      <x:c r="AU215" t="n">
        <x: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x:f>
        <x:v>6354.28082575311</x:v>
      </x:c>
      <x:c r="AV215" t="n">
        <x:f>Scenario_Data!W215</x:f>
        <x:v>620</x:v>
      </x:c>
      <x:c r="AW215" t="n">
        <x: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x:f>
        <x:v>6333.709831112798</x:v>
      </x:c>
    </x:row>
    <x:row r="216">
      <x:c r="A216" t="n">
        <x:f>Chart_Data!K216</x:f>
        <x:v>47</x:v>
      </x:c>
      <x:c r="B216" t="n">
        <x:f>Chart_Data!N216-Chart_Data!L216</x:f>
        <x:v>-7.248372089645926</x:v>
      </x:c>
      <x:c r="D216" t="n">
        <x:f>Chart_Data!G216</x:f>
        <x:v>47</x:v>
      </x:c>
      <x:c r="E216" t="n">
        <x:f>Chart_Data!H216</x:f>
        <x:v>119.07484471636309</x:v>
      </x:c>
      <x:c r="F216" t="n">
        <x:f>Chart_Data!I216</x:f>
        <x:v>119.07484471636309</x:v>
      </x:c>
      <x:c r="G216" t="n">
        <x:f>Chart_Data!J216</x:f>
        <x:v>5.624733438492097</x:v>
      </x:c>
      <x:c r="I216" t="n">
        <x:f>Scenario_Data!A216</x:f>
        <x:v>0.783</x:v>
      </x:c>
      <x:c r="J216" t="n">
        <x:f>Scenario_Data!H216-(((SQRT((Inputs!$C$52+(Inputs!$H$6))^2+Inputs!$C$52^2-2*(Inputs!$C$52+(Inputs!$H$6))*Inputs!$C$52*COS(SQRT((Scenario_Data!T216)^2+Inputs!$C$6^2)/Inputs!$C$52)))-(Inputs!$H$6))*1000/Inputs!$C$12)</x:f>
        <x:v>-11.903744966717568</x:v>
      </x:c>
      <x:c r="K216" t="n">
        <x:f>Scenario_Data!I216-(((SQRT((Inputs!$C$52+(Inputs!$H$7))^2+Inputs!$C$52^2-2*(Inputs!$C$52+(Inputs!$H$7))*Inputs!$C$52*COS(SQRT((Scenario_Data!U216)^2+Inputs!$C$6^2)/Inputs!$C$52)))-(Inputs!$H$7))*1000/Inputs!$C$12)</x:f>
        <x:v>-65530.96866610306</x:v>
      </x:c>
      <x:c r="L216" t="n">
        <x:f>Scenario_Data!J216-(((SQRT((Inputs!$C$52+(Inputs!$H$8))^2+Inputs!$C$52^2-2*(Inputs!$C$52+(Inputs!$H$8))*Inputs!$C$52*COS(SQRT((Scenario_Data!V216)^2+Inputs!$C$6^2)/Inputs!$C$52)))-(Inputs!$H$8))*1000/Inputs!$C$12)</x:f>
        <x:v>-143103.28717150204</x:v>
      </x:c>
      <x:c r="M216" t="n">
        <x:f>Scenario_Data!K216-(((SQRT((Inputs!$C$52+(Inputs!$H$9))^2+Inputs!$C$52^2-2*(Inputs!$C$52+(Inputs!$H$9))*Inputs!$C$52*COS(SQRT((Scenario_Data!W216)^2+Inputs!$C$6^2)/Inputs!$C$52)))-(Inputs!$H$9))*1000/Inputs!$C$12)</x:f>
        <x:v>-146856.2100081469</x:v>
      </x:c>
      <x:c r="O216" t="n">
        <x:f>Scenario_Data!T216</x:f>
        <x:v>46.97999999999999</x:v>
      </x:c>
      <x:c r="P216" t="n">
        <x:f>2*(Scenario_Data!B216*1000)/Inputs!$C$21*1000000</x:f>
        <x:v>2684.873119790092</x:v>
      </x:c>
      <x:c r="Q216" t="n">
        <x:f>Scenario_Data!U216</x:f>
        <x:v>313.19999999999993</x:v>
      </x:c>
      <x:c r="R216" t="n">
        <x:f>2*(Scenario_Data!C216*1000)/Inputs!$C$21*1000000</x:f>
        <x:v>1726.3775528335661</x:v>
      </x:c>
      <x:c r="S216" t="n">
        <x:f>Scenario_Data!V216</x:f>
        <x:v>626.3999999999999</x:v>
      </x:c>
      <x:c r="T216" t="n">
        <x:f>2*(Scenario_Data!D216*1000)/Inputs!$C$21*1000000</x:f>
        <x:v>4180.4312835648425</x:v>
      </x:c>
      <x:c r="U216" t="n">
        <x:f>Scenario_Data!W216</x:f>
        <x:v>626.3999999999999</x:v>
      </x:c>
      <x:c r="V216" t="n">
        <x:f>2*(Scenario_Data!E216*1000)/Inputs!$C$21*1000000</x:f>
        <x:v>4154.619360037401</x:v>
      </x:c>
      <x:c r="X216" t="n">
        <x:f>Scenario_Data!T216</x:f>
        <x:v>46.97999999999999</x:v>
      </x:c>
      <x:c r="Y216" t="n">
        <x: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x:f>
        <x:v>2684.9589026777235</x:v>
      </x:c>
      <x:c r="Z216" t="n">
        <x:f>Scenario_Data!U216</x:f>
        <x:v>313.19999999999993</x:v>
      </x:c>
      <x:c r="AA216" t="n">
        <x: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x:f>
        <x:v>1726.1480175819895</x:v>
      </x:c>
      <x:c r="AB216" t="n">
        <x:f>Scenario_Data!V216</x:f>
        <x:v>626.3999999999999</x:v>
      </x:c>
      <x:c r="AC216" t="n">
        <x: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x:f>
        <x:v>4180.5724957116945</x:v>
      </x:c>
      <x:c r="AD216" t="n">
        <x:f>Scenario_Data!W216</x:f>
        <x:v>626.3999999999999</x:v>
      </x:c>
      <x:c r="AE216" t="n">
        <x: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x:f>
        <x:v>4154.760572184252</x:v>
      </x:c>
      <x:c r="AG216" t="n">
        <x:f>Scenario_Data!T216</x:f>
        <x:v>46.97999999999999</x:v>
      </x:c>
      <x:c r="AH216" t="n">
        <x:f>2*(SQRT((Inputs!$C$52+(Scenario_Data!B216))^2+Inputs!$C$52^2-2*(Inputs!$C$52+(Scenario_Data!B216))*Inputs!$C$52*COS(SQRT((Scenario_Data!T216)^2+Inputs!$C$6^2)/Inputs!$C$52))*1000)/Inputs!$C$21*1000000</x:f>
        <x:v>2714.235753570058</x:v>
      </x:c>
      <x:c r="AI216" t="n">
        <x:f>Scenario_Data!U216</x:f>
        <x:v>313.19999999999993</x:v>
      </x:c>
      <x:c r="AJ216" t="n">
        <x:f>2*(SQRT((Inputs!$C$52+(Scenario_Data!C216))^2+Inputs!$C$52^2-2*(Inputs!$C$52+(Scenario_Data!C216))*Inputs!$C$52*COS(SQRT((Scenario_Data!U216)^2+Inputs!$C$6^2)/Inputs!$C$52))*1000)/Inputs!$C$21*1000000</x:f>
        <x:v>2843.440582690019</x:v>
      </x:c>
      <x:c r="AK216" t="n">
        <x:f>Scenario_Data!V216</x:f>
        <x:v>626.3999999999999</x:v>
      </x:c>
      <x:c r="AL216" t="n">
        <x:f>2*(SQRT((Inputs!$C$52+(Scenario_Data!D216))^2+Inputs!$C$52^2-2*(Inputs!$C$52+(Scenario_Data!D216))*Inputs!$C$52*COS(SQRT((Scenario_Data!V216)^2+Inputs!$C$6^2)/Inputs!$C$52))*1000)/Inputs!$C$21*1000000</x:f>
        <x:v>6454.567802288764</x:v>
      </x:c>
      <x:c r="AM216" t="n">
        <x:f>Scenario_Data!W216</x:f>
        <x:v>626.3999999999999</x:v>
      </x:c>
      <x:c r="AN216" t="n">
        <x:f>2*(SQRT((Inputs!$C$52+(Scenario_Data!E216))^2+Inputs!$C$52^2-2*(Inputs!$C$52+(Scenario_Data!E216))*Inputs!$C$52*COS(SQRT((Scenario_Data!W216)^2+Inputs!$C$6^2)/Inputs!$C$52))*1000)/Inputs!$C$21*1000000</x:f>
        <x:v>6434.556924518235</x:v>
      </x:c>
      <x:c r="AP216" t="n">
        <x:f>Scenario_Data!T216</x:f>
        <x:v>46.97999999999999</x:v>
      </x:c>
      <x:c r="AQ216" t="n">
        <x: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x:f>
        <x:v>2713.403250630905</x:v>
      </x:c>
      <x:c r="AR216" t="n">
        <x:f>Scenario_Data!U216</x:f>
        <x:v>313.19999999999993</x:v>
      </x:c>
      <x:c r="AS216" t="n">
        <x: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x:f>
        <x:v>2842.8304615876677</x:v>
      </x:c>
      <x:c r="AT216" t="n">
        <x:f>Scenario_Data!V216</x:f>
        <x:v>626.3999999999999</x:v>
      </x:c>
      <x:c r="AU216" t="n">
        <x: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x:f>
        <x:v>6454.255793929251</x:v>
      </x:c>
      <x:c r="AV216" t="n">
        <x:f>Scenario_Data!W216</x:f>
        <x:v>626.3999999999999</x:v>
      </x:c>
      <x:c r="AW216" t="n">
        <x: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x:f>
        <x:v>6434.24640902367</x:v>
      </x:c>
    </x:row>
    <x:row r="217">
      <x:c r="A217" t="n">
        <x:f>Chart_Data!K217</x:f>
        <x:v>47.5</x:v>
      </x:c>
      <x:c r="B217" t="n">
        <x:f>Chart_Data!N217-Chart_Data!L217</x:f>
        <x:v>-6.218848981717969</x:v>
      </x:c>
      <x:c r="D217" t="n">
        <x:f>Chart_Data!G217</x:f>
        <x:v>47.5</x:v>
      </x:c>
      <x:c r="E217" t="n">
        <x:f>Chart_Data!H217</x:f>
        <x:v>107.75271022723112</x:v>
      </x:c>
      <x:c r="F217" t="n">
        <x:f>Chart_Data!I217</x:f>
        <x:v>107.75271022723112</x:v>
      </x:c>
      <x:c r="G217" t="n">
        <x:f>Chart_Data!J217</x:f>
        <x:v>4.725819493947935</x:v>
      </x:c>
      <x:c r="I217" t="n">
        <x:f>Scenario_Data!A217</x:f>
        <x:v>0.792</x:v>
      </x:c>
      <x:c r="J217" t="n">
        <x:f>Scenario_Data!H217-(((SQRT((Inputs!$C$52+(Inputs!$H$6))^2+Inputs!$C$52^2-2*(Inputs!$C$52+(Inputs!$H$6))*Inputs!$C$52*COS(SQRT((Scenario_Data!T217)^2+Inputs!$C$6^2)/Inputs!$C$52)))-(Inputs!$H$6))*1000/Inputs!$C$12)</x:f>
        <x:v>-12.392726180069985</x:v>
      </x:c>
      <x:c r="K217" t="n">
        <x:f>Scenario_Data!I217-(((SQRT((Inputs!$C$52+(Inputs!$H$7))^2+Inputs!$C$52^2-2*(Inputs!$C$52+(Inputs!$H$7))*Inputs!$C$52*COS(SQRT((Scenario_Data!U217)^2+Inputs!$C$6^2)/Inputs!$C$52)))-(Inputs!$H$7))*1000/Inputs!$C$12)</x:f>
        <x:v>-66749.44075526152</x:v>
      </x:c>
      <x:c r="L217" t="n">
        <x:f>Scenario_Data!J217-(((SQRT((Inputs!$C$52+(Inputs!$H$8))^2+Inputs!$C$52^2-2*(Inputs!$C$52+(Inputs!$H$8))*Inputs!$C$52*COS(SQRT((Scenario_Data!V217)^2+Inputs!$C$6^2)/Inputs!$C$52)))-(Inputs!$H$8))*1000/Inputs!$C$12)</x:f>
        <x:v>-145237.23692226943</x:v>
      </x:c>
      <x:c r="M217" t="n">
        <x:f>Scenario_Data!K217-(((SQRT((Inputs!$C$52+(Inputs!$H$9))^2+Inputs!$C$52^2-2*(Inputs!$C$52+(Inputs!$H$9))*Inputs!$C$52*COS(SQRT((Scenario_Data!W217)^2+Inputs!$C$6^2)/Inputs!$C$52)))-(Inputs!$H$9))*1000/Inputs!$C$12)</x:f>
        <x:v>-149005.63294747737</x:v>
      </x:c>
      <x:c r="O217" t="n">
        <x:f>Scenario_Data!T217</x:f>
        <x:v>47.519999999999996</x:v>
      </x:c>
      <x:c r="P217" t="n">
        <x:f>2*(Scenario_Data!B217*1000)/Inputs!$C$21*1000000</x:f>
        <x:v>2685.251381474046</x:v>
      </x:c>
      <x:c r="Q217" t="n">
        <x:f>Scenario_Data!U217</x:f>
        <x:v>316.80000000000007</x:v>
      </x:c>
      <x:c r="R217" t="n">
        <x:f>2*(Scenario_Data!C217*1000)/Inputs!$C$21*1000000</x:f>
        <x:v>1760.893931494435</x:v>
      </x:c>
      <x:c r="S217" t="n">
        <x:f>Scenario_Data!V217</x:f>
        <x:v>633.6000000000001</x:v>
      </x:c>
      <x:c r="T217" t="n">
        <x:f>2*(Scenario_Data!D217*1000)/Inputs!$C$21*1000000</x:f>
        <x:v>4271.68691481892</x:v>
      </x:c>
      <x:c r="U217" t="n">
        <x:f>Scenario_Data!W217</x:f>
        <x:v>633.6000000000001</x:v>
      </x:c>
      <x:c r="V217" t="n">
        <x:f>2*(Scenario_Data!E217*1000)/Inputs!$C$21*1000000</x:f>
        <x:v>4246.820645501364</x:v>
      </x:c>
      <x:c r="X217" t="n">
        <x:f>Scenario_Data!T217</x:f>
        <x:v>47.519999999999996</x:v>
      </x:c>
      <x:c r="Y217" t="n">
        <x: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x:f>
        <x:v>2685.301857395654</x:v>
      </x:c>
      <x:c r="Z217" t="n">
        <x:f>Scenario_Data!U217</x:f>
        <x:v>316.80000000000007</x:v>
      </x:c>
      <x:c r="AA217" t="n">
        <x: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x:f>
        <x:v>1760.895237815327</x:v>
      </x:c>
      <x:c r="AB217" t="n">
        <x:f>Scenario_Data!V217</x:f>
        <x:v>633.6000000000001</x:v>
      </x:c>
      <x:c r="AC217" t="n">
        <x: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x:f>
        <x:v>4271.258134863096</x:v>
      </x:c>
      <x:c r="AD217" t="n">
        <x:f>Scenario_Data!W217</x:f>
        <x:v>633.6000000000001</x:v>
      </x:c>
      <x:c r="AE217" t="n">
        <x: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x:f>
        <x:v>4246.391865545539</x:v>
      </x:c>
      <x:c r="AG217" t="n">
        <x:f>Scenario_Data!T217</x:f>
        <x:v>47.519999999999996</x:v>
      </x:c>
      <x:c r="AH217" t="n">
        <x:f>2*(SQRT((Inputs!$C$52+(Scenario_Data!B217))^2+Inputs!$C$52^2-2*(Inputs!$C$52+(Scenario_Data!B217))*Inputs!$C$52*COS(SQRT((Scenario_Data!T217)^2+Inputs!$C$6^2)/Inputs!$C$52))*1000)/Inputs!$C$21*1000000</x:f>
        <x:v>2715.1368098124726</x:v>
      </x:c>
      <x:c r="AI217" t="n">
        <x:f>Scenario_Data!U217</x:f>
        <x:v>316.80000000000007</x:v>
      </x:c>
      <x:c r="AJ217" t="n">
        <x:f>2*(SQRT((Inputs!$C$52+(Scenario_Data!C217))^2+Inputs!$C$52^2-2*(Inputs!$C$52+(Scenario_Data!C217))*Inputs!$C$52*COS(SQRT((Scenario_Data!U217)^2+Inputs!$C$6^2)/Inputs!$C$52))*1000)/Inputs!$C$21*1000000</x:f>
        <x:v>2887.428399392069</x:v>
      </x:c>
      <x:c r="AK217" t="n">
        <x:f>Scenario_Data!V217</x:f>
        <x:v>633.6000000000001</x:v>
      </x:c>
      <x:c r="AL217" t="n">
        <x:f>2*(SQRT((Inputs!$C$52+(Scenario_Data!D217))^2+Inputs!$C$52^2-2*(Inputs!$C$52+(Scenario_Data!D217))*Inputs!$C$52*COS(SQRT((Scenario_Data!V217)^2+Inputs!$C$6^2)/Inputs!$C$52))*1000)/Inputs!$C$21*1000000</x:f>
        <x:v>6567.954610839783</x:v>
      </x:c>
      <x:c r="AM217" t="n">
        <x:f>Scenario_Data!W217</x:f>
        <x:v>633.6000000000001</x:v>
      </x:c>
      <x:c r="AN217" t="n">
        <x:f>2*(SQRT((Inputs!$C$52+(Scenario_Data!E217))^2+Inputs!$C$52^2-2*(Inputs!$C$52+(Scenario_Data!E217))*Inputs!$C$52*COS(SQRT((Scenario_Data!W217)^2+Inputs!$C$6^2)/Inputs!$C$52))*1000)/Inputs!$C$21*1000000</x:f>
        <x:v>6548.591781107734</x:v>
      </x:c>
      <x:c r="AP217" t="n">
        <x:f>Scenario_Data!T217</x:f>
        <x:v>47.519999999999996</x:v>
      </x:c>
      <x:c r="AQ217" t="n">
        <x: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x:f>
        <x:v>2714.430532583016</x:v>
      </x:c>
      <x:c r="AR217" t="n">
        <x:f>Scenario_Data!U217</x:f>
        <x:v>316.80000000000007</x:v>
      </x:c>
      <x:c r="AS217" t="n">
        <x: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x:f>
        <x:v>2886.984046410364</x:v>
      </x:c>
      <x:c r="AT217" t="n">
        <x:f>Scenario_Data!V217</x:f>
        <x:v>633.6000000000001</x:v>
      </x:c>
      <x:c r="AU217" t="n">
        <x: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x:f>
        <x:v>6567.347290290034</x:v>
      </x:c>
      <x:c r="AV217" t="n">
        <x:f>Scenario_Data!W217</x:f>
        <x:v>633.6000000000001</x:v>
      </x:c>
      <x:c r="AW217" t="n">
        <x: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x:f>
        <x:v>6547.987188435632</x:v>
      </x:c>
    </x:row>
    <x:row r="218">
      <x:c r="A218" t="n">
        <x:f>Chart_Data!K218</x:f>
        <x:v>48</x:v>
      </x:c>
      <x:c r="B218" t="n">
        <x:f>Chart_Data!N218-Chart_Data!L218</x:f>
        <x:v>7.316979239076744</x:v>
      </x:c>
      <x:c r="D218" t="n">
        <x:f>Chart_Data!G218</x:f>
        <x:v>48</x:v>
      </x:c>
      <x:c r="E218" t="n">
        <x:f>Chart_Data!H218</x:f>
        <x:v>124.99715373468393</x:v>
      </x:c>
      <x:c r="F218" t="n">
        <x:f>Chart_Data!I218</x:f>
        <x:v>124.99715373468393</x:v>
      </x:c>
      <x:c r="G218" t="n">
        <x:f>Chart_Data!J218</x:f>
        <x:v>-9.076914728959792</x:v>
      </x:c>
      <x:c r="I218" t="n">
        <x:f>Scenario_Data!A218</x:f>
        <x:v>0.8</x:v>
      </x:c>
      <x:c r="J218" t="n">
        <x:f>Scenario_Data!H218-(((SQRT((Inputs!$C$52+(Inputs!$H$6))^2+Inputs!$C$52^2-2*(Inputs!$C$52+(Inputs!$H$6))*Inputs!$C$52*COS(SQRT((Scenario_Data!T218)^2+Inputs!$C$6^2)/Inputs!$C$52)))-(Inputs!$H$6))*1000/Inputs!$C$12)</x:f>
        <x:v>-12.84013677697476</x:v>
      </x:c>
      <x:c r="K218" t="n">
        <x:f>Scenario_Data!I218-(((SQRT((Inputs!$C$52+(Inputs!$H$7))^2+Inputs!$C$52^2-2*(Inputs!$C$52+(Inputs!$H$7))*Inputs!$C$52*COS(SQRT((Scenario_Data!U218)^2+Inputs!$C$6^2)/Inputs!$C$52)))-(Inputs!$H$7))*1000/Inputs!$C$12)</x:f>
        <x:v>-67835.33471918713</x:v>
      </x:c>
      <x:c r="L218" t="n">
        <x:f>Scenario_Data!J218-(((SQRT((Inputs!$C$52+(Inputs!$H$8))^2+Inputs!$C$52^2-2*(Inputs!$C$52+(Inputs!$H$8))*Inputs!$C$52*COS(SQRT((Scenario_Data!V218)^2+Inputs!$C$6^2)/Inputs!$C$52)))-(Inputs!$H$8))*1000/Inputs!$C$12)</x:f>
        <x:v>-147128.35590287362</x:v>
      </x:c>
      <x:c r="M218" t="n">
        <x:f>Scenario_Data!K218-(((SQRT((Inputs!$C$52+(Inputs!$H$9))^2+Inputs!$C$52^2-2*(Inputs!$C$52+(Inputs!$H$9))*Inputs!$C$52*COS(SQRT((Scenario_Data!W218)^2+Inputs!$C$6^2)/Inputs!$C$52)))-(Inputs!$H$9))*1000/Inputs!$C$12)</x:f>
        <x:v>-150910.062898851</x:v>
      </x:c>
      <x:c r="O218" t="n">
        <x:f>Scenario_Data!T218</x:f>
        <x:v>48</x:v>
      </x:c>
      <x:c r="P218" t="n">
        <x:f>2*(Scenario_Data!B218*1000)/Inputs!$C$21*1000000</x:f>
        <x:v>2685.591243259362</x:v>
      </x:c>
      <x:c r="Q218" t="n">
        <x:f>Scenario_Data!U218</x:f>
        <x:v>320</x:v>
      </x:c>
      <x:c r="R218" t="n">
        <x:f>2*(Scenario_Data!C218*1000)/Inputs!$C$21*1000000</x:f>
        <x:v>1791.9063194044727</x:v>
      </x:c>
      <x:c r="S218" t="n">
        <x:f>Scenario_Data!V218</x:f>
        <x:v>640</x:v>
      </x:c>
      <x:c r="T218" t="n">
        <x:f>2*(Scenario_Data!D218*1000)/Inputs!$C$21*1000000</x:f>
        <x:v>4353.678570526281</x:v>
      </x:c>
      <x:c r="U218" t="n">
        <x:f>Scenario_Data!W218</x:f>
        <x:v>640</x:v>
      </x:c>
      <x:c r="V218" t="n">
        <x:f>2*(Scenario_Data!E218*1000)/Inputs!$C$21*1000000</x:f>
        <x:v>4329.661955672014</x:v>
      </x:c>
      <x:c r="X218" t="n">
        <x:f>Scenario_Data!T218</x:f>
        <x:v>48</x:v>
      </x:c>
      <x:c r="Y218" t="n">
        <x: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x:f>
        <x:v>2685.651797916337</x:v>
      </x:c>
      <x:c r="Z218" t="n">
        <x:f>Scenario_Data!U218</x:f>
        <x:v>320</x:v>
      </x:c>
      <x:c r="AA218" t="n">
        <x: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x:f>
        <x:v>1792.1092244281058</x:v>
      </x:c>
      <x:c r="AB218" t="n">
        <x:f>Scenario_Data!V218</x:f>
        <x:v>640</x:v>
      </x:c>
      <x:c r="AC218" t="n">
        <x: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x:f>
        <x:v>4353.623915424463</x:v>
      </x:c>
      <x:c r="AD218" t="n">
        <x:f>Scenario_Data!W218</x:f>
        <x:v>640</x:v>
      </x:c>
      <x:c r="AE218" t="n">
        <x: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x:f>
        <x:v>4329.607300570196</x:v>
      </x:c>
      <x:c r="AG218" t="n">
        <x:f>Scenario_Data!T218</x:f>
        <x:v>48</x:v>
      </x:c>
      <x:c r="AH218" t="n">
        <x:f>2*(SQRT((Inputs!$C$52+(Scenario_Data!B218))^2+Inputs!$C$52^2-2*(Inputs!$C$52+(Scenario_Data!B218))*Inputs!$C$52*COS(SQRT((Scenario_Data!T218)^2+Inputs!$C$6^2)/Inputs!$C$52))*1000)/Inputs!$C$21*1000000</x:f>
        <x:v>2715.9462080599938</x:v>
      </x:c>
      <x:c r="AI218" t="n">
        <x:f>Scenario_Data!U218</x:f>
        <x:v>320</x:v>
      </x:c>
      <x:c r="AJ218" t="n">
        <x:f>2*(SQRT((Inputs!$C$52+(Scenario_Data!C218))^2+Inputs!$C$52^2-2*(Inputs!$C$52+(Scenario_Data!C218))*Inputs!$C$52*COS(SQRT((Scenario_Data!U218)^2+Inputs!$C$6^2)/Inputs!$C$52))*1000)/Inputs!$C$21*1000000</x:f>
        <x:v>2926.8282235073743</x:v>
      </x:c>
      <x:c r="AK218" t="n">
        <x:f>Scenario_Data!V218</x:f>
        <x:v>640</x:v>
      </x:c>
      <x:c r="AL218" t="n">
        <x:f>2*(SQRT((Inputs!$C$52+(Scenario_Data!D218))^2+Inputs!$C$52^2-2*(Inputs!$C$52+(Scenario_Data!D218))*Inputs!$C$52*COS(SQRT((Scenario_Data!V218)^2+Inputs!$C$6^2)/Inputs!$C$52))*1000)/Inputs!$C$21*1000000</x:f>
        <x:v>6669.6695538641015</x:v>
      </x:c>
      <x:c r="AM218" t="n">
        <x:f>Scenario_Data!W218</x:f>
        <x:v>640</x:v>
      </x:c>
      <x:c r="AN218" t="n">
        <x:f>2*(SQRT((Inputs!$C$52+(Scenario_Data!E218))^2+Inputs!$C$52^2-2*(Inputs!$C$52+(Scenario_Data!E218))*Inputs!$C$52*COS(SQRT((Scenario_Data!W218)^2+Inputs!$C$6^2)/Inputs!$C$52))*1000)/Inputs!$C$21*1000000</x:f>
        <x:v>6650.89648885563</x:v>
      </x:c>
      <x:c r="AP218" t="n">
        <x:f>Scenario_Data!T218</x:f>
        <x:v>48</x:v>
      </x:c>
      <x:c r="AQ218" t="n">
        <x: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x:f>
        <x:v>2715.124057836022</x:v>
      </x:c>
      <x:c r="AR218" t="n">
        <x:f>Scenario_Data!U218</x:f>
        <x:v>320</x:v>
      </x:c>
      <x:c r="AS218" t="n">
        <x: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x:f>
        <x:v>2926.6072868304295</x:v>
      </x:c>
      <x:c r="AT218" t="n">
        <x:f>Scenario_Data!V218</x:f>
        <x:v>640</x:v>
      </x:c>
      <x:c r="AU218" t="n">
        <x: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x:f>
        <x:v>6669.157766597429</x:v>
      </x:c>
      <x:c r="AV218" t="n">
        <x:f>Scenario_Data!W218</x:f>
        <x:v>640</x:v>
      </x:c>
      <x:c r="AW218" t="n">
        <x: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x:f>
        <x:v>6650.38687135412</x:v>
      </x:c>
    </x:row>
    <x:row r="219">
      <x:c r="A219" t="n">
        <x:f>Chart_Data!K219</x:f>
        <x:v>48.5</x:v>
      </x:c>
      <x:c r="B219" t="n">
        <x:f>Chart_Data!N219-Chart_Data!L219</x:f>
        <x:v>0.40634772964276067</x:v>
      </x:c>
      <x:c r="D219" t="n">
        <x:f>Chart_Data!G219</x:f>
        <x:v>48.5</x:v>
      </x:c>
      <x:c r="E219" t="n">
        <x:f>Chart_Data!H219</x:f>
        <x:v>114.2648488799635</x:v>
      </x:c>
      <x:c r="F219" t="n">
        <x:f>Chart_Data!I219</x:f>
        <x:v>114.2648488799635</x:v>
      </x:c>
      <x:c r="G219" t="n">
        <x:f>Chart_Data!J219</x:f>
        <x:v>-2.0408727900443155</x:v>
      </x:c>
      <x:c r="I219" t="n">
        <x:f>Scenario_Data!A219</x:f>
        <x:v>0.808</x:v>
      </x:c>
      <x:c r="J219" t="n">
        <x:f>Scenario_Data!H219-(((SQRT((Inputs!$C$52+(Inputs!$H$6))^2+Inputs!$C$52^2-2*(Inputs!$C$52+(Inputs!$H$6))*Inputs!$C$52*COS(SQRT((Scenario_Data!T219)^2+Inputs!$C$6^2)/Inputs!$C$52)))-(Inputs!$H$6))*1000/Inputs!$C$12)</x:f>
        <x:v>-13.299787208880844</x:v>
      </x:c>
      <x:c r="K219" t="n">
        <x:f>Scenario_Data!I219-(((SQRT((Inputs!$C$52+(Inputs!$H$7))^2+Inputs!$C$52^2-2*(Inputs!$C$52+(Inputs!$H$7))*Inputs!$C$52*COS(SQRT((Scenario_Data!U219)^2+Inputs!$C$6^2)/Inputs!$C$52)))-(Inputs!$H$7))*1000/Inputs!$C$12)</x:f>
        <x:v>-68923.75640485117</x:v>
      </x:c>
      <x:c r="L219" t="n">
        <x:f>Scenario_Data!J219-(((SQRT((Inputs!$C$52+(Inputs!$H$8))^2+Inputs!$C$52^2-2*(Inputs!$C$52+(Inputs!$H$8))*Inputs!$C$52*COS(SQRT((Scenario_Data!V219)^2+Inputs!$C$6^2)/Inputs!$C$52)))-(Inputs!$H$8))*1000/Inputs!$C$12)</x:f>
        <x:v>-149013.88756056636</x:v>
      </x:c>
      <x:c r="M219" t="n">
        <x:f>Scenario_Data!K219-(((SQRT((Inputs!$C$52+(Inputs!$H$9))^2+Inputs!$C$52^2-2*(Inputs!$C$52+(Inputs!$H$9))*Inputs!$C$52*COS(SQRT((Scenario_Data!W219)^2+Inputs!$C$6^2)/Inputs!$C$52)))-(Inputs!$H$9))*1000/Inputs!$C$12)</x:f>
        <x:v>-152808.49543699686</x:v>
      </x:c>
      <x:c r="O219" t="n">
        <x:f>Scenario_Data!T219</x:f>
        <x:v>48.480000000000004</x:v>
      </x:c>
      <x:c r="P219" t="n">
        <x:f>2*(Scenario_Data!B219*1000)/Inputs!$C$21*1000000</x:f>
        <x:v>2685.9345207410115</x:v>
      </x:c>
      <x:c r="Q219" t="n">
        <x:f>Scenario_Data!U219</x:f>
        <x:v>323.20000000000005</x:v>
      </x:c>
      <x:c r="R219" t="n">
        <x:f>2*(Scenario_Data!C219*1000)/Inputs!$C$21*1000000</x:f>
        <x:v>1823.2303896050653</x:v>
      </x:c>
      <x:c r="S219" t="n">
        <x:f>Scenario_Data!V219</x:f>
        <x:v>646.4000000000001</x:v>
      </x:c>
      <x:c r="T219" t="n">
        <x:f>2*(Scenario_Data!D219*1000)/Inputs!$C$21*1000000</x:f>
        <x:v>4436.494262974422</x:v>
      </x:c>
      <x:c r="U219" t="n">
        <x:f>Scenario_Data!W219</x:f>
        <x:v>646.4000000000001</x:v>
      </x:c>
      <x:c r="V219" t="n">
        <x:f>2*(Scenario_Data!E219*1000)/Inputs!$C$21*1000000</x:f>
        <x:v>4413.3358418242815</x:v>
      </x:c>
      <x:c r="X219" t="n">
        <x:f>Scenario_Data!T219</x:f>
        <x:v>48.480000000000004</x:v>
      </x:c>
      <x:c r="Y219" t="n">
        <x: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x:f>
        <x:v>2686.01283805853</x:v>
      </x:c>
      <x:c r="Z219" t="n">
        <x:f>Scenario_Data!U219</x:f>
        <x:v>323.20000000000005</x:v>
      </x:c>
      <x:c r="AA219" t="n">
        <x: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x:f>
        <x:v>1823.4048538981938</x:v>
      </x:c>
      <x:c r="AB219" t="n">
        <x:f>Scenario_Data!V219</x:f>
        <x:v>646.4000000000001</x:v>
      </x:c>
      <x:c r="AC219" t="n">
        <x: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x:f>
        <x:v>4436.5284317048545</x:v>
      </x:c>
      <x:c r="AD219" t="n">
        <x:f>Scenario_Data!W219</x:f>
        <x:v>646.4000000000001</x:v>
      </x:c>
      <x:c r="AE219" t="n">
        <x: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x:f>
        <x:v>4413.370010554714</x:v>
      </x:c>
      <x:c r="AG219" t="n">
        <x:f>Scenario_Data!T219</x:f>
        <x:v>48.480000000000004</x:v>
      </x:c>
      <x:c r="AH219" t="n">
        <x:f>2*(SQRT((Inputs!$C$52+(Scenario_Data!B219))^2+Inputs!$C$52^2-2*(Inputs!$C$52+(Scenario_Data!B219))*Inputs!$C$52*COS(SQRT((Scenario_Data!T219)^2+Inputs!$C$6^2)/Inputs!$C$52))*1000)/Inputs!$C$21*1000000</x:f>
        <x:v>2716.763562710639</x:v>
      </x:c>
      <x:c r="AI219" t="n">
        <x:f>Scenario_Data!U219</x:f>
        <x:v>323.20000000000005</x:v>
      </x:c>
      <x:c r="AJ219" t="n">
        <x:f>2*(SQRT((Inputs!$C$52+(Scenario_Data!C219))^2+Inputs!$C$52^2-2*(Inputs!$C$52+(Scenario_Data!C219))*Inputs!$C$52*COS(SQRT((Scenario_Data!U219)^2+Inputs!$C$6^2)/Inputs!$C$52))*1000)/Inputs!$C$21*1000000</x:f>
        <x:v>2966.5111922476426</x:v>
      </x:c>
      <x:c r="AK219" t="n">
        <x:f>Scenario_Data!V219</x:f>
        <x:v>646.4000000000001</x:v>
      </x:c>
      <x:c r="AL219" t="n">
        <x:f>2*(SQRT((Inputs!$C$52+(Scenario_Data!D219))^2+Inputs!$C$52^2-2*(Inputs!$C$52+(Scenario_Data!D219))*Inputs!$C$52*COS(SQRT((Scenario_Data!V219)^2+Inputs!$C$6^2)/Inputs!$C$52))*1000)/Inputs!$C$21*1000000</x:f>
        <x:v>6772.258771364358</x:v>
      </x:c>
      <x:c r="AM219" t="n">
        <x:f>Scenario_Data!W219</x:f>
        <x:v>646.4000000000001</x:v>
      </x:c>
      <x:c r="AN219" t="n">
        <x:f>2*(SQRT((Inputs!$C$52+(Scenario_Data!E219))^2+Inputs!$C$52^2-2*(Inputs!$C$52+(Scenario_Data!E219))*Inputs!$C$52*COS(SQRT((Scenario_Data!W219)^2+Inputs!$C$6^2)/Inputs!$C$52))*1000)/Inputs!$C$21*1000000</x:f>
        <x:v>6754.08832481869</x:v>
      </x:c>
      <x:c r="AP219" t="n">
        <x:f>Scenario_Data!T219</x:f>
        <x:v>48.480000000000004</x:v>
      </x:c>
      <x:c r="AQ219" t="n">
        <x: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x:f>
        <x:v>2716.028847901768</x:v>
      </x:c>
      <x:c r="AR219" t="n">
        <x:f>Scenario_Data!U219</x:f>
        <x:v>323.20000000000005</x:v>
      </x:c>
      <x:c r="AS219" t="n">
        <x: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x:f>
        <x:v>2966.111877040855</x:v>
      </x:c>
      <x:c r="AT219" t="n">
        <x:f>Scenario_Data!V219</x:f>
        <x:v>646.4000000000001</x:v>
      </x:c>
      <x:c r="AU219" t="n">
        <x: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x:f>
        <x:v>6771.9546878484725</x:v>
      </x:c>
      <x:c r="AV219" t="n">
        <x:f>Scenario_Data!W219</x:f>
        <x:v>646.4000000000001</x:v>
      </x:c>
      <x:c r="AW219" t="n">
        <x: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x:f>
        <x:v>6753.785456348162</x:v>
      </x:c>
    </x:row>
    <x:row r="220">
      <x:c r="A220" t="n">
        <x:f>Chart_Data!K220</x:f>
        <x:v>49</x:v>
      </x:c>
      <x:c r="B220" t="n">
        <x:f>Chart_Data!N220-Chart_Data!L220</x:f>
        <x:v>-12.02291335515622</x:v>
      </x:c>
      <x:c r="D220" t="n">
        <x:f>Chart_Data!G220</x:f>
        <x:v>49</x:v>
      </x:c>
      <x:c r="E220" t="n">
        <x:f>Chart_Data!H220</x:f>
        <x:v>109.54402369059221</x:v>
      </x:c>
      <x:c r="F220" t="n">
        <x:f>Chart_Data!I220</x:f>
        <x:v>109.54402369059221</x:v>
      </x:c>
      <x:c r="G220" t="n">
        <x:f>Chart_Data!J220</x:f>
        <x:v>10.43102720072224</x:v>
      </x:c>
      <x:c r="I220" t="n">
        <x:f>Scenario_Data!A220</x:f>
        <x:v>0.817</x:v>
      </x:c>
      <x:c r="J220" t="n">
        <x:f>Scenario_Data!H220-(((SQRT((Inputs!$C$52+(Inputs!$H$6))^2+Inputs!$C$52^2-2*(Inputs!$C$52+(Inputs!$H$6))*Inputs!$C$52*COS(SQRT((Scenario_Data!T220)^2+Inputs!$C$6^2)/Inputs!$C$52)))-(Inputs!$H$6))*1000/Inputs!$C$12)</x:f>
        <x:v>-13.831801402375277</x:v>
      </x:c>
      <x:c r="K220" t="n">
        <x:f>Scenario_Data!I220-(((SQRT((Inputs!$C$52+(Inputs!$H$7))^2+Inputs!$C$52^2-2*(Inputs!$C$52+(Inputs!$H$7))*Inputs!$C$52*COS(SQRT((Scenario_Data!U220)^2+Inputs!$C$6^2)/Inputs!$C$52)))-(Inputs!$H$7))*1000/Inputs!$C$12)</x:f>
        <x:v>-70151.11767949266</x:v>
      </x:c>
      <x:c r="L220" t="n">
        <x:f>Scenario_Data!J220-(((SQRT((Inputs!$C$52+(Inputs!$H$8))^2+Inputs!$C$52^2-2*(Inputs!$C$52+(Inputs!$H$8))*Inputs!$C$52*COS(SQRT((Scenario_Data!V220)^2+Inputs!$C$6^2)/Inputs!$C$52)))-(Inputs!$H$8))*1000/Inputs!$C$12)</x:f>
        <x:v>-151128.20153368788</x:v>
      </x:c>
      <x:c r="M220" t="n">
        <x:f>Scenario_Data!K220-(((SQRT((Inputs!$C$52+(Inputs!$H$9))^2+Inputs!$C$52^2-2*(Inputs!$C$52+(Inputs!$H$9))*Inputs!$C$52*COS(SQRT((Scenario_Data!W220)^2+Inputs!$C$6^2)/Inputs!$C$52)))-(Inputs!$H$9))*1000/Inputs!$C$12)</x:f>
        <x:v>-154936.84079418762</x:v>
      </x:c>
      <x:c r="O220" t="n">
        <x:f>Scenario_Data!T220</x:f>
        <x:v>49.019999999999996</x:v>
      </x:c>
      <x:c r="P220" t="n">
        <x:f>2*(Scenario_Data!B220*1000)/Inputs!$C$21*1000000</x:f>
        <x:v>2686.324790732394</x:v>
      </x:c>
      <x:c r="Q220" t="n">
        <x:f>Scenario_Data!U220</x:f>
        <x:v>326.79999999999995</x:v>
      </x:c>
      <x:c r="R220" t="n">
        <x:f>2*(Scenario_Data!C220*1000)/Inputs!$C$21*1000000</x:f>
        <x:v>1858.8425263186568</x:v>
      </x:c>
      <x:c r="S220" t="n">
        <x:f>Scenario_Data!V220</x:f>
        <x:v>653.5999999999999</x:v>
      </x:c>
      <x:c r="T220" t="n">
        <x:f>2*(Scenario_Data!D220*1000)/Inputs!$C$21*1000000</x:f>
        <x:v>4530.646898395288</x:v>
      </x:c>
      <x:c r="U220" t="n">
        <x:f>Scenario_Data!W220</x:f>
        <x:v>653.5999999999999</x:v>
      </x:c>
      <x:c r="V220" t="n">
        <x:f>2*(Scenario_Data!E220*1000)/Inputs!$C$21*1000000</x:f>
        <x:v>4508.464152223602</x:v>
      </x:c>
      <x:c r="X220" t="n">
        <x:f>Scenario_Data!T220</x:f>
        <x:v>49.019999999999996</x:v>
      </x:c>
      <x:c r="Y220" t="n">
        <x: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x:f>
        <x:v>2686.262030614748</x:v>
      </x:c>
      <x:c r="Z220" t="n">
        <x:f>Scenario_Data!U220</x:f>
        <x:v>326.79999999999995</x:v>
      </x:c>
      <x:c r="AA220" t="n">
        <x: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x:f>
        <x:v>1858.7218553095</x:v>
      </x:c>
      <x:c r="AB220" t="n">
        <x:f>Scenario_Data!V220</x:f>
        <x:v>653.5999999999999</x:v>
      </x:c>
      <x:c r="AC220" t="n">
        <x: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x:f>
        <x:v>4530.328279283201</x:v>
      </x:c>
      <x:c r="AD220" t="n">
        <x:f>Scenario_Data!W220</x:f>
        <x:v>653.5999999999999</x:v>
      </x:c>
      <x:c r="AE220" t="n">
        <x: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x:f>
        <x:v>4508.145533111515</x:v>
      </x:c>
      <x:c r="AG220" t="n">
        <x:f>Scenario_Data!T220</x:f>
        <x:v>49.019999999999996</x:v>
      </x:c>
      <x:c r="AH220" t="n">
        <x:f>2*(SQRT((Inputs!$C$52+(Scenario_Data!B220))^2+Inputs!$C$52^2-2*(Inputs!$C$52+(Scenario_Data!B220))*Inputs!$C$52*COS(SQRT((Scenario_Data!T220)^2+Inputs!$C$6^2)/Inputs!$C$52))*1000)/Inputs!$C$21*1000000</x:f>
        <x:v>2717.692590624826</x:v>
      </x:c>
      <x:c r="AI220" t="n">
        <x:f>Scenario_Data!U220</x:f>
        <x:v>326.79999999999995</x:v>
      </x:c>
      <x:c r="AJ220" t="n">
        <x:f>2*(SQRT((Inputs!$C$52+(Scenario_Data!C220))^2+Inputs!$C$52^2-2*(Inputs!$C$52+(Scenario_Data!C220))*Inputs!$C$52*COS(SQRT((Scenario_Data!U220)^2+Inputs!$C$6^2)/Inputs!$C$52))*1000)/Inputs!$C$21*1000000</x:f>
        <x:v>3011.4944133564245</x:v>
      </x:c>
      <x:c r="AK220" t="n">
        <x:f>Scenario_Data!V220</x:f>
        <x:v>653.5999999999999</x:v>
      </x:c>
      <x:c r="AL220" t="n">
        <x:f>2*(SQRT((Inputs!$C$52+(Scenario_Data!D220))^2+Inputs!$C$52^2-2*(Inputs!$C$52+(Scenario_Data!D220))*Inputs!$C$52*COS(SQRT((Scenario_Data!V220)^2+Inputs!$C$6^2)/Inputs!$C$52))*1000)/Inputs!$C$21*1000000</x:f>
        <x:v>6888.7191192634255</x:v>
      </x:c>
      <x:c r="AM220" t="n">
        <x:f>Scenario_Data!W220</x:f>
        <x:v>653.5999999999999</x:v>
      </x:c>
      <x:c r="AN220" t="n">
        <x:f>2*(SQRT((Inputs!$C$52+(Scenario_Data!E220))^2+Inputs!$C$52^2-2*(Inputs!$C$52+(Scenario_Data!E220))*Inputs!$C$52*COS(SQRT((Scenario_Data!W220)^2+Inputs!$C$6^2)/Inputs!$C$52))*1000)/Inputs!$C$21*1000000</x:f>
        <x:v>6871.241909686075</x:v>
      </x:c>
      <x:c r="AP220" t="n">
        <x:f>Scenario_Data!T220</x:f>
        <x:v>49.019999999999996</x:v>
      </x:c>
      <x:c r="AQ220" t="n">
        <x: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x:f>
        <x:v>2717.001745421667</x:v>
      </x:c>
      <x:c r="AR220" t="n">
        <x:f>Scenario_Data!U220</x:f>
        <x:v>326.79999999999995</x:v>
      </x:c>
      <x:c r="AS220" t="n">
        <x: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x:f>
        <x:v>3010.783980478043</x:v>
      </x:c>
      <x:c r="AT220" t="n">
        <x:f>Scenario_Data!V220</x:f>
        <x:v>653.5999999999999</x:v>
      </x:c>
      <x:c r="AU220" t="n">
        <x: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x:f>
        <x:v>6888.021426206603</x:v>
      </x:c>
      <x:c r="AV220" t="n">
        <x:f>Scenario_Data!W220</x:f>
        <x:v>653.5999999999999</x:v>
      </x:c>
      <x:c r="AW220" t="n">
        <x: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x:f>
        <x:v>6870.546820843922</x:v>
      </x:c>
    </x:row>
    <x:row r="221">
      <x:c r="A221" t="n">
        <x:f>Chart_Data!K221</x:f>
        <x:v>49.5</x:v>
      </x:c>
      <x:c r="B221" t="n">
        <x:f>Chart_Data!N221-Chart_Data!L221</x:f>
        <x:v>0.5602533864366706</x:v>
      </x:c>
      <x:c r="D221" t="n">
        <x:f>Chart_Data!G221</x:f>
        <x:v>49.5</x:v>
      </x:c>
      <x:c r="E221" t="n">
        <x:f>Chart_Data!H221</x:f>
        <x:v>115.81874031490976</x:v>
      </x:c>
      <x:c r="F221" t="n">
        <x:f>Chart_Data!I221</x:f>
        <x:v>115.81874031490976</x:v>
      </x:c>
      <x:c r="G221" t="n">
        <x:f>Chart_Data!J221</x:f>
        <x:v>-2.2699304094542576</x:v>
      </x:c>
      <x:c r="I221" t="n">
        <x:f>Scenario_Data!A221</x:f>
        <x:v>0.825</x:v>
      </x:c>
      <x:c r="J221" t="n">
        <x:f>Scenario_Data!H221-(((SQRT((Inputs!$C$52+(Inputs!$H$6))^2+Inputs!$C$52^2-2*(Inputs!$C$52+(Inputs!$H$6))*Inputs!$C$52*COS(SQRT((Scenario_Data!T221)^2+Inputs!$C$6^2)/Inputs!$C$52)))-(Inputs!$H$6))*1000/Inputs!$C$12)</x:f>
        <x:v>-14.318202220481453</x:v>
      </x:c>
      <x:c r="K221" t="n">
        <x:f>Scenario_Data!I221-(((SQRT((Inputs!$C$52+(Inputs!$H$7))^2+Inputs!$C$52^2-2*(Inputs!$C$52+(Inputs!$H$7))*Inputs!$C$52*COS(SQRT((Scenario_Data!U221)^2+Inputs!$C$6^2)/Inputs!$C$52)))-(Inputs!$H$7))*1000/Inputs!$C$12)</x:f>
        <x:v>-71244.55426280205</x:v>
      </x:c>
      <x:c r="L221" t="n">
        <x:f>Scenario_Data!J221-(((SQRT((Inputs!$C$52+(Inputs!$H$8))^2+Inputs!$C$52^2-2*(Inputs!$C$52+(Inputs!$H$8))*Inputs!$C$52*COS(SQRT((Scenario_Data!V221)^2+Inputs!$C$6^2)/Inputs!$C$52)))-(Inputs!$H$8))*1000/Inputs!$C$12)</x:f>
        <x:v>-153001.25134490427</x:v>
      </x:c>
      <x:c r="M221" t="n">
        <x:f>Scenario_Data!K221-(((SQRT((Inputs!$C$52+(Inputs!$H$9))^2+Inputs!$C$52^2-2*(Inputs!$C$52+(Inputs!$H$9))*Inputs!$C$52*COS(SQRT((Scenario_Data!W221)^2+Inputs!$C$6^2)/Inputs!$C$52)))-(Inputs!$H$9))*1000/Inputs!$C$12)</x:f>
        <x:v>-156821.9415170548</x:v>
      </x:c>
      <x:c r="O221" t="n">
        <x:f>Scenario_Data!T221</x:f>
        <x:v>49.5</x:v>
      </x:c>
      <x:c r="P221" t="n">
        <x:f>2*(Scenario_Data!B221*1000)/Inputs!$C$21*1000000</x:f>
        <x:v>2686.6753265687557</x:v>
      </x:c>
      <x:c r="Q221" t="n">
        <x:f>Scenario_Data!U221</x:f>
        <x:v>330</x:v>
      </x:c>
      <x:c r="R221" t="n">
        <x:f>2*(Scenario_Data!C221*1000)/Inputs!$C$21*1000000</x:f>
        <x:v>1890.8289213866744</x:v>
      </x:c>
      <x:c r="S221" t="n">
        <x:f>Scenario_Data!V221</x:f>
        <x:v>660</x:v>
      </x:c>
      <x:c r="T221" t="n">
        <x:f>2*(Scenario_Data!D221*1000)/Inputs!$C$21*1000000</x:f>
        <x:v>4615.213668917581</x:v>
      </x:c>
      <x:c r="U221" t="n">
        <x:f>Scenario_Data!W221</x:f>
        <x:v>660</x:v>
      </x:c>
      <x:c r="V221" t="n">
        <x:f>2*(Scenario_Data!E221*1000)/Inputs!$C$21*1000000</x:f>
        <x:v>4593.907262336798</x:v>
      </x:c>
      <x:c r="X221" t="n">
        <x:f>Scenario_Data!T221</x:f>
        <x:v>49.5</x:v>
      </x:c>
      <x:c r="Y221" t="n">
        <x: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x:f>
        <x:v>2686.6904699144197</x:v>
      </x:c>
      <x:c r="Z221" t="n">
        <x:f>Scenario_Data!U221</x:f>
        <x:v>330</x:v>
      </x:c>
      <x:c r="AA221" t="n">
        <x: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x:f>
        <x:v>1890.6387614596908</x:v>
      </x:c>
      <x:c r="AB221" t="n">
        <x:f>Scenario_Data!V221</x:f>
        <x:v>660</x:v>
      </x:c>
      <x:c r="AC221" t="n">
        <x: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x:f>
        <x:v>4615.42940669502</x:v>
      </x:c>
      <x:c r="AD221" t="n">
        <x:f>Scenario_Data!W221</x:f>
        <x:v>660</x:v>
      </x:c>
      <x:c r="AE221" t="n">
        <x: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x:f>
        <x:v>4594.123000114238</x:v>
      </x:c>
      <x:c r="AG221" t="n">
        <x:f>Scenario_Data!T221</x:f>
        <x:v>49.5</x:v>
      </x:c>
      <x:c r="AH221" t="n">
        <x:f>2*(SQRT((Inputs!$C$52+(Scenario_Data!B221))^2+Inputs!$C$52^2-2*(Inputs!$C$52+(Scenario_Data!B221))*Inputs!$C$52*COS(SQRT((Scenario_Data!T221)^2+Inputs!$C$6^2)/Inputs!$C$52))*1000)/Inputs!$C$21*1000000</x:f>
        <x:v>2718.5268353664997</x:v>
      </x:c>
      <x:c r="AI221" t="n">
        <x:f>Scenario_Data!U221</x:f>
        <x:v>330</x:v>
      </x:c>
      <x:c r="AJ221" t="n">
        <x:f>2*(SQRT((Inputs!$C$52+(Scenario_Data!C221))^2+Inputs!$C$52^2-2*(Inputs!$C$52+(Scenario_Data!C221))*Inputs!$C$52*COS(SQRT((Scenario_Data!U221)^2+Inputs!$C$6^2)/Inputs!$C$52))*1000)/Inputs!$C$21*1000000</x:f>
        <x:v>3051.7828688525797</x:v>
      </x:c>
      <x:c r="AK221" t="n">
        <x:f>Scenario_Data!V221</x:f>
        <x:v>660</x:v>
      </x:c>
      <x:c r="AL221" t="n">
        <x:f>2*(SQRT((Inputs!$C$52+(Scenario_Data!D221))^2+Inputs!$C$52^2-2*(Inputs!$C$52+(Scenario_Data!D221))*Inputs!$C$52*COS(SQRT((Scenario_Data!V221)^2+Inputs!$C$6^2)/Inputs!$C$52))*1000)/Inputs!$C$21*1000000</x:f>
        <x:v>6993.172626647848</x:v>
      </x:c>
      <x:c r="AM221" t="n">
        <x:f>Scenario_Data!W221</x:f>
        <x:v>660</x:v>
      </x:c>
      <x:c r="AN221" t="n">
        <x:f>2*(SQRT((Inputs!$C$52+(Scenario_Data!E221))^2+Inputs!$C$52^2-2*(Inputs!$C$52+(Scenario_Data!E221))*Inputs!$C$52*COS(SQRT((Scenario_Data!W221)^2+Inputs!$C$6^2)/Inputs!$C$52))*1000)/Inputs!$C$21*1000000</x:f>
        <x:v>6976.325155041407</x:v>
      </x:c>
      <x:c r="AP221" t="n">
        <x:f>Scenario_Data!T221</x:f>
        <x:v>49.5</x:v>
      </x:c>
      <x:c r="AQ221" t="n">
        <x: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x:f>
        <x:v>2717.7655816374827</x:v>
      </x:c>
      <x:c r="AR221" t="n">
        <x:f>Scenario_Data!U221</x:f>
        <x:v>330</x:v>
      </x:c>
      <x:c r="AS221" t="n">
        <x: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x:f>
        <x:v>3051.177959160299</x:v>
      </x:c>
      <x:c r="AT221" t="n">
        <x:f>Scenario_Data!V221</x:f>
        <x:v>660</x:v>
      </x:c>
      <x:c r="AU221" t="n">
        <x: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x:f>
        <x:v>6992.888996566192</x:v>
      </x:c>
      <x:c r="AV221" t="n">
        <x:f>Scenario_Data!W221</x:f>
        <x:v>660</x:v>
      </x:c>
      <x:c r="AW221" t="n">
        <x: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x:f>
        <x:v>6976.042519176204</x:v>
      </x:c>
    </x:row>
    <x:row r="222">
      <x:c r="A222" t="n">
        <x:f>Chart_Data!K222</x:f>
        <x:v>50</x:v>
      </x:c>
      <x:c r="B222" t="n">
        <x:f>Chart_Data!N222-Chart_Data!L222</x:f>
        <x:v>-9.90034021804506</x:v>
      </x:c>
      <x:c r="D222" t="n">
        <x:f>Chart_Data!G222</x:f>
        <x:v>50</x:v>
      </x:c>
      <x:c r="E222" t="n">
        <x:f>Chart_Data!H222</x:f>
        <x:v>115.23525161719914</x:v>
      </x:c>
      <x:c r="F222" t="n">
        <x:f>Chart_Data!I222</x:f>
        <x:v>115.23525161719914</x:v>
      </x:c>
      <x:c r="G222" t="n">
        <x:f>Chart_Data!J222</x:f>
        <x:v>8.17258837755962</x:v>
      </x:c>
      <x:c r="I222" t="n">
        <x:f>Scenario_Data!A222</x:f>
        <x:v>0.833</x:v>
      </x:c>
      <x:c r="J222" t="n">
        <x:f>Scenario_Data!H222-(((SQRT((Inputs!$C$52+(Inputs!$H$6))^2+Inputs!$C$52^2-2*(Inputs!$C$52+(Inputs!$H$6))*Inputs!$C$52*COS(SQRT((Scenario_Data!T222)^2+Inputs!$C$6^2)/Inputs!$C$52)))-(Inputs!$H$6))*1000/Inputs!$C$12)</x:f>
        <x:v>-14.817543761564139</x:v>
      </x:c>
      <x:c r="K222" t="n">
        <x:f>Scenario_Data!I222-(((SQRT((Inputs!$C$52+(Inputs!$H$7))^2+Inputs!$C$52^2-2*(Inputs!$C$52+(Inputs!$H$7))*Inputs!$C$52*COS(SQRT((Scenario_Data!U222)^2+Inputs!$C$6^2)/Inputs!$C$52)))-(Inputs!$H$7))*1000/Inputs!$C$12)</x:f>
        <x:v>-72340.18724720035</x:v>
      </x:c>
      <x:c r="L222" t="n">
        <x:f>Scenario_Data!J222-(((SQRT((Inputs!$C$52+(Inputs!$H$8))^2+Inputs!$C$52^2-2*(Inputs!$C$52+(Inputs!$H$8))*Inputs!$C$52*COS(SQRT((Scenario_Data!V222)^2+Inputs!$C$6^2)/Inputs!$C$52)))-(Inputs!$H$8))*1000/Inputs!$C$12)</x:f>
        <x:v>-154868.1520014535</x:v>
      </x:c>
      <x:c r="M222" t="n">
        <x:f>Scenario_Data!K222-(((SQRT((Inputs!$C$52+(Inputs!$H$9))^2+Inputs!$C$52^2-2*(Inputs!$C$52+(Inputs!$H$9))*Inputs!$C$52*COS(SQRT((Scenario_Data!W222)^2+Inputs!$C$6^2)/Inputs!$C$52)))-(Inputs!$H$9))*1000/Inputs!$C$12)</x:f>
        <x:v>-158700.503065868</x:v>
      </x:c>
      <x:c r="O222" t="n">
        <x:f>Scenario_Data!T222</x:f>
        <x:v>49.980000000000004</x:v>
      </x:c>
      <x:c r="P222" t="n">
        <x:f>2*(Scenario_Data!B222*1000)/Inputs!$C$21*1000000</x:f>
        <x:v>2687.0292781014527</x:v>
      </x:c>
      <x:c r="Q222" t="n">
        <x:f>Scenario_Data!U222</x:f>
        <x:v>333.19999999999993</x:v>
      </x:c>
      <x:c r="R222" t="n">
        <x:f>2*(Scenario_Data!C222*1000)/Inputs!$C$21*1000000</x:f>
        <x:v>1923.1269987452447</x:v>
      </x:c>
      <x:c r="S222" t="n">
        <x:f>Scenario_Data!V222</x:f>
        <x:v>666.3999999999999</x:v>
      </x:c>
      <x:c r="T222" t="n">
        <x:f>2*(Scenario_Data!D222*1000)/Inputs!$C$21*1000000</x:f>
        <x:v>4700.604476180651</x:v>
      </x:c>
      <x:c r="U222" t="n">
        <x:f>Scenario_Data!W222</x:f>
        <x:v>666.3999999999999</x:v>
      </x:c>
      <x:c r="V222" t="n">
        <x:f>2*(Scenario_Data!E222*1000)/Inputs!$C$21*1000000</x:f>
        <x:v>4680.1829484316095</x:v>
      </x:c>
      <x:c r="X222" t="n">
        <x:f>Scenario_Data!T222</x:f>
        <x:v>49.980000000000004</x:v>
      </x:c>
      <x:c r="Y222" t="n">
        <x: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x:f>
        <x:v>2687.075837528585</x:v>
      </x:c>
      <x:c r="Z222" t="n">
        <x:f>Scenario_Data!U222</x:f>
        <x:v>333.19999999999993</x:v>
      </x:c>
      <x:c r="AA222" t="n">
        <x: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x:f>
        <x:v>1923.1125076645908</x:v>
      </x:c>
      <x:c r="AB222" t="n">
        <x:f>Scenario_Data!V222</x:f>
        <x:v>666.3999999999999</x:v>
      </x:c>
      <x:c r="AC222" t="n">
        <x: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x:f>
        <x:v>4700.403112212438</x:v>
      </x:c>
      <x:c r="AD222" t="n">
        <x:f>Scenario_Data!W222</x:f>
        <x:v>666.3999999999999</x:v>
      </x:c>
      <x:c r="AE222" t="n">
        <x: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x:f>
        <x:v>4679.981584463398</x:v>
      </x:c>
      <x:c r="AG222" t="n">
        <x:f>Scenario_Data!T222</x:f>
        <x:v>49.980000000000004</x:v>
      </x:c>
      <x:c r="AH222" t="n">
        <x:f>2*(SQRT((Inputs!$C$52+(Scenario_Data!B222))^2+Inputs!$C$52^2-2*(Inputs!$C$52+(Scenario_Data!B222))*Inputs!$C$52*COS(SQRT((Scenario_Data!T222)^2+Inputs!$C$6^2)/Inputs!$C$52))*1000)/Inputs!$C$21*1000000</x:f>
        <x:v>2719.3690201677696</x:v>
      </x:c>
      <x:c r="AI222" t="n">
        <x:f>Scenario_Data!U222</x:f>
        <x:v>333.19999999999993</x:v>
      </x:c>
      <x:c r="AJ222" t="n">
        <x:f>2*(SQRT((Inputs!$C$52+(Scenario_Data!C222))^2+Inputs!$C$52^2-2*(Inputs!$C$52+(Scenario_Data!C222))*Inputs!$C$52*COS(SQRT((Scenario_Data!U222)^2+Inputs!$C$6^2)/Inputs!$C$52))*1000)/Inputs!$C$21*1000000</x:f>
        <x:v>3092.3580081209293</x:v>
      </x:c>
      <x:c r="AK222" t="n">
        <x:f>Scenario_Data!V222</x:f>
        <x:v>666.3999999999999</x:v>
      </x:c>
      <x:c r="AL222" t="n">
        <x:f>2*(SQRT((Inputs!$C$52+(Scenario_Data!D222))^2+Inputs!$C$52^2-2*(Inputs!$C$52+(Scenario_Data!D222))*Inputs!$C$52*COS(SQRT((Scenario_Data!V222)^2+Inputs!$C$6^2)/Inputs!$C$52))*1000)/Inputs!$C$21*1000000</x:f>
        <x:v>7098.5063576925695</x:v>
      </x:c>
      <x:c r="AM222" t="n">
        <x:f>Scenario_Data!W222</x:f>
        <x:v>666.3999999999999</x:v>
      </x:c>
      <x:c r="AN222" t="n">
        <x:f>2*(SQRT((Inputs!$C$52+(Scenario_Data!E222))^2+Inputs!$C$52^2-2*(Inputs!$C$52+(Scenario_Data!E222))*Inputs!$C$52*COS(SQRT((Scenario_Data!W222)^2+Inputs!$C$6^2)/Inputs!$C$52))*1000)/Inputs!$C$21*1000000</x:f>
        <x:v>7082.30129477401</x:v>
      </x:c>
      <x:c r="AP222" t="n">
        <x:f>Scenario_Data!T222</x:f>
        <x:v>49.980000000000004</x:v>
      </x:c>
      <x:c r="AQ222" t="n">
        <x: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x:f>
        <x:v>2718.562423641157</x:v>
      </x:c>
      <x:c r="AR222" t="n">
        <x:f>Scenario_Data!U222</x:f>
        <x:v>333.19999999999993</x:v>
      </x:c>
      <x:c r="AS222" t="n">
        <x: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x:f>
        <x:v>3091.992984294787</x:v>
      </x:c>
      <x:c r="AT222" t="n">
        <x:f>Scenario_Data!V222</x:f>
        <x:v>666.3999999999999</x:v>
      </x:c>
      <x:c r="AU222" t="n">
        <x: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x:f>
        <x:v>7098.013869852497</x:v>
      </x:c>
      <x:c r="AV222" t="n">
        <x:f>Scenario_Data!W222</x:f>
        <x:v>666.3999999999999</x:v>
      </x:c>
      <x:c r="AW222" t="n">
        <x: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x:f>
        <x:v>7081.81042563662</x:v>
      </x:c>
    </x:row>
    <x:row r="223">
      <x:c r="A223" t="n">
        <x:f>Chart_Data!K223</x:f>
        <x:v>50.5</x:v>
      </x:c>
      <x:c r="B223" t="n">
        <x:f>Chart_Data!N223-Chart_Data!L223</x:f>
        <x:v>-9.261408253939592</x:v>
      </x:c>
      <x:c r="D223" t="n">
        <x:f>Chart_Data!G223</x:f>
        <x:v>50.5</x:v>
      </x:c>
      <x:c r="E223" t="n">
        <x:f>Chart_Data!H223</x:f>
        <x:v>136.98620076238512</x:v>
      </x:c>
      <x:c r="F223" t="n">
        <x:f>Chart_Data!I223</x:f>
        <x:v>136.98620076238512</x:v>
      </x:c>
      <x:c r="G223" t="n">
        <x:f>Chart_Data!J223</x:f>
        <x:v>7.175411887622014</x:v>
      </x:c>
      <x:c r="I223" t="n">
        <x:f>Scenario_Data!A223</x:f>
        <x:v>0.842</x:v>
      </x:c>
      <x:c r="J223" t="n">
        <x:f>Scenario_Data!H223-(((SQRT((Inputs!$C$52+(Inputs!$H$6))^2+Inputs!$C$52^2-2*(Inputs!$C$52+(Inputs!$H$6))*Inputs!$C$52*COS(SQRT((Scenario_Data!T223)^2+Inputs!$C$6^2)/Inputs!$C$52)))-(Inputs!$H$6))*1000/Inputs!$C$12)</x:f>
        <x:v>-15.39505495210642</x:v>
      </x:c>
      <x:c r="K223" t="n">
        <x:f>Scenario_Data!I223-(((SQRT((Inputs!$C$52+(Inputs!$H$7))^2+Inputs!$C$52^2-2*(Inputs!$C$52+(Inputs!$H$7))*Inputs!$C$52*COS(SQRT((Scenario_Data!U223)^2+Inputs!$C$6^2)/Inputs!$C$52)))-(Inputs!$H$7))*1000/Inputs!$C$12)</x:f>
        <x:v>-73575.27277737437</x:v>
      </x:c>
      <x:c r="L223" t="n">
        <x:f>Scenario_Data!J223-(((SQRT((Inputs!$C$52+(Inputs!$H$8))^2+Inputs!$C$52^2-2*(Inputs!$C$52+(Inputs!$H$8))*Inputs!$C$52*COS(SQRT((Scenario_Data!V223)^2+Inputs!$C$6^2)/Inputs!$C$52)))-(Inputs!$H$8))*1000/Inputs!$C$12)</x:f>
        <x:v>-156960.85443111658</x:v>
      </x:c>
      <x:c r="M223" t="n">
        <x:f>Scenario_Data!K223-(((SQRT((Inputs!$C$52+(Inputs!$H$9))^2+Inputs!$C$52^2-2*(Inputs!$C$52+(Inputs!$H$9))*Inputs!$C$52*COS(SQRT((Scenario_Data!W223)^2+Inputs!$C$6^2)/Inputs!$C$52)))-(Inputs!$H$9))*1000/Inputs!$C$12)</x:f>
        <x:v>-160805.86562780722</x:v>
      </x:c>
      <x:c r="O223" t="n">
        <x:f>Scenario_Data!T223</x:f>
        <x:v>50.52000000000001</x:v>
      </x:c>
      <x:c r="P223" t="n">
        <x:f>2*(Scenario_Data!B223*1000)/Inputs!$C$21*1000000</x:f>
        <x:v>2687.431556400261</x:v>
      </x:c>
      <x:c r="Q223" t="n">
        <x:f>Scenario_Data!U223</x:f>
        <x:v>336.80000000000007</x:v>
      </x:c>
      <x:c r="R223" t="n">
        <x:f>2*(Scenario_Data!C223*1000)/Inputs!$C$21*1000000</x:f>
        <x:v>1959.8348935115648</x:v>
      </x:c>
      <x:c r="S223" t="n">
        <x:f>Scenario_Data!V223</x:f>
        <x:v>673.6000000000001</x:v>
      </x:c>
      <x:c r="T223" t="n">
        <x:f>2*(Scenario_Data!D223*1000)/Inputs!$C$21*1000000</x:f>
        <x:v>4797.654115768319</x:v>
      </x:c>
      <x:c r="U223" t="n">
        <x:f>Scenario_Data!W223</x:f>
        <x:v>673.6000000000001</x:v>
      </x:c>
      <x:c r="V223" t="n">
        <x:f>2*(Scenario_Data!E223*1000)/Inputs!$C$21*1000000</x:f>
        <x:v>4778.2382837663</x:v>
      </x:c>
      <x:c r="X223" t="n">
        <x:f>Scenario_Data!T223</x:f>
        <x:v>50.52000000000001</x:v>
      </x:c>
      <x:c r="Y223" t="n">
        <x: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x:f>
        <x:v>2687.5172186847417</x:v>
      </x:c>
      <x:c r="Z223" t="n">
        <x:f>Scenario_Data!U223</x:f>
        <x:v>336.80000000000007</x:v>
      </x:c>
      <x:c r="AA223" t="n">
        <x: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x:f>
        <x:v>1960.0763885223253</x:v>
      </x:c>
      <x:c r="AB223" t="n">
        <x:f>Scenario_Data!V223</x:f>
        <x:v>673.6000000000001</x:v>
      </x:c>
      <x:c r="AC223" t="n">
        <x: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x:f>
        <x:v>4797.536735471792</x:v>
      </x:c>
      <x:c r="AD223" t="n">
        <x:f>Scenario_Data!W223</x:f>
        <x:v>673.6000000000001</x:v>
      </x:c>
      <x:c r="AE223" t="n">
        <x: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x:f>
        <x:v>4778.120903469774</x:v>
      </x:c>
      <x:c r="AG223" t="n">
        <x:f>Scenario_Data!T223</x:f>
        <x:v>50.52000000000001</x:v>
      </x:c>
      <x:c r="AH223" t="n">
        <x:f>2*(SQRT((Inputs!$C$52+(Scenario_Data!B223))^2+Inputs!$C$52^2-2*(Inputs!$C$52+(Scenario_Data!B223))*Inputs!$C$52*COS(SQRT((Scenario_Data!T223)^2+Inputs!$C$6^2)/Inputs!$C$52))*1000)/Inputs!$C$21*1000000</x:f>
        <x:v>2720.3259622967576</x:v>
      </x:c>
      <x:c r="AI223" t="n">
        <x:f>Scenario_Data!U223</x:f>
        <x:v>336.80000000000007</x:v>
      </x:c>
      <x:c r="AJ223" t="n">
        <x:f>2*(SQRT((Inputs!$C$52+(Scenario_Data!C223))^2+Inputs!$C$52^2-2*(Inputs!$C$52+(Scenario_Data!C223))*Inputs!$C$52*COS(SQRT((Scenario_Data!U223)^2+Inputs!$C$6^2)/Inputs!$C$52))*1000)/Inputs!$C$21*1000000</x:f>
        <x:v>3138.34907670858</x:v>
      </x:c>
      <x:c r="AK223" t="n">
        <x:f>Scenario_Data!V223</x:f>
        <x:v>673.6000000000001</x:v>
      </x:c>
      <x:c r="AL223" t="n">
        <x:f>2*(SQRT((Inputs!$C$52+(Scenario_Data!D223))^2+Inputs!$C$52^2-2*(Inputs!$C$52+(Scenario_Data!D223))*Inputs!$C$52*COS(SQRT((Scenario_Data!V223)^2+Inputs!$C$6^2)/Inputs!$C$52))*1000)/Inputs!$C$21*1000000</x:f>
        <x:v>7218.061166458944</x:v>
      </x:c>
      <x:c r="AM223" t="n">
        <x:f>Scenario_Data!W223</x:f>
        <x:v>673.6000000000001</x:v>
      </x:c>
      <x:c r="AN223" t="n">
        <x:f>2*(SQRT((Inputs!$C$52+(Scenario_Data!E223))^2+Inputs!$C$52^2-2*(Inputs!$C$52+(Scenario_Data!E223))*Inputs!$C$52*COS(SQRT((Scenario_Data!W223)^2+Inputs!$C$6^2)/Inputs!$C$52))*1000)/Inputs!$C$21*1000000</x:f>
        <x:v>7202.593886244597</x:v>
      </x:c>
      <x:c r="AP223" t="n">
        <x:f>Scenario_Data!T223</x:f>
        <x:v>50.52000000000001</x:v>
      </x:c>
      <x:c r="AQ223" t="n">
        <x: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x:f>
        <x:v>2719.4600228979743</x:v>
      </x:c>
      <x:c r="AR223" t="n">
        <x:f>Scenario_Data!U223</x:f>
        <x:v>336.80000000000007</x:v>
      </x:c>
      <x:c r="AS223" t="n">
        <x: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x:f>
        <x:v>3137.9971314740387</x:v>
      </x:c>
      <x:c r="AT223" t="n">
        <x:f>Scenario_Data!V223</x:f>
        <x:v>673.6000000000001</x:v>
      </x:c>
      <x:c r="AU223" t="n">
        <x: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x:f>
        <x:v>7217.546480079484</x:v>
      </x:c>
      <x:c r="AV223" t="n">
        <x:f>Scenario_Data!W223</x:f>
        <x:v>673.6000000000001</x:v>
      </x:c>
      <x:c r="AW223" t="n">
        <x: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x:f>
        <x:v>7202.080769171895</x:v>
      </x:c>
    </x:row>
    <x:row r="224">
      <x:c r="A224" t="n">
        <x:f>Chart_Data!K224</x:f>
        <x:v>51</x:v>
      </x:c>
      <x:c r="B224" t="n">
        <x:f>Chart_Data!N224-Chart_Data!L224</x:f>
        <x:v>-13.64503521568463</x:v>
      </x:c>
      <x:c r="D224" t="n">
        <x:f>Chart_Data!G224</x:f>
        <x:v>51</x:v>
      </x:c>
      <x:c r="E224" t="n">
        <x:f>Chart_Data!H224</x:f>
        <x:v>137.08289632779307</x:v>
      </x:c>
      <x:c r="F224" t="n">
        <x:f>Chart_Data!I224</x:f>
        <x:v>137.08289632779307</x:v>
      </x:c>
      <x:c r="G224" t="n">
        <x:f>Chart_Data!J224</x:f>
        <x:v>11.525237738664625</x:v>
      </x:c>
      <x:c r="I224" t="n">
        <x:f>Scenario_Data!A224</x:f>
        <x:v>0.85</x:v>
      </x:c>
      <x:c r="J224" t="n">
        <x:f>Scenario_Data!H224-(((SQRT((Inputs!$C$52+(Inputs!$H$6))^2+Inputs!$C$52^2-2*(Inputs!$C$52+(Inputs!$H$6))*Inputs!$C$52*COS(SQRT((Scenario_Data!T224)^2+Inputs!$C$6^2)/Inputs!$C$52)))-(Inputs!$H$6))*1000/Inputs!$C$12)</x:f>
        <x:v>-15.922654129073635</x:v>
      </x:c>
      <x:c r="K224" t="n">
        <x:f>Scenario_Data!I224-(((SQRT((Inputs!$C$52+(Inputs!$H$7))^2+Inputs!$C$52^2-2*(Inputs!$C$52+(Inputs!$H$7))*Inputs!$C$52*COS(SQRT((Scenario_Data!U224)^2+Inputs!$C$6^2)/Inputs!$C$52)))-(Inputs!$H$7))*1000/Inputs!$C$12)</x:f>
        <x:v>-74675.23669418608</x:v>
      </x:c>
      <x:c r="L224" t="n">
        <x:f>Scenario_Data!J224-(((SQRT((Inputs!$C$52+(Inputs!$H$8))^2+Inputs!$C$52^2-2*(Inputs!$C$52+(Inputs!$H$8))*Inputs!$C$52*COS(SQRT((Scenario_Data!V224)^2+Inputs!$C$6^2)/Inputs!$C$52)))-(Inputs!$H$8))*1000/Inputs!$C$12)</x:f>
        <x:v>-158814.13192459266</x:v>
      </x:c>
      <x:c r="M224" t="n">
        <x:f>Scenario_Data!K224-(((SQRT((Inputs!$C$52+(Inputs!$H$9))^2+Inputs!$C$52^2-2*(Inputs!$C$52+(Inputs!$H$9))*Inputs!$C$52*COS(SQRT((Scenario_Data!W224)^2+Inputs!$C$6^2)/Inputs!$C$52)))-(Inputs!$H$9))*1000/Inputs!$C$12)</x:f>
        <x:v>-162669.9960054315</x:v>
      </x:c>
      <x:c r="O224" t="n">
        <x:f>Scenario_Data!T224</x:f>
        <x:v>51</x:v>
      </x:c>
      <x:c r="P224" t="n">
        <x:f>2*(Scenario_Data!B224*1000)/Inputs!$C$21*1000000</x:f>
        <x:v>2687.7927662876696</x:v>
      </x:c>
      <x:c r="Q224" t="n">
        <x:f>Scenario_Data!U224</x:f>
        <x:v>340</x:v>
      </x:c>
      <x:c r="R224" t="n">
        <x:f>2*(Scenario_Data!C224*1000)/Inputs!$C$21*1000000</x:f>
        <x:v>1992.7952957375599</x:v>
      </x:c>
      <x:c r="S224" t="n">
        <x:f>Scenario_Data!V224</x:f>
        <x:v>680</x:v>
      </x:c>
      <x:c r="T224" t="n">
        <x:f>2*(Scenario_Data!D224*1000)/Inputs!$C$21*1000000</x:f>
        <x:v>4884.7960011055375</x:v>
      </x:c>
      <x:c r="U224" t="n">
        <x:f>Scenario_Data!W224</x:f>
        <x:v>680</x:v>
      </x:c>
      <x:c r="V224" t="n">
        <x:f>2*(Scenario_Data!E224*1000)/Inputs!$C$21*1000000</x:f>
        <x:v>4866.28319382204</x:v>
      </x:c>
      <x:c r="X224" t="n">
        <x:f>Scenario_Data!T224</x:f>
        <x:v>51</x:v>
      </x:c>
      <x:c r="Y224" t="n">
        <x: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x:f>
        <x:v>2687.715878177705</x:v>
      </x:c>
      <x:c r="Z224" t="n">
        <x:f>Scenario_Data!U224</x:f>
        <x:v>340</x:v>
      </x:c>
      <x:c r="AA224" t="n">
        <x: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x:f>
        <x:v>1992.8224473858172</x:v>
      </x:c>
      <x:c r="AB224" t="n">
        <x:f>Scenario_Data!V224</x:f>
        <x:v>680</x:v>
      </x:c>
      <x:c r="AC224" t="n">
        <x: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x:f>
        <x:v>4885.016887178555</x:v>
      </x:c>
      <x:c r="AD224" t="n">
        <x:f>Scenario_Data!W224</x:f>
        <x:v>680</x:v>
      </x:c>
      <x:c r="AE224" t="n">
        <x: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x:f>
        <x:v>4866.504079895057</x:v>
      </x:c>
      <x:c r="AG224" t="n">
        <x:f>Scenario_Data!T224</x:f>
        <x:v>51</x:v>
      </x:c>
      <x:c r="AH224" t="n">
        <x:f>2*(SQRT((Inputs!$C$52+(Scenario_Data!B224))^2+Inputs!$C$52^2-2*(Inputs!$C$52+(Scenario_Data!B224))*Inputs!$C$52*COS(SQRT((Scenario_Data!T224)^2+Inputs!$C$6^2)/Inputs!$C$52))*1000)/Inputs!$C$21*1000000</x:f>
        <x:v>2721.1850020092143</x:v>
      </x:c>
      <x:c r="AI224" t="n">
        <x:f>Scenario_Data!U224</x:f>
        <x:v>340</x:v>
      </x:c>
      <x:c r="AJ224" t="n">
        <x:f>2*(SQRT((Inputs!$C$52+(Scenario_Data!C224))^2+Inputs!$C$52^2-2*(Inputs!$C$52+(Scenario_Data!C224))*Inputs!$C$52*COS(SQRT((Scenario_Data!U224)^2+Inputs!$C$6^2)/Inputs!$C$52))*1000)/Inputs!$C$21*1000000</x:f>
        <x:v>3179.537024764877</x:v>
      </x:c>
      <x:c r="AK224" t="n">
        <x:f>Scenario_Data!V224</x:f>
        <x:v>680</x:v>
      </x:c>
      <x:c r="AL224" t="n">
        <x:f>2*(SQRT((Inputs!$C$52+(Scenario_Data!D224))^2+Inputs!$C$52^2-2*(Inputs!$C$52+(Scenario_Data!D224))*Inputs!$C$52*COS(SQRT((Scenario_Data!V224)^2+Inputs!$C$6^2)/Inputs!$C$52))*1000)/Inputs!$C$21*1000000</x:f>
        <x:v>7325.2712267935</x:v>
      </x:c>
      <x:c r="AM224" t="n">
        <x:f>Scenario_Data!W224</x:f>
        <x:v>680</x:v>
      </x:c>
      <x:c r="AN224" t="n">
        <x:f>2*(SQRT((Inputs!$C$52+(Scenario_Data!E224))^2+Inputs!$C$52^2-2*(Inputs!$C$52+(Scenario_Data!E224))*Inputs!$C$52*COS(SQRT((Scenario_Data!W224)^2+Inputs!$C$6^2)/Inputs!$C$52))*1000)/Inputs!$C$21*1000000</x:f>
        <x:v>7310.473087383565</x:v>
      </x:c>
      <x:c r="AP224" t="n">
        <x:f>Scenario_Data!T224</x:f>
        <x:v>51</x:v>
      </x:c>
      <x:c r="AQ224" t="n">
        <x: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x:f>
        <x:v>2720.284625130148</x:v>
      </x:c>
      <x:c r="AR224" t="n">
        <x:f>Scenario_Data!U224</x:f>
        <x:v>340</x:v>
      </x:c>
      <x:c r="AS224" t="n">
        <x: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x:f>
        <x:v>3179.0930306359223</x:v>
      </x:c>
      <x:c r="AT224" t="n">
        <x:f>Scenario_Data!V224</x:f>
        <x:v>680</x:v>
      </x:c>
      <x:c r="AU224" t="n">
        <x: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x:f>
        <x:v>7325.109272184577</x:v>
      </x:c>
      <x:c r="AV224" t="n">
        <x:f>Scenario_Data!W224</x:f>
        <x:v>680</x:v>
      </x:c>
      <x:c r="AW224" t="n">
        <x: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x:f>
        <x:v>7310.311593445844</x:v>
      </x:c>
    </x:row>
    <x:row r="225">
      <x:c r="A225" t="n">
        <x:f>Chart_Data!K225</x:f>
        <x:v>51.5</x:v>
      </x:c>
      <x:c r="B225" t="n">
        <x:f>Chart_Data!N225-Chart_Data!L225</x:f>
        <x:v>2.0445562852635533</x:v>
      </x:c>
      <x:c r="D225" t="n">
        <x:f>Chart_Data!G225</x:f>
        <x:v>51.5</x:v>
      </x:c>
      <x:c r="E225" t="n">
        <x:f>Chart_Data!H225</x:f>
        <x:v>159.61831316527434</x:v>
      </x:c>
      <x:c r="F225" t="n">
        <x:f>Chart_Data!I225</x:f>
        <x:v>159.61831316527434</x:v>
      </x:c>
      <x:c r="G225" t="n">
        <x:f>Chart_Data!J225</x:f>
        <x:v>-4.550946531934956</x:v>
      </x:c>
      <x:c r="I225" t="n">
        <x:f>Scenario_Data!A225</x:f>
        <x:v>0.858</x:v>
      </x:c>
      <x:c r="J225" t="n">
        <x:f>Scenario_Data!H225-(((SQRT((Inputs!$C$52+(Inputs!$H$6))^2+Inputs!$C$52^2-2*(Inputs!$C$52+(Inputs!$H$6))*Inputs!$C$52*COS(SQRT((Scenario_Data!T225)^2+Inputs!$C$6^2)/Inputs!$C$52)))-(Inputs!$H$6))*1000/Inputs!$C$12)</x:f>
        <x:v>-16.463911639531943</x:v>
      </x:c>
      <x:c r="K225" t="n">
        <x:f>Scenario_Data!I225-(((SQRT((Inputs!$C$52+(Inputs!$H$7))^2+Inputs!$C$52^2-2*(Inputs!$C$52+(Inputs!$H$7))*Inputs!$C$52*COS(SQRT((Scenario_Data!U225)^2+Inputs!$C$6^2)/Inputs!$C$52)))-(Inputs!$H$7))*1000/Inputs!$C$12)</x:f>
        <x:v>-75777.08439083706</x:v>
      </x:c>
      <x:c r="L225" t="n">
        <x:f>Scenario_Data!J225-(((SQRT((Inputs!$C$52+(Inputs!$H$8))^2+Inputs!$C$52^2-2*(Inputs!$C$52+(Inputs!$H$8))*Inputs!$C$52*COS(SQRT((Scenario_Data!V225)^2+Inputs!$C$6^2)/Inputs!$C$52)))-(Inputs!$H$8))*1000/Inputs!$C$12)</x:f>
        <x:v>-160660.74701629803</x:v>
      </x:c>
      <x:c r="M225" t="n">
        <x:f>Scenario_Data!K225-(((SQRT((Inputs!$C$52+(Inputs!$H$9))^2+Inputs!$C$52^2-2*(Inputs!$C$52+(Inputs!$H$9))*Inputs!$C$52*COS(SQRT((Scenario_Data!W225)^2+Inputs!$C$6^2)/Inputs!$C$52)))-(Inputs!$H$9))*1000/Inputs!$C$12)</x:f>
        <x:v>-164527.0933707741</x:v>
      </x:c>
      <x:c r="O225" t="n">
        <x:f>Scenario_Data!T225</x:f>
        <x:v>51.480000000000004</x:v>
      </x:c>
      <x:c r="P225" t="n">
        <x:f>2*(Scenario_Data!B225*1000)/Inputs!$C$21*1000000</x:f>
        <x:v>2688.1573918714125</x:v>
      </x:c>
      <x:c r="Q225" t="n">
        <x:f>Scenario_Data!U225</x:f>
        <x:v>343.20000000000005</x:v>
      </x:c>
      <x:c r="R225" t="n">
        <x:f>2*(Scenario_Data!C225*1000)/Inputs!$C$21*1000000</x:f>
        <x:v>2026.0673802541094</x:v>
      </x:c>
      <x:c r="S225" t="n">
        <x:f>Scenario_Data!V225</x:f>
        <x:v>686.4000000000001</x:v>
      </x:c>
      <x:c r="T225" t="n">
        <x:f>2*(Scenario_Data!D225*1000)/Inputs!$C$21*1000000</x:f>
        <x:v>4972.761923183538</x:v>
      </x:c>
      <x:c r="U225" t="n">
        <x:f>Scenario_Data!W225</x:f>
        <x:v>686.4000000000001</x:v>
      </x:c>
      <x:c r="V225" t="n">
        <x:f>2*(Scenario_Data!E225*1000)/Inputs!$C$21*1000000</x:f>
        <x:v>4955.160679859399</x:v>
      </x:c>
      <x:c r="X225" t="n">
        <x:f>Scenario_Data!T225</x:f>
        <x:v>51.480000000000004</x:v>
      </x:c>
      <x:c r="Y225" t="n">
        <x: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x:f>
        <x:v>2688.2272914906207</x:v>
      </x:c>
      <x:c r="Z225" t="n">
        <x:f>Scenario_Data!U225</x:f>
        <x:v>343.20000000000005</x:v>
      </x:c>
      <x:c r="AA225" t="n">
        <x: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x:f>
        <x:v>2025.9670355035464</x:v>
      </x:c>
      <x:c r="AB225" t="n">
        <x:f>Scenario_Data!V225</x:f>
        <x:v>686.4000000000001</x:v>
      </x:c>
      <x:c r="AC225" t="n">
        <x: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x:f>
        <x:v>4972.44186832919</x:v>
      </x:c>
      <x:c r="AD225" t="n">
        <x:f>Scenario_Data!W225</x:f>
        <x:v>686.4000000000001</x:v>
      </x:c>
      <x:c r="AE225" t="n">
        <x: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x:f>
        <x:v>4954.840625005049</x:v>
      </x:c>
      <x:c r="AG225" t="n">
        <x:f>Scenario_Data!T225</x:f>
        <x:v>51.480000000000004</x:v>
      </x:c>
      <x:c r="AH225" t="n">
        <x:f>2*(SQRT((Inputs!$C$52+(Scenario_Data!B225))^2+Inputs!$C$52^2-2*(Inputs!$C$52+(Scenario_Data!B225))*Inputs!$C$52*COS(SQRT((Scenario_Data!T225)^2+Inputs!$C$6^2)/Inputs!$C$52))*1000)/Inputs!$C$21*1000000</x:f>
        <x:v>2722.0519650158485</x:v>
      </x:c>
      <x:c r="AI225" t="n">
        <x:f>Scenario_Data!U225</x:f>
        <x:v>343.20000000000005</x:v>
      </x:c>
      <x:c r="AJ225" t="n">
        <x:f>2*(SQRT((Inputs!$C$52+(Scenario_Data!C225))^2+Inputs!$C$52^2-2*(Inputs!$C$52+(Scenario_Data!C225))*Inputs!$C$52*COS(SQRT((Scenario_Data!U225)^2+Inputs!$C$6^2)/Inputs!$C$52))*1000)/Inputs!$C$21*1000000</x:f>
        <x:v>3221.015010080671</x:v>
      </x:c>
      <x:c r="AK225" t="n">
        <x:f>Scenario_Data!V225</x:f>
        <x:v>686.4000000000001</x:v>
      </x:c>
      <x:c r="AL225" t="n">
        <x:f>2*(SQRT((Inputs!$C$52+(Scenario_Data!D225))^2+Inputs!$C$52^2-2*(Inputs!$C$52+(Scenario_Data!D225))*Inputs!$C$52*COS(SQRT((Scenario_Data!V225)^2+Inputs!$C$6^2)/Inputs!$C$52))*1000)/Inputs!$C$21*1000000</x:f>
        <x:v>7433.366902852947</x:v>
      </x:c>
      <x:c r="AM225" t="n">
        <x:f>Scenario_Data!W225</x:f>
        <x:v>686.4000000000001</x:v>
      </x:c>
      <x:c r="AN225" t="n">
        <x:f>2*(SQRT((Inputs!$C$52+(Scenario_Data!E225))^2+Inputs!$C$52^2-2*(Inputs!$C$52+(Scenario_Data!E225))*Inputs!$C$52*COS(SQRT((Scenario_Data!W225)^2+Inputs!$C$6^2)/Inputs!$C$52))*1000)/Inputs!$C$21*1000000</x:f>
        <x:v>7419.250393732713</x:v>
      </x:c>
      <x:c r="AP225" t="n">
        <x:f>Scenario_Data!T225</x:f>
        <x:v>51.480000000000004</x:v>
      </x:c>
      <x:c r="AQ225" t="n">
        <x: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x:f>
        <x:v>2721.136694205718</x:v>
      </x:c>
      <x:c r="AR225" t="n">
        <x:f>Scenario_Data!U225</x:f>
        <x:v>343.20000000000005</x:v>
      </x:c>
      <x:c r="AS225" t="n">
        <x: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x:f>
        <x:v>3220.474419904112</x:v>
      </x:c>
      <x:c r="AT225" t="n">
        <x:f>Scenario_Data!V225</x:f>
        <x:v>686.4000000000001</x:v>
      </x:c>
      <x:c r="AU225" t="n">
        <x: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x:f>
        <x:v>7432.782391212268</x:v>
      </x:c>
      <x:c r="AV225" t="n">
        <x:f>Scenario_Data!W225</x:f>
        <x:v>686.4000000000001</x:v>
      </x:c>
      <x:c r="AW225" t="n">
        <x: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x:f>
        <x:v>7418.6674296546635</x:v>
      </x:c>
    </x:row>
    <x:row r="226">
      <x:c r="A226" t="n">
        <x:f>Chart_Data!K226</x:f>
        <x:v>52</x:v>
      </x:c>
      <x:c r="B226" t="n">
        <x:f>Chart_Data!N226-Chart_Data!L226</x:f>
        <x:v>5.188627805772796</x:v>
      </x:c>
      <x:c r="D226" t="n">
        <x:f>Chart_Data!G226</x:f>
        <x:v>52</x:v>
      </x:c>
      <x:c r="E226" t="n">
        <x:f>Chart_Data!H226</x:f>
        <x:v>166.9931224443313</x:v>
      </x:c>
      <x:c r="F226" t="n">
        <x:f>Chart_Data!I226</x:f>
        <x:v>166.9931224443313</x:v>
      </x:c>
      <x:c r="G226" t="n">
        <x:f>Chart_Data!J226</x:f>
        <x:v>-7.85094902162108</x:v>
      </x:c>
      <x:c r="I226" t="n">
        <x:f>Scenario_Data!A226</x:f>
        <x:v>0.867</x:v>
      </x:c>
      <x:c r="J226" t="n">
        <x:f>Scenario_Data!H226-(((SQRT((Inputs!$C$52+(Inputs!$H$6))^2+Inputs!$C$52^2-2*(Inputs!$C$52+(Inputs!$H$6))*Inputs!$C$52*COS(SQRT((Scenario_Data!T226)^2+Inputs!$C$6^2)/Inputs!$C$52)))-(Inputs!$H$6))*1000/Inputs!$C$12)</x:f>
        <x:v>-17.089442616799715</x:v>
      </x:c>
      <x:c r="K226" t="n">
        <x:f>Scenario_Data!I226-(((SQRT((Inputs!$C$52+(Inputs!$H$7))^2+Inputs!$C$52^2-2*(Inputs!$C$52+(Inputs!$H$7))*Inputs!$C$52*COS(SQRT((Scenario_Data!U226)^2+Inputs!$C$6^2)/Inputs!$C$52)))-(Inputs!$H$7))*1000/Inputs!$C$12)</x:f>
        <x:v>-77018.79498984448</x:v>
      </x:c>
      <x:c r="L226" t="n">
        <x:f>Scenario_Data!J226-(((SQRT((Inputs!$C$52+(Inputs!$H$8))^2+Inputs!$C$52^2-2*(Inputs!$C$52+(Inputs!$H$8))*Inputs!$C$52*COS(SQRT((Scenario_Data!V226)^2+Inputs!$C$6^2)/Inputs!$C$52)))-(Inputs!$H$8))*1000/Inputs!$C$12)</x:f>
        <x:v>-162730.03298707728</x:v>
      </x:c>
      <x:c r="M226" t="n">
        <x:f>Scenario_Data!K226-(((SQRT((Inputs!$C$52+(Inputs!$H$9))^2+Inputs!$C$52^2-2*(Inputs!$C$52+(Inputs!$H$9))*Inputs!$C$52*COS(SQRT((Scenario_Data!W226)^2+Inputs!$C$6^2)/Inputs!$C$52)))-(Inputs!$H$9))*1000/Inputs!$C$12)</x:f>
        <x:v>-166607.73644990035</x:v>
      </x:c>
      <x:c r="O226" t="n">
        <x:f>Scenario_Data!T226</x:f>
        <x:v>52.019999999999996</x:v>
      </x:c>
      <x:c r="P226" t="n">
        <x:f>2*(Scenario_Data!B226*1000)/Inputs!$C$21*1000000</x:f>
        <x:v>2688.5716784776487</x:v>
      </x:c>
      <x:c r="Q226" t="n">
        <x:f>Scenario_Data!U226</x:f>
        <x:v>346.79999999999995</x:v>
      </x:c>
      <x:c r="R226" t="n">
        <x:f>2*(Scenario_Data!C226*1000)/Inputs!$C$21*1000000</x:f>
        <x:v>2063.8710330731533</x:v>
      </x:c>
      <x:c r="S226" t="n">
        <x:f>Scenario_Data!V226</x:f>
        <x:v>693.5999999999999</x:v>
      </x:c>
      <x:c r="T226" t="n">
        <x:f>2*(Scenario_Data!D226*1000)/Inputs!$C$21*1000000</x:f>
        <x:v>5072.708566937997</x:v>
      </x:c>
      <x:c r="U226" t="n">
        <x:f>Scenario_Data!W226</x:f>
        <x:v>693.5999999999999</x:v>
      </x:c>
      <x:c r="V226" t="n">
        <x:f>2*(Scenario_Data!E226*1000)/Inputs!$C$21*1000000</x:f>
        <x:v>5056.143040129447</x:v>
      </x:c>
      <x:c r="X226" t="n">
        <x:f>Scenario_Data!T226</x:f>
        <x:v>52.019999999999996</x:v>
      </x:c>
      <x:c r="Y226" t="n">
        <x: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x:f>
        <x:v>2688.510682041781</x:v>
      </x:c>
      <x:c r="Z226" t="n">
        <x:f>Scenario_Data!U226</x:f>
        <x:v>346.79999999999995</x:v>
      </x:c>
      <x:c r="AA226" t="n">
        <x: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x:f>
        <x:v>2063.5225689138206</x:v>
      </x:c>
      <x:c r="AB226" t="n">
        <x:f>Scenario_Data!V226</x:f>
        <x:v>693.5999999999999</x:v>
      </x:c>
      <x:c r="AC226" t="n">
        <x: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x:f>
        <x:v>5072.57993171736</x:v>
      </x:c>
      <x:c r="AD226" t="n">
        <x:f>Scenario_Data!W226</x:f>
        <x:v>693.5999999999999</x:v>
      </x:c>
      <x:c r="AE226" t="n">
        <x: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x:f>
        <x:v>5056.014404908809</x:v>
      </x:c>
      <x:c r="AG226" t="n">
        <x:f>Scenario_Data!T226</x:f>
        <x:v>52.019999999999996</x:v>
      </x:c>
      <x:c r="AH226" t="n">
        <x:f>2*(SQRT((Inputs!$C$52+(Scenario_Data!B226))^2+Inputs!$C$52^2-2*(Inputs!$C$52+(Scenario_Data!B226))*Inputs!$C$52*COS(SQRT((Scenario_Data!T226)^2+Inputs!$C$6^2)/Inputs!$C$52))*1000)/Inputs!$C$21*1000000</x:f>
        <x:v>2723.0367624197406</x:v>
      </x:c>
      <x:c r="AI226" t="n">
        <x:f>Scenario_Data!U226</x:f>
        <x:v>346.79999999999995</x:v>
      </x:c>
      <x:c r="AJ226" t="n">
        <x:f>2*(SQRT((Inputs!$C$52+(Scenario_Data!C226))^2+Inputs!$C$52^2-2*(Inputs!$C$52+(Scenario_Data!C226))*Inputs!$C$52*COS(SQRT((Scenario_Data!U226)^2+Inputs!$C$6^2)/Inputs!$C$52))*1000)/Inputs!$C$21*1000000</x:f>
        <x:v>3268.0257165997627</x:v>
      </x:c>
      <x:c r="AK226" t="n">
        <x:f>Scenario_Data!V226</x:f>
        <x:v>693.5999999999999</x:v>
      </x:c>
      <x:c r="AL226" t="n">
        <x:f>2*(SQRT((Inputs!$C$52+(Scenario_Data!D226))^2+Inputs!$C$52^2-2*(Inputs!$C$52+(Scenario_Data!D226))*Inputs!$C$52*COS(SQRT((Scenario_Data!V226)^2+Inputs!$C$6^2)/Inputs!$C$52))*1000)/Inputs!$C$21*1000000</x:f>
        <x:v>7556.035134917943</x:v>
      </x:c>
      <x:c r="AM226" t="n">
        <x:f>Scenario_Data!W226</x:f>
        <x:v>693.5999999999999</x:v>
      </x:c>
      <x:c r="AN226" t="n">
        <x:f>2*(SQRT((Inputs!$C$52+(Scenario_Data!E226))^2+Inputs!$C$52^2-2*(Inputs!$C$52+(Scenario_Data!E226))*Inputs!$C$52*COS(SQRT((Scenario_Data!W226)^2+Inputs!$C$6^2)/Inputs!$C$52))*1000)/Inputs!$C$21*1000000</x:f>
        <x:v>7542.700317284668</x:v>
      </x:c>
      <x:c r="AP226" t="n">
        <x:f>Scenario_Data!T226</x:f>
        <x:v>52.019999999999996</x:v>
      </x:c>
      <x:c r="AQ226" t="n">
        <x: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x:f>
        <x:v>2722.0161317735797</x:v>
      </x:c>
      <x:c r="AR226" t="n">
        <x:f>Scenario_Data!U226</x:f>
        <x:v>346.79999999999995</x:v>
      </x:c>
      <x:c r="AS226" t="n">
        <x: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x:f>
        <x:v>3267.386848018475</x:v>
      </x:c>
      <x:c r="AT226" t="n">
        <x:f>Scenario_Data!V226</x:f>
        <x:v>693.5999999999999</x:v>
      </x:c>
      <x:c r="AU226" t="n">
        <x: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x:f>
        <x:v>7555.73320099179</x:v>
      </x:c>
      <x:c r="AV226" t="n">
        <x:f>Scenario_Data!W226</x:f>
        <x:v>693.5999999999999</x:v>
      </x:c>
      <x:c r="AW226" t="n">
        <x: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x:f>
        <x:v>7542.399117852137</x:v>
      </x:c>
    </x:row>
    <x:row r="227">
      <x:c r="A227" t="n">
        <x:f>Chart_Data!K227</x:f>
        <x:v>52.5</x:v>
      </x:c>
      <x:c r="B227" t="n">
        <x:f>Chart_Data!N227-Chart_Data!L227</x:f>
        <x:v>-9.24374226910868</x:v>
      </x:c>
      <x:c r="D227" t="n">
        <x:f>Chart_Data!G227</x:f>
        <x:v>52.5</x:v>
      </x:c>
      <x:c r="E227" t="n">
        <x:f>Chart_Data!H227</x:f>
        <x:v>164.06842387185546</x:v>
      </x:c>
      <x:c r="F227" t="n">
        <x:f>Chart_Data!I227</x:f>
        <x:v>164.06842387185546</x:v>
      </x:c>
      <x:c r="G227" t="n">
        <x:f>Chart_Data!J227</x:f>
        <x:v>6.588346931916092</x:v>
      </x:c>
      <x:c r="I227" t="n">
        <x:f>Scenario_Data!A227</x:f>
        <x:v>0.875</x:v>
      </x:c>
      <x:c r="J227" t="n">
        <x:f>Scenario_Data!H227-(((SQRT((Inputs!$C$52+(Inputs!$H$6))^2+Inputs!$C$52^2-2*(Inputs!$C$52+(Inputs!$H$6))*Inputs!$C$52*COS(SQRT((Scenario_Data!T227)^2+Inputs!$C$6^2)/Inputs!$C$52)))-(Inputs!$H$6))*1000/Inputs!$C$12)</x:f>
        <x:v>-17.660500113955095</x:v>
      </x:c>
      <x:c r="K227" t="n">
        <x:f>Scenario_Data!I227-(((SQRT((Inputs!$C$52+(Inputs!$H$7))^2+Inputs!$C$52^2-2*(Inputs!$C$52+(Inputs!$H$7))*Inputs!$C$52*COS(SQRT((Scenario_Data!U227)^2+Inputs!$C$6^2)/Inputs!$C$52)))-(Inputs!$H$7))*1000/Inputs!$C$12)</x:f>
        <x:v>-78124.32838336958</x:v>
      </x:c>
      <x:c r="L227" t="n">
        <x:f>Scenario_Data!J227-(((SQRT((Inputs!$C$52+(Inputs!$H$8))^2+Inputs!$C$52^2-2*(Inputs!$C$52+(Inputs!$H$8))*Inputs!$C$52*COS(SQRT((Scenario_Data!V227)^2+Inputs!$C$6^2)/Inputs!$C$52)))-(Inputs!$H$8))*1000/Inputs!$C$12)</x:f>
        <x:v>-164561.98259931064</x:v>
      </x:c>
      <x:c r="M227" t="n">
        <x:f>Scenario_Data!K227-(((SQRT((Inputs!$C$52+(Inputs!$H$9))^2+Inputs!$C$52^2-2*(Inputs!$C$52+(Inputs!$H$9))*Inputs!$C$52*COS(SQRT((Scenario_Data!W227)^2+Inputs!$C$6^2)/Inputs!$C$52)))-(Inputs!$H$9))*1000/Inputs!$C$12)</x:f>
        <x:v>-168449.4008262297</x:v>
      </x:c>
      <x:c r="O227" t="n">
        <x:f>Scenario_Data!T227</x:f>
        <x:v>52.5</x:v>
      </x:c>
      <x:c r="P227" t="n">
        <x:f>2*(Scenario_Data!B227*1000)/Inputs!$C$21*1000000</x:f>
        <x:v>2688.9435624161033</x:v>
      </x:c>
      <x:c r="Q227" t="n">
        <x:f>Scenario_Data!U227</x:f>
        <x:v>350</x:v>
      </x:c>
      <x:c r="R227" t="n">
        <x:f>2*(Scenario_Data!C227*1000)/Inputs!$C$21*1000000</x:f>
        <x:v>2097.8054424571283</x:v>
      </x:c>
      <x:c r="S227" t="n">
        <x:f>Scenario_Data!V227</x:f>
        <x:v>700</x:v>
      </x:c>
      <x:c r="T227" t="n">
        <x:f>2*(Scenario_Data!D227*1000)/Inputs!$C$21*1000000</x:f>
        <x:v>5162.42556709015</x:v>
      </x:c>
      <x:c r="U227" t="n">
        <x:f>Scenario_Data!W227</x:f>
        <x:v>700</x:v>
      </x:c>
      <x:c r="V227" t="n">
        <x:f>2*(Scenario_Data!E227*1000)/Inputs!$C$21*1000000</x:f>
        <x:v>5146.789750127737</x:v>
      </x:c>
      <x:c r="X227" t="n">
        <x:f>Scenario_Data!T227</x:f>
        <x:v>52.5</x:v>
      </x:c>
      <x:c r="Y227" t="n">
        <x: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x:f>
        <x:v>2688.8996096964393</x:v>
      </x:c>
      <x:c r="Z227" t="n">
        <x:f>Scenario_Data!U227</x:f>
        <x:v>350</x:v>
      </x:c>
      <x:c r="AA227" t="n">
        <x: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x:f>
        <x:v>2097.3953409322794</x:v>
      </x:c>
      <x:c r="AB227" t="n">
        <x:f>Scenario_Data!V227</x:f>
        <x:v>700</x:v>
      </x:c>
      <x:c r="AC227" t="n">
        <x: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x:f>
        <x:v>5162.294064360414</x:v>
      </x:c>
      <x:c r="AD227" t="n">
        <x:f>Scenario_Data!W227</x:f>
        <x:v>700</x:v>
      </x:c>
      <x:c r="AE227" t="n">
        <x: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x:f>
        <x:v>5146.658247398001</x:v>
      </x:c>
      <x:c r="AG227" t="n">
        <x:f>Scenario_Data!T227</x:f>
        <x:v>52.5</x:v>
      </x:c>
      <x:c r="AH227" t="n">
        <x:f>2*(SQRT((Inputs!$C$52+(Scenario_Data!B227))^2+Inputs!$C$52^2-2*(Inputs!$C$52+(Scenario_Data!B227))*Inputs!$C$52*COS(SQRT((Scenario_Data!T227)^2+Inputs!$C$6^2)/Inputs!$C$52))*1000)/Inputs!$C$21*1000000</x:f>
        <x:v>2723.920544268542</x:v>
      </x:c>
      <x:c r="AI227" t="n">
        <x:f>Scenario_Data!U227</x:f>
        <x:v>350</x:v>
      </x:c>
      <x:c r="AJ227" t="n">
        <x:f>2*(SQRT((Inputs!$C$52+(Scenario_Data!C227))^2+Inputs!$C$52^2-2*(Inputs!$C$52+(Scenario_Data!C227))*Inputs!$C$52*COS(SQRT((Scenario_Data!U227)^2+Inputs!$C$6^2)/Inputs!$C$52))*1000)/Inputs!$C$21*1000000</x:f>
        <x:v>3310.123444717516</x:v>
      </x:c>
      <x:c r="AK227" t="n">
        <x:f>Scenario_Data!V227</x:f>
        <x:v>700</x:v>
      </x:c>
      <x:c r="AL227" t="n">
        <x:f>2*(SQRT((Inputs!$C$52+(Scenario_Data!D227))^2+Inputs!$C$52^2-2*(Inputs!$C$52+(Scenario_Data!D227))*Inputs!$C$52*COS(SQRT((Scenario_Data!V227)^2+Inputs!$C$6^2)/Inputs!$C$52))*1000)/Inputs!$C$21*1000000</x:f>
        <x:v>7666.018043289701</x:v>
      </x:c>
      <x:c r="AM227" t="n">
        <x:f>Scenario_Data!W227</x:f>
        <x:v>700</x:v>
      </x:c>
      <x:c r="AN227" t="n">
        <x:f>2*(SQRT((Inputs!$C$52+(Scenario_Data!E227))^2+Inputs!$C$52^2-2*(Inputs!$C$52+(Scenario_Data!E227))*Inputs!$C$52*COS(SQRT((Scenario_Data!W227)^2+Inputs!$C$6^2)/Inputs!$C$52))*1000)/Inputs!$C$21*1000000</x:f>
        <x:v>7653.39120605297</x:v>
      </x:c>
      <x:c r="AP227" t="n">
        <x:f>Scenario_Data!T227</x:f>
        <x:v>52.5</x:v>
      </x:c>
      <x:c r="AQ227" t="n">
        <x: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x:f>
        <x:v>2722.8437124522143</x:v>
      </x:c>
      <x:c r="AR227" t="n">
        <x:f>Scenario_Data!U227</x:f>
        <x:v>350</x:v>
      </x:c>
      <x:c r="AS227" t="n">
        <x: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x:f>
        <x:v>3309.459484632871</x:v>
      </x:c>
      <x:c r="AT227" t="n">
        <x:f>Scenario_Data!V227</x:f>
        <x:v>700</x:v>
      </x:c>
      <x:c r="AU227" t="n">
        <x: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x:f>
        <x:v>7665.636355141929</x:v>
      </x:c>
      <x:c r="AV227" t="n">
        <x:f>Scenario_Data!W227</x:f>
        <x:v>700</x:v>
      </x:c>
      <x:c r="AW227" t="n">
        <x: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x:f>
        <x:v>7653.010376100991</x:v>
      </x:c>
    </x:row>
    <x:row r="228">
      <x:c r="A228" t="n">
        <x:f>Chart_Data!K228</x:f>
        <x:v>53</x:v>
      </x:c>
      <x:c r="B228" t="n">
        <x:f>Chart_Data!N228-Chart_Data!L228</x:f>
        <x:v>-7.523615352549314</x:v>
      </x:c>
      <x:c r="D228" t="n">
        <x:f>Chart_Data!G228</x:f>
        <x:v>53</x:v>
      </x:c>
      <x:c r="E228" t="n">
        <x:f>Chart_Data!H228</x:f>
        <x:v>183.5232809151917</x:v>
      </x:c>
      <x:c r="F228" t="n">
        <x:f>Chart_Data!I228</x:f>
        <x:v>183.5232809151917</x:v>
      </x:c>
      <x:c r="G228" t="n">
        <x:f>Chart_Data!J228</x:f>
        <x:v>4.508396540761183</x:v>
      </x:c>
      <x:c r="I228" t="n">
        <x:f>Scenario_Data!A228</x:f>
        <x:v>0.883</x:v>
      </x:c>
      <x:c r="J228" t="n">
        <x:f>Scenario_Data!H228-(((SQRT((Inputs!$C$52+(Inputs!$H$6))^2+Inputs!$C$52^2-2*(Inputs!$C$52+(Inputs!$H$6))*Inputs!$C$52*COS(SQRT((Scenario_Data!T228)^2+Inputs!$C$6^2)/Inputs!$C$52)))-(Inputs!$H$6))*1000/Inputs!$C$12)</x:f>
        <x:v>-18.245949870930872</x:v>
      </x:c>
      <x:c r="K228" t="n">
        <x:f>Scenario_Data!I228-(((SQRT((Inputs!$C$52+(Inputs!$H$7))^2+Inputs!$C$52^2-2*(Inputs!$C$52+(Inputs!$H$7))*Inputs!$C$52*COS(SQRT((Scenario_Data!U228)^2+Inputs!$C$6^2)/Inputs!$C$52)))-(Inputs!$H$7))*1000/Inputs!$C$12)</x:f>
        <x:v>-79231.45069310427</x:v>
      </x:c>
      <x:c r="L228" t="n">
        <x:f>Scenario_Data!J228-(((SQRT((Inputs!$C$52+(Inputs!$H$8))^2+Inputs!$C$52^2-2*(Inputs!$C$52+(Inputs!$H$8))*Inputs!$C$52*COS(SQRT((Scenario_Data!V228)^2+Inputs!$C$6^2)/Inputs!$C$52)))-(Inputs!$H$8))*1000/Inputs!$C$12)</x:f>
        <x:v>-166386.8012256964</x:v>
      </x:c>
      <x:c r="M228" t="n">
        <x:f>Scenario_Data!K228-(((SQRT((Inputs!$C$52+(Inputs!$H$9))^2+Inputs!$C$52^2-2*(Inputs!$C$52+(Inputs!$H$9))*Inputs!$C$52*COS(SQRT((Scenario_Data!W228)^2+Inputs!$C$6^2)/Inputs!$C$52)))-(Inputs!$H$9))*1000/Inputs!$C$12)</x:f>
        <x:v>-170283.5823050193</x:v>
      </x:c>
      <x:c r="O228" t="n">
        <x:f>Scenario_Data!T228</x:f>
        <x:v>52.980000000000004</x:v>
      </x:c>
      <x:c r="P228" t="n">
        <x:f>2*(Scenario_Data!B228*1000)/Inputs!$C$21*1000000</x:f>
        <x:v>2689.3188620508927</x:v>
      </x:c>
      <x:c r="Q228" t="n">
        <x:f>Scenario_Data!U228</x:f>
        <x:v>353.20000000000005</x:v>
      </x:c>
      <x:c r="R228" t="n">
        <x:f>2*(Scenario_Data!C228*1000)/Inputs!$C$21*1000000</x:f>
        <x:v>2132.051534131657</x:v>
      </x:c>
      <x:c r="S228" t="n">
        <x:f>Scenario_Data!V228</x:f>
        <x:v>706.4000000000001</x:v>
      </x:c>
      <x:c r="T228" t="n">
        <x:f>2*(Scenario_Data!D228*1000)/Inputs!$C$21*1000000</x:f>
        <x:v>5252.96660398308</x:v>
      </x:c>
      <x:c r="U228" t="n">
        <x:f>Scenario_Data!W228</x:f>
        <x:v>706.4000000000001</x:v>
      </x:c>
      <x:c r="V228" t="n">
        <x:f>2*(Scenario_Data!E228*1000)/Inputs!$C$21*1000000</x:f>
        <x:v>5238.269036107641</x:v>
      </x:c>
      <x:c r="X228" t="n">
        <x:f>Scenario_Data!T228</x:f>
        <x:v>52.980000000000004</x:v>
      </x:c>
      <x:c r="Y228" t="n">
        <x: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x:f>
        <x:v>2689.409650581394</x:v>
      </x:c>
      <x:c r="Z228" t="n">
        <x:f>Scenario_Data!U228</x:f>
        <x:v>353.20000000000005</x:v>
      </x:c>
      <x:c r="AA228" t="n">
        <x: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x:f>
        <x:v>2131.89699340424</x:v>
      </x:c>
      <x:c r="AB228" t="n">
        <x:f>Scenario_Data!V228</x:f>
        <x:v>706.4000000000001</x:v>
      </x:c>
      <x:c r="AC228" t="n">
        <x: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x:f>
        <x:v>5252.466158272303</x:v>
      </x:c>
      <x:c r="AD228" t="n">
        <x:f>Scenario_Data!W228</x:f>
        <x:v>706.4000000000001</x:v>
      </x:c>
      <x:c r="AE228" t="n">
        <x: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x:f>
        <x:v>5237.768590396864</x:v>
      </x:c>
      <x:c r="AG228" t="n">
        <x:f>Scenario_Data!T228</x:f>
        <x:v>52.980000000000004</x:v>
      </x:c>
      <x:c r="AH228" t="n">
        <x:f>2*(SQRT((Inputs!$C$52+(Scenario_Data!B228))^2+Inputs!$C$52^2-2*(Inputs!$C$52+(Scenario_Data!B228))*Inputs!$C$52*COS(SQRT((Scenario_Data!T228)^2+Inputs!$C$6^2)/Inputs!$C$52))*1000)/Inputs!$C$21*1000000</x:f>
        <x:v>2724.8122322311165</x:v>
      </x:c>
      <x:c r="AI228" t="n">
        <x:f>Scenario_Data!U228</x:f>
        <x:v>353.20000000000005</x:v>
      </x:c>
      <x:c r="AJ228" t="n">
        <x:f>2*(SQRT((Inputs!$C$52+(Scenario_Data!C228))^2+Inputs!$C$52^2-2*(Inputs!$C$52+(Scenario_Data!C228))*Inputs!$C$52*COS(SQRT((Scenario_Data!U228)^2+Inputs!$C$6^2)/Inputs!$C$52))*1000)/Inputs!$C$21*1000000</x:f>
        <x:v>3352.5143841718163</x:v>
      </x:c>
      <x:c r="AK228" t="n">
        <x:f>Scenario_Data!V228</x:f>
        <x:v>706.4000000000001</x:v>
      </x:c>
      <x:c r="AL228" t="n">
        <x:f>2*(SQRT((Inputs!$C$52+(Scenario_Data!D228))^2+Inputs!$C$52^2-2*(Inputs!$C$52+(Scenario_Data!D228))*Inputs!$C$52*COS(SQRT((Scenario_Data!V228)^2+Inputs!$C$6^2)/Inputs!$C$52))*1000)/Inputs!$C$21*1000000</x:f>
        <x:v>7776.891446293156</x:v>
      </x:c>
      <x:c r="AM228" t="n">
        <x:f>Scenario_Data!W228</x:f>
        <x:v>706.4000000000001</x:v>
      </x:c>
      <x:c r="AN228" t="n">
        <x:f>2*(SQRT((Inputs!$C$52+(Scenario_Data!E228))^2+Inputs!$C$52^2-2*(Inputs!$C$52+(Scenario_Data!E228))*Inputs!$C$52*COS(SQRT((Scenario_Data!W228)^2+Inputs!$C$6^2)/Inputs!$C$52))*1000)/Inputs!$C$21*1000000</x:f>
        <x:v>7764.984900901371</x:v>
      </x:c>
      <x:c r="AP228" t="n">
        <x:f>Scenario_Data!T228</x:f>
        <x:v>52.980000000000004</x:v>
      </x:c>
      <x:c r="AQ228" t="n">
        <x: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x:f>
        <x:v>2723.7535103247137</x:v>
      </x:c>
      <x:c r="AR228" t="n">
        <x:f>Scenario_Data!U228</x:f>
        <x:v>353.20000000000005</x:v>
      </x:c>
      <x:c r="AS228" t="n">
        <x: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x:f>
        <x:v>3352.0649024359104</x:v>
      </x:c>
      <x:c r="AT228" t="n">
        <x:f>Scenario_Data!V228</x:f>
        <x:v>706.4000000000001</x:v>
      </x:c>
      <x:c r="AU228" t="n">
        <x: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x:f>
        <x:v>7776.31348402332</x:v>
      </x:c>
      <x:c r="AV228" t="n">
        <x:f>Scenario_Data!W228</x:f>
        <x:v>706.4000000000001</x:v>
      </x:c>
      <x:c r="AW228" t="n">
        <x: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x:f>
        <x:v>7764.408135091424</x:v>
      </x:c>
    </x:row>
    <x:row r="229">
      <x:c r="A229" t="n">
        <x:f>Chart_Data!K229</x:f>
        <x:v>53.5</x:v>
      </x:c>
      <x:c r="B229" t="n">
        <x:f>Chart_Data!N229-Chart_Data!L229</x:f>
        <x:v>-2.890955997517267</x:v>
      </x:c>
      <x:c r="D229" t="n">
        <x:f>Chart_Data!G229</x:f>
        <x:v>53.5</x:v>
      </x:c>
      <x:c r="E229" t="n">
        <x:f>Chart_Data!H229</x:f>
        <x:v>181.04186719105834</x:v>
      </x:c>
      <x:c r="F229" t="n">
        <x:f>Chart_Data!I229</x:f>
        <x:v>181.04186719105834</x:v>
      </x:c>
      <x:c r="G229" t="n">
        <x:f>Chart_Data!J229</x:f>
        <x:v>-0.1280560890739677</x:v>
      </x:c>
      <x:c r="I229" t="n">
        <x:f>Scenario_Data!A229</x:f>
        <x:v>0.892</x:v>
      </x:c>
      <x:c r="J229" t="n">
        <x:f>Scenario_Data!H229-(((SQRT((Inputs!$C$52+(Inputs!$H$6))^2+Inputs!$C$52^2-2*(Inputs!$C$52+(Inputs!$H$6))*Inputs!$C$52*COS(SQRT((Scenario_Data!T229)^2+Inputs!$C$6^2)/Inputs!$C$52)))-(Inputs!$H$6))*1000/Inputs!$C$12)</x:f>
        <x:v>-18.922080788589938</x:v>
      </x:c>
      <x:c r="K229" t="n">
        <x:f>Scenario_Data!I229-(((SQRT((Inputs!$C$52+(Inputs!$H$7))^2+Inputs!$C$52^2-2*(Inputs!$C$52+(Inputs!$H$7))*Inputs!$C$52*COS(SQRT((Scenario_Data!U229)^2+Inputs!$C$6^2)/Inputs!$C$52)))-(Inputs!$H$7))*1000/Inputs!$C$12)</x:f>
        <x:v>-80478.74960701005</x:v>
      </x:c>
      <x:c r="L229" t="n">
        <x:f>Scenario_Data!J229-(((SQRT((Inputs!$C$52+(Inputs!$H$8))^2+Inputs!$C$52^2-2*(Inputs!$C$52+(Inputs!$H$8))*Inputs!$C$52*COS(SQRT((Scenario_Data!V229)^2+Inputs!$C$6^2)/Inputs!$C$52)))-(Inputs!$H$8))*1000/Inputs!$C$12)</x:f>
        <x:v>-168431.02288308344</x:v>
      </x:c>
      <x:c r="M229" t="n">
        <x:f>Scenario_Data!K229-(((SQRT((Inputs!$C$52+(Inputs!$H$9))^2+Inputs!$C$52^2-2*(Inputs!$C$52+(Inputs!$H$9))*Inputs!$C$52*COS(SQRT((Scenario_Data!W229)^2+Inputs!$C$6^2)/Inputs!$C$52)))-(Inputs!$H$9))*1000/Inputs!$C$12)</x:f>
        <x:v>-172337.92378063095</x:v>
      </x:c>
      <x:c r="O229" t="n">
        <x:f>Scenario_Data!T229</x:f>
        <x:v>53.519999999999996</x:v>
      </x:c>
      <x:c r="P229" t="n">
        <x:f>2*(Scenario_Data!B229*1000)/Inputs!$C$21*1000000</x:f>
        <x:v>2689.745156964556</x:v>
      </x:c>
      <x:c r="Q229" t="n">
        <x:f>Scenario_Data!U229</x:f>
        <x:v>356.79999999999995</x:v>
      </x:c>
      <x:c r="R229" t="n">
        <x:f>2*(Scenario_Data!C229*1000)/Inputs!$C$21*1000000</x:f>
        <x:v>2170.9509450034257</x:v>
      </x:c>
      <x:c r="S229" t="n">
        <x:f>Scenario_Data!V229</x:f>
        <x:v>713.5999999999999</x:v>
      </x:c>
      <x:c r="T229" t="n">
        <x:f>2*(Scenario_Data!D229*1000)/Inputs!$C$21*1000000</x:f>
        <x:v>5355.810251904335</x:v>
      </x:c>
      <x:c r="U229" t="n">
        <x:f>Scenario_Data!W229</x:f>
        <x:v>713.5999999999999</x:v>
      </x:c>
      <x:c r="V229" t="n">
        <x:f>2*(Scenario_Data!E229*1000)/Inputs!$C$21*1000000</x:f>
        <x:v>5342.178421313052</x:v>
      </x:c>
      <x:c r="X229" t="n">
        <x:f>Scenario_Data!T229</x:f>
        <x:v>53.519999999999996</x:v>
      </x:c>
      <x:c r="Y229" t="n">
        <x: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x:f>
        <x:v>2689.777555100149</x:v>
      </x:c>
      <x:c r="Z229" t="n">
        <x:f>Scenario_Data!U229</x:f>
        <x:v>356.79999999999995</x:v>
      </x:c>
      <x:c r="AA229" t="n">
        <x: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x:f>
        <x:v>2170.966183340772</x:v>
      </x:c>
      <x:c r="AB229" t="n">
        <x:f>Scenario_Data!V229</x:f>
        <x:v>713.5999999999999</x:v>
      </x:c>
      <x:c r="AC229" t="n">
        <x: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x:f>
        <x:v>5355.548700407056</x:v>
      </x:c>
      <x:c r="AD229" t="n">
        <x:f>Scenario_Data!W229</x:f>
        <x:v>713.5999999999999</x:v>
      </x:c>
      <x:c r="AE229" t="n">
        <x: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x:f>
        <x:v>5341.916869815773</x:v>
      </x:c>
      <x:c r="AG229" t="n">
        <x:f>Scenario_Data!T229</x:f>
        <x:v>53.519999999999996</x:v>
      </x:c>
      <x:c r="AH229" t="n">
        <x:f>2*(SQRT((Inputs!$C$52+(Scenario_Data!B229))^2+Inputs!$C$52^2-2*(Inputs!$C$52+(Scenario_Data!B229))*Inputs!$C$52*COS(SQRT((Scenario_Data!T229)^2+Inputs!$C$6^2)/Inputs!$C$52))*1000)/Inputs!$C$21*1000000</x:f>
        <x:v>2725.824824510964</x:v>
      </x:c>
      <x:c r="AI229" t="n">
        <x:f>Scenario_Data!U229</x:f>
        <x:v>356.79999999999995</x:v>
      </x:c>
      <x:c r="AJ229" t="n">
        <x:f>2*(SQRT((Inputs!$C$52+(Scenario_Data!C229))^2+Inputs!$C$52^2-2*(Inputs!$C$52+(Scenario_Data!C229))*Inputs!$C$52*COS(SQRT((Scenario_Data!U229)^2+Inputs!$C$6^2)/Inputs!$C$52))*1000)/Inputs!$C$21*1000000</x:f>
        <x:v>3400.5558883978983</x:v>
      </x:c>
      <x:c r="AK229" t="n">
        <x:f>Scenario_Data!V229</x:f>
        <x:v>713.5999999999999</x:v>
      </x:c>
      <x:c r="AL229" t="n">
        <x:f>2*(SQRT((Inputs!$C$52+(Scenario_Data!D229))^2+Inputs!$C$52^2-2*(Inputs!$C$52+(Scenario_Data!D229))*Inputs!$C$52*COS(SQRT((Scenario_Data!V229)^2+Inputs!$C$6^2)/Inputs!$C$52))*1000)/Inputs!$C$21*1000000</x:f>
        <x:v>7902.690259570726</x:v>
      </x:c>
      <x:c r="AM229" t="n">
        <x:f>Scenario_Data!W229</x:f>
        <x:v>713.5999999999999</x:v>
      </x:c>
      <x:c r="AN229" t="n">
        <x:f>2*(SQRT((Inputs!$C$52+(Scenario_Data!E229))^2+Inputs!$C$52^2-2*(Inputs!$C$52+(Scenario_Data!E229))*Inputs!$C$52*COS(SQRT((Scenario_Data!W229)^2+Inputs!$C$6^2)/Inputs!$C$52))*1000)/Inputs!$C$21*1000000</x:f>
        <x:v>7891.608688682572</x:v>
      </x:c>
      <x:c r="AP229" t="n">
        <x:f>Scenario_Data!T229</x:f>
        <x:v>53.519999999999996</x:v>
      </x:c>
      <x:c r="AQ229" t="n">
        <x: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x:f>
        <x:v>2724.6194788259563</x:v>
      </x:c>
      <x:c r="AR229" t="n">
        <x:f>Scenario_Data!U229</x:f>
        <x:v>356.79999999999995</x:v>
      </x:c>
      <x:c r="AS229" t="n">
        <x: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x:f>
        <x:v>3400.2165495983063</x:v>
      </x:c>
      <x:c r="AT229" t="n">
        <x:f>Scenario_Data!V229</x:f>
        <x:v>713.5999999999999</x:v>
      </x:c>
      <x:c r="AU229" t="n">
        <x: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x:f>
        <x:v>7902.234110027593</x:v>
      </x:c>
      <x:c r="AV229" t="n">
        <x:f>Scenario_Data!W229</x:f>
        <x:v>713.5999999999999</x:v>
      </x:c>
      <x:c r="AW229" t="n">
        <x: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x:f>
        <x:v>7891.1533948112265</x:v>
      </x:c>
    </x:row>
    <x:row r="230">
      <x:c r="A230" t="n">
        <x:f>Chart_Data!K230</x:f>
        <x:v>54</x:v>
      </x:c>
      <x:c r="B230" t="n">
        <x:f>Chart_Data!N230-Chart_Data!L230</x:f>
        <x:v>4.780407983842736</x:v>
      </x:c>
      <x:c r="D230" t="n">
        <x:f>Chart_Data!G230</x:f>
        <x:v>54</x:v>
      </x:c>
      <x:c r="E230" t="n">
        <x:f>Chart_Data!H230</x:f>
        <x:v>181.54184215615243</x:v>
      </x:c>
      <x:c r="F230" t="n">
        <x:f>Chart_Data!I230</x:f>
        <x:v>181.54184215615243</x:v>
      </x:c>
      <x:c r="G230" t="n">
        <x:f>Chart_Data!J230</x:f>
        <x:v>-7.852837825142384</x:v>
      </x:c>
      <x:c r="I230" t="n">
        <x:f>Scenario_Data!A230</x:f>
        <x:v>0.9</x:v>
      </x:c>
      <x:c r="J230" t="n">
        <x:f>Scenario_Data!H230-(((SQRT((Inputs!$C$52+(Inputs!$H$6))^2+Inputs!$C$52^2-2*(Inputs!$C$52+(Inputs!$H$6))*Inputs!$C$52*COS(SQRT((Scenario_Data!T230)^2+Inputs!$C$6^2)/Inputs!$C$52)))-(Inputs!$H$6))*1000/Inputs!$C$12)</x:f>
        <x:v>-19.538907124212074</x:v>
      </x:c>
      <x:c r="K230" t="n">
        <x:f>Scenario_Data!I230-(((SQRT((Inputs!$C$52+(Inputs!$H$7))^2+Inputs!$C$52^2-2*(Inputs!$C$52+(Inputs!$H$7))*Inputs!$C$52*COS(SQRT((Scenario_Data!U230)^2+Inputs!$C$6^2)/Inputs!$C$52)))-(Inputs!$H$7))*1000/Inputs!$C$12)</x:f>
        <x:v>-81588.94913418307</x:v>
      </x:c>
      <x:c r="L230" t="n">
        <x:f>Scenario_Data!J230-(((SQRT((Inputs!$C$52+(Inputs!$H$8))^2+Inputs!$C$52^2-2*(Inputs!$C$52+(Inputs!$H$8))*Inputs!$C$52*COS(SQRT((Scenario_Data!V230)^2+Inputs!$C$6^2)/Inputs!$C$52)))-(Inputs!$H$8))*1000/Inputs!$C$12)</x:f>
        <x:v>-170240.22471774745</x:v>
      </x:c>
      <x:c r="M230" t="n">
        <x:f>Scenario_Data!K230-(((SQRT((Inputs!$C$52+(Inputs!$H$9))^2+Inputs!$C$52^2-2*(Inputs!$C$52+(Inputs!$H$9))*Inputs!$C$52*COS(SQRT((Scenario_Data!W230)^2+Inputs!$C$6^2)/Inputs!$C$52)))-(Inputs!$H$9))*1000/Inputs!$C$12)</x:f>
        <x:v>-174155.75991096892</x:v>
      </x:c>
      <x:c r="O230" t="n">
        <x:f>Scenario_Data!T230</x:f>
        <x:v>54</x:v>
      </x:c>
      <x:c r="P230" t="n">
        <x:f>2*(Scenario_Data!B230*1000)/Inputs!$C$21*1000000</x:f>
        <x:v>2690.1277149540565</x:v>
      </x:c>
      <x:c r="Q230" t="n">
        <x:f>Scenario_Data!U230</x:f>
        <x:v>360</x:v>
      </x:c>
      <x:c r="R230" t="n">
        <x:f>2*(Scenario_Data!C230*1000)/Inputs!$C$21*1000000</x:f>
        <x:v>2205.8593615453797</x:v>
      </x:c>
      <x:c r="S230" t="n">
        <x:f>Scenario_Data!V230</x:f>
        <x:v>720</x:v>
      </x:c>
      <x:c r="T230" t="n">
        <x:f>2*(Scenario_Data!D230*1000)/Inputs!$C$21*1000000</x:f>
        <x:v>5448.102366871419</x:v>
      </x:c>
      <x:c r="U230" t="n">
        <x:f>Scenario_Data!W230</x:f>
        <x:v>720</x:v>
      </x:c>
      <x:c r="V230" t="n">
        <x:f>2*(Scenario_Data!E230*1000)/Inputs!$C$21*1000000</x:f>
        <x:v>5435.426931253887</x:v>
      </x:c>
      <x:c r="X230" t="n">
        <x:f>Scenario_Data!T230</x:f>
        <x:v>54</x:v>
      </x:c>
      <x:c r="Y230" t="n">
        <x: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x:f>
        <x:v>2690.180103448934</x:v>
      </x:c>
      <x:c r="Z230" t="n">
        <x:f>Scenario_Data!U230</x:f>
        <x:v>360</x:v>
      </x:c>
      <x:c r="AA230" t="n">
        <x: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x:f>
        <x:v>2205.507336392368</x:v>
      </x:c>
      <x:c r="AB230" t="n">
        <x:f>Scenario_Data!V230</x:f>
        <x:v>720</x:v>
      </x:c>
      <x:c r="AC230" t="n">
        <x: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x:f>
        <x:v>5447.708509483362</x:v>
      </x:c>
      <x:c r="AD230" t="n">
        <x:f>Scenario_Data!W230</x:f>
        <x:v>720</x:v>
      </x:c>
      <x:c r="AE230" t="n">
        <x: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x:f>
        <x:v>5435.033073865831</x:v>
      </x:c>
      <x:c r="AG230" t="n">
        <x:f>Scenario_Data!T230</x:f>
        <x:v>54</x:v>
      </x:c>
      <x:c r="AH230" t="n">
        <x:f>2*(SQRT((Inputs!$C$52+(Scenario_Data!B230))^2+Inputs!$C$52^2-2*(Inputs!$C$52+(Scenario_Data!B230))*Inputs!$C$52*COS(SQRT((Scenario_Data!T230)^2+Inputs!$C$6^2)/Inputs!$C$52))*1000)/Inputs!$C$21*1000000</x:f>
        <x:v>2726.7332943721008</x:v>
      </x:c>
      <x:c r="AI230" t="n">
        <x:f>Scenario_Data!U230</x:f>
        <x:v>360</x:v>
      </x:c>
      <x:c r="AJ230" t="n">
        <x:f>2*(SQRT((Inputs!$C$52+(Scenario_Data!C230))^2+Inputs!$C$52^2-2*(Inputs!$C$52+(Scenario_Data!C230))*Inputs!$C$52*COS(SQRT((Scenario_Data!U230)^2+Inputs!$C$6^2)/Inputs!$C$52))*1000)/Inputs!$C$21*1000000</x:f>
        <x:v>3443.5731304663896</x:v>
      </x:c>
      <x:c r="AK230" t="n">
        <x:f>Scenario_Data!V230</x:f>
        <x:v>720</x:v>
      </x:c>
      <x:c r="AL230" t="n">
        <x:f>2*(SQRT((Inputs!$C$52+(Scenario_Data!D230))^2+Inputs!$C$52^2-2*(Inputs!$C$52+(Scenario_Data!D230))*Inputs!$C$52*COS(SQRT((Scenario_Data!V230)^2+Inputs!$C$6^2)/Inputs!$C$52))*1000)/Inputs!$C$21*1000000</x:f>
        <x:v>8015.460751408424</x:v>
      </x:c>
      <x:c r="AM230" t="n">
        <x:f>Scenario_Data!W230</x:f>
        <x:v>720</x:v>
      </x:c>
      <x:c r="AN230" t="n">
        <x:f>2*(SQRT((Inputs!$C$52+(Scenario_Data!E230))^2+Inputs!$C$52^2-2*(Inputs!$C$52+(Scenario_Data!E230))*Inputs!$C$52*COS(SQRT((Scenario_Data!W230)^2+Inputs!$C$6^2)/Inputs!$C$52))*1000)/Inputs!$C$21*1000000</x:f>
        <x:v>8005.125448461821</x:v>
      </x:c>
      <x:c r="AP230" t="n">
        <x:f>Scenario_Data!T230</x:f>
        <x:v>54</x:v>
      </x:c>
      <x:c r="AQ230" t="n">
        <x: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x:f>
        <x:v>2725.542674611314</x:v>
      </x:c>
      <x:c r="AR230" t="n">
        <x:f>Scenario_Data!U230</x:f>
        <x:v>360</x:v>
      </x:c>
      <x:c r="AS230" t="n">
        <x: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x:f>
        <x:v>3443.039173659275</x:v>
      </x:c>
      <x:c r="AT230" t="n">
        <x:f>Scenario_Data!V230</x:f>
        <x:v>720</x:v>
      </x:c>
      <x:c r="AU230" t="n">
        <x: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x:f>
        <x:v>8014.969432881394</x:v>
      </x:c>
      <x:c r="AV230" t="n">
        <x:f>Scenario_Data!W230</x:f>
        <x:v>720</x:v>
      </x:c>
      <x:c r="AW230" t="n">
        <x: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x:f>
        <x:v>8004.634969601828</x:v>
      </x:c>
    </x:row>
    <x:row r="231">
      <x:c r="A231" t="n">
        <x:f>Chart_Data!K231</x:f>
        <x:v>54.5</x:v>
      </x:c>
      <x:c r="B231" t="n">
        <x:f>Chart_Data!N231-Chart_Data!L231</x:f>
        <x:v>7.8515926394027815</x:v>
      </x:c>
      <x:c r="D231" t="n">
        <x:f>Chart_Data!G231</x:f>
        <x:v>54.5</x:v>
      </x:c>
      <x:c r="E231" t="n">
        <x:f>Chart_Data!H231</x:f>
        <x:v>176.67952286630316</x:v>
      </x:c>
      <x:c r="F231" t="n">
        <x:f>Chart_Data!I231</x:f>
        <x:v>176.67952286630316</x:v>
      </x:c>
      <x:c r="G231" t="n">
        <x:f>Chart_Data!J231</x:f>
        <x:v>-10.88592803052483</x:v>
      </x:c>
      <x:c r="I231" t="n">
        <x:f>Scenario_Data!A231</x:f>
        <x:v>0.908</x:v>
      </x:c>
      <x:c r="J231" t="n">
        <x:f>Scenario_Data!H231-(((SQRT((Inputs!$C$52+(Inputs!$H$6))^2+Inputs!$C$52^2-2*(Inputs!$C$52+(Inputs!$H$6))*Inputs!$C$52*COS(SQRT((Scenario_Data!T231)^2+Inputs!$C$6^2)/Inputs!$C$52)))-(Inputs!$H$6))*1000/Inputs!$C$12)</x:f>
        <x:v>-20.17087555141279</x:v>
      </x:c>
      <x:c r="K231" t="n">
        <x:f>Scenario_Data!I231-(((SQRT((Inputs!$C$52+(Inputs!$H$7))^2+Inputs!$C$52^2-2*(Inputs!$C$52+(Inputs!$H$7))*Inputs!$C$52*COS(SQRT((Scenario_Data!U231)^2+Inputs!$C$6^2)/Inputs!$C$52)))-(Inputs!$H$7))*1000/Inputs!$C$12)</x:f>
        <x:v>-82700.45955647714</x:v>
      </x:c>
      <x:c r="L231" t="n">
        <x:f>Scenario_Data!J231-(((SQRT((Inputs!$C$52+(Inputs!$H$8))^2+Inputs!$C$52^2-2*(Inputs!$C$52+(Inputs!$H$8))*Inputs!$C$52*COS(SQRT((Scenario_Data!V231)^2+Inputs!$C$6^2)/Inputs!$C$52)))-(Inputs!$H$8))*1000/Inputs!$C$12)</x:f>
        <x:v>-172041.86803726552</x:v>
      </x:c>
      <x:c r="M231" t="n">
        <x:f>Scenario_Data!K231-(((SQRT((Inputs!$C$52+(Inputs!$H$9))^2+Inputs!$C$52^2-2*(Inputs!$C$52+(Inputs!$H$9))*Inputs!$C$52*COS(SQRT((Scenario_Data!W231)^2+Inputs!$C$6^2)/Inputs!$C$52)))-(Inputs!$H$9))*1000/Inputs!$C$12)</x:f>
        <x:v>-175965.70357183574</x:v>
      </x:c>
      <x:c r="O231" t="n">
        <x:f>Scenario_Data!T231</x:f>
        <x:v>54.47999999999999</x:v>
      </x:c>
      <x:c r="P231" t="n">
        <x:f>2*(Scenario_Data!B231*1000)/Inputs!$C$21*1000000</x:f>
        <x:v>2690.5136886398923</x:v>
      </x:c>
      <x:c r="Q231" t="n">
        <x:f>Scenario_Data!U231</x:f>
        <x:v>363.19999999999993</x:v>
      </x:c>
      <x:c r="R231" t="n">
        <x:f>2*(Scenario_Data!C231*1000)/Inputs!$C$21*1000000</x:f>
        <x:v>2241.079460377885</x:v>
      </x:c>
      <x:c r="S231" t="n">
        <x:f>Scenario_Data!V231</x:f>
        <x:v>726.3999999999999</x:v>
      </x:c>
      <x:c r="T231" t="n">
        <x:f>2*(Scenario_Data!D231*1000)/Inputs!$C$21*1000000</x:f>
        <x:v>5541.218518579275</x:v>
      </x:c>
      <x:c r="U231" t="n">
        <x:f>Scenario_Data!W231</x:f>
        <x:v>726.3999999999999</x:v>
      </x:c>
      <x:c r="V231" t="n">
        <x:f>2*(Scenario_Data!E231*1000)/Inputs!$C$21*1000000</x:f>
        <x:v>5529.508017176334</x:v>
      </x:c>
      <x:c r="X231" t="n">
        <x:f>Scenario_Data!T231</x:f>
        <x:v>54.47999999999999</x:v>
      </x:c>
      <x:c r="Y231" t="n">
        <x: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x:f>
        <x:v>2690.433626931135</x:v>
      </x:c>
      <x:c r="Z231" t="n">
        <x:f>Scenario_Data!U231</x:f>
        <x:v>363.19999999999993</x:v>
      </x:c>
      <x:c r="AA231" t="n">
        <x: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x:f>
        <x:v>2240.251431145491</x:v>
      </x:c>
      <x:c r="AB231" t="n">
        <x:f>Scenario_Data!V231</x:f>
        <x:v>726.3999999999999</x:v>
      </x:c>
      <x:c r="AC231" t="n">
        <x: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x:f>
        <x:v>5540.683579849159</x:v>
      </x:c>
      <x:c r="AD231" t="n">
        <x:f>Scenario_Data!W231</x:f>
        <x:v>726.3999999999999</x:v>
      </x:c>
      <x:c r="AE231" t="n">
        <x: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x:f>
        <x:v>5528.973078446219</x:v>
      </x:c>
      <x:c r="AG231" t="n">
        <x:f>Scenario_Data!T231</x:f>
        <x:v>54.47999999999999</x:v>
      </x:c>
      <x:c r="AH231" t="n">
        <x:f>2*(SQRT((Inputs!$C$52+(Scenario_Data!B231))^2+Inputs!$C$52^2-2*(Inputs!$C$52+(Scenario_Data!B231))*Inputs!$C$52*COS(SQRT((Scenario_Data!T231)^2+Inputs!$C$6^2)/Inputs!$C$52))*1000)/Inputs!$C$21*1000000</x:f>
        <x:v>2727.649652758524</x:v>
      </x:c>
      <x:c r="AI231" t="n">
        <x:f>Scenario_Data!U231</x:f>
        <x:v>363.19999999999993</x:v>
      </x:c>
      <x:c r="AJ231" t="n">
        <x:f>2*(SQRT((Inputs!$C$52+(Scenario_Data!C231))^2+Inputs!$C$52^2-2*(Inputs!$C$52+(Scenario_Data!C231))*Inputs!$C$52*COS(SQRT((Scenario_Data!U231)^2+Inputs!$C$6^2)/Inputs!$C$52))*1000)/Inputs!$C$21*1000000</x:f>
        <x:v>3486.8865852502836</x:v>
      </x:c>
      <x:c r="AK231" t="n">
        <x:f>Scenario_Data!V231</x:f>
        <x:v>726.3999999999999</x:v>
      </x:c>
      <x:c r="AL231" t="n">
        <x:f>2*(SQRT((Inputs!$C$52+(Scenario_Data!D231))^2+Inputs!$C$52^2-2*(Inputs!$C$52+(Scenario_Data!D231))*Inputs!$C$52*COS(SQRT((Scenario_Data!V231)^2+Inputs!$C$6^2)/Inputs!$C$52))*1000)/Inputs!$C$21*1000000</x:f>
        <x:v>8129.12614429087</x:v>
      </x:c>
      <x:c r="AM231" t="n">
        <x:f>Scenario_Data!W231</x:f>
        <x:v>726.3999999999999</x:v>
      </x:c>
      <x:c r="AN231" t="n">
        <x:f>2*(SQRT((Inputs!$C$52+(Scenario_Data!E231))^2+Inputs!$C$52^2-2*(Inputs!$C$52+(Scenario_Data!E231))*Inputs!$C$52*COS(SQRT((Scenario_Data!W231)^2+Inputs!$C$6^2)/Inputs!$C$52))*1000)/Inputs!$C$21*1000000</x:f>
        <x:v>8119.549246965395</x:v>
      </x:c>
      <x:c r="AP231" t="n">
        <x:f>Scenario_Data!T231</x:f>
        <x:v>54.47999999999999</x:v>
      </x:c>
      <x:c r="AQ231" t="n">
        <x: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x:f>
        <x:v>2726.4905339389343</x:v>
      </x:c>
      <x:c r="AR231" t="n">
        <x:f>Scenario_Data!U231</x:f>
        <x:v>363.19999999999993</x:v>
      </x:c>
      <x:c r="AS231" t="n">
        <x: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x:f>
        <x:v>3486.123112704351</x:v>
      </x:c>
      <x:c r="AT231" t="n">
        <x:f>Scenario_Data!V231</x:f>
        <x:v>726.3999999999999</x:v>
      </x:c>
      <x:c r="AU231" t="n">
        <x: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x:f>
        <x:v>8128.406130195014</x:v>
      </x:c>
      <x:c r="AV231" t="n">
        <x:f>Scenario_Data!W231</x:f>
        <x:v>726.3999999999999</x:v>
      </x:c>
      <x:c r="AW231" t="n">
        <x: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x:f>
        <x:v>8118.830347051876</x:v>
      </x:c>
    </x:row>
    <x:row r="232">
      <x:c r="A232" t="n">
        <x:f>Chart_Data!K232</x:f>
        <x:v>55</x:v>
      </x:c>
      <x:c r="B232" t="n">
        <x:f>Chart_Data!N232-Chart_Data!L232</x:f>
        <x:v>-0.5459606869287086</x:v>
      </x:c>
      <x:c r="D232" t="n">
        <x:f>Chart_Data!G232</x:f>
        <x:v>55</x:v>
      </x:c>
      <x:c r="E232" t="n">
        <x:f>Chart_Data!H232</x:f>
        <x:v>188.50605986389118</x:v>
      </x:c>
      <x:c r="F232" t="n">
        <x:f>Chart_Data!I232</x:f>
        <x:v>188.50605986389118</x:v>
      </x:c>
      <x:c r="G232" t="n">
        <x:f>Chart_Data!J232</x:f>
        <x:v>-2.7391578251359494</x:v>
      </x:c>
      <x:c r="I232" t="n">
        <x:f>Scenario_Data!A232</x:f>
        <x:v>0.917</x:v>
      </x:c>
      <x:c r="J232" t="n">
        <x:f>Scenario_Data!H232-(((SQRT((Inputs!$C$52+(Inputs!$H$6))^2+Inputs!$C$52^2-2*(Inputs!$C$52+(Inputs!$H$6))*Inputs!$C$52*COS(SQRT((Scenario_Data!T232)^2+Inputs!$C$6^2)/Inputs!$C$52)))-(Inputs!$H$6))*1000/Inputs!$C$12)</x:f>
        <x:v>-20.90024248669988</x:v>
      </x:c>
      <x:c r="K232" t="n">
        <x:f>Scenario_Data!I232-(((SQRT((Inputs!$C$52+(Inputs!$H$7))^2+Inputs!$C$52^2-2*(Inputs!$C$52+(Inputs!$H$7))*Inputs!$C$52*COS(SQRT((Scenario_Data!U232)^2+Inputs!$C$6^2)/Inputs!$C$52)))-(Inputs!$H$7))*1000/Inputs!$C$12)</x:f>
        <x:v>-83952.36924737085</x:v>
      </x:c>
      <x:c r="L232" t="n">
        <x:f>Scenario_Data!J232-(((SQRT((Inputs!$C$52+(Inputs!$H$8))^2+Inputs!$C$52^2-2*(Inputs!$C$52+(Inputs!$H$8))*Inputs!$C$52*COS(SQRT((Scenario_Data!V232)^2+Inputs!$C$6^2)/Inputs!$C$52)))-(Inputs!$H$8))*1000/Inputs!$C$12)</x:f>
        <x:v>-174059.52189979836</x:v>
      </x:c>
      <x:c r="M232" t="n">
        <x:f>Scenario_Data!K232-(((SQRT((Inputs!$C$52+(Inputs!$H$9))^2+Inputs!$C$52^2-2*(Inputs!$C$52+(Inputs!$H$9))*Inputs!$C$52*COS(SQRT((Scenario_Data!W232)^2+Inputs!$C$6^2)/Inputs!$C$52)))-(Inputs!$H$9))*1000/Inputs!$C$12)</x:f>
        <x:v>-177992.30309147591</x:v>
      </x:c>
      <x:c r="O232" t="n">
        <x:f>Scenario_Data!T232</x:f>
        <x:v>55.019999999999996</x:v>
      </x:c>
      <x:c r="P232" t="n">
        <x:f>2*(Scenario_Data!B232*1000)/Inputs!$C$21*1000000</x:f>
        <x:v>2690.951991860983</x:v>
      </x:c>
      <x:c r="Q232" t="n">
        <x:f>Scenario_Data!U232</x:f>
        <x:v>366.80000000000007</x:v>
      </x:c>
      <x:c r="R232" t="n">
        <x:f>2*(Scenario_Data!C232*1000)/Inputs!$C$21*1000000</x:f>
        <x:v>2281.0746293023826</x:v>
      </x:c>
      <x:c r="S232" t="n">
        <x:f>Scenario_Data!V232</x:f>
        <x:v>733.6000000000001</x:v>
      </x:c>
      <x:c r="T232" t="n">
        <x:f>2*(Scenario_Data!D232*1000)/Inputs!$C$21*1000000</x:f>
        <x:v>5646.95917066733</x:v>
      </x:c>
      <x:c r="U232" t="n">
        <x:f>Scenario_Data!W232</x:f>
        <x:v>733.6000000000001</x:v>
      </x:c>
      <x:c r="V232" t="n">
        <x:f>2*(Scenario_Data!E232*1000)/Inputs!$C$21*1000000</x:f>
        <x:v>5636.344427317115</x:v>
      </x:c>
      <x:c r="X232" t="n">
        <x:f>Scenario_Data!T232</x:f>
        <x:v>55.019999999999996</x:v>
      </x:c>
      <x:c r="Y232" t="n">
        <x: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x:f>
        <x:v>2690.9276507302575</x:v>
      </x:c>
      <x:c r="Z232" t="n">
        <x:f>Scenario_Data!U232</x:f>
        <x:v>366.80000000000007</x:v>
      </x:c>
      <x:c r="AA232" t="n">
        <x: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x:f>
        <x:v>2280.414448325589</x:v>
      </x:c>
      <x:c r="AB232" t="n">
        <x:f>Scenario_Data!V232</x:f>
        <x:v>733.6000000000001</x:v>
      </x:c>
      <x:c r="AC232" t="n">
        <x: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x:f>
        <x:v>5646.961536636373</x:v>
      </x:c>
      <x:c r="AD232" t="n">
        <x:f>Scenario_Data!W232</x:f>
        <x:v>733.6000000000001</x:v>
      </x:c>
      <x:c r="AE232" t="n">
        <x: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x:f>
        <x:v>5636.346793286159</x:v>
      </x:c>
      <x:c r="AG232" t="n">
        <x:f>Scenario_Data!T232</x:f>
        <x:v>55.019999999999996</x:v>
      </x:c>
      <x:c r="AH232" t="n">
        <x:f>2*(SQRT((Inputs!$C$52+(Scenario_Data!B232))^2+Inputs!$C$52^2-2*(Inputs!$C$52+(Scenario_Data!B232))*Inputs!$C$52*COS(SQRT((Scenario_Data!T232)^2+Inputs!$C$6^2)/Inputs!$C$52))*1000)/Inputs!$C$21*1000000</x:f>
        <x:v>2728.689978080741</x:v>
      </x:c>
      <x:c r="AI232" t="n">
        <x:f>Scenario_Data!U232</x:f>
        <x:v>366.80000000000007</x:v>
      </x:c>
      <x:c r="AJ232" t="n">
        <x:f>2*(SQRT((Inputs!$C$52+(Scenario_Data!C232))^2+Inputs!$C$52^2-2*(Inputs!$C$52+(Scenario_Data!C232))*Inputs!$C$52*COS(SQRT((Scenario_Data!U232)^2+Inputs!$C$6^2)/Inputs!$C$52))*1000)/Inputs!$C$21*1000000</x:f>
        <x:v>3535.9694398561164</x:v>
      </x:c>
      <x:c r="AK232" t="n">
        <x:f>Scenario_Data!V232</x:f>
        <x:v>733.6000000000001</x:v>
      </x:c>
      <x:c r="AL232" t="n">
        <x:f>2*(SQRT((Inputs!$C$52+(Scenario_Data!D232))^2+Inputs!$C$52^2-2*(Inputs!$C$52+(Scenario_Data!D232))*Inputs!$C$52*COS(SQRT((Scenario_Data!V232)^2+Inputs!$C$6^2)/Inputs!$C$52))*1000)/Inputs!$C$21*1000000</x:f>
        <x:v>8258.071035157735</x:v>
      </x:c>
      <x:c r="AM232" t="n">
        <x:f>Scenario_Data!W232</x:f>
        <x:v>733.6000000000001</x:v>
      </x:c>
      <x:c r="AN232" t="n">
        <x:f>2*(SQRT((Inputs!$C$52+(Scenario_Data!E232))^2+Inputs!$C$52^2-2*(Inputs!$C$52+(Scenario_Data!E232))*Inputs!$C$52*COS(SQRT((Scenario_Data!W232)^2+Inputs!$C$6^2)/Inputs!$C$52))*1000)/Inputs!$C$21*1000000</x:f>
        <x:v>8249.361784554472</x:v>
      </x:c>
      <x:c r="AP232" t="n">
        <x:f>Scenario_Data!T232</x:f>
        <x:v>55.019999999999996</x:v>
      </x:c>
      <x:c r="AQ232" t="n">
        <x: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x:f>
        <x:v>2727.3660689754033</x:v>
      </x:c>
      <x:c r="AR232" t="n">
        <x:f>Scenario_Data!U232</x:f>
        <x:v>366.80000000000007</x:v>
      </x:c>
      <x:c r="AS232" t="n">
        <x: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x:f>
        <x:v>3535.217216361177</x:v>
      </x:c>
      <x:c r="AT232" t="n">
        <x:f>Scenario_Data!V232</x:f>
        <x:v>733.6000000000001</x:v>
      </x:c>
      <x:c r="AU232" t="n">
        <x: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x:f>
        <x:v>8257.76290026447</x:v>
      </x:c>
      <x:c r="AV232" t="n">
        <x:f>Scenario_Data!W232</x:f>
        <x:v>733.6000000000001</x:v>
      </x:c>
      <x:c r="AW232" t="n">
        <x: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x:f>
        <x:v>8249.054072142984</x:v>
      </x:c>
    </x:row>
    <x:row r="233">
      <x:c r="A233" t="n">
        <x:f>Chart_Data!K233</x:f>
        <x:v>55.5</x:v>
      </x:c>
      <x:c r="B233" t="n">
        <x:f>Chart_Data!N233-Chart_Data!L233</x:f>
        <x:v>3.310332055354735</x:v>
      </x:c>
      <x:c r="D233" t="n">
        <x:f>Chart_Data!G233</x:f>
        <x:v>55.5</x:v>
      </x:c>
      <x:c r="E233" t="n">
        <x:f>Chart_Data!H233</x:f>
        <x:v>182.5522692746181</x:v>
      </x:c>
      <x:c r="F233" t="n">
        <x:f>Chart_Data!I233</x:f>
        <x:v>182.5522692746181</x:v>
      </x:c>
      <x:c r="G233" t="n">
        <x:f>Chart_Data!J233</x:f>
        <x:v>-6.538094280084824</x:v>
      </x:c>
      <x:c r="I233" t="n">
        <x:f>Scenario_Data!A233</x:f>
        <x:v>0.925</x:v>
      </x:c>
      <x:c r="J233" t="n">
        <x:f>Scenario_Data!H233-(((SQRT((Inputs!$C$52+(Inputs!$H$6))^2+Inputs!$C$52^2-2*(Inputs!$C$52+(Inputs!$H$6))*Inputs!$C$52*COS(SQRT((Scenario_Data!T233)^2+Inputs!$C$6^2)/Inputs!$C$52)))-(Inputs!$H$6))*1000/Inputs!$C$12)</x:f>
        <x:v>-21.565197447271657</x:v>
      </x:c>
      <x:c r="K233" t="n">
        <x:f>Scenario_Data!I233-(((SQRT((Inputs!$C$52+(Inputs!$H$7))^2+Inputs!$C$52^2-2*(Inputs!$C$52+(Inputs!$H$7))*Inputs!$C$52*COS(SQRT((Scenario_Data!U233)^2+Inputs!$C$6^2)/Inputs!$C$52)))-(Inputs!$H$7))*1000/Inputs!$C$12)</x:f>
        <x:v>-85066.38324979196</x:v>
      </x:c>
      <x:c r="L233" t="n">
        <x:f>Scenario_Data!J233-(((SQRT((Inputs!$C$52+(Inputs!$H$8))^2+Inputs!$C$52^2-2*(Inputs!$C$52+(Inputs!$H$8))*Inputs!$C$52*COS(SQRT((Scenario_Data!V233)^2+Inputs!$C$6^2)/Inputs!$C$52)))-(Inputs!$H$8))*1000/Inputs!$C$12)</x:f>
        <x:v>-175844.68076899392</x:v>
      </x:c>
      <x:c r="M233" t="n">
        <x:f>Scenario_Data!K233-(((SQRT((Inputs!$C$52+(Inputs!$H$9))^2+Inputs!$C$52^2-2*(Inputs!$C$52+(Inputs!$H$9))*Inputs!$C$52*COS(SQRT((Scenario_Data!W233)^2+Inputs!$C$6^2)/Inputs!$C$52)))-(Inputs!$H$9))*1000/Inputs!$C$12)</x:f>
        <x:v>-179785.07110087413</x:v>
      </x:c>
      <x:c r="O233" t="n">
        <x:f>Scenario_Data!T233</x:f>
        <x:v>55.5</x:v>
      </x:c>
      <x:c r="P233" t="n">
        <x:f>2*(Scenario_Data!B233*1000)/Inputs!$C$21*1000000</x:f>
        <x:v>2691.34522390153</x:v>
      </x:c>
      <x:c r="Q233" t="n">
        <x:f>Scenario_Data!U233</x:f>
        <x:v>370</x:v>
      </x:c>
      <x:c r="R233" t="n">
        <x:f>2*(Scenario_Data!C233*1000)/Inputs!$C$21*1000000</x:f>
        <x:v>2316.957053002314</x:v>
      </x:c>
      <x:c r="S233" t="n">
        <x:f>Scenario_Data!V233</x:f>
        <x:v>740</x:v>
      </x:c>
      <x:c r="T233" t="n">
        <x:f>2*(Scenario_Data!D233*1000)/Inputs!$C$21*1000000</x:f>
        <x:v>5741.82640044934</x:v>
      </x:c>
      <x:c r="U233" t="n">
        <x:f>Scenario_Data!W233</x:f>
        <x:v>740</x:v>
      </x:c>
      <x:c r="V233" t="n">
        <x:f>2*(Scenario_Data!E233*1000)/Inputs!$C$21*1000000</x:f>
        <x:v>5732.194737200494</x:v>
      </x:c>
      <x:c r="X233" t="n">
        <x:f>Scenario_Data!T233</x:f>
        <x:v>55.5</x:v>
      </x:c>
      <x:c r="Y233" t="n">
        <x: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x:f>
        <x:v>2691.388841371587</x:v>
      </x:c>
      <x:c r="Z233" t="n">
        <x:f>Scenario_Data!U233</x:f>
        <x:v>370</x:v>
      </x:c>
      <x:c r="AA233" t="n">
        <x: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x:f>
        <x:v>2316.8487948622887</x:v>
      </x:c>
      <x:c r="AB233" t="n">
        <x:f>Scenario_Data!V233</x:f>
        <x:v>740</x:v>
      </x:c>
      <x:c r="AC233" t="n">
        <x: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x:f>
        <x:v>5741.526745204011</x:v>
      </x:c>
      <x:c r="AD233" t="n">
        <x:f>Scenario_Data!W233</x:f>
        <x:v>740</x:v>
      </x:c>
      <x:c r="AE233" t="n">
        <x: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x:f>
        <x:v>5731.895081955165</x:v>
      </x:c>
      <x:c r="AG233" t="n">
        <x:f>Scenario_Data!T233</x:f>
        <x:v>55.5</x:v>
      </x:c>
      <x:c r="AH233" t="n">
        <x:f>2*(SQRT((Inputs!$C$52+(Scenario_Data!B233))^2+Inputs!$C$52^2-2*(Inputs!$C$52+(Scenario_Data!B233))*Inputs!$C$52*COS(SQRT((Scenario_Data!T233)^2+Inputs!$C$6^2)/Inputs!$C$52))*1000)/Inputs!$C$21*1000000</x:f>
        <x:v>2729.6230805624396</x:v>
      </x:c>
      <x:c r="AI233" t="n">
        <x:f>Scenario_Data!U233</x:f>
        <x:v>370</x:v>
      </x:c>
      <x:c r="AJ233" t="n">
        <x:f>2*(SQRT((Inputs!$C$52+(Scenario_Data!C233))^2+Inputs!$C$52^2-2*(Inputs!$C$52+(Scenario_Data!C233))*Inputs!$C$52*COS(SQRT((Scenario_Data!U233)^2+Inputs!$C$6^2)/Inputs!$C$52))*1000)/Inputs!$C$21*1000000</x:f>
        <x:v>3579.915397473851</x:v>
      </x:c>
      <x:c r="AK233" t="n">
        <x:f>Scenario_Data!V233</x:f>
        <x:v>740</x:v>
      </x:c>
      <x:c r="AL233" t="n">
        <x:f>2*(SQRT((Inputs!$C$52+(Scenario_Data!D233))^2+Inputs!$C$52^2-2*(Inputs!$C$52+(Scenario_Data!D233))*Inputs!$C$52*COS(SQRT((Scenario_Data!V233)^2+Inputs!$C$6^2)/Inputs!$C$52))*1000)/Inputs!$C$21*1000000</x:f>
        <x:v>8373.64240992586</x:v>
      </x:c>
      <x:c r="AM233" t="n">
        <x:f>Scenario_Data!W233</x:f>
        <x:v>740</x:v>
      </x:c>
      <x:c r="AN233" t="n">
        <x:f>2*(SQRT((Inputs!$C$52+(Scenario_Data!E233))^2+Inputs!$C$52^2-2*(Inputs!$C$52+(Scenario_Data!E233))*Inputs!$C$52*COS(SQRT((Scenario_Data!W233)^2+Inputs!$C$6^2)/Inputs!$C$52))*1000)/Inputs!$C$21*1000000</x:f>
        <x:v>8365.717177007828</x:v>
      </x:c>
      <x:c r="AP233" t="n">
        <x:f>Scenario_Data!T233</x:f>
        <x:v>55.5</x:v>
      </x:c>
      <x:c r="AQ233" t="n">
        <x: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x:f>
        <x:v>2728.4267562236205</x:v>
      </x:c>
      <x:c r="AR233" t="n">
        <x:f>Scenario_Data!U233</x:f>
        <x:v>370</x:v>
      </x:c>
      <x:c r="AS233" t="n">
        <x: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x:f>
        <x:v>3579.384617384559</x:v>
      </x:c>
      <x:c r="AT233" t="n">
        <x:f>Scenario_Data!V233</x:f>
        <x:v>740</x:v>
      </x:c>
      <x:c r="AU233" t="n">
        <x: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x:f>
        <x:v>8373.137731591465</x:v>
      </x:c>
      <x:c r="AV233" t="n">
        <x:f>Scenario_Data!W233</x:f>
        <x:v>740</x:v>
      </x:c>
      <x:c r="AW233" t="n">
        <x: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x:f>
        <x:v>8365.213114269161</x:v>
      </x:c>
    </x:row>
    <x:row r="234">
      <x:c r="A234" t="n">
        <x:f>Chart_Data!K234</x:f>
        <x:v>56</x:v>
      </x:c>
      <x:c r="B234" t="n">
        <x:f>Chart_Data!N234-Chart_Data!L234</x:f>
        <x:v>1.0046162125690614</x:v>
      </x:c>
      <x:c r="D234" t="n">
        <x:f>Chart_Data!G234</x:f>
        <x:v>56</x:v>
      </x:c>
      <x:c r="E234" t="n">
        <x:f>Chart_Data!H234</x:f>
        <x:v>186.90390563143987</x:v>
      </x:c>
      <x:c r="F234" t="n">
        <x:f>Chart_Data!I234</x:f>
        <x:v>186.90390563143987</x:v>
      </x:c>
      <x:c r="G234" t="n">
        <x:f>Chart_Data!J234</x:f>
        <x:v>-4.357290177669684</x:v>
      </x:c>
      <x:c r="I234" t="n">
        <x:f>Scenario_Data!A234</x:f>
        <x:v>0.933</x:v>
      </x:c>
      <x:c r="J234" t="n">
        <x:f>Scenario_Data!H234-(((SQRT((Inputs!$C$52+(Inputs!$H$6))^2+Inputs!$C$52^2-2*(Inputs!$C$52+(Inputs!$H$6))*Inputs!$C$52*COS(SQRT((Scenario_Data!T234)^2+Inputs!$C$6^2)/Inputs!$C$52)))-(Inputs!$H$6))*1000/Inputs!$C$12)</x:f>
        <x:v>-22.246059825895372</x:v>
      </x:c>
      <x:c r="K234" t="n">
        <x:f>Scenario_Data!I234-(((SQRT((Inputs!$C$52+(Inputs!$H$7))^2+Inputs!$C$52^2-2*(Inputs!$C$52+(Inputs!$H$7))*Inputs!$C$52*COS(SQRT((Scenario_Data!U234)^2+Inputs!$C$6^2)/Inputs!$C$52)))-(Inputs!$H$7))*1000/Inputs!$C$12)</x:f>
        <x:v>-86181.44608297395</x:v>
      </x:c>
      <x:c r="L234" t="n">
        <x:f>Scenario_Data!J234-(((SQRT((Inputs!$C$52+(Inputs!$H$8))^2+Inputs!$C$52^2-2*(Inputs!$C$52+(Inputs!$H$8))*Inputs!$C$52*COS(SQRT((Scenario_Data!V234)^2+Inputs!$C$6^2)/Inputs!$C$52)))-(Inputs!$H$8))*1000/Inputs!$C$12)</x:f>
        <x:v>-177621.89133436125</x:v>
      </x:c>
      <x:c r="M234" t="n">
        <x:f>Scenario_Data!K234-(((SQRT((Inputs!$C$52+(Inputs!$H$9))^2+Inputs!$C$52^2-2*(Inputs!$C$52+(Inputs!$H$9))*Inputs!$C$52*COS(SQRT((Scenario_Data!W234)^2+Inputs!$C$6^2)/Inputs!$C$52)))-(Inputs!$H$9))*1000/Inputs!$C$12)</x:f>
        <x:v>-181569.57405040326</x:v>
      </x:c>
      <x:c r="O234" t="n">
        <x:f>Scenario_Data!T234</x:f>
        <x:v>55.980000000000004</x:v>
      </x:c>
      <x:c r="P234" t="n">
        <x:f>2*(Scenario_Data!B234*1000)/Inputs!$C$21*1000000</x:f>
        <x:v>2691.7418716384122</x:v>
      </x:c>
      <x:c r="Q234" t="n">
        <x:f>Scenario_Data!U234</x:f>
        <x:v>373.20000000000005</x:v>
      </x:c>
      <x:c r="R234" t="n">
        <x:f>2*(Scenario_Data!C234*1000)/Inputs!$C$21*1000000</x:f>
        <x:v>2353.1511589928</x:v>
      </x:c>
      <x:c r="S234" t="n">
        <x:f>Scenario_Data!V234</x:f>
        <x:v>746.4000000000001</x:v>
      </x:c>
      <x:c r="T234" t="n">
        <x:f>2*(Scenario_Data!D234*1000)/Inputs!$C$21*1000000</x:f>
        <x:v>5837.51766697213</x:v>
      </x:c>
      <x:c r="U234" t="n">
        <x:f>Scenario_Data!W234</x:f>
        <x:v>746.4000000000001</x:v>
      </x:c>
      <x:c r="V234" t="n">
        <x:f>2*(Scenario_Data!E234*1000)/Inputs!$C$21*1000000</x:f>
        <x:v>5828.87762306549</x:v>
      </x:c>
      <x:c r="X234" t="n">
        <x:f>Scenario_Data!T234</x:f>
        <x:v>55.980000000000004</x:v>
      </x:c>
      <x:c r="Y234" t="n">
        <x: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x:f>
        <x:v>2691.6986261121306</x:v>
      </x:c>
      <x:c r="Z234" t="n">
        <x:f>Scenario_Data!U234</x:f>
        <x:v>373.20000000000005</x:v>
      </x:c>
      <x:c r="AA234" t="n">
        <x: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x:f>
        <x:v>2352.9815140756104</x:v>
      </x:c>
      <x:c r="AB234" t="n">
        <x:f>Scenario_Data!V234</x:f>
        <x:v>746.4000000000001</x:v>
      </x:c>
      <x:c r="AC234" t="n">
        <x: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x:f>
        <x:v>5837.535406144047</x:v>
      </x:c>
      <x:c r="AD234" t="n">
        <x:f>Scenario_Data!W234</x:f>
        <x:v>746.4000000000001</x:v>
      </x:c>
      <x:c r="AE234" t="n">
        <x: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x:f>
        <x:v>5828.8953622374065</x:v>
      </x:c>
      <x:c r="AG234" t="n">
        <x:f>Scenario_Data!T234</x:f>
        <x:v>55.980000000000004</x:v>
      </x:c>
      <x:c r="AH234" t="n">
        <x:f>2*(SQRT((Inputs!$C$52+(Scenario_Data!B234))^2+Inputs!$C$52^2-2*(Inputs!$C$52+(Scenario_Data!B234))*Inputs!$C$52*COS(SQRT((Scenario_Data!T234)^2+Inputs!$C$6^2)/Inputs!$C$52))*1000)/Inputs!$C$21*1000000</x:f>
        <x:v>2730.5640535799016</x:v>
      </x:c>
      <x:c r="AI234" t="n">
        <x:f>Scenario_Data!U234</x:f>
        <x:v>373.20000000000005</x:v>
      </x:c>
      <x:c r="AJ234" t="n">
        <x:f>2*(SQRT((Inputs!$C$52+(Scenario_Data!C234))^2+Inputs!$C$52^2-2*(Inputs!$C$52+(Scenario_Data!C234))*Inputs!$C$52*COS(SQRT((Scenario_Data!U234)^2+Inputs!$C$6^2)/Inputs!$C$52))*1000)/Inputs!$C$21*1000000</x:f>
        <x:v>3624.160403492118</x:v>
      </x:c>
      <x:c r="AK234" t="n">
        <x:f>Scenario_Data!V234</x:f>
        <x:v>746.4000000000001</x:v>
      </x:c>
      <x:c r="AL234" t="n">
        <x:f>2*(SQRT((Inputs!$C$52+(Scenario_Data!D234))^2+Inputs!$C$52^2-2*(Inputs!$C$52+(Scenario_Data!D234))*Inputs!$C$52*COS(SQRT((Scenario_Data!V234)^2+Inputs!$C$6^2)/Inputs!$C$52))*1000)/Inputs!$C$21*1000000</x:f>
        <x:v>8490.112657175801</x:v>
      </x:c>
      <x:c r="AM234" t="n">
        <x:f>Scenario_Data!W234</x:f>
        <x:v>746.4000000000001</x:v>
      </x:c>
      <x:c r="AN234" t="n">
        <x:f>2*(SQRT((Inputs!$C$52+(Scenario_Data!E234))^2+Inputs!$C$52^2-2*(Inputs!$C$52+(Scenario_Data!E234))*Inputs!$C$52*COS(SQRT((Scenario_Data!W234)^2+Inputs!$C$6^2)/Inputs!$C$52))*1000)/Inputs!$C$21*1000000</x:f>
        <x:v>8482.983410922227</x:v>
      </x:c>
      <x:c r="AP234" t="n">
        <x:f>Scenario_Data!T234</x:f>
        <x:v>55.980000000000004</x:v>
      </x:c>
      <x:c r="AQ234" t="n">
        <x: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x:f>
        <x:v>2729.345802686525</x:v>
      </x:c>
      <x:c r="AR234" t="n">
        <x:f>Scenario_Data!U234</x:f>
        <x:v>373.20000000000005</x:v>
      </x:c>
      <x:c r="AS234" t="n">
        <x: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x:f>
        <x:v>3623.801339841583</x:v>
      </x:c>
      <x:c r="AT234" t="n">
        <x:f>Scenario_Data!V234</x:f>
        <x:v>746.4000000000001</x:v>
      </x:c>
      <x:c r="AU234" t="n">
        <x: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x:f>
        <x:v>8489.606317132935</x:v>
      </x:c>
      <x:c r="AV234" t="n">
        <x:f>Scenario_Data!W234</x:f>
        <x:v>746.4000000000001</x:v>
      </x:c>
      <x:c r="AW234" t="n">
        <x: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x:f>
        <x:v>8482.477614126423</x:v>
      </x:c>
    </x:row>
    <x:row r="235">
      <x:c r="A235" t="n">
        <x:f>Chart_Data!K235</x:f>
        <x:v>56.5</x:v>
      </x:c>
      <x:c r="B235" t="n">
        <x:f>Chart_Data!N235-Chart_Data!L235</x:f>
        <x:v>-25.174071050032467</x:v>
      </x:c>
      <x:c r="D235" t="n">
        <x:f>Chart_Data!G235</x:f>
        <x:v>56.5</x:v>
      </x:c>
      <x:c r="E235" t="n">
        <x:f>Chart_Data!H235</x:f>
        <x:v>190.07062484954076</x:v>
      </x:c>
      <x:c r="F235" t="n">
        <x:f>Chart_Data!I235</x:f>
        <x:v>190.07062484954076</x:v>
      </x:c>
      <x:c r="G235" t="n">
        <x:f>Chart_Data!J235</x:f>
        <x:v>21.715435034758002</x:v>
      </x:c>
      <x:c r="I235" t="n">
        <x:f>Scenario_Data!A235</x:f>
        <x:v>0.942</x:v>
      </x:c>
      <x:c r="J235" t="n">
        <x:f>Scenario_Data!H235-(((SQRT((Inputs!$C$52+(Inputs!$H$6))^2+Inputs!$C$52^2-2*(Inputs!$C$52+(Inputs!$H$6))*Inputs!$C$52*COS(SQRT((Scenario_Data!T235)^2+Inputs!$C$6^2)/Inputs!$C$52)))-(Inputs!$H$6))*1000/Inputs!$C$12)</x:f>
        <x:v>-23.03135332022248</x:v>
      </x:c>
      <x:c r="K235" t="n">
        <x:f>Scenario_Data!I235-(((SQRT((Inputs!$C$52+(Inputs!$H$7))^2+Inputs!$C$52^2-2*(Inputs!$C$52+(Inputs!$H$7))*Inputs!$C$52*COS(SQRT((Scenario_Data!U235)^2+Inputs!$C$6^2)/Inputs!$C$52)))-(Inputs!$H$7))*1000/Inputs!$C$12)</x:f>
        <x:v>-87437.04511505857</x:v>
      </x:c>
      <x:c r="L235" t="n">
        <x:f>Scenario_Data!J235-(((SQRT((Inputs!$C$52+(Inputs!$H$8))^2+Inputs!$C$52^2-2*(Inputs!$C$52+(Inputs!$H$8))*Inputs!$C$52*COS(SQRT((Scenario_Data!V235)^2+Inputs!$C$6^2)/Inputs!$C$52)))-(Inputs!$H$8))*1000/Inputs!$C$12)</x:f>
        <x:v>-179611.60663962277</x:v>
      </x:c>
      <x:c r="M235" t="n">
        <x:f>Scenario_Data!K235-(((SQRT((Inputs!$C$52+(Inputs!$H$9))^2+Inputs!$C$52^2-2*(Inputs!$C$52+(Inputs!$H$9))*Inputs!$C$52*COS(SQRT((Scenario_Data!W235)^2+Inputs!$C$6^2)/Inputs!$C$52)))-(Inputs!$H$9))*1000/Inputs!$C$12)</x:f>
        <x:v>-183567.12131353328</x:v>
      </x:c>
      <x:c r="O235" t="n">
        <x:f>Scenario_Data!T235</x:f>
        <x:v>56.519999999999996</x:v>
      </x:c>
      <x:c r="P235" t="n">
        <x:f>2*(Scenario_Data!B235*1000)/Inputs!$C$21*1000000</x:f>
        <x:v>2692.1921831669297</x:v>
      </x:c>
      <x:c r="Q235" t="n">
        <x:f>Scenario_Data!U235</x:f>
        <x:v>376.79999999999995</x:v>
      </x:c>
      <x:c r="R235" t="n">
        <x:f>2*(Scenario_Data!C235*1000)/Inputs!$C$21*1000000</x:f>
        <x:v>2394.2420859700205</x:v>
      </x:c>
      <x:c r="S235" t="n">
        <x:f>Scenario_Data!V235</x:f>
        <x:v>753.5999999999999</x:v>
      </x:c>
      <x:c r="T235" t="n">
        <x:f>2*(Scenario_Data!D235*1000)/Inputs!$C$21*1000000</x:f>
        <x:v>5946.155323226975</x:v>
      </x:c>
      <x:c r="U235" t="n">
        <x:f>Scenario_Data!W235</x:f>
        <x:v>753.5999999999999</x:v>
      </x:c>
      <x:c r="V235" t="n">
        <x:f>2*(Scenario_Data!E235*1000)/Inputs!$C$21*1000000</x:f>
        <x:v>5938.6410581416285</x:v>
      </x:c>
      <x:c r="X235" t="n">
        <x:f>Scenario_Data!T235</x:f>
        <x:v>56.519999999999996</x:v>
      </x:c>
      <x:c r="Y235" t="n">
        <x: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x:f>
        <x:v>2692.1773075299916</x:v>
      </x:c>
      <x:c r="Z235" t="n">
        <x:f>Scenario_Data!U235</x:f>
        <x:v>376.79999999999995</x:v>
      </x:c>
      <x:c r="AA235" t="n">
        <x: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x:f>
        <x:v>2393.902932478235</x:v>
      </x:c>
      <x:c r="AB235" t="n">
        <x:f>Scenario_Data!V235</x:f>
        <x:v>753.5999999999999</x:v>
      </x:c>
      <x:c r="AC235" t="n">
        <x: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x:f>
        <x:v>5946.358306967192</x:v>
      </x:c>
      <x:c r="AD235" t="n">
        <x:f>Scenario_Data!W235</x:f>
        <x:v>753.5999999999999</x:v>
      </x:c>
      <x:c r="AE235" t="n">
        <x: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x:f>
        <x:v>5938.844041881844</x:v>
      </x:c>
      <x:c r="AG235" t="n">
        <x:f>Scenario_Data!T235</x:f>
        <x:v>56.519999999999996</x:v>
      </x:c>
      <x:c r="AH235" t="n">
        <x:f>2*(SQRT((Inputs!$C$52+(Scenario_Data!B235))^2+Inputs!$C$52^2-2*(Inputs!$C$52+(Scenario_Data!B235))*Inputs!$C$52*COS(SQRT((Scenario_Data!T235)^2+Inputs!$C$6^2)/Inputs!$C$52))*1000)/Inputs!$C$21*1000000</x:f>
        <x:v>2731.632048701091</x:v>
      </x:c>
      <x:c r="AI235" t="n">
        <x:f>Scenario_Data!U235</x:f>
        <x:v>376.79999999999995</x:v>
      </x:c>
      <x:c r="AJ235" t="n">
        <x:f>2*(SQRT((Inputs!$C$52+(Scenario_Data!C235))^2+Inputs!$C$52^2-2*(Inputs!$C$52+(Scenario_Data!C235))*Inputs!$C$52*COS(SQRT((Scenario_Data!U235)^2+Inputs!$C$6^2)/Inputs!$C$52))*1000)/Inputs!$C$21*1000000</x:f>
        <x:v>3674.294578654452</x:v>
      </x:c>
      <x:c r="AK235" t="n">
        <x:f>Scenario_Data!V235</x:f>
        <x:v>753.5999999999999</x:v>
      </x:c>
      <x:c r="AL235" t="n">
        <x:f>2*(SQRT((Inputs!$C$52+(Scenario_Data!D235))^2+Inputs!$C$52^2-2*(Inputs!$C$52+(Scenario_Data!D235))*Inputs!$C$52*COS(SQRT((Scenario_Data!V235)^2+Inputs!$C$6^2)/Inputs!$C$52))*1000)/Inputs!$C$21*1000000</x:f>
        <x:v>8622.217592392886</x:v>
      </x:c>
      <x:c r="AM235" t="n">
        <x:f>Scenario_Data!W235</x:f>
        <x:v>753.5999999999999</x:v>
      </x:c>
      <x:c r="AN235" t="n">
        <x:f>2*(SQRT((Inputs!$C$52+(Scenario_Data!E235))^2+Inputs!$C$52^2-2*(Inputs!$C$52+(Scenario_Data!E235))*Inputs!$C$52*COS(SQRT((Scenario_Data!W235)^2+Inputs!$C$6^2)/Inputs!$C$52))*1000)/Inputs!$C$21*1000000</x:f>
        <x:v>8615.998072070657</x:v>
      </x:c>
      <x:c r="AP235" t="n">
        <x:f>Scenario_Data!T235</x:f>
        <x:v>56.519999999999996</x:v>
      </x:c>
      <x:c r="AQ235" t="n">
        <x: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x:f>
        <x:v>2730.327377287637</x:v>
      </x:c>
      <x:c r="AR235" t="n">
        <x:f>Scenario_Data!U235</x:f>
        <x:v>376.79999999999995</x:v>
      </x:c>
      <x:c r="AS235" t="n">
        <x: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x:f>
        <x:v>3673.7926080967623</x:v>
      </x:c>
      <x:c r="AT235" t="n">
        <x:f>Scenario_Data!V235</x:f>
        <x:v>753.5999999999999</x:v>
      </x:c>
      <x:c r="AU235" t="n">
        <x: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x:f>
        <x:v>8622.02423942488</x:v>
      </x:c>
      <x:c r="AV235" t="n">
        <x:f>Scenario_Data!W235</x:f>
        <x:v>753.5999999999999</x:v>
      </x:c>
      <x:c r="AW235" t="n">
        <x: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x:f>
        <x:v>8615.80489558329</x:v>
      </x:c>
    </x:row>
    <x:row r="236">
      <x:c r="A236" t="n">
        <x:f>Chart_Data!K236</x:f>
        <x:v>57</x:v>
      </x:c>
      <x:c r="B236" t="n">
        <x:f>Chart_Data!N236-Chart_Data!L236</x:f>
        <x:v>-22.117718757033032</x:v>
      </x:c>
      <x:c r="D236" t="n">
        <x:f>Chart_Data!G236</x:f>
        <x:v>57</x:v>
      </x:c>
      <x:c r="E236" t="n">
        <x:f>Chart_Data!H236</x:f>
        <x:v>200.68454527158707</x:v>
      </x:c>
      <x:c r="F236" t="n">
        <x:f>Chart_Data!I236</x:f>
        <x:v>200.68454527158707</x:v>
      </x:c>
      <x:c r="G236" t="n">
        <x:f>Chart_Data!J236</x:f>
        <x:v>18.4135707545088</x:v>
      </x:c>
      <x:c r="I236" t="n">
        <x:f>Scenario_Data!A236</x:f>
        <x:v>0.95</x:v>
      </x:c>
      <x:c r="J236" t="n">
        <x:f>Scenario_Data!H236-(((SQRT((Inputs!$C$52+(Inputs!$H$6))^2+Inputs!$C$52^2-2*(Inputs!$C$52+(Inputs!$H$6))*Inputs!$C$52*COS(SQRT((Scenario_Data!T236)^2+Inputs!$C$6^2)/Inputs!$C$52)))-(Inputs!$H$6))*1000/Inputs!$C$12)</x:f>
        <x:v>-23.746844660086936</x:v>
      </x:c>
      <x:c r="K236" t="n">
        <x:f>Scenario_Data!I236-(((SQRT((Inputs!$C$52+(Inputs!$H$7))^2+Inputs!$C$52^2-2*(Inputs!$C$52+(Inputs!$H$7))*Inputs!$C$52*COS(SQRT((Scenario_Data!U236)^2+Inputs!$C$6^2)/Inputs!$C$52)))-(Inputs!$H$7))*1000/Inputs!$C$12)</x:f>
        <x:v>-88554.07088364325</x:v>
      </x:c>
      <x:c r="L236" t="n">
        <x:f>Scenario_Data!J236-(((SQRT((Inputs!$C$52+(Inputs!$H$8))^2+Inputs!$C$52^2-2*(Inputs!$C$52+(Inputs!$H$8))*Inputs!$C$52*COS(SQRT((Scenario_Data!V236)^2+Inputs!$C$6^2)/Inputs!$C$52)))-(Inputs!$H$8))*1000/Inputs!$C$12)</x:f>
        <x:v>-181371.54200338566</x:v>
      </x:c>
      <x:c r="M236" t="n">
        <x:f>Scenario_Data!K236-(((SQRT((Inputs!$C$52+(Inputs!$H$9))^2+Inputs!$C$52^2-2*(Inputs!$C$52+(Inputs!$H$9))*Inputs!$C$52*COS(SQRT((Scenario_Data!W236)^2+Inputs!$C$6^2)/Inputs!$C$52)))-(Inputs!$H$9))*1000/Inputs!$C$12)</x:f>
        <x:v>-185333.69359371395</x:v>
      </x:c>
      <x:c r="O236" t="n">
        <x:f>Scenario_Data!T236</x:f>
        <x:v>57</x:v>
      </x:c>
      <x:c r="P236" t="n">
        <x:f>2*(Scenario_Data!B236*1000)/Inputs!$C$21*1000000</x:f>
        <x:v>2692.596089258523</x:v>
      </x:c>
      <x:c r="Q236" t="n">
        <x:f>Scenario_Data!U236</x:f>
        <x:v>380</x:v>
      </x:c>
      <x:c r="R236" t="n">
        <x:f>2*(Scenario_Data!C236*1000)/Inputs!$C$21*1000000</x:f>
        <x:v>2431.0985168279312</x:v>
      </x:c>
      <x:c r="S236" t="n">
        <x:f>Scenario_Data!V236</x:f>
        <x:v>760</x:v>
      </x:c>
      <x:c r="T236" t="n">
        <x:f>2*(Scenario_Data!D236*1000)/Inputs!$C$21*1000000</x:f>
        <x:v>6043.597667823918</x:v>
      </x:c>
      <x:c r="U236" t="n">
        <x:f>Scenario_Data!W236</x:f>
        <x:v>760</x:v>
      </x:c>
      <x:c r="V236" t="n">
        <x:f>2*(Scenario_Data!E236*1000)/Inputs!$C$21*1000000</x:f>
        <x:v>6037.093167967554</x:v>
      </x:c>
      <x:c r="X236" t="n">
        <x:f>Scenario_Data!T236</x:f>
        <x:v>57</x:v>
      </x:c>
      <x:c r="Y236" t="n">
        <x: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x:f>
        <x:v>2692.473247137161</x:v>
      </x:c>
      <x:c r="Z236" t="n">
        <x:f>Scenario_Data!U236</x:f>
        <x:v>380</x:v>
      </x:c>
      <x:c r="AA236" t="n">
        <x: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x:f>
        <x:v>2430.617445290838</x:v>
      </x:c>
      <x:c r="AB236" t="n">
        <x:f>Scenario_Data!V236</x:f>
        <x:v>760</x:v>
      </x:c>
      <x:c r="AC236" t="n">
        <x: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x:f>
        <x:v>6043.438309182107</x:v>
      </x:c>
      <x:c r="AD236" t="n">
        <x:f>Scenario_Data!W236</x:f>
        <x:v>760</x:v>
      </x:c>
      <x:c r="AE236" t="n">
        <x: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x:f>
        <x:v>6036.933809325743</x:v>
      </x:c>
      <x:c r="AG236" t="n">
        <x:f>Scenario_Data!T236</x:f>
        <x:v>57</x:v>
      </x:c>
      <x:c r="AH236" t="n">
        <x:f>2*(SQRT((Inputs!$C$52+(Scenario_Data!B236))^2+Inputs!$C$52^2-2*(Inputs!$C$52+(Scenario_Data!B236))*Inputs!$C$52*COS(SQRT((Scenario_Data!T236)^2+Inputs!$C$6^2)/Inputs!$C$52))*1000)/Inputs!$C$21*1000000</x:f>
        <x:v>2732.589727165975</x:v>
      </x:c>
      <x:c r="AI236" t="n">
        <x:f>Scenario_Data!U236</x:f>
        <x:v>380</x:v>
      </x:c>
      <x:c r="AJ236" t="n">
        <x:f>2*(SQRT((Inputs!$C$52+(Scenario_Data!C236))^2+Inputs!$C$52^2-2*(Inputs!$C$52+(Scenario_Data!C236))*Inputs!$C$52*COS(SQRT((Scenario_Data!U236)^2+Inputs!$C$6^2)/Inputs!$C$52))*1000)/Inputs!$C$21*1000000</x:f>
        <x:v>3719.1779432130656</x:v>
      </x:c>
      <x:c r="AK236" t="n">
        <x:f>Scenario_Data!V236</x:f>
        <x:v>760</x:v>
      </x:c>
      <x:c r="AL236" t="n">
        <x:f>2*(SQRT((Inputs!$C$52+(Scenario_Data!D236))^2+Inputs!$C$52^2-2*(Inputs!$C$52+(Scenario_Data!D236))*Inputs!$C$52*COS(SQRT((Scenario_Data!V236)^2+Inputs!$C$6^2)/Inputs!$C$52))*1000)/Inputs!$C$21*1000000</x:f>
        <x:v>8740.601827631473</x:v>
      </x:c>
      <x:c r="AM236" t="n">
        <x:f>Scenario_Data!W236</x:f>
        <x:v>760</x:v>
      </x:c>
      <x:c r="AN236" t="n">
        <x:f>2*(SQRT((Inputs!$C$52+(Scenario_Data!E236))^2+Inputs!$C$52^2-2*(Inputs!$C$52+(Scenario_Data!E236))*Inputs!$C$52*COS(SQRT((Scenario_Data!W236)^2+Inputs!$C$6^2)/Inputs!$C$52))*1000)/Inputs!$C$21*1000000</x:f>
        <x:v>8735.203553435682</x:v>
      </x:c>
      <x:c r="AP236" t="n">
        <x:f>Scenario_Data!T236</x:f>
        <x:v>57</x:v>
      </x:c>
      <x:c r="AQ236" t="n">
        <x: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x:f>
        <x:v>2731.2756154062386</x:v>
      </x:c>
      <x:c r="AR236" t="n">
        <x:f>Scenario_Data!U236</x:f>
        <x:v>380</x:v>
      </x:c>
      <x:c r="AS236" t="n">
        <x: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x:f>
        <x:v>3718.47695762412</x:v>
      </x:c>
      <x:c r="AT236" t="n">
        <x:f>Scenario_Data!V236</x:f>
        <x:v>760</x:v>
      </x:c>
      <x:c r="AU236" t="n">
        <x: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x:f>
        <x:v>8739.913766874452</x:v>
      </x:c>
      <x:c r="AV236" t="n">
        <x:f>Scenario_Data!W236</x:f>
        <x:v>760</x:v>
      </x:c>
      <x:c r="AW236" t="n">
        <x: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x:f>
        <x:v>8734.516026047717</x:v>
      </x:c>
    </x:row>
    <x:row r="237">
      <x:c r="A237" t="n">
        <x:f>Chart_Data!K237</x:f>
        <x:v>57.5</x:v>
      </x:c>
      <x:c r="B237" t="n">
        <x:f>Chart_Data!N237-Chart_Data!L237</x:f>
        <x:v>-29.305969865231276</x:v>
      </x:c>
      <x:c r="D237" t="n">
        <x:f>Chart_Data!G237</x:f>
        <x:v>57.5</x:v>
      </x:c>
      <x:c r="E237" t="n">
        <x:f>Chart_Data!H237</x:f>
        <x:v>178.2777126906697</x:v>
      </x:c>
      <x:c r="F237" t="n">
        <x:f>Chart_Data!I237</x:f>
        <x:v>178.2777126906697</x:v>
      </x:c>
      <x:c r="G237" t="n">
        <x:f>Chart_Data!J237</x:f>
        <x:v>25.968776223167485</x:v>
      </x:c>
      <x:c r="I237" t="n">
        <x:f>Scenario_Data!A237</x:f>
        <x:v>0.958</x:v>
      </x:c>
      <x:c r="J237" t="n">
        <x:f>Scenario_Data!H237-(((SQRT((Inputs!$C$52+(Inputs!$H$6))^2+Inputs!$C$52^2-2*(Inputs!$C$52+(Inputs!$H$6))*Inputs!$C$52*COS(SQRT((Scenario_Data!T237)^2+Inputs!$C$6^2)/Inputs!$C$52)))-(Inputs!$H$6))*1000/Inputs!$C$12)</x:f>
        <x:v>-24.47902381513677</x:v>
      </x:c>
      <x:c r="K237" t="n">
        <x:f>Scenario_Data!I237-(((SQRT((Inputs!$C$52+(Inputs!$H$7))^2+Inputs!$C$52^2-2*(Inputs!$C$52+(Inputs!$H$7))*Inputs!$C$52*COS(SQRT((Scenario_Data!U237)^2+Inputs!$C$6^2)/Inputs!$C$52)))-(Inputs!$H$7))*1000/Inputs!$C$12)</x:f>
        <x:v>-89671.89852079697</x:v>
      </x:c>
      <x:c r="L237" t="n">
        <x:f>Scenario_Data!J237-(((SQRT((Inputs!$C$52+(Inputs!$H$8))^2+Inputs!$C$52^2-2*(Inputs!$C$52+(Inputs!$H$8))*Inputs!$C$52*COS(SQRT((Scenario_Data!V237)^2+Inputs!$C$6^2)/Inputs!$C$52)))-(Inputs!$H$8))*1000/Inputs!$C$12)</x:f>
        <x:v>-183123.17397563395</x:v>
      </x:c>
      <x:c r="M237" t="n">
        <x:f>Scenario_Data!K237-(((SQRT((Inputs!$C$52+(Inputs!$H$9))^2+Inputs!$C$52^2-2*(Inputs!$C$52+(Inputs!$H$9))*Inputs!$C$52*COS(SQRT((Scenario_Data!W237)^2+Inputs!$C$6^2)/Inputs!$C$52)))-(Inputs!$H$9))*1000/Inputs!$C$12)</x:f>
        <x:v>-187091.6621591744</x:v>
      </x:c>
      <x:c r="O237" t="n">
        <x:f>Scenario_Data!T237</x:f>
        <x:v>57.480000000000004</x:v>
      </x:c>
      <x:c r="P237" t="n">
        <x:f>2*(Scenario_Data!B237*1000)/Inputs!$C$21*1000000</x:f>
        <x:v>2693.0034110464517</x:v>
      </x:c>
      <x:c r="Q237" t="n">
        <x:f>Scenario_Data!U237</x:f>
        <x:v>383.19999999999993</x:v>
      </x:c>
      <x:c r="R237" t="n">
        <x:f>2*(Scenario_Data!C237*1000)/Inputs!$C$21*1000000</x:f>
        <x:v>2468.266629976394</x:v>
      </x:c>
      <x:c r="S237" t="n">
        <x:f>Scenario_Data!V237</x:f>
        <x:v>766.3999999999999</x:v>
      </x:c>
      <x:c r="T237" t="n">
        <x:f>2*(Scenario_Data!D237*1000)/Inputs!$C$21*1000000</x:f>
        <x:v>6141.864049161635</x:v>
      </x:c>
      <x:c r="U237" t="n">
        <x:f>Scenario_Data!W237</x:f>
        <x:v>766.3999999999999</x:v>
      </x:c>
      <x:c r="V237" t="n">
        <x:f>2*(Scenario_Data!E237*1000)/Inputs!$C$21*1000000</x:f>
        <x:v>6136.377853775092</x:v>
      </x:c>
      <x:c r="X237" t="n">
        <x:f>Scenario_Data!T237</x:f>
        <x:v>57.480000000000004</x:v>
      </x:c>
      <x:c r="Y237" t="n">
        <x: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x:f>
        <x:v>2692.8575699494995</x:v>
      </x:c>
      <x:c r="Z237" t="n">
        <x:f>Scenario_Data!U237</x:f>
        <x:v>383.19999999999993</x:v>
      </x:c>
      <x:c r="AA237" t="n">
        <x: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x:f>
        <x:v>2467.706852886448</x:v>
      </x:c>
      <x:c r="AB237" t="n">
        <x:f>Scenario_Data!V237</x:f>
        <x:v>766.3999999999999</x:v>
      </x:c>
      <x:c r="AC237" t="n">
        <x: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x:f>
        <x:v>6142.145466617226</x:v>
      </x:c>
      <x:c r="AD237" t="n">
        <x:f>Scenario_Data!W237</x:f>
        <x:v>766.3999999999999</x:v>
      </x:c>
      <x:c r="AE237" t="n">
        <x: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x:f>
        <x:v>6136.659271230683</x:v>
      </x:c>
      <x:c r="AG237" t="n">
        <x:f>Scenario_Data!T237</x:f>
        <x:v>57.480000000000004</x:v>
      </x:c>
      <x:c r="AH237" t="n">
        <x:f>2*(SQRT((Inputs!$C$52+(Scenario_Data!B237))^2+Inputs!$C$52^2-2*(Inputs!$C$52+(Scenario_Data!B237))*Inputs!$C$52*COS(SQRT((Scenario_Data!T237)^2+Inputs!$C$6^2)/Inputs!$C$52))*1000)/Inputs!$C$21*1000000</x:f>
        <x:v>2733.555257783269</x:v>
      </x:c>
      <x:c r="AI237" t="n">
        <x:f>Scenario_Data!U237</x:f>
        <x:v>383.19999999999993</x:v>
      </x:c>
      <x:c r="AJ237" t="n">
        <x:f>2*(SQRT((Inputs!$C$52+(Scenario_Data!C237))^2+Inputs!$C$52^2-2*(Inputs!$C$52+(Scenario_Data!C237))*Inputs!$C$52*COS(SQRT((Scenario_Data!U237)^2+Inputs!$C$6^2)/Inputs!$C$52))*1000)/Inputs!$C$21*1000000</x:f>
        <x:v>3764.3630333251954</x:v>
      </x:c>
      <x:c r="AK237" t="n">
        <x:f>Scenario_Data!V237</x:f>
        <x:v>766.3999999999999</x:v>
      </x:c>
      <x:c r="AL237" t="n">
        <x:f>2*(SQRT((Inputs!$C$52+(Scenario_Data!D237))^2+Inputs!$C$52^2-2*(Inputs!$C$52+(Scenario_Data!D237))*Inputs!$C$52*COS(SQRT((Scenario_Data!V237)^2+Inputs!$C$6^2)/Inputs!$C$52))*1000)/Inputs!$C$21*1000000</x:f>
        <x:v>8859.888506354831</x:v>
      </x:c>
      <x:c r="AM237" t="n">
        <x:f>Scenario_Data!W237</x:f>
        <x:v>766.3999999999999</x:v>
      </x:c>
      <x:c r="AN237" t="n">
        <x:f>2*(SQRT((Inputs!$C$52+(Scenario_Data!E237))^2+Inputs!$C$52^2-2*(Inputs!$C$52+(Scenario_Data!E237))*Inputs!$C$52*COS(SQRT((Scenario_Data!W237)^2+Inputs!$C$6^2)/Inputs!$C$52))*1000)/Inputs!$C$21*1000000</x:f>
        <x:v>8855.323284209488</x:v>
      </x:c>
      <x:c r="AP237" t="n">
        <x:f>Scenario_Data!T237</x:f>
        <x:v>57.480000000000004</x:v>
      </x:c>
      <x:c r="AQ237" t="n">
        <x: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x:f>
        <x:v>2732.410990361145</x:v>
      </x:c>
      <x:c r="AR237" t="n">
        <x:f>Scenario_Data!U237</x:f>
        <x:v>383.19999999999993</x:v>
      </x:c>
      <x:c r="AS237" t="n">
        <x: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x:f>
        <x:v>3763.561788221822</x:v>
      </x:c>
      <x:c r="AT237" t="n">
        <x:f>Scenario_Data!V237</x:f>
        <x:v>766.3999999999999</x:v>
      </x:c>
      <x:c r="AU237" t="n">
        <x: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x:f>
        <x:v>8859.603644488401</x:v>
      </x:c>
      <x:c r="AV237" t="n">
        <x:f>Scenario_Data!W237</x:f>
        <x:v>766.3999999999999</x:v>
      </x:c>
      <x:c r="AW237" t="n">
        <x: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x:f>
        <x:v>8855.038605032187</x:v>
      </x:c>
    </x:row>
    <x:row r="238">
      <x:c r="A238" t="n">
        <x:f>Chart_Data!K238</x:f>
        <x:v>58</x:v>
      </x:c>
      <x:c r="B238" t="n">
        <x:f>Chart_Data!N238-Chart_Data!L238</x:f>
        <x:v>-33.763162078350604</x:v>
      </x:c>
      <x:c r="D238" t="n">
        <x:f>Chart_Data!G238</x:f>
        <x:v>58</x:v>
      </x:c>
      <x:c r="E238" t="n">
        <x:f>Chart_Data!H238</x:f>
        <x:v>194.52778179385766</x:v>
      </x:c>
      <x:c r="F238" t="n">
        <x:f>Chart_Data!I238</x:f>
        <x:v>194.52778179385766</x:v>
      </x:c>
      <x:c r="G238" t="n">
        <x:f>Chart_Data!J238</x:f>
        <x:v>30.070182113253747</x:v>
      </x:c>
      <x:c r="I238" t="n">
        <x:f>Scenario_Data!A238</x:f>
        <x:v>0.967</x:v>
      </x:c>
      <x:c r="J238" t="n">
        <x:f>Scenario_Data!H238-(((SQRT((Inputs!$C$52+(Inputs!$H$6))^2+Inputs!$C$52^2-2*(Inputs!$C$52+(Inputs!$H$6))*Inputs!$C$52*COS(SQRT((Scenario_Data!T238)^2+Inputs!$C$6^2)/Inputs!$C$52)))-(Inputs!$H$6))*1000/Inputs!$C$12)</x:f>
        <x:v>-25.322987391846254</x:v>
      </x:c>
      <x:c r="K238" t="n">
        <x:f>Scenario_Data!I238-(((SQRT((Inputs!$C$52+(Inputs!$H$7))^2+Inputs!$C$52^2-2*(Inputs!$C$52+(Inputs!$H$7))*Inputs!$C$52*COS(SQRT((Scenario_Data!U238)^2+Inputs!$C$6^2)/Inputs!$C$52)))-(Inputs!$H$7))*1000/Inputs!$C$12)</x:f>
        <x:v>-90930.31855627532</x:v>
      </x:c>
      <x:c r="L238" t="n">
        <x:f>Scenario_Data!J238-(((SQRT((Inputs!$C$52+(Inputs!$H$8))^2+Inputs!$C$52^2-2*(Inputs!$C$52+(Inputs!$H$8))*Inputs!$C$52*COS(SQRT((Scenario_Data!V238)^2+Inputs!$C$6^2)/Inputs!$C$52)))-(Inputs!$H$8))*1000/Inputs!$C$12)</x:f>
        <x:v>-185083.70199145714</x:v>
      </x:c>
      <x:c r="M238" t="n">
        <x:f>Scenario_Data!K238-(((SQRT((Inputs!$C$52+(Inputs!$H$9))^2+Inputs!$C$52^2-2*(Inputs!$C$52+(Inputs!$H$9))*Inputs!$C$52*COS(SQRT((Scenario_Data!W238)^2+Inputs!$C$6^2)/Inputs!$C$52)))-(Inputs!$H$9))*1000/Inputs!$C$12)</x:f>
        <x:v>-189058.9662057004</x:v>
      </x:c>
      <x:c r="O238" t="n">
        <x:f>Scenario_Data!T238</x:f>
        <x:v>58.02000000000001</x:v>
      </x:c>
      <x:c r="P238" t="n">
        <x:f>2*(Scenario_Data!B238*1000)/Inputs!$C$21*1000000</x:f>
        <x:v>2693.465730882396</x:v>
      </x:c>
      <x:c r="Q238" t="n">
        <x:f>Scenario_Data!U238</x:f>
        <x:v>386.80000000000007</x:v>
      </x:c>
      <x:c r="R238" t="n">
        <x:f>2*(Scenario_Data!C238*1000)/Inputs!$C$21*1000000</x:f>
        <x:v>2510.4533150063444</x:v>
      </x:c>
      <x:c r="S238" t="n">
        <x:f>Scenario_Data!V238</x:f>
        <x:v>773.6000000000001</x:v>
      </x:c>
      <x:c r="T238" t="n">
        <x:f>2*(Scenario_Data!D238*1000)/Inputs!$C$21*1000000</x:f>
        <x:v>6253.398709583284</x:v>
      </x:c>
      <x:c r="U238" t="n">
        <x:f>Scenario_Data!W238</x:f>
        <x:v>773.6000000000001</x:v>
      </x:c>
      <x:c r="V238" t="n">
        <x:f>2*(Scenario_Data!E238*1000)/Inputs!$C$21*1000000</x:f>
        <x:v>6249.068313786602</x:v>
      </x:c>
      <x:c r="X238" t="n">
        <x:f>Scenario_Data!T238</x:f>
        <x:v>58.02000000000001</x:v>
      </x:c>
      <x:c r="Y238" t="n">
        <x: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x:f>
        <x:v>2693.24758219057</x:v>
      </x:c>
      <x:c r="Z238" t="n">
        <x:f>Scenario_Data!U238</x:f>
        <x:v>386.80000000000007</x:v>
      </x:c>
      <x:c r="AA238" t="n">
        <x: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x:f>
        <x:v>2510.203743788006</x:v>
      </x:c>
      <x:c r="AB238" t="n">
        <x:f>Scenario_Data!V238</x:f>
        <x:v>773.6000000000001</x:v>
      </x:c>
      <x:c r="AC238" t="n">
        <x: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x:f>
        <x:v>6253.283847964191</x:v>
      </x:c>
      <x:c r="AD238" t="n">
        <x:f>Scenario_Data!W238</x:f>
        <x:v>773.6000000000001</x:v>
      </x:c>
      <x:c r="AE238" t="n">
        <x: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x:f>
        <x:v>6248.95345216751</x:v>
      </x:c>
      <x:c r="AG238" t="n">
        <x:f>Scenario_Data!T238</x:f>
        <x:v>58.02000000000001</x:v>
      </x:c>
      <x:c r="AH238" t="n">
        <x:f>2*(SQRT((Inputs!$C$52+(Scenario_Data!B238))^2+Inputs!$C$52^2-2*(Inputs!$C$52+(Scenario_Data!B238))*Inputs!$C$52*COS(SQRT((Scenario_Data!T238)^2+Inputs!$C$6^2)/Inputs!$C$52))*1000)/Inputs!$C$21*1000000</x:f>
        <x:v>2734.650858075406</x:v>
      </x:c>
      <x:c r="AI238" t="n">
        <x:f>Scenario_Data!U238</x:f>
        <x:v>386.80000000000007</x:v>
      </x:c>
      <x:c r="AJ238" t="n">
        <x:f>2*(SQRT((Inputs!$C$52+(Scenario_Data!C238))^2+Inputs!$C$52^2-2*(Inputs!$C$52+(Scenario_Data!C238))*Inputs!$C$52*COS(SQRT((Scenario_Data!U238)^2+Inputs!$C$6^2)/Inputs!$C$52))*1000)/Inputs!$C$21*1000000</x:f>
        <x:v>3815.557941887678</x:v>
      </x:c>
      <x:c r="AK238" t="n">
        <x:f>Scenario_Data!V238</x:f>
        <x:v>773.6000000000001</x:v>
      </x:c>
      <x:c r="AL238" t="n">
        <x:f>2*(SQRT((Inputs!$C$52+(Scenario_Data!D238))^2+Inputs!$C$52^2-2*(Inputs!$C$52+(Scenario_Data!D238))*Inputs!$C$52*COS(SQRT((Scenario_Data!V238)^2+Inputs!$C$6^2)/Inputs!$C$52))*1000)/Inputs!$C$21*1000000</x:f>
        <x:v>8995.16604452832</x:v>
      </x:c>
      <x:c r="AM238" t="n">
        <x:f>Scenario_Data!W238</x:f>
        <x:v>773.6000000000001</x:v>
      </x:c>
      <x:c r="AN238" t="n">
        <x:f>2*(SQRT((Inputs!$C$52+(Scenario_Data!E238))^2+Inputs!$C$52^2-2*(Inputs!$C$52+(Scenario_Data!E238))*Inputs!$C$52*COS(SQRT((Scenario_Data!W238)^2+Inputs!$C$6^2)/Inputs!$C$52))*1000)/Inputs!$C$21*1000000</x:f>
        <x:v>8991.552054335494</x:v>
      </x:c>
      <x:c r="AP238" t="n">
        <x:f>Scenario_Data!T238</x:f>
        <x:v>58.02000000000001</x:v>
      </x:c>
      <x:c r="AQ238" t="n">
        <x: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x:f>
        <x:v>2733.3737112683802</x:v>
      </x:c>
      <x:c r="AR238" t="n">
        <x:f>Scenario_Data!U238</x:f>
        <x:v>386.80000000000007</x:v>
      </x:c>
      <x:c r="AS238" t="n">
        <x: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x:f>
        <x:v>3814.9348272569846</x:v>
      </x:c>
      <x:c r="AT238" t="n">
        <x:f>Scenario_Data!V238</x:f>
        <x:v>773.6000000000001</x:v>
      </x:c>
      <x:c r="AU238" t="n">
        <x: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x:f>
        <x:v>8994.652022373113</x:v>
      </x:c>
      <x:c r="AV238" t="n">
        <x:f>Scenario_Data!W238</x:f>
        <x:v>773.6000000000001</x:v>
      </x:c>
      <x:c r="AW238" t="n">
        <x: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x:f>
        <x:v>8991.038286933339</x:v>
      </x:c>
    </x:row>
    <x:row r="239">
      <x:c r="A239" t="n">
        <x:f>Chart_Data!K239</x:f>
        <x:v>58.5</x:v>
      </x:c>
      <x:c r="B239" t="n">
        <x:f>Chart_Data!N239-Chart_Data!L239</x:f>
        <x:v>-32.05079854149554</x:v>
      </x:c>
      <x:c r="D239" t="n">
        <x:f>Chart_Data!G239</x:f>
        <x:v>58.5</x:v>
      </x:c>
      <x:c r="E239" t="n">
        <x:f>Chart_Data!H239</x:f>
        <x:v>188.33221875951745</x:v>
      </x:c>
      <x:c r="F239" t="n">
        <x:f>Chart_Data!I239</x:f>
        <x:v>188.33221875951745</x:v>
      </x:c>
      <x:c r="G239" t="n">
        <x:f>Chart_Data!J239</x:f>
        <x:v>28.425297518081656</x:v>
      </x:c>
      <x:c r="I239" t="n">
        <x:f>Scenario_Data!A239</x:f>
        <x:v>0.975</x:v>
      </x:c>
      <x:c r="J239" t="n">
        <x:f>Scenario_Data!H239-(((SQRT((Inputs!$C$52+(Inputs!$H$6))^2+Inputs!$C$52^2-2*(Inputs!$C$52+(Inputs!$H$6))*Inputs!$C$52*COS(SQRT((Scenario_Data!T239)^2+Inputs!$C$6^2)/Inputs!$C$52)))-(Inputs!$H$6))*1000/Inputs!$C$12)</x:f>
        <x:v>-26.091469511469313</x:v>
      </x:c>
      <x:c r="K239" t="n">
        <x:f>Scenario_Data!I239-(((SQRT((Inputs!$C$52+(Inputs!$H$7))^2+Inputs!$C$52^2-2*(Inputs!$C$52+(Inputs!$H$7))*Inputs!$C$52*COS(SQRT((Scenario_Data!U239)^2+Inputs!$C$6^2)/Inputs!$C$52)))-(Inputs!$H$7))*1000/Inputs!$C$12)</x:f>
        <x:v>-92049.59969520803</x:v>
      </x:c>
      <x:c r="L239" t="n">
        <x:f>Scenario_Data!J239-(((SQRT((Inputs!$C$52+(Inputs!$H$8))^2+Inputs!$C$52^2-2*(Inputs!$C$52+(Inputs!$H$8))*Inputs!$C$52*COS(SQRT((Scenario_Data!V239)^2+Inputs!$C$6^2)/Inputs!$C$52)))-(Inputs!$H$8))*1000/Inputs!$C$12)</x:f>
        <x:v>-186817.33873453335</x:v>
      </x:c>
      <x:c r="M239" t="n">
        <x:f>Scenario_Data!K239-(((SQRT((Inputs!$C$52+(Inputs!$H$9))^2+Inputs!$C$52^2-2*(Inputs!$C$52+(Inputs!$H$9))*Inputs!$C$52*COS(SQRT((Scenario_Data!W239)^2+Inputs!$C$6^2)/Inputs!$C$52)))-(Inputs!$H$9))*1000/Inputs!$C$12)</x:f>
        <x:v>-190798.31818207764</x:v>
      </x:c>
      <x:c r="O239" t="n">
        <x:f>Scenario_Data!T239</x:f>
        <x:v>58.5</x:v>
      </x:c>
      <x:c r="P239" t="n">
        <x:f>2*(Scenario_Data!B239*1000)/Inputs!$C$21*1000000</x:f>
        <x:v>2693.8803110250356</x:v>
      </x:c>
      <x:c r="Q239" t="n">
        <x:f>Scenario_Data!U239</x:f>
        <x:v>390</x:v>
      </x:c>
      <x:c r="R239" t="n">
        <x:f>2*(Scenario_Data!C239*1000)/Inputs!$C$21*1000000</x:f>
        <x:v>2548.2837530222323</x:v>
      </x:c>
      <x:c r="S239" t="n">
        <x:f>Scenario_Data!V239</x:f>
        <x:v>780</x:v>
      </x:c>
      <x:c r="T239" t="n">
        <x:f>2*(Scenario_Data!D239*1000)/Inputs!$C$21*1000000</x:f>
        <x:v>6353.416168995152</x:v>
      </x:c>
      <x:c r="U239" t="n">
        <x:f>Scenario_Data!W239</x:f>
        <x:v>780</x:v>
      </x:c>
      <x:c r="V239" t="n">
        <x:f>2*(Scenario_Data!E239*1000)/Inputs!$C$21*1000000</x:f>
        <x:v>6350.12222355507</x:v>
      </x:c>
      <x:c r="X239" t="n">
        <x:f>Scenario_Data!T239</x:f>
        <x:v>58.5</x:v>
      </x:c>
      <x:c r="Y239" t="n">
        <x: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x:f>
        <x:v>2693.6906778520884</x:v>
      </x:c>
      <x:c r="Z239" t="n">
        <x:f>Scenario_Data!U239</x:f>
        <x:v>390</x:v>
      </x:c>
      <x:c r="AA239" t="n">
        <x: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x:f>
        <x:v>2548.3058851808387</x:v>
      </x:c>
      <x:c r="AB239" t="n">
        <x:f>Scenario_Data!V239</x:f>
        <x:v>780</x:v>
      </x:c>
      <x:c r="AC239" t="n">
        <x: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x:f>
        <x:v>6353.093574137483</x:v>
      </x:c>
      <x:c r="AD239" t="n">
        <x:f>Scenario_Data!W239</x:f>
        <x:v>780</x:v>
      </x:c>
      <x:c r="AE239" t="n">
        <x: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x:f>
        <x:v>6349.799628697401</x:v>
      </x:c>
      <x:c r="AG239" t="n">
        <x:f>Scenario_Data!T239</x:f>
        <x:v>58.5</x:v>
      </x:c>
      <x:c r="AH239" t="n">
        <x:f>2*(SQRT((Inputs!$C$52+(Scenario_Data!B239))^2+Inputs!$C$52^2-2*(Inputs!$C$52+(Scenario_Data!B239))*Inputs!$C$52*COS(SQRT((Scenario_Data!T239)^2+Inputs!$C$6^2)/Inputs!$C$52))*1000)/Inputs!$C$21*1000000</x:f>
        <x:v>2735.6330546630293</x:v>
      </x:c>
      <x:c r="AI239" t="n">
        <x:f>Scenario_Data!U239</x:f>
        <x:v>390</x:v>
      </x:c>
      <x:c r="AJ239" t="n">
        <x:f>2*(SQRT((Inputs!$C$52+(Scenario_Data!C239))^2+Inputs!$C$52^2-2*(Inputs!$C$52+(Scenario_Data!C239))*Inputs!$C$52*COS(SQRT((Scenario_Data!U239)^2+Inputs!$C$6^2)/Inputs!$C$52))*1000)/Inputs!$C$21*1000000</x:f>
        <x:v>3861.3869170271155</x:v>
      </x:c>
      <x:c r="AK239" t="n">
        <x:f>Scenario_Data!V239</x:f>
        <x:v>780</x:v>
      </x:c>
      <x:c r="AL239" t="n">
        <x:f>2*(SQRT((Inputs!$C$52+(Scenario_Data!D239))^2+Inputs!$C$52^2-2*(Inputs!$C$52+(Scenario_Data!D239))*Inputs!$C$52*COS(SQRT((Scenario_Data!V239)^2+Inputs!$C$6^2)/Inputs!$C$52))*1000)/Inputs!$C$21*1000000</x:f>
        <x:v>9116.373900783714</x:v>
      </x:c>
      <x:c r="AM239" t="n">
        <x:f>Scenario_Data!W239</x:f>
        <x:v>780</x:v>
      </x:c>
      <x:c r="AN239" t="n">
        <x:f>2*(SQRT((Inputs!$C$52+(Scenario_Data!E239))^2+Inputs!$C$52^2-2*(Inputs!$C$52+(Scenario_Data!E239))*Inputs!$C$52*COS(SQRT((Scenario_Data!W239)^2+Inputs!$C$6^2)/Inputs!$C$52))*1000)/Inputs!$C$21*1000000</x:f>
        <x:v>9113.617881954191</x:v>
      </x:c>
      <x:c r="AP239" t="n">
        <x:f>Scenario_Data!T239</x:f>
        <x:v>58.5</x:v>
      </x:c>
      <x:c r="AQ239" t="n">
        <x: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x:f>
        <x:v>2734.400824079456</x:v>
      </x:c>
      <x:c r="AR239" t="n">
        <x:f>Scenario_Data!U239</x:f>
        <x:v>390</x:v>
      </x:c>
      <x:c r="AS239" t="n">
        <x: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x:f>
        <x:v>3861.0175580175683</x:v>
      </x:c>
      <x:c r="AT239" t="n">
        <x:f>Scenario_Data!V239</x:f>
        <x:v>780</x:v>
      </x:c>
      <x:c r="AU239" t="n">
        <x: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x:f>
        <x:v>9115.781029913565</x:v>
      </x:c>
      <x:c r="AV239" t="n">
        <x:f>Scenario_Data!W239</x:f>
        <x:v>780</x:v>
      </x:c>
      <x:c r="AW239" t="n">
        <x: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x:f>
        <x:v>9113.025230448315</x:v>
      </x:c>
    </x:row>
    <x:row r="240">
      <x:c r="A240" t="n">
        <x:f>Chart_Data!K240</x:f>
        <x:v>59</x:v>
      </x:c>
      <x:c r="B240" t="n">
        <x:f>Chart_Data!N240-Chart_Data!L240</x:f>
        <x:v>-29.468701438210815</x:v>
      </x:c>
      <x:c r="D240" t="n">
        <x:f>Chart_Data!G240</x:f>
        <x:v>59</x:v>
      </x:c>
      <x:c r="E240" t="n">
        <x:f>Chart_Data!H240</x:f>
        <x:v>193.74067782731254</x:v>
      </x:c>
      <x:c r="F240" t="n">
        <x:f>Chart_Data!I240</x:f>
        <x:v>193.74067782731254</x:v>
      </x:c>
      <x:c r="G240" t="n">
        <x:f>Chart_Data!J240</x:f>
        <x:v>25.687015205000044</x:v>
      </x:c>
      <x:c r="I240" t="n">
        <x:f>Scenario_Data!A240</x:f>
        <x:v>0.983</x:v>
      </x:c>
      <x:c r="J240" t="n">
        <x:f>Scenario_Data!H240-(((SQRT((Inputs!$C$52+(Inputs!$H$6))^2+Inputs!$C$52^2-2*(Inputs!$C$52+(Inputs!$H$6))*Inputs!$C$52*COS(SQRT((Scenario_Data!T240)^2+Inputs!$C$6^2)/Inputs!$C$52)))-(Inputs!$H$6))*1000/Inputs!$C$12)</x:f>
        <x:v>-26.877434485224512</x:v>
      </x:c>
      <x:c r="K240" t="n">
        <x:f>Scenario_Data!I240-(((SQRT((Inputs!$C$52+(Inputs!$H$7))^2+Inputs!$C$52^2-2*(Inputs!$C$52+(Inputs!$H$7))*Inputs!$C$52*COS(SQRT((Scenario_Data!U240)^2+Inputs!$C$6^2)/Inputs!$C$52)))-(Inputs!$H$7))*1000/Inputs!$C$12)</x:f>
        <x:v>-93169.45002082353</x:v>
      </x:c>
      <x:c r="L240" t="n">
        <x:f>Scenario_Data!J240-(((SQRT((Inputs!$C$52+(Inputs!$H$8))^2+Inputs!$C$52^2-2*(Inputs!$C$52+(Inputs!$H$8))*Inputs!$C$52*COS(SQRT((Scenario_Data!V240)^2+Inputs!$C$6^2)/Inputs!$C$52)))-(Inputs!$H$8))*1000/Inputs!$C$12)</x:f>
        <x:v>-188542.34891493848</x:v>
      </x:c>
      <x:c r="M240" t="n">
        <x:f>Scenario_Data!K240-(((SQRT((Inputs!$C$52+(Inputs!$H$9))^2+Inputs!$C$52^2-2*(Inputs!$C$52+(Inputs!$H$9))*Inputs!$C$52*COS(SQRT((Scenario_Data!W240)^2+Inputs!$C$6^2)/Inputs!$C$52)))-(Inputs!$H$9))*1000/Inputs!$C$12)</x:f>
        <x:v>-192528.7589427018</x:v>
      </x:c>
      <x:c r="O240" t="n">
        <x:f>Scenario_Data!T240</x:f>
        <x:v>58.980000000000004</x:v>
      </x:c>
      <x:c r="P240" t="n">
        <x:f>2*(Scenario_Data!B240*1000)/Inputs!$C$21*1000000</x:f>
        <x:v>2694.2983068640106</x:v>
      </x:c>
      <x:c r="Q240" t="n">
        <x:f>Scenario_Data!U240</x:f>
        <x:v>393.20000000000005</x:v>
      </x:c>
      <x:c r="R240" t="n">
        <x:f>2*(Scenario_Data!C240*1000)/Inputs!$C$21*1000000</x:f>
        <x:v>2586.425873328675</x:v>
      </x:c>
      <x:c r="S240" t="n">
        <x:f>Scenario_Data!V240</x:f>
        <x:v>786.4000000000001</x:v>
      </x:c>
      <x:c r="T240" t="n">
        <x:f>2*(Scenario_Data!D240*1000)/Inputs!$C$21*1000000</x:f>
        <x:v>6454.257665147801</x:v>
      </x:c>
      <x:c r="U240" t="n">
        <x:f>Scenario_Data!W240</x:f>
        <x:v>786.4000000000001</x:v>
      </x:c>
      <x:c r="V240" t="n">
        <x:f>2*(Scenario_Data!E240*1000)/Inputs!$C$21*1000000</x:f>
        <x:v>6452.008709305157</x:v>
      </x:c>
      <x:c r="X240" t="n">
        <x:f>Scenario_Data!T240</x:f>
        <x:v>58.980000000000004</x:v>
      </x:c>
      <x:c r="Y240" t="n">
        <x: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x:f>
        <x:v>2694.075288283185</x:v>
      </x:c>
      <x:c r="Z240" t="n">
        <x:f>Scenario_Data!U240</x:f>
        <x:v>393.20000000000005</x:v>
      </x:c>
      <x:c r="AA240" t="n">
        <x: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x:f>
        <x:v>2586.4616875610477</x:v>
      </x:c>
      <x:c r="AB240" t="n">
        <x:f>Scenario_Data!V240</x:f>
        <x:v>786.4000000000001</x:v>
      </x:c>
      <x:c r="AC240" t="n">
        <x: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x:f>
        <x:v>6454.213123168584</x:v>
      </x:c>
      <x:c r="AD240" t="n">
        <x:f>Scenario_Data!W240</x:f>
        <x:v>786.4000000000001</x:v>
      </x:c>
      <x:c r="AE240" t="n">
        <x: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x:f>
        <x:v>6451.964167325938</x:v>
      </x:c>
      <x:c r="AG240" t="n">
        <x:f>Scenario_Data!T240</x:f>
        <x:v>58.980000000000004</x:v>
      </x:c>
      <x:c r="AH240" t="n">
        <x:f>2*(SQRT((Inputs!$C$52+(Scenario_Data!B240))^2+Inputs!$C$52^2-2*(Inputs!$C$52+(Scenario_Data!B240))*Inputs!$C$52*COS(SQRT((Scenario_Data!T240)^2+Inputs!$C$6^2)/Inputs!$C$52))*1000)/Inputs!$C$21*1000000</x:f>
        <x:v>2736.623084633149</x:v>
      </x:c>
      <x:c r="AI240" t="n">
        <x:f>Scenario_Data!U240</x:f>
        <x:v>393.20000000000005</x:v>
      </x:c>
      <x:c r="AJ240" t="n">
        <x:f>2*(SQRT((Inputs!$C$52+(Scenario_Data!C240))^2+Inputs!$C$52^2-2*(Inputs!$C$52+(Scenario_Data!C240))*Inputs!$C$52*COS(SQRT((Scenario_Data!U240)^2+Inputs!$C$6^2)/Inputs!$C$52))*1000)/Inputs!$C$21*1000000</x:f>
        <x:v>3907.520143552331</x:v>
      </x:c>
      <x:c r="AK240" t="n">
        <x:f>Scenario_Data!V240</x:f>
        <x:v>786.4000000000001</x:v>
      </x:c>
      <x:c r="AL240" t="n">
        <x:f>2*(SQRT((Inputs!$C$52+(Scenario_Data!D240))^2+Inputs!$C$52^2-2*(Inputs!$C$52+(Scenario_Data!D240))*Inputs!$C$52*COS(SQRT((Scenario_Data!V240)^2+Inputs!$C$6^2)/Inputs!$C$52))*1000)/Inputs!$C$21*1000000</x:f>
        <x:v>9238.487402839648</x:v>
      </x:c>
      <x:c r="AM240" t="n">
        <x:f>Scenario_Data!W240</x:f>
        <x:v>786.4000000000001</x:v>
      </x:c>
      <x:c r="AN240" t="n">
        <x:f>2*(SQRT((Inputs!$C$52+(Scenario_Data!E240))^2+Inputs!$C$52^2-2*(Inputs!$C$52+(Scenario_Data!E240))*Inputs!$C$52*COS(SQRT((Scenario_Data!W240)^2+Inputs!$C$6^2)/Inputs!$C$52))*1000)/Inputs!$C$21*1000000</x:f>
        <x:v>9236.601004281434</x:v>
      </x:c>
      <x:c r="AP240" t="n">
        <x:f>Scenario_Data!T240</x:f>
        <x:v>58.980000000000004</x:v>
      </x:c>
      <x:c r="AQ240" t="n">
        <x: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x:f>
        <x:v>2735.4474657815513</x:v>
      </x:c>
      <x:c r="AR240" t="n">
        <x:f>Scenario_Data!U240</x:f>
        <x:v>393.20000000000005</x:v>
      </x:c>
      <x:c r="AS240" t="n">
        <x: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x:f>
        <x:v>3907.272108473731</x:v>
      </x:c>
      <x:c r="AT240" t="n">
        <x:f>Scenario_Data!V240</x:f>
        <x:v>786.4000000000001</x:v>
      </x:c>
      <x:c r="AU240" t="n">
        <x: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x:f>
        <x:v>9238.143445583908</x:v>
      </x:c>
      <x:c r="AV240" t="n">
        <x:f>Scenario_Data!W240</x:f>
        <x:v>786.4000000000001</x:v>
      </x:c>
      <x:c r="AW240" t="n">
        <x: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x:f>
        <x:v>9236.257132309045</x:v>
      </x:c>
    </x:row>
    <x:row r="241">
      <x:c r="A241" t="n">
        <x:f>Chart_Data!K241</x:f>
        <x:v>59.5</x:v>
      </x:c>
      <x:c r="B241" t="n">
        <x:f>Chart_Data!N241-Chart_Data!L241</x:f>
        <x:v>-49.02543943363386</x:v>
      </x:c>
      <x:c r="D241" t="n">
        <x:f>Chart_Data!G241</x:f>
        <x:v>59.5</x:v>
      </x:c>
      <x:c r="E241" t="n">
        <x:f>Chart_Data!H241</x:f>
        <x:v>168.97901642333537</x:v>
      </x:c>
      <x:c r="F241" t="n">
        <x:f>Chart_Data!I241</x:f>
        <x:v>168.97901642333537</x:v>
      </x:c>
      <x:c r="G241" t="n">
        <x:f>Chart_Data!J241</x:f>
        <x:v>45.681577079364786</x:v>
      </x:c>
      <x:c r="I241" t="n">
        <x:f>Scenario_Data!A241</x:f>
        <x:v>0.992</x:v>
      </x:c>
      <x:c r="J241" t="n">
        <x:f>Scenario_Data!H241-(((SQRT((Inputs!$C$52+(Inputs!$H$6))^2+Inputs!$C$52^2-2*(Inputs!$C$52+(Inputs!$H$6))*Inputs!$C$52*COS(SQRT((Scenario_Data!T241)^2+Inputs!$C$6^2)/Inputs!$C$52)))-(Inputs!$H$6))*1000/Inputs!$C$12)</x:f>
        <x:v>-27.782863149590867</x:v>
      </x:c>
      <x:c r="K241" t="n">
        <x:f>Scenario_Data!I241-(((SQRT((Inputs!$C$52+(Inputs!$H$7))^2+Inputs!$C$52^2-2*(Inputs!$C$52+(Inputs!$H$7))*Inputs!$C$52*COS(SQRT((Scenario_Data!U241)^2+Inputs!$C$6^2)/Inputs!$C$52)))-(Inputs!$H$7))*1000/Inputs!$C$12)</x:f>
        <x:v>-94429.87293064826</x:v>
      </x:c>
      <x:c r="L241" t="n">
        <x:f>Scenario_Data!J241-(((SQRT((Inputs!$C$52+(Inputs!$H$8))^2+Inputs!$C$52^2-2*(Inputs!$C$52+(Inputs!$H$8))*Inputs!$C$52*COS(SQRT((Scenario_Data!V241)^2+Inputs!$C$6^2)/Inputs!$C$52)))-(Inputs!$H$8))*1000/Inputs!$C$12)</x:f>
        <x:v>-190472.5531477006</x:v>
      </x:c>
      <x:c r="M241" t="n">
        <x:f>Scenario_Data!K241-(((SQRT((Inputs!$C$52+(Inputs!$H$9))^2+Inputs!$C$52^2-2*(Inputs!$C$52+(Inputs!$H$9))*Inputs!$C$52*COS(SQRT((Scenario_Data!W241)^2+Inputs!$C$6^2)/Inputs!$C$52)))-(Inputs!$H$9))*1000/Inputs!$C$12)</x:f>
        <x:v>-194464.73837065237</x:v>
      </x:c>
      <x:c r="O241" t="n">
        <x:f>Scenario_Data!T241</x:f>
        <x:v>59.519999999999996</x:v>
      </x:c>
      <x:c r="P241" t="n">
        <x:f>2*(Scenario_Data!B241*1000)/Inputs!$C$21*1000000</x:f>
        <x:v>2694.7726350073826</x:v>
      </x:c>
      <x:c r="Q241" t="n">
        <x:f>Scenario_Data!U241</x:f>
        <x:v>396.79999999999995</x:v>
      </x:c>
      <x:c r="R241" t="n">
        <x:f>2*(Scenario_Data!C241*1000)/Inputs!$C$21*1000000</x:f>
        <x:v>2629.708316411348</x:v>
      </x:c>
      <x:c r="S241" t="n">
        <x:f>Scenario_Data!V241</x:f>
        <x:v>793.5999999999999</x:v>
      </x:c>
      <x:c r="T241" t="n">
        <x:f>2*(Scenario_Data!D241*1000)/Inputs!$C$21*1000000</x:f>
        <x:v>6568.689329736239</x:v>
      </x:c>
      <x:c r="U241" t="n">
        <x:f>Scenario_Data!W241</x:f>
        <x:v>793.5999999999999</x:v>
      </x:c>
      <x:c r="V241" t="n">
        <x:f>2*(Scenario_Data!E241*1000)/Inputs!$C$21*1000000</x:f>
        <x:v>6567.626194252023</x:v>
      </x:c>
      <x:c r="X241" t="n">
        <x:f>Scenario_Data!T241</x:f>
        <x:v>59.519999999999996</x:v>
      </x:c>
      <x:c r="Y241" t="n">
        <x: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x:f>
        <x:v>2694.626380340303</x:v>
      </x:c>
      <x:c r="Z241" t="n">
        <x:f>Scenario_Data!U241</x:f>
        <x:v>396.79999999999995</x:v>
      </x:c>
      <x:c r="AA241" t="n">
        <x: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x:f>
        <x:v>2629.588502569662</x:v>
      </x:c>
      <x:c r="AB241" t="n">
        <x:f>Scenario_Data!V241</x:f>
        <x:v>793.5999999999999</x:v>
      </x:c>
      <x:c r="AC241" t="n">
        <x: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x:f>
        <x:v>6568.286774941212</x:v>
      </x:c>
      <x:c r="AD241" t="n">
        <x:f>Scenario_Data!W241</x:f>
        <x:v>793.5999999999999</x:v>
      </x:c>
      <x:c r="AE241" t="n">
        <x: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x:f>
        <x:v>6567.223639456996</x:v>
      </x:c>
      <x:c r="AG241" t="n">
        <x:f>Scenario_Data!T241</x:f>
        <x:v>59.519999999999996</x:v>
      </x:c>
      <x:c r="AH241" t="n">
        <x:f>2*(SQRT((Inputs!$C$52+(Scenario_Data!B241))^2+Inputs!$C$52^2-2*(Inputs!$C$52+(Scenario_Data!B241))*Inputs!$C$52*COS(SQRT((Scenario_Data!T241)^2+Inputs!$C$6^2)/Inputs!$C$52))*1000)/Inputs!$C$21*1000000</x:f>
        <x:v>2737.746224109234</x:v>
      </x:c>
      <x:c r="AI241" t="n">
        <x:f>Scenario_Data!U241</x:f>
        <x:v>396.79999999999995</x:v>
      </x:c>
      <x:c r="AJ241" t="n">
        <x:f>2*(SQRT((Inputs!$C$52+(Scenario_Data!C241))^2+Inputs!$C$52^2-2*(Inputs!$C$52+(Scenario_Data!C241))*Inputs!$C$52*COS(SQRT((Scenario_Data!U241)^2+Inputs!$C$6^2)/Inputs!$C$52))*1000)/Inputs!$C$21*1000000</x:f>
        <x:v>3959.784666367032</x:v>
      </x:c>
      <x:c r="AK241" t="n">
        <x:f>Scenario_Data!V241</x:f>
        <x:v>793.5999999999999</x:v>
      </x:c>
      <x:c r="AL241" t="n">
        <x:f>2*(SQRT((Inputs!$C$52+(Scenario_Data!D241))^2+Inputs!$C$52^2-2*(Inputs!$C$52+(Scenario_Data!D241))*Inputs!$C$52*COS(SQRT((Scenario_Data!V241)^2+Inputs!$C$6^2)/Inputs!$C$52))*1000)/Inputs!$C$21*1000000</x:f>
        <x:v>9376.948806056138</x:v>
      </x:c>
      <x:c r="AM241" t="n">
        <x:f>Scenario_Data!W241</x:f>
        <x:v>793.5999999999999</x:v>
      </x:c>
      <x:c r="AN241" t="n">
        <x:f>2*(SQRT((Inputs!$C$52+(Scenario_Data!E241))^2+Inputs!$C$52^2-2*(Inputs!$C$52+(Scenario_Data!E241))*Inputs!$C$52*COS(SQRT((Scenario_Data!W241)^2+Inputs!$C$6^2)/Inputs!$C$52))*1000)/Inputs!$C$21*1000000</x:f>
        <x:v>9376.054593495282</x:v>
      </x:c>
      <x:c r="AP241" t="n">
        <x:f>Scenario_Data!T241</x:f>
        <x:v>59.519999999999996</x:v>
      </x:c>
      <x:c r="AQ241" t="n">
        <x: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x:f>
        <x:v>2736.577363887402</x:v>
      </x:c>
      <x:c r="AR241" t="n">
        <x:f>Scenario_Data!U241</x:f>
        <x:v>396.79999999999995</x:v>
      </x:c>
      <x:c r="AS241" t="n">
        <x: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x:f>
        <x:v>3959.1875965265394</x:v>
      </x:c>
      <x:c r="AT241" t="n">
        <x:f>Scenario_Data!V241</x:f>
        <x:v>793.5999999999999</x:v>
      </x:c>
      <x:c r="AU241" t="n">
        <x: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x:f>
        <x:v>9376.367521334943</x:v>
      </x:c>
      <x:c r="AV241" t="n">
        <x:f>Scenario_Data!W241</x:f>
        <x:v>793.5999999999999</x:v>
      </x:c>
      <x:c r="AW241" t="n">
        <x: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x:f>
        <x:v>9375.473375519701</x:v>
      </x:c>
    </x:row>
    <x:row r="242">
      <x:c r="A242" t="n">
        <x:f>Chart_Data!K242</x:f>
        <x:v>60</x:v>
      </x:c>
      <x:c r="B242" t="n">
        <x:f>Chart_Data!N242-Chart_Data!L242</x:f>
        <x:v>-35.49215422910294</x:v>
      </x:c>
      <x:c r="D242" t="n">
        <x:f>Chart_Data!G242</x:f>
        <x:v>60</x:v>
      </x:c>
      <x:c r="E242" t="n">
        <x:f>Chart_Data!H242</x:f>
        <x:v>179.34901119414707</x:v>
      </x:c>
      <x:c r="F242" t="n">
        <x:f>Chart_Data!I242</x:f>
        <x:v>179.34901119414707</x:v>
      </x:c>
      <x:c r="G242" t="n">
        <x:f>Chart_Data!J242</x:f>
        <x:v>31.89413090916895</x:v>
      </x:c>
      <x:c r="I242" t="n">
        <x:f>Scenario_Data!A242</x:f>
        <x:v>1</x:v>
      </x:c>
      <x:c r="J242" t="n">
        <x:f>Scenario_Data!H242-(((SQRT((Inputs!$C$52+(Inputs!$H$6))^2+Inputs!$C$52^2-2*(Inputs!$C$52+(Inputs!$H$6))*Inputs!$C$52*COS(SQRT((Scenario_Data!T242)^2+Inputs!$C$6^2)/Inputs!$C$52)))-(Inputs!$H$6))*1000/Inputs!$C$12)</x:f>
        <x:v>-28.60683575205121</x:v>
      </x:c>
      <x:c r="K242" t="n">
        <x:f>Scenario_Data!I242-(((SQRT((Inputs!$C$52+(Inputs!$H$7))^2+Inputs!$C$52^2-2*(Inputs!$C$52+(Inputs!$H$7))*Inputs!$C$52*COS(SQRT((Scenario_Data!U242)^2+Inputs!$C$6^2)/Inputs!$C$52)))-(Inputs!$H$7))*1000/Inputs!$C$12)</x:f>
        <x:v>-95550.6968246352</x:v>
      </x:c>
      <x:c r="L242" t="n">
        <x:f>Scenario_Data!J242-(((SQRT((Inputs!$C$52+(Inputs!$H$8))^2+Inputs!$C$52^2-2*(Inputs!$C$52+(Inputs!$H$8))*Inputs!$C$52*COS(SQRT((Scenario_Data!V242)^2+Inputs!$C$6^2)/Inputs!$C$52)))-(Inputs!$H$8))*1000/Inputs!$C$12)</x:f>
        <x:v>-192178.91313344726</x:v>
      </x:c>
      <x:c r="M242" t="n">
        <x:f>Scenario_Data!K242-(((SQRT((Inputs!$C$52+(Inputs!$H$9))^2+Inputs!$C$52^2-2*(Inputs!$C$52+(Inputs!$H$9))*Inputs!$C$52*COS(SQRT((Scenario_Data!W242)^2+Inputs!$C$6^2)/Inputs!$C$52)))-(Inputs!$H$9))*1000/Inputs!$C$12)</x:f>
        <x:v>-196175.94007289349</x:v>
      </x:c>
      <x:c r="O242" t="n">
        <x:f>Scenario_Data!T242</x:f>
        <x:v>60</x:v>
      </x:c>
      <x:c r="P242" t="n">
        <x:f>2*(Scenario_Data!B242*1000)/Inputs!$C$21*1000000</x:f>
        <x:v>2695.1978892010684</x:v>
      </x:c>
      <x:c r="Q242" t="n">
        <x:f>Scenario_Data!U242</x:f>
        <x:v>400</x:v>
      </x:c>
      <x:c r="R242" t="n">
        <x:f>2*(Scenario_Data!C242*1000)/Inputs!$C$21*1000000</x:f>
        <x:v>2668.5127615852166</x:v>
      </x:c>
      <x:c r="S242" t="n">
        <x:f>Scenario_Data!V242</x:f>
        <x:v>800</x:v>
      </x:c>
      <x:c r="T242" t="n">
        <x:f>2*(Scenario_Data!D242*1000)/Inputs!$C$21*1000000</x:f>
        <x:v>6671.281903963041</x:v>
      </x:c>
      <x:c r="U242" t="n">
        <x:f>Scenario_Data!W242</x:f>
        <x:v>800</x:v>
      </x:c>
      <x:c r="V242" t="n">
        <x:f>2*(Scenario_Data!E242*1000)/Inputs!$C$21*1000000</x:f>
        <x:v>6671.281903963041</x:v>
      </x:c>
      <x:c r="X242" t="n">
        <x:f>Scenario_Data!T242</x:f>
        <x:v>60</x:v>
      </x:c>
      <x:c r="Y242" t="n">
        <x: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x:f>
        <x:v>2694.9851144626914</x:v>
      </x:c>
      <x:c r="Z242" t="n">
        <x:f>Scenario_Data!U242</x:f>
        <x:v>400</x:v>
      </x:c>
      <x:c r="AA242" t="n">
        <x: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x:f>
        <x:v>2668.3506217177696</x:v>
      </x:c>
      <x:c r="AB242" t="n">
        <x:f>Scenario_Data!V242</x:f>
        <x:v>800</x:v>
      </x:c>
      <x:c r="AC242" t="n">
        <x: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x:f>
        <x:v>6670.970351393162</x:v>
      </x:c>
      <x:c r="AD242" t="n">
        <x:f>Scenario_Data!W242</x:f>
        <x:v>800</x:v>
      </x:c>
      <x:c r="AE242" t="n">
        <x: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x:f>
        <x:v>6670.970351393162</x:v>
      </x:c>
      <x:c r="AG242" t="n">
        <x:f>Scenario_Data!T242</x:f>
        <x:v>60</x:v>
      </x:c>
      <x:c r="AH242" t="n">
        <x:f>2*(SQRT((Inputs!$C$52+(Scenario_Data!B242))^2+Inputs!$C$52^2-2*(Inputs!$C$52+(Scenario_Data!B242))*Inputs!$C$52*COS(SQRT((Scenario_Data!T242)^2+Inputs!$C$6^2)/Inputs!$C$52))*1000)/Inputs!$C$21*1000000</x:f>
        <x:v>2738.7528797589603</x:v>
      </x:c>
      <x:c r="AI242" t="n">
        <x:f>Scenario_Data!U242</x:f>
        <x:v>400</x:v>
      </x:c>
      <x:c r="AJ242" t="n">
        <x:f>2*(SQRT((Inputs!$C$52+(Scenario_Data!C242))^2+Inputs!$C$52^2-2*(Inputs!$C$52+(Scenario_Data!C242))*Inputs!$C$52*COS(SQRT((Scenario_Data!U242)^2+Inputs!$C$6^2)/Inputs!$C$52))*1000)/Inputs!$C$21*1000000</x:f>
        <x:v>4006.5669904921833</x:v>
      </x:c>
      <x:c r="AK242" t="n">
        <x:f>Scenario_Data!V242</x:f>
        <x:v>800</x:v>
      </x:c>
      <x:c r="AL242" t="n">
        <x:f>2*(SQRT((Inputs!$C$52+(Scenario_Data!D242))^2+Inputs!$C$52^2-2*(Inputs!$C$52+(Scenario_Data!D242))*Inputs!$C$52*COS(SQRT((Scenario_Data!V242)^2+Inputs!$C$6^2)/Inputs!$C$52))*1000)/Inputs!$C$21*1000000</x:f>
        <x:v>9500.98992327336</x:v>
      </x:c>
      <x:c r="AM242" t="n">
        <x:f>Scenario_Data!W242</x:f>
        <x:v>800</x:v>
      </x:c>
      <x:c r="AN242" t="n">
        <x:f>2*(SQRT((Inputs!$C$52+(Scenario_Data!E242))^2+Inputs!$C$52^2-2*(Inputs!$C$52+(Scenario_Data!E242))*Inputs!$C$52*COS(SQRT((Scenario_Data!W242)^2+Inputs!$C$6^2)/Inputs!$C$52))*1000)/Inputs!$C$21*1000000</x:f>
        <x:v>9500.98992327336</x:v>
      </x:c>
      <x:c r="AP242" t="n">
        <x:f>Scenario_Data!T242</x:f>
        <x:v>60</x:v>
      </x:c>
      <x:c r="AQ242" t="n">
        <x: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x:f>
        <x:v>2737.580395373951</x:v>
      </x:c>
      <x:c r="AR242" t="n">
        <x:f>Scenario_Data!U242</x:f>
        <x:v>400</x:v>
      </x:c>
      <x:c r="AS242" t="n">
        <x: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x:f>
        <x:v>4005.8185439109393</x:v>
      </x:c>
      <x:c r="AT242" t="n">
        <x:f>Scenario_Data!V242</x:f>
        <x:v>800</x:v>
      </x:c>
      <x:c r="AU242" t="n">
        <x: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x:f>
        <x:v>9500.459003101661</x:v>
      </x:c>
      <x:c r="AV242" t="n">
        <x:f>Scenario_Data!W242</x:f>
        <x:v>800</x:v>
      </x:c>
      <x:c r="AW242" t="n">
        <x: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x:f>
        <x:v>9500.459003101661</x:v>
      </x:c>
    </x:row>
    <x:row r="245">
      <x:c r="A245" t="n">
        <x:f t="shared" ref="A245:A308" si="0">I2</x:f>
        <x:v>-1</x:v>
      </x:c>
      <x:c r="B245" t="n">
        <x:f t="shared" ref="B245:B308" si="1">J2</x:f>
        <x:v>-28.60683575205121</x:v>
      </x:c>
      <x:c r="C245" t="n">
        <x:f t="shared" ref="C245:C308" si="2">K2</x:f>
        <x:v>-95550.6968246352</x:v>
      </x:c>
      <x:c r="D245" t="n">
        <x:f t="shared" ref="D245:D308" si="3">L2</x:f>
        <x:v>-192178.91313344726</x:v>
      </x:c>
      <x:c r="E245" t="n">
        <x:f t="shared" ref="E245:E308" si="4">M2</x:f>
        <x:v>-196175.94007289349</x:v>
      </x:c>
    </x:row>
    <x:row r="246">
      <x:c r="A246">
        <x:f t="shared" si="0"/>
        <x:v>-0.99199999999999999</x:v>
      </x:c>
      <x:c r="B246">
        <x:f t="shared" si="1"/>
        <x:v>-27.782863149590867</x:v>
      </x:c>
      <x:c r="C246">
        <x:f t="shared" si="2"/>
        <x:v>-94429.872930648315</x:v>
      </x:c>
      <x:c r="D246">
        <x:f t="shared" si="3"/>
        <x:v>-190472.55314770035</x:v>
      </x:c>
      <x:c r="E246">
        <x:f t="shared" si="4"/>
        <x:v>-194464.73837065243</x:v>
      </x:c>
    </x:row>
    <x:row r="247">
      <x:c r="A247">
        <x:f t="shared" si="0"/>
        <x:v>-0.98299999999999998</x:v>
      </x:c>
      <x:c r="B247">
        <x:f t="shared" si="1"/>
        <x:v>-26.877434485224512</x:v>
      </x:c>
      <x:c r="C247">
        <x:f t="shared" si="2"/>
        <x:v>-93169.450020823468</x:v>
      </x:c>
      <x:c r="D247">
        <x:f t="shared" si="3"/>
        <x:v>-188542.34891493866</x:v>
      </x:c>
      <x:c r="E247">
        <x:f t="shared" si="4"/>
        <x:v>-192528.7589427015</x:v>
      </x:c>
    </x:row>
    <x:row r="248">
      <x:c r="A248">
        <x:f t="shared" si="0"/>
        <x:v>-0.97499999999999998</x:v>
      </x:c>
      <x:c r="B248">
        <x:f t="shared" si="1"/>
        <x:v>-26.091469511469313</x:v>
      </x:c>
      <x:c r="C248">
        <x:f t="shared" si="2"/>
        <x:v>-92049.599695208031</x:v>
      </x:c>
      <x:c r="D248">
        <x:f t="shared" si="3"/>
        <x:v>-186817.33873453335</x:v>
      </x:c>
      <x:c r="E248">
        <x:f t="shared" si="4"/>
        <x:v>-190798.31818207764</x:v>
      </x:c>
    </x:row>
    <x:row r="249">
      <x:c r="A249">
        <x:f t="shared" si="0"/>
        <x:v>-0.96699999999999997</x:v>
      </x:c>
      <x:c r="B249">
        <x:f t="shared" si="1"/>
        <x:v>-25.322987391846254</x:v>
      </x:c>
      <x:c r="C249">
        <x:f t="shared" si="2"/>
        <x:v>-90930.318556275248</x:v>
      </x:c>
      <x:c r="D249">
        <x:f t="shared" si="3"/>
        <x:v>-185083.70199145679</x:v>
      </x:c>
      <x:c r="E249">
        <x:f t="shared" si="4"/>
        <x:v>-189058.96620570074</x:v>
      </x:c>
    </x:row>
    <x:row r="250">
      <x:c r="A250">
        <x:f t="shared" si="0"/>
        <x:v>-0.95799999999999996</x:v>
      </x:c>
      <x:c r="B250">
        <x:f t="shared" si="1"/>
        <x:v>-24.47902381513677</x:v>
      </x:c>
      <x:c r="C250">
        <x:f t="shared" si="2"/>
        <x:v>-89671.898520797025</x:v>
      </x:c>
      <x:c r="D250">
        <x:f t="shared" si="3"/>
        <x:v>-183123.17397563407</x:v>
      </x:c>
      <x:c r="E250">
        <x:f t="shared" si="4"/>
        <x:v>-187091.66215917454</x:v>
      </x:c>
    </x:row>
    <x:row r="251">
      <x:c r="A251">
        <x:f t="shared" si="0"/>
        <x:v>-0.95</x:v>
      </x:c>
      <x:c r="B251">
        <x:f t="shared" si="1"/>
        <x:v>-23.746844660086936</x:v>
      </x:c>
      <x:c r="C251">
        <x:f t="shared" si="2"/>
        <x:v>-88554.070883643246</x:v>
      </x:c>
      <x:c r="D251">
        <x:f t="shared" si="3"/>
        <x:v>-181371.54200338566</x:v>
      </x:c>
      <x:c r="E251">
        <x:f t="shared" si="4"/>
        <x:v>-185333.69359371395</x:v>
      </x:c>
    </x:row>
    <x:row r="252">
      <x:c r="A252">
        <x:f t="shared" si="0"/>
        <x:v>-0.94199999999999995</x:v>
      </x:c>
      <x:c r="B252">
        <x:f t="shared" si="1"/>
        <x:v>-23.031353320222479</x:v>
      </x:c>
      <x:c r="C252">
        <x:f t="shared" si="2"/>
        <x:v>-87437.045115058572</x:v>
      </x:c>
      <x:c r="D252">
        <x:f t="shared" si="3"/>
        <x:v>-179611.60663962277</x:v>
      </x:c>
      <x:c r="E252">
        <x:f t="shared" si="4"/>
        <x:v>-183567.12131353328</x:v>
      </x:c>
    </x:row>
    <x:row r="253">
      <x:c r="A253">
        <x:f t="shared" si="0"/>
        <x:v>-0.93300000000000005</x:v>
      </x:c>
      <x:c r="B253">
        <x:f t="shared" si="1"/>
        <x:v>-22.246059825895372</x:v>
      </x:c>
      <x:c r="C253">
        <x:f t="shared" si="2"/>
        <x:v>-86181.446082973955</x:v>
      </x:c>
      <x:c r="D253">
        <x:f t="shared" si="3"/>
        <x:v>-177621.89133436125</x:v>
      </x:c>
      <x:c r="E253">
        <x:f t="shared" si="4"/>
        <x:v>-181569.57405040326</x:v>
      </x:c>
    </x:row>
    <x:row r="254">
      <x:c r="A254">
        <x:f t="shared" si="0"/>
        <x:v>-0.92500000000000004</x:v>
      </x:c>
      <x:c r="B254">
        <x:f t="shared" si="1"/>
        <x:v>-21.565197447271657</x:v>
      </x:c>
      <x:c r="C254">
        <x:f t="shared" si="2"/>
        <x:v>-85066.383249791965</x:v>
      </x:c>
      <x:c r="D254">
        <x:f t="shared" si="3"/>
        <x:v>-175844.68076899392</x:v>
      </x:c>
      <x:c r="E254">
        <x:f t="shared" si="4"/>
        <x:v>-179785.07110087413</x:v>
      </x:c>
    </x:row>
    <x:row r="255">
      <x:c r="A255">
        <x:f t="shared" si="0"/>
        <x:v>-0.91700000000000004</x:v>
      </x:c>
      <x:c r="B255">
        <x:f t="shared" si="1"/>
        <x:v>-20.900242486699881</x:v>
      </x:c>
      <x:c r="C255">
        <x:f t="shared" si="2"/>
        <x:v>-83952.369247370851</x:v>
      </x:c>
      <x:c r="D255">
        <x:f t="shared" si="3"/>
        <x:v>-174059.5218997983</x:v>
      </x:c>
      <x:c r="E255">
        <x:f t="shared" si="4"/>
        <x:v>-177992.30309147586</x:v>
      </x:c>
    </x:row>
    <x:row r="256">
      <x:c r="A256">
        <x:f t="shared" si="0"/>
        <x:v>-0.90800000000000003</x:v>
      </x:c>
      <x:c r="B256">
        <x:f t="shared" si="1"/>
        <x:v>-20.170875551412792</x:v>
      </x:c>
      <x:c r="C256">
        <x:f t="shared" si="2"/>
        <x:v>-82700.459556477203</x:v>
      </x:c>
      <x:c r="D256">
        <x:f t="shared" si="3"/>
        <x:v>-172041.86803726538</x:v>
      </x:c>
      <x:c r="E256">
        <x:f t="shared" si="4"/>
        <x:v>-175965.70357183547</x:v>
      </x:c>
    </x:row>
    <x:row r="257">
      <x:c r="A257">
        <x:f t="shared" si="0"/>
        <x:v>-0.9</x:v>
      </x:c>
      <x:c r="B257">
        <x:f t="shared" si="1"/>
        <x:v>-19.538907124212074</x:v>
      </x:c>
      <x:c r="C257">
        <x:f t="shared" si="2"/>
        <x:v>-81588.949134183073</x:v>
      </x:c>
      <x:c r="D257">
        <x:f t="shared" si="3"/>
        <x:v>-170240.22471774745</x:v>
      </x:c>
      <x:c r="E257">
        <x:f t="shared" si="4"/>
        <x:v>-174155.75991096892</x:v>
      </x:c>
    </x:row>
    <x:row r="258">
      <x:c r="A258">
        <x:f t="shared" si="0"/>
        <x:v>-0.89200000000000002</x:v>
      </x:c>
      <x:c r="B258">
        <x:f t="shared" si="1"/>
        <x:v>-18.922080788589938</x:v>
      </x:c>
      <x:c r="C258">
        <x:f t="shared" si="2"/>
        <x:v>-80478.749607010104</x:v>
      </x:c>
      <x:c r="D258">
        <x:f t="shared" si="3"/>
        <x:v>-168431.02288308332</x:v>
      </x:c>
      <x:c r="E258">
        <x:f t="shared" si="4"/>
        <x:v>-172337.9237806311</x:v>
      </x:c>
    </x:row>
    <x:row r="259">
      <x:c r="A259">
        <x:f t="shared" si="0"/>
        <x:v>-0.88300000000000001</x:v>
      </x:c>
      <x:c r="B259">
        <x:f t="shared" si="1"/>
        <x:v>-18.245949870930872</x:v>
      </x:c>
      <x:c r="C259">
        <x:f t="shared" si="2"/>
        <x:v>-79231.450693104227</x:v>
      </x:c>
      <x:c r="D259">
        <x:f t="shared" si="3"/>
        <x:v>-166386.80122569614</x:v>
      </x:c>
      <x:c r="E259">
        <x:f t="shared" si="4"/>
        <x:v>-170283.58230501943</x:v>
      </x:c>
    </x:row>
    <x:row r="260">
      <x:c r="A260">
        <x:f t="shared" si="0"/>
        <x:v>-0.875</x:v>
      </x:c>
      <x:c r="B260">
        <x:f t="shared" si="1"/>
        <x:v>-17.660500113955095</x:v>
      </x:c>
      <x:c r="C260">
        <x:f t="shared" si="2"/>
        <x:v>-78124.328383369575</x:v>
      </x:c>
      <x:c r="D260">
        <x:f t="shared" si="3"/>
        <x:v>-164561.98259931064</x:v>
      </x:c>
      <x:c r="E260">
        <x:f t="shared" si="4"/>
        <x:v>-168449.40082622971</x:v>
      </x:c>
    </x:row>
    <x:row r="261">
      <x:c r="A261">
        <x:f t="shared" si="0"/>
        <x:v>-0.86699999999999999</x:v>
      </x:c>
      <x:c r="B261">
        <x:f t="shared" si="1"/>
        <x:v>-17.089442616799715</x:v>
      </x:c>
      <x:c r="C261">
        <x:f t="shared" si="2"/>
        <x:v>-77018.794989844479</x:v>
      </x:c>
      <x:c r="D261">
        <x:f t="shared" si="3"/>
        <x:v>-162730.03298707734</x:v>
      </x:c>
      <x:c r="E261">
        <x:f t="shared" si="4"/>
        <x:v>-166607.7364499004</x:v>
      </x:c>
    </x:row>
    <x:row r="262">
      <x:c r="A262">
        <x:f t="shared" si="0"/>
        <x:v>-0.85799999999999998</x:v>
      </x:c>
      <x:c r="B262">
        <x:f t="shared" si="1"/>
        <x:v>-16.463911639531943</x:v>
      </x:c>
      <x:c r="C262">
        <x:f t="shared" si="2"/>
        <x:v>-75777.084390837015</x:v>
      </x:c>
      <x:c r="D262">
        <x:f t="shared" si="3"/>
        <x:v>-160660.74701629789</x:v>
      </x:c>
      <x:c r="E262">
        <x:f t="shared" si="4"/>
        <x:v>-164527.09337077424</x:v>
      </x:c>
    </x:row>
    <x:row r="263">
      <x:c r="A263">
        <x:f t="shared" si="0"/>
        <x:v>-0.85</x:v>
      </x:c>
      <x:c r="B263">
        <x:f t="shared" si="1"/>
        <x:v>-15.922654129073635</x:v>
      </x:c>
      <x:c r="C263">
        <x:f t="shared" si="2"/>
        <x:v>-74675.236694186082</x:v>
      </x:c>
      <x:c r="D263">
        <x:f t="shared" si="3"/>
        <x:v>-158814.13192459266</x:v>
      </x:c>
      <x:c r="E263">
        <x:f t="shared" si="4"/>
        <x:v>-162669.99600543149</x:v>
      </x:c>
    </x:row>
    <x:row r="264">
      <x:c r="A264">
        <x:f t="shared" si="0"/>
        <x:v>-0.84199999999999997</x:v>
      </x:c>
      <x:c r="B264">
        <x:f t="shared" si="1"/>
        <x:v>-15.39505495210642</x:v>
      </x:c>
      <x:c r="C264">
        <x:f t="shared" si="2"/>
        <x:v>-73575.272777374339</x:v>
      </x:c>
      <x:c r="D264">
        <x:f t="shared" si="3"/>
        <x:v>-156960.85443111646</x:v>
      </x:c>
      <x:c r="E264">
        <x:f t="shared" si="4"/>
        <x:v>-160805.86562780707</x:v>
      </x:c>
    </x:row>
    <x:row r="265">
      <x:c r="A265">
        <x:f t="shared" si="0"/>
        <x:v>-0.83299999999999996</x:v>
      </x:c>
      <x:c r="B265">
        <x:f t="shared" si="1"/>
        <x:v>-14.817543761564139</x:v>
      </x:c>
      <x:c r="C265">
        <x:f t="shared" si="2"/>
        <x:v>-72340.187247200418</x:v>
      </x:c>
      <x:c r="D265">
        <x:f t="shared" si="3"/>
        <x:v>-154868.15200145353</x:v>
      </x:c>
      <x:c r="E265">
        <x:f t="shared" si="4"/>
        <x:v>-158700.50306586787</x:v>
      </x:c>
    </x:row>
    <x:row r="266">
      <x:c r="A266">
        <x:f t="shared" si="0"/>
        <x:v>-0.82499999999999996</x:v>
      </x:c>
      <x:c r="B266">
        <x:f t="shared" si="1"/>
        <x:v>-14.318202220481453</x:v>
      </x:c>
      <x:c r="C266">
        <x:f t="shared" si="2"/>
        <x:v>-71244.554262802048</x:v>
      </x:c>
      <x:c r="D266">
        <x:f t="shared" si="3"/>
        <x:v>-153001.25134490427</x:v>
      </x:c>
      <x:c r="E266">
        <x:f t="shared" si="4"/>
        <x:v>-156821.9415170548</x:v>
      </x:c>
    </x:row>
    <x:row r="267">
      <x:c r="A267">
        <x:f t="shared" si="0"/>
        <x:v>-0.81699999999999995</x:v>
      </x:c>
      <x:c r="B267">
        <x:f t="shared" si="1"/>
        <x:v>-13.831801402375277</x:v>
      </x:c>
      <x:c r="C267">
        <x:f t="shared" si="2"/>
        <x:v>-70151.117679492658</x:v>
      </x:c>
      <x:c r="D267">
        <x:f t="shared" si="3"/>
        <x:v>-151128.20153368788</x:v>
      </x:c>
      <x:c r="E267">
        <x:f t="shared" si="4"/>
        <x:v>-154936.84079418762</x:v>
      </x:c>
    </x:row>
    <x:row r="268">
      <x:c r="A268">
        <x:f t="shared" si="0"/>
        <x:v>-0.80800000000000005</x:v>
      </x:c>
      <x:c r="B268">
        <x:f t="shared" si="1"/>
        <x:v>-13.299787208880844</x:v>
      </x:c>
      <x:c r="C268">
        <x:f t="shared" si="2"/>
        <x:v>-68923.75640485117</x:v>
      </x:c>
      <x:c r="D268">
        <x:f t="shared" si="3"/>
        <x:v>-149013.88756056636</x:v>
      </x:c>
      <x:c r="E268">
        <x:f t="shared" si="4"/>
        <x:v>-152808.49543699686</x:v>
      </x:c>
    </x:row>
    <x:row r="269">
      <x:c r="A269">
        <x:f t="shared" si="0"/>
        <x:v>-0.8</x:v>
      </x:c>
      <x:c r="B269">
        <x:f t="shared" si="1"/>
        <x:v>-12.840136776974759</x:v>
      </x:c>
      <x:c r="C269">
        <x:f t="shared" si="2"/>
        <x:v>-67835.334719187129</x:v>
      </x:c>
      <x:c r="D269">
        <x:f t="shared" si="3"/>
        <x:v>-147128.35590287362</x:v>
      </x:c>
      <x:c r="E269">
        <x:f t="shared" si="4"/>
        <x:v>-150910.062898851</x:v>
      </x:c>
    </x:row>
    <x:row r="270">
      <x:c r="A270">
        <x:f t="shared" si="0"/>
        <x:v>-0.79200000000000004</x:v>
      </x:c>
      <x:c r="B270">
        <x:f t="shared" si="1"/>
        <x:v>-12.392726180069985</x:v>
      </x:c>
      <x:c r="C270">
        <x:f t="shared" si="2"/>
        <x:v>-66749.440755261443</x:v>
      </x:c>
      <x:c r="D270">
        <x:f t="shared" si="3"/>
        <x:v>-145237.23692226937</x:v>
      </x:c>
      <x:c r="E270">
        <x:f t="shared" si="4"/>
        <x:v>-149005.63294747777</x:v>
      </x:c>
    </x:row>
    <x:row r="271">
      <x:c r="A271">
        <x:f t="shared" si="0"/>
        <x:v>-0.78300000000000003</x:v>
      </x:c>
      <x:c r="B271">
        <x:f t="shared" si="1"/>
        <x:v>-11.903744966717568</x:v>
      </x:c>
      <x:c r="C271">
        <x:f t="shared" si="2"/>
        <x:v>-65530.968666103829</x:v>
      </x:c>
      <x:c r="D271">
        <x:f t="shared" si="3"/>
        <x:v>-143103.2871715021</x:v>
      </x:c>
      <x:c r="E271">
        <x:f t="shared" si="4"/>
        <x:v>-146856.21000814714</x:v>
      </x:c>
    </x:row>
    <x:row r="272">
      <x:c r="A272">
        <x:f t="shared" si="0"/>
        <x:v>-0.77500000000000002</x:v>
      </x:c>
      <x:c r="B272">
        <x:f t="shared" si="1"/>
        <x:v>-11.481613456182458</x:v>
      </x:c>
      <x:c r="C272">
        <x:f t="shared" si="2"/>
        <x:v>-64450.814321778293</x:v>
      </x:c>
      <x:c r="D272">
        <x:f t="shared" si="3"/>
        <x:v>-141200.93534309621</x:v>
      </x:c>
      <x:c r="E272">
        <x:f t="shared" si="4"/>
        <x:v>-144939.65393967155</x:v>
      </x:c>
    </x:row>
    <x:row r="273">
      <x:c r="A273">
        <x:f t="shared" si="0"/>
        <x:v>-0.76700000000000002</x:v>
      </x:c>
      <x:c r="B273">
        <x:f t="shared" si="1"/>
        <x:v>-11.071038001998204</x:v>
      </x:c>
      <x:c r="C273">
        <x:f t="shared" si="2"/>
        <x:v>-63373.538684469939</x:v>
      </x:c>
      <x:c r="D273">
        <x:f t="shared" si="3"/>
        <x:v>-139293.61086167698</x:v>
      </x:c>
      <x:c r="E273">
        <x:f t="shared" si="4"/>
        <x:v>-143017.69446274094</x:v>
      </x:c>
    </x:row>
    <x:row r="274">
      <x:c r="A274">
        <x:f t="shared" si="0"/>
        <x:v>-0.75800000000000001</x:v>
      </x:c>
      <x:c r="B274">
        <x:f t="shared" si="1"/>
        <x:v>-10.622685923482095</x:v>
      </x:c>
      <x:c r="C274">
        <x:f t="shared" si="2"/>
        <x:v>-62165.189846866764</x:v>
      </x:c>
      <x:c r="D274">
        <x:f t="shared" si="3"/>
        <x:v>-137142.18690545231</x:v>
      </x:c>
      <x:c r="E274">
        <x:f t="shared" si="4"/>
        <x:v>-140849.28287495419</x:v>
      </x:c>
    </x:row>
    <x:row r="275">
      <x:c r="A275">
        <x:f t="shared" si="0"/>
        <x:v>-0.75</x:v>
      </x:c>
      <x:c r="B275">
        <x:f t="shared" si="1"/>
        <x:v>-10.235955038383963</x:v>
      </x:c>
      <x:c r="C275">
        <x:f t="shared" si="2"/>
        <x:v>-61094.421380709784</x:v>
      </x:c>
      <x:c r="D275">
        <x:f t="shared" si="3"/>
        <x:v>-135224.99566257387</x:v>
      </x:c>
      <x:c r="E275">
        <x:f t="shared" si="4"/>
        <x:v>-138916.51889518261</x:v>
      </x:c>
    </x:row>
    <x:row r="276">
      <x:c r="A276">
        <x:f t="shared" si="0"/>
        <x:v>-0.74199999999999999</x:v>
      </x:c>
      <x:c r="B276">
        <x:f t="shared" si="1"/>
        <x:v>-9.8601139367465294</x:v>
      </x:c>
      <x:c r="C276">
        <x:f t="shared" si="2"/>
        <x:v>-60026.903256236488</x:v>
      </x:c>
      <x:c r="D276">
        <x:f t="shared" si="3"/>
        <x:v>-133303.50387707393</x:v>
      </x:c>
      <x:c r="E276">
        <x:f t="shared" si="4"/>
        <x:v>-136979.00244933416</x:v>
      </x:c>
    </x:row>
    <x:row r="277">
      <x:c r="A277">
        <x:f t="shared" si="0"/>
        <x:v>-0.73299999999999998</x:v>
      </x:c>
      <x:c r="B277">
        <x:f t="shared" si="1"/>
        <x:v>-9.4500486732272293</x:v>
      </x:c>
      <x:c r="C277">
        <x:f t="shared" si="2"/>
        <x:v>-58829.984333780361</x:v>
      </x:c>
      <x:c r="D277">
        <x:f t="shared" si="3"/>
        <x:v>-131136.96927609117</x:v>
      </x:c>
      <x:c r="E277">
        <x:f t="shared" si="4"/>
        <x:v>-134793.89137103801</x:v>
      </x:c>
    </x:row>
    <x:row r="278">
      <x:c r="A278">
        <x:f t="shared" si="0"/>
        <x:v>-0.72499999999999998</x:v>
      </x:c>
      <x:c r="B278">
        <x:f t="shared" si="1"/>
        <x:v>-9.0966552194690848</x:v>
      </x:c>
      <x:c r="C278">
        <x:f t="shared" si="2"/>
        <x:v>-57769.785871170316</x:v>
      </x:c>
      <x:c r="D278">
        <x:f t="shared" si="3"/>
        <x:v>-129207.10406628711</x:v>
      </x:c>
      <x:c r="E278">
        <x:f t="shared" si="4"/>
        <x:v>-132847.0183380536</x:v>
      </x:c>
    </x:row>
    <x:row r="279">
      <x:c r="A279">
        <x:f t="shared" si="0"/>
        <x:v>-0.71699999999999997</x:v>
      </x:c>
      <x:c r="B279">
        <x:f t="shared" si="1"/>
        <x:v>-8.7535031569864259</x:v>
      </x:c>
      <x:c r="C279">
        <x:f t="shared" si="2"/>
        <x:v>-56713.231033901451</x:v>
      </x:c>
      <x:c r="D279">
        <x:f t="shared" si="3"/>
        <x:v>-127273.6728305979</x:v>
      </x:c>
      <x:c r="E279">
        <x:f t="shared" si="4"/>
        <x:v>-130896.10580357295</x:v>
      </x:c>
    </x:row>
    <x:row r="280">
      <x:c r="A280">
        <x:f t="shared" si="0"/>
        <x:v>-0.70799999999999996</x:v>
      </x:c>
      <x:c r="B280">
        <x:f t="shared" si="1"/>
        <x:v>-8.379445258978194</x:v>
      </x:c>
      <x:c r="C280">
        <x:f t="shared" si="2"/>
        <x:v>-55529.124801208105</x:v>
      </x:c>
      <x:c r="D280">
        <x:f t="shared" si="3"/>
        <x:v>-125094.61059367191</x:v>
      </x:c>
      <x:c r="E280">
        <x:f t="shared" si="4"/>
        <x:v>-128696.80249462565</x:v>
      </x:c>
    </x:row>
    <x:row r="281">
      <x:c r="A281">
        <x:f t="shared" si="0"/>
        <x:v>-0.7</x:v>
      </x:c>
      <x:c r="B281">
        <x:f t="shared" si="1"/>
        <x:v>-8.0573823215368066</x:v>
      </x:c>
      <x:c r="C281">
        <x:f t="shared" si="2"/>
        <x:v>-54480.749191198192</x:v>
      </x:c>
      <x:c r="D281">
        <x:f t="shared" si="3"/>
        <x:v>-123154.43747008915</x:v>
      </x:c>
      <x:c r="E281">
        <x:f t="shared" si="4"/>
        <x:v>-126738.11882360443</x:v>
      </x:c>
    </x:row>
    <x:row r="282">
      <x:c r="A282">
        <x:f t="shared" si="0"/>
        <x:v>-0.69199999999999995</x:v>
      </x:c>
      <x:c r="B282">
        <x:f t="shared" si="1"/>
        <x:v>-7.7449306373637228</x:v>
      </x:c>
      <x:c r="C282">
        <x:f t="shared" si="2"/>
        <x:v>-53436.433148204567</x:v>
      </x:c>
      <x:c r="D282">
        <x:f t="shared" si="3"/>
        <x:v>-121211.50058427514</x:v>
      </x:c>
      <x:c r="E282">
        <x:f t="shared" si="4"/>
        <x:v>-124776.17612891932</x:v>
      </x:c>
    </x:row>
    <x:row r="283">
      <x:c r="A283">
        <x:f t="shared" si="0"/>
        <x:v>-0.68300000000000005</x:v>
      </x:c>
      <x:c r="B283">
        <x:f t="shared" si="1"/>
        <x:v>-7.4046648244461721</x:v>
      </x:c>
      <x:c r="C283">
        <x:f t="shared" si="2"/>
        <x:v>-52266.602037422461</x:v>
      </x:c>
      <x:c r="D283">
        <x:f t="shared" si="3"/>
        <x:v>-119022.73194468833</x:v>
      </x:c>
      <x:c r="E283">
        <x:f t="shared" si="4"/>
        <x:v>-122565.42525707473</x:v>
      </x:c>
    </x:row>
    <x:row r="284">
      <x:c r="A284">
        <x:f t="shared" si="0"/>
        <x:v>-0.67500000000000004</x:v>
      </x:c>
      <x:c r="B284">
        <x:f t="shared" si="1"/>
        <x:v>-7.1119829201097673</x:v>
      </x:c>
      <x:c r="C284">
        <x:f t="shared" si="2"/>
        <x:v>-51231.374010913656</x:v>
      </x:c>
      <x:c r="D284">
        <x:f t="shared" si="3"/>
        <x:v>-117074.83465957025</x:v>
      </x:c>
      <x:c r="E284">
        <x:f t="shared" si="4"/>
        <x:v>-120597.44652148281</x:v>
      </x:c>
    </x:row>
    <x:row r="285">
      <x:c r="A285">
        <x:f t="shared" si="0"/>
        <x:v>-0.66700000000000004</x:v>
      </x:c>
      <x:c r="B285">
        <x:f t="shared" si="1"/>
        <x:v>-6.8283007484997142</x:v>
      </x:c>
      <x:c r="C285">
        <x:f t="shared" si="2"/>
        <x:v>-50200.645163369758</x:v>
      </x:c>
      <x:c r="D285">
        <x:f t="shared" si="3"/>
        <x:v>-115125.04934461683</x:v>
      </x:c>
      <x:c r="E285">
        <x:f t="shared" si="4"/>
        <x:v>-118627.06266188383</x:v>
      </x:c>
    </x:row>
    <x:row r="286">
      <x:c r="A286">
        <x:f t="shared" si="0"/>
        <x:v>-0.65800000000000003</x:v>
      </x:c>
      <x:c r="B286">
        <x:f t="shared" si="1"/>
        <x:v>-6.5196771902137698</x:v>
      </x:c>
      <x:c r="C286">
        <x:f t="shared" si="2"/>
        <x:v>-49046.634821965388</x:v>
      </x:c>
      <x:c r="D286">
        <x:f t="shared" si="3"/>
        <x:v>-112929.65387596696</x:v>
      </x:c>
      <x:c r="E286">
        <x:f t="shared" si="4"/>
        <x:v>-116407.86707581821</x:v>
      </x:c>
    </x:row>
    <x:row r="287">
      <x:c r="A287">
        <x:f t="shared" si="0"/>
        <x:v>-0.65</x:v>
      </x:c>
      <x:c r="B287">
        <x:f t="shared" si="1"/>
        <x:v>-6.2544853914218947</x:v>
      </x:c>
      <x:c r="C287">
        <x:f t="shared" si="2"/>
        <x:v>-48025.954152811115</x:v>
      </x:c>
      <x:c r="D287">
        <x:f t="shared" si="3"/>
        <x:v>-110976.85216755129</x:v>
      </x:c>
      <x:c r="E287">
        <x:f t="shared" si="4"/>
        <x:v>-114433.34492030981</x:v>
      </x:c>
    </x:row>
    <x:row r="288">
      <x:c r="A288">
        <x:f t="shared" si="0"/>
        <x:v>-0.64200000000000002</x:v>
      </x:c>
      <x:c r="B288">
        <x:f t="shared" si="1"/>
        <x:v>-5.9977007769762167</x:v>
      </x:c>
      <x:c r="C288">
        <x:f t="shared" si="2"/>
        <x:v>-47010.236953450076</x:v>
      </x:c>
      <x:c r="D288">
        <x:f t="shared" si="3"/>
        <x:v>-109023.11773384287</x:v>
      </x:c>
      <x:c r="E288">
        <x:f t="shared" si="4"/>
        <x:v>-112457.35129337231</x:v>
      </x:c>
    </x:row>
    <x:row r="289">
      <x:c r="A289">
        <x:f t="shared" si="0"/>
        <x:v>-0.63300000000000001</x:v>
      </x:c>
      <x:c r="B289">
        <x:f t="shared" si="1"/>
        <x:v>-5.7186363390651422</x:v>
      </x:c>
      <x:c r="C289">
        <x:f t="shared" si="2"/>
        <x:v>-45873.679789055153</x:v>
      </x:c>
      <x:c r="D289">
        <x:f t="shared" si="3"/>
        <x:v>-106824.4548063117</x:v>
      </x:c>
      <x:c r="E289">
        <x:f t="shared" si="4"/>
        <x:v>-110232.99428005796</x:v>
      </x:c>
    </x:row>
    <x:row r="290">
      <x:c r="A290">
        <x:f t="shared" si="0"/>
        <x:v>-0.625</x:v>
      </x:c>
      <x:c r="B290">
        <x:f t="shared" si="1"/>
        <x:v>-5.479103372775171</x:v>
      </x:c>
      <x:c r="C290">
        <x:f t="shared" si="2"/>
        <x:v>-44869.024435891464</x:v>
      </x:c>
      <x:c r="D290">
        <x:f t="shared" si="3"/>
        <x:v>-104869.82387216578</x:v>
      </x:c>
      <x:c r="E290">
        <x:f t="shared" si="4"/>
        <x:v>-108254.93665267841</x:v>
      </x:c>
    </x:row>
    <x:row r="291">
      <x:c r="A291">
        <x:f t="shared" si="0"/>
        <x:v>-0.61699999999999999</x:v>
      </x:c>
      <x:c r="B291">
        <x:f t="shared" si="1"/>
        <x:v>-5.2474043572378832</x:v>
      </x:c>
      <x:c r="C291">
        <x:f t="shared" si="2"/>
        <x:v>-43869.822519638255</x:v>
      </x:c>
      <x:c r="D291">
        <x:f t="shared" si="3"/>
        <x:v>-102915.30156679498</x:v>
      </x:c>
      <x:c r="E291">
        <x:f t="shared" si="4"/>
        <x:v>-106276.42770998055</x:v>
      </x:c>
    </x:row>
    <x:row r="292">
      <x:c r="A292">
        <x:f t="shared" si="0"/>
        <x:v>-0.60799999999999998</x:v>
      </x:c>
      <x:c r="B292">
        <x:f t="shared" si="1"/>
        <x:v>-4.995883813084447</x:v>
      </x:c>
      <x:c r="C292">
        <x:f t="shared" si="2"/>
        <x:v>-42752.441205504758</x:v>
      </x:c>
      <x:c r="D292">
        <x:f t="shared" si="3"/>
        <x:v>-100717.03311684405</x:v>
      </x:c>
      <x:c r="E292">
        <x:f t="shared" si="4"/>
        <x:v>-104050.49672552577</x:v>
      </x:c>
    </x:row>
    <x:row r="293">
      <x:c r="A293">
        <x:f t="shared" si="0"/>
        <x:v>-0.6</x:v>
      </x:c>
      <x:c r="B293">
        <x:f t="shared" si="1"/>
        <x:v>-4.780239127223922</x:v>
      </x:c>
      <x:c r="C293">
        <x:f t="shared" si="2"/>
        <x:v>-41765.370410184376</x:v>
      </x:c>
      <x:c r="D293">
        <x:f t="shared" si="3"/>
        <x:v>-98763.924239837128</x:v>
      </x:c>
      <x:c r="E293">
        <x:f t="shared" si="4"/>
        <x:v>-102072.18940950758</x:v>
      </x:c>
    </x:row>
    <x:row r="294">
      <x:c r="A294">
        <x:f t="shared" si="0"/>
        <x:v>-0.59199999999999997</x:v>
      </x:c>
      <x:c r="B294">
        <x:f t="shared" si="1"/>
        <x:v>-4.5718748099950517</x:v>
      </x:c>
      <x:c r="C294">
        <x:f t="shared" si="2"/>
        <x:v>-40784.26967339727</x:v>
      </x:c>
      <x:c r="D294">
        <x:f t="shared" si="3"/>
        <x:v>-96812.058229060029</x:v>
      </x:c>
      <x:c r="E294">
        <x:f t="shared" si="4"/>
        <x:v>-100094.54459469678</x:v>
      </x:c>
    </x:row>
    <x:row r="295">
      <x:c r="A295">
        <x:f t="shared" si="0"/>
        <x:v>-0.58299999999999996</x:v>
      </x:c>
      <x:c r="B295">
        <x:f t="shared" si="1"/>
        <x:v>-4.3459520128728855</x:v>
      </x:c>
      <x:c r="C295">
        <x:f t="shared" si="2"/>
        <x:v>-39687.880586280648</x:v>
      </x:c>
      <x:c r="D295">
        <x:f t="shared" si="3"/>
        <x:v>-94618.172780739202</x:v>
      </x:c>
      <x:c r="E295">
        <x:f t="shared" si="4"/>
        <x:v>-97870.956421788083</x:v>
      </x:c>
    </x:row>
    <x:row r="296">
      <x:c r="A296">
        <x:f t="shared" si="0"/>
        <x:v>-0.57499999999999996</x:v>
      </x:c>
      <x:c r="B296">
        <x:f t="shared" si="1"/>
        <x:v>-4.1524868146580047</x:v>
      </x:c>
      <x:c r="C296">
        <x:f t="shared" si="2"/>
        <x:v>-38720.0379034832</x:v>
      </x:c>
      <x:c r="D296">
        <x:f t="shared" si="3"/>
        <x:v>-92670.235040711414</x:v>
      </x:c>
      <x:c r="E296">
        <x:f t="shared" si="4"/>
        <x:v>-95895.985812650615</x:v>
      </x:c>
    </x:row>
    <x:row r="297">
      <x:c r="A297">
        <x:f t="shared" si="0"/>
        <x:v>-0.56699999999999995</x:v>
      </x:c>
      <x:c r="B297">
        <x:f t="shared" si="1"/>
        <x:v>-3.965768378529674</x:v>
      </x:c>
      <x:c r="C297">
        <x:f t="shared" si="2"/>
        <x:v>-37758.709506009036</x:v>
      </x:c>
      <x:c r="D297">
        <x:f t="shared" si="3"/>
        <x:v>-90724.774448562239</x:v>
      </x:c>
      <x:c r="E297">
        <x:f t="shared" si="4"/>
        <x:v>-93922.892718858086</x:v>
      </x:c>
    </x:row>
    <x:row r="298">
      <x:c r="A298">
        <x:f t="shared" si="0"/>
        <x:v>-0.55800000000000005</x:v>
      </x:c>
      <x:c r="B298">
        <x:f t="shared" si="1"/>
        <x:v>-3.7635674146301881</x:v>
      </x:c>
      <x:c r="C298">
        <x:f t="shared" si="2"/>
        <x:v>-36685.226067220006</x:v>
      </x:c>
      <x:c r="D298">
        <x:f t="shared" si="3"/>
        <x:v>-88539.612282307091</x:v>
      </x:c>
      <x:c r="E298">
        <x:f t="shared" si="4"/>
        <x:v>-91705.919959116989</x:v>
      </x:c>
    </x:row>
    <x:row r="299">
      <x:c r="A299">
        <x:f t="shared" si="0"/>
        <x:v>-0.55000000000000004</x:v>
      </x:c>
      <x:c r="B299">
        <x:f t="shared" si="1"/>
        <x:v>-3.5906356710743239</x:v>
      </x:c>
      <x:c r="C299">
        <x:f t="shared" si="2"/>
        <x:v>-35738.342299056225</x:v>
      </x:c>
      <x:c r="D299">
        <x:f t="shared" si="3"/>
        <x:v>-86600.815246497659</x:v>
      </x:c>
      <x:c r="E299">
        <x:f t="shared" si="4"/>
        <x:v>-89738.19699014083</x:v>
      </x:c>
    </x:row>
    <x:row r="300">
      <x:c r="A300">
        <x:f t="shared" si="0"/>
        <x:v>-0.54200000000000004</x:v>
      </x:c>
      <x:c r="B300">
        <x:f t="shared" si="1"/>
        <x:v>-3.4239373717214221</x:v>
      </x:c>
      <x:c r="C300">
        <x:f t="shared" si="2"/>
        <x:v>-34798.545562910222</x:v>
      </x:c>
      <x:c r="D300">
        <x:f t="shared" si="3"/>
        <x:v>-84665.837128348445</x:v>
      </x:c>
      <x:c r="E300">
        <x:f t="shared" si="4"/>
        <x:v>-87773.675624308846</x:v>
      </x:c>
    </x:row>
    <x:row r="301">
      <x:c r="A301">
        <x:f t="shared" si="0"/>
        <x:v>-0.53300000000000003</x:v>
      </x:c>
      <x:c r="B301">
        <x:f t="shared" si="1"/>
        <x:v>-3.2436536593402252</x:v>
      </x:c>
      <x:c r="C301">
        <x:f t="shared" si="2"/>
        <x:v>-33749.98145308542</x:v>
      </x:c>
      <x:c r="D301">
        <x:f t="shared" si="3"/>
        <x:v>-82494.116442924889</x:v>
      </x:c>
      <x:c r="E301">
        <x:f t="shared" si="4"/>
        <x:v>-85567.974379462714</x:v>
      </x:c>
    </x:row>
    <x:row r="302">
      <x:c r="A302">
        <x:f t="shared" si="0"/>
        <x:v>-0.52500000000000002</x:v>
      </x:c>
      <x:c r="B302">
        <x:f t="shared" si="1"/>
        <x:v>-3.0896730716708589</x:v>
      </x:c>
      <x:c r="C302">
        <x:f t="shared" si="2"/>
        <x:v>-32825.877462688077</x:v>
      </x:c>
      <x:c r="D302">
        <x:f t="shared" si="3"/>
        <x:v>-80568.773681183695</x:v>
      </x:c>
      <x:c r="E302">
        <x:f t="shared" si="4"/>
        <x:v>-83611.759447186691</x:v>
      </x:c>
    </x:row>
    <x:row r="303">
      <x:c r="A303">
        <x:f t="shared" si="0"/>
        <x:v>-0.51700000000000002</x:v>
      </x:c>
      <x:c r="B303">
        <x:f t="shared" si="1"/>
        <x:v>-2.9414332074700269</x:v>
      </x:c>
      <x:c r="C303">
        <x:f t="shared" si="2"/>
        <x:v>-31909.462641600709</x:v>
      </x:c>
      <x:c r="D303">
        <x:f t="shared" si="3"/>
        <x:v>-78648.70676173814</x:v>
      </x:c>
      <x:c r="E303">
        <x:f t="shared" si="4"/>
        <x:v>-81660.187434621155</x:v>
      </x:c>
    </x:row>
    <x:row r="304">
      <x:c r="A304">
        <x:f t="shared" si="0"/>
        <x:v>-0.50800000000000001</x:v>
      </x:c>
      <x:c r="B304">
        <x:f t="shared" si="1"/>
        <x:v>-2.7813345652473345</x:v>
      </x:c>
      <x:c r="C304">
        <x:f t="shared" si="2"/>
        <x:v>-30887.934860679568</x:v>
      </x:c>
      <x:c r="D304">
        <x:f t="shared" si="3"/>
        <x:v>-76495.550616892549</x:v>
      </x:c>
      <x:c r="E304">
        <x:f t="shared" si="4"/>
        <x:v>-79470.825965850527</x:v>
      </x:c>
    </x:row>
    <x:row r="305">
      <x:c r="A305">
        <x:f t="shared" si="0"/>
        <x:v>-0.5</x:v>
      </x:c>
      <x:c r="B305">
        <x:f t="shared" si="1"/>
        <x:v>-2.6447875068229223</x:v>
      </x:c>
      <x:c r="C305">
        <x:f t="shared" si="2"/>
        <x:v>-29988.524239953986</x:v>
      </x:c>
      <x:c r="D305">
        <x:f t="shared" si="3"/>
        <x:v>-74588.343833805033</x:v>
      </x:c>
      <x:c r="E305">
        <x:f t="shared" si="4"/>
        <x:v>-77530.754646811518</x:v>
      </x:c>
    </x:row>
    <x:row r="306">
      <x:c r="A306">
        <x:f t="shared" si="0"/>
        <x:v>-0.49199999999999999</x:v>
      </x:c>
      <x:c r="B306">
        <x:f t="shared" si="1"/>
        <x:v>-2.5135093403541759</x:v>
      </x:c>
      <x:c r="C306">
        <x:f t="shared" si="2"/>
        <x:v>-29097.435135520733</x:v>
      </x:c>
      <x:c r="D306">
        <x:f t="shared" si="3"/>
        <x:v>-72687.992783106281</x:v>
      </x:c>
      <x:c r="E306">
        <x:f t="shared" si="4"/>
        <x:v>-75596.893145964568</x:v>
      </x:c>
    </x:row>
    <x:row r="307">
      <x:c r="A307">
        <x:f t="shared" si="0"/>
        <x:v>-0.48299999999999998</x:v>
      </x:c>
      <x:c r="B307">
        <x:f t="shared" si="1"/>
        <x:v>-2.3719370163648819</x:v>
      </x:c>
      <x:c r="C307">
        <x:f t="shared" si="2"/>
        <x:v>-28105.166881478122</x:v>
      </x:c>
      <x:c r="D307">
        <x:f t="shared" si="3"/>
        <x:v>-70558.956545294801</x:v>
      </x:c>
      <x:c r="E307">
        <x:f t="shared" si="4"/>
        <x:v>-73429.381226252764</x:v>
      </x:c>
    </x:row>
    <x:row r="308">
      <x:c r="A308">
        <x:f t="shared" si="0"/>
        <x:v>-0.47499999999999998</x:v>
      </x:c>
      <x:c r="B308">
        <x:f t="shared" si="1"/>
        <x:v>-2.2513714361657549</x:v>
      </x:c>
      <x:c r="C308">
        <x:f t="shared" si="2"/>
        <x:v>-27232.458450313294</x:v>
      </x:c>
      <x:c r="D308">
        <x:f t="shared" si="3"/>
        <x:v>-68674.960061513659</x:v>
      </x:c>
      <x:c r="E308">
        <x:f t="shared" si="4"/>
        <x:v>-71510.490507051625</x:v>
      </x:c>
    </x:row>
    <x:row r="309">
      <x:c r="A309" t="n">
        <x:f t="shared" ref="A309:A372" si="5">I66</x:f>
        <x:v>-0.467</x:v>
      </x:c>
      <x:c r="B309" t="n">
        <x:f t="shared" ref="B309:B372" si="6">J66</x:f>
        <x:v>-2.13562408544135</x:v>
      </x:c>
      <x:c r="C309" t="n">
        <x:f t="shared" ref="C309:C372" si="7">K66</x:f>
        <x:v>-26368.73485292532</x:v>
      </x:c>
      <x:c r="D309" t="n">
        <x:f t="shared" ref="D309:D372" si="8">L66</x:f>
        <x:v>-66799.53002109205</x:v>
      </x:c>
      <x:c r="E309" t="n">
        <x:f t="shared" ref="E309:E372" si="9">M66</x:f>
        <x:v>-69599.51053278937</x:v>
      </x:c>
    </x:row>
    <x:row r="310">
      <x:c r="A310">
        <x:f t="shared" si="5"/>
        <x:v>-0.45800000000000002</x:v>
      </x:c>
      <x:c r="B310">
        <x:f t="shared" si="6"/>
        <x:v>-2.0109937508048006</x:v>
      </x:c>
      <x:c r="C310">
        <x:f t="shared" si="7"/>
        <x:v>-25408.058195726291</x:v>
      </x:c>
      <x:c r="D310">
        <x:f t="shared" si="8"/>
        <x:v>-64700.628963953612</x:v>
      </x:c>
      <x:c r="E310">
        <x:f t="shared" si="9"/>
        <x:v>-67459.829123438874</x:v>
      </x:c>
    </x:row>
    <x:row r="311">
      <x:c r="A311">
        <x:f t="shared" si="5"/>
        <x:v>-0.45</x:v>
      </x:c>
      <x:c r="B311">
        <x:f t="shared" si="6"/>
        <x:v>-1.9050240415085682</x:v>
      </x:c>
      <x:c r="C311">
        <x:f t="shared" si="7"/>
        <x:v>-24564.158312691114</x:v>
      </x:c>
      <x:c r="D311">
        <x:f t="shared" si="8"/>
        <x:v>-62845.334215087423</x:v>
      </x:c>
      <x:c r="E311">
        <x:f t="shared" si="9"/>
        <x:v>-65567.583789466706</x:v>
      </x:c>
    </x:row>
    <x:row r="312">
      <x:c r="A312">
        <x:f t="shared" si="5"/>
        <x:v>-0.442</x:v>
      </x:c>
      <x:c r="B312">
        <x:f t="shared" si="6"/>
        <x:v>-1.8034433360094226</x:v>
      </x:c>
      <x:c r="C312">
        <x:f t="shared" si="7"/>
        <x:v>-23729.938248077422</x:v>
      </x:c>
      <x:c r="D312">
        <x:f t="shared" si="8"/>
        <x:v>-61000.45522179082</x:v>
      </x:c>
      <x:c r="E312">
        <x:f t="shared" si="9"/>
        <x:v>-63685.092564364764</x:v>
      </x:c>
    </x:row>
    <x:row r="313">
      <x:c r="A313">
        <x:f t="shared" si="5"/>
        <x:v>-0.433</x:v>
      </x:c>
      <x:c r="B313">
        <x:f t="shared" si="6"/>
        <x:v>-1.6942460296072568</x:v>
      </x:c>
      <x:c r="C313">
        <x:f t="shared" si="7"/>
        <x:v>-22803.296578072208</x:v>
      </x:c>
      <x:c r="D313">
        <x:f t="shared" si="8"/>
        <x:v>-58938.191859995888</x:v>
      </x:c>
      <x:c r="E313">
        <x:f t="shared" si="9"/>
        <x:v>-61579.723356260394</x:v>
      </x:c>
    </x:row>
    <x:row r="314">
      <x:c r="A314">
        <x:f t="shared" si="5"/>
        <x:v>-0.42499999999999999</x:v>
      </x:c>
      <x:c r="B314">
        <x:f t="shared" si="6"/>
        <x:v>-1.601553853415453</x:v>
      </x:c>
      <x:c r="C314">
        <x:f t="shared" si="7"/>
        <x:v>-21990.411244520408</x:v>
      </x:c>
      <x:c r="D314">
        <x:f t="shared" si="8"/>
        <x:v>-57117.53151668291</x:v>
      </x:c>
      <x:c r="E314">
        <x:f t="shared" si="9"/>
        <x:v>-59720.042102486768</x:v>
      </x:c>
    </x:row>
    <x:row r="315">
      <x:c r="A315">
        <x:f t="shared" si="5"/>
        <x:v>-0.41699999999999998</x:v>
      </x:c>
      <x:c r="B315">
        <x:f t="shared" si="6"/>
        <x:v>-1.512843152252799</x:v>
      </x:c>
      <x:c r="C315">
        <x:f t="shared" si="7"/>
        <x:v>-21187.933007764404</x:v>
      </x:c>
      <x:c r="D315">
        <x:f t="shared" si="8"/>
        <x:v>-55309.28240772686</x:v>
      </x:c>
      <x:c r="E315">
        <x:f t="shared" si="9"/>
        <x:v>-57872.108972824644</x:v>
      </x:c>
    </x:row>
    <x:row r="316">
      <x:c r="A316">
        <x:f t="shared" si="5"/>
        <x:v>-0.40799999999999997</x:v>
      </x:c>
      <x:c r="B316">
        <x:f t="shared" si="6"/>
        <x:v>-1.4176461878619193</x:v>
      </x:c>
      <x:c r="C316">
        <x:f t="shared" si="7"/>
        <x:v>-20297.883237372946</x:v>
      </x:c>
      <x:c r="D316">
        <x:f t="shared" si="8"/>
        <x:v>-53290.673072524471</x:v>
      </x:c>
      <x:c r="E316">
        <x:f t="shared" si="9"/>
        <x:v>-55808.06323941442</x:v>
      </x:c>
    </x:row>
    <x:row r="317">
      <x:c r="A317">
        <x:f t="shared" si="5"/>
        <x:v>-0.4</x:v>
      </x:c>
      <x:c r="B317">
        <x:f t="shared" si="6"/>
        <x:v>-1.3369812749583616</x:v>
      </x:c>
      <x:c r="C317">
        <x:f t="shared" si="7"/>
        <x:v>-19518.319974547761</x:v>
      </x:c>
      <x:c r="D317">
        <x:f t="shared" si="8"/>
        <x:v>-51511.044325088587</x:v>
      </x:c>
      <x:c r="E317">
        <x:f t="shared" si="9"/>
        <x:v>-53987.343983635947</x:v>
      </x:c>
    </x:row>
    <x:row r="318">
      <x:c r="A318">
        <x:f t="shared" si="5"/>
        <x:v>-0.39200000000000002</x:v>
      </x:c>
      <x:c r="B318">
        <x:f t="shared" si="6"/>
        <x:v>-1.2599122492363222</x:v>
      </x:c>
      <x:c r="C318">
        <x:f t="shared" si="7"/>
        <x:v>-18749.923928481905</x:v>
      </x:c>
      <x:c r="D318">
        <x:f t="shared" si="8"/>
        <x:v>-49745.975650615117</x:v>
      </x:c>
      <x:c r="E318">
        <x:f t="shared" si="9"/>
        <x:v>-52180.525354744386</x:v>
      </x:c>
    </x:row>
    <x:row r="319">
      <x:c r="A319">
        <x:f t="shared" si="5"/>
        <x:v>-0.38300000000000001</x:v>
      </x:c>
      <x:c r="B319">
        <x:f t="shared" si="6"/>
        <x:v>-1.1773600760669751</x:v>
      </x:c>
      <x:c r="C319">
        <x:f t="shared" si="7"/>
        <x:v>-17899.13841594477</x:v>
      </x:c>
      <x:c r="D319">
        <x:f t="shared" si="8"/>
        <x:v>-47778.57575572333</x:v>
      </x:c>
      <x:c r="E319">
        <x:f t="shared" si="9"/>
        <x:v>-50165.371473339706</x:v>
      </x:c>
    </x:row>
    <x:row r="320">
      <x:c r="A320">
        <x:f t="shared" si="5"/>
        <x:v>-0.375</x:v>
      </x:c>
      <x:c r="B320">
        <x:f t="shared" si="6"/>
        <x:v>-1.1075409744717035</x:v>
      </x:c>
      <x:c r="C320">
        <x:f t="shared" si="7"/>
        <x:v>-17155.307880334622</x:v>
      </x:c>
      <x:c r="D320">
        <x:f t="shared" si="8"/>
        <x:v>-46046.862259196627</x:v>
      </x:c>
      <x:c r="E320">
        <x:f t="shared" si="9"/>
        <x:v>-48390.515274855643</x:v>
      </x:c>
    </x:row>
    <x:row r="321">
      <x:c r="A321">
        <x:f t="shared" si="5"/>
        <x:v>-0.36699999999999999</x:v>
      </x:c>
      <x:c r="B321">
        <x:f t="shared" si="6"/>
        <x:v>-1.0409543459660426</x:v>
      </x:c>
      <x:c r="C321">
        <x:f t="shared" si="7"/>
        <x:v>-16423.437974026107</x:v>
      </x:c>
      <x:c r="D321">
        <x:f t="shared" si="8"/>
        <x:v>-44332.017687418411</x:v>
      </x:c>
      <x:c r="E321">
        <x:f t="shared" si="9"/>
        <x:v>-46631.877946633278</x:v>
      </x:c>
    </x:row>
    <x:row r="322">
      <x:c r="A322">
        <x:f t="shared" si="5"/>
        <x:v>-0.35799999999999998</x:v>
      </x:c>
      <x:c r="B322">
        <x:f t="shared" si="6"/>
        <x:v>-0.96976937592569357</x:v>
      </x:c>
      <x:c r="C322">
        <x:f t="shared" si="7"/>
        <x:v>-15614.70610330964</x:v>
      </x:c>
      <x:c r="D322">
        <x:f t="shared" si="8"/>
        <x:v>-42423.945096951415</x:v>
      </x:c>
      <x:c r="E322">
        <x:f t="shared" si="9"/>
        <x:v>-44673.766867657614</x:v>
      </x:c>
    </x:row>
    <x:row r="323">
      <x:c r="A323">
        <x:f t="shared" si="5"/>
        <x:v>-0.35</x:v>
      </x:c>
      <x:c r="B323">
        <x:f t="shared" si="6"/>
        <x:v>-0.90968416440080091</x:v>
      </x:c>
      <x:c r="C323">
        <x:f t="shared" si="7"/>
        <x:v>-14909.123361914171</x:v>
      </x:c>
      <x:c r="D323">
        <x:f t="shared" si="8"/>
        <x:v>-40747.537049505336</x:v>
      </x:c>
      <x:c r="E323">
        <x:f t="shared" si="9"/>
        <x:v>-42952.199792501269</x:v>
      </x:c>
    </x:row>
    <x:row r="324">
      <x:c r="A324">
        <x:f t="shared" si="5"/>
        <x:v>-0.34200000000000003</x:v>
      </x:c>
      <x:c r="B324">
        <x:f t="shared" si="6"/>
        <x:v>-0.8524904108952569</x:v>
      </x:c>
      <x:c r="C324">
        <x:f t="shared" si="7"/>
        <x:v>-14216.32826550211</x:v>
      </x:c>
      <x:c r="D324">
        <x:f t="shared" si="8"/>
        <x:v>-39090.472738230674</x:v>
      </x:c>
      <x:c r="E324">
        <x:f t="shared" si="9"/>
        <x:v>-41249.342022155164</x:v>
      </x:c>
    </x:row>
    <x:row r="325">
      <x:c r="A325">
        <x:f t="shared" si="5"/>
        <x:v>-0.33300000000000002</x:v>
      </x:c>
      <x:c r="B325">
        <x:f t="shared" si="6"/>
        <x:v>-0.79147378083268904</x:v>
      </x:c>
      <x:c r="C325">
        <x:f t="shared" si="7"/>
        <x:v>-13452.557524737211</x:v>
      </x:c>
      <x:c r="D325">
        <x:f t="shared" si="8"/>
        <x:v>-37250.428651962691</x:v>
      </x:c>
      <x:c r="E325">
        <x:f t="shared" si="9"/>
        <x:v>-39357.029917001288</x:v>
      </x:c>
    </x:row>
    <x:row r="326">
      <x:c r="A326">
        <x:f t="shared" si="5"/>
        <x:v>-0.32500000000000001</x:v>
      </x:c>
      <x:c r="B326">
        <x:f t="shared" si="6"/>
        <x:v>-0.74008074998198481</x:v>
      </x:c>
      <x:c r="C326">
        <x:f t="shared" si="7"/>
        <x:v>-12787.842801368242</x:v>
      </x:c>
      <x:c r="D326">
        <x:f t="shared" si="8"/>
        <x:v>-35637.240500205327</x:v>
      </x:c>
      <x:c r="E326">
        <x:f t="shared" si="9"/>
        <x:v>-37696.722160192003</x:v>
      </x:c>
    </x:row>
    <x:row r="327">
      <x:c r="A327">
        <x:f t="shared" si="5"/>
        <x:v>-0.317</x:v>
      </x:c>
      <x:c r="B327">
        <x:f t="shared" si="6"/>
        <x:v>-0.69126076184193153</x:v>
      </x:c>
      <x:c r="C327">
        <x:f t="shared" si="7"/>
        <x:v>-12136.776407525518</x:v>
      </x:c>
      <x:c r="D327">
        <x:f t="shared" si="8"/>
        <x:v>-34046.041947946462</x:v>
      </x:c>
      <x:c r="E327">
        <x:f t="shared" si="9"/>
        <x:v>-36057.791762901921</x:v>
      </x:c>
    </x:row>
    <x:row r="328">
      <x:c r="A328">
        <x:f t="shared" si="5"/>
        <x:v>-0.308</x:v>
      </x:c>
      <x:c r="B328">
        <x:f t="shared" si="6"/>
        <x:v>-0.63929306925479068</x:v>
      </x:c>
      <x:c r="C328">
        <x:f t="shared" si="7"/>
        <x:v>-11420.992588521869</x:v>
      </x:c>
      <x:c r="D328">
        <x:f t="shared" si="8"/>
        <x:v>-32283.3287901734</x:v>
      </x:c>
      <x:c r="E328">
        <x:f t="shared" si="9"/>
        <x:v>-34240.659083493854</x:v>
      </x:c>
    </x:row>
    <x:row r="329">
      <x:c r="A329">
        <x:f t="shared" si="5"/>
        <x:v>-0.3</x:v>
      </x:c>
      <x:c r="B329">
        <x:f t="shared" si="6"/>
        <x:v>-0.59562134887653428</x:v>
      </x:c>
      <x:c r="C329">
        <x:f t="shared" si="7"/>
        <x:v>-10799.871032643307</x:v>
      </x:c>
      <x:c r="D329">
        <x:f t="shared" si="8"/>
        <x:v>-30741.814145394601</x:v>
      </x:c>
      <x:c r="E329">
        <x:f t="shared" si="9"/>
        <x:v>-32650.140682705838</x:v>
      </x:c>
    </x:row>
    <x:row r="330">
      <x:c r="A330">
        <x:f t="shared" si="5"/>
        <x:v>-0.29199999999999998</x:v>
      </x:c>
      <x:c r="B330">
        <x:f t="shared" si="6"/>
        <x:v>-0.55422705180376397</x:v>
      </x:c>
      <x:c r="C330">
        <x:f t="shared" si="7"/>
        <x:v>-10193.291736298073</x:v>
      </x:c>
      <x:c r="D330">
        <x:f t="shared" si="8"/>
        <x:v>-29225.110156037001</x:v>
      </x:c>
      <x:c r="E330">
        <x:f t="shared" si="9"/>
        <x:v>-31083.849529375264</x:v>
      </x:c>
    </x:row>
    <x:row r="331">
      <x:c r="A331">
        <x:f t="shared" si="5"/>
        <x:v>-0.28299999999999997</x:v>
      </x:c>
      <x:c r="B331">
        <x:f t="shared" si="6"/>
        <x:v>-0.51026903842853244</x:v>
      </x:c>
      <x:c r="C331">
        <x:f t="shared" si="7"/>
        <x:v>-9528.6373739095652</x:v>
      </x:c>
      <x:c r="D331">
        <x:f t="shared" si="8"/>
        <x:v>-27549.64613181504</x:v>
      </x:c>
      <x:c r="E331">
        <x:f t="shared" si="9"/>
        <x:v>-29351.91580166448</x:v>
      </x:c>
    </x:row>
    <x:row r="332">
      <x:c r="A332">
        <x:f t="shared" si="5"/>
        <x:v>-0.27500000000000002</x:v>
      </x:c>
      <x:c r="B332">
        <x:f t="shared" si="6"/>
        <x:v>-0.47341919121004139</x:v>
      </x:c>
      <x:c r="C332">
        <x:f t="shared" si="7"/>
        <x:v>-8953.9368130908624</x:v>
      </x:c>
      <x:c r="D332">
        <x:f t="shared" si="8"/>
        <x:v>-26088.809681649203</x:v>
      </x:c>
      <x:c r="E332">
        <x:f t="shared" si="9"/>
        <x:v>-27840.288392506118</x:v>
      </x:c>
    </x:row>
    <x:row r="333">
      <x:c r="A333">
        <x:f t="shared" si="5"/>
        <x:v>-0.26700000000000002</x:v>
      </x:c>
      <x:c r="B333">
        <x:f t="shared" si="6"/>
        <x:v>-0.43857412502381976</x:v>
      </x:c>
      <x:c r="C333">
        <x:f t="shared" si="7"/>
        <x:v>-8394.7042158108161</x:v>
      </x:c>
      <x:c r="D333">
        <x:f t="shared" si="8"/>
        <x:v>-24655.783322873118</x:v>
      </x:c>
      <x:c r="E333">
        <x:f t="shared" si="9"/>
        <x:v>-26355.92282022885</x:v>
      </x:c>
    </x:row>
    <x:row r="334">
      <x:c r="A334">
        <x:f t="shared" si="5"/>
        <x:v>-0.25800000000000001</x:v>
      </x:c>
      <x:c r="B334">
        <x:f t="shared" si="6"/>
        <x:v>-0.4016673031354685</x:v>
      </x:c>
      <x:c r="C334">
        <x:f t="shared" si="7"/>
        <x:v>-7784.4332514201305</x:v>
      </x:c>
      <x:c r="D334">
        <x:f t="shared" si="8"/>
        <x:v>-23078.113644632846</x:v>
      </x:c>
      <x:c r="E334">
        <x:f t="shared" si="9"/>
        <x:v>-24719.85672730935</x:v>
      </x:c>
    </x:row>
    <x:row r="335">
      <x:c r="A335">
        <x:f t="shared" si="5"/>
        <x:v>-0.25</x:v>
      </x:c>
      <x:c r="B335">
        <x:f t="shared" si="6"/>
        <x:v>-0.37081187517208036</x:v>
      </x:c>
      <x:c r="C335">
        <x:f t="shared" si="7"/>
        <x:v>-7259.0775623812369</x:v>
      </x:c>
      <x:c r="D335">
        <x:f t="shared" si="8"/>
        <x:v>-21707.520208299306</x:v>
      </x:c>
      <x:c r="E335">
        <x:f t="shared" si="9"/>
        <x:v>-23296.801058357276</x:v>
      </x:c>
    </x:row>
    <x:row r="336">
      <x:c r="A336">
        <x:f t="shared" si="5"/>
        <x:v>-0.24199999999999999</x:v>
      </x:c>
      <x:c r="B336">
        <x:f t="shared" si="6"/>
        <x:v>-0.34171172867979749</x:v>
      </x:c>
      <x:c r="C336">
        <x:f t="shared" si="7"/>
        <x:v>-6750.1435304916085</x:v>
      </x:c>
      <x:c r="D336">
        <x:f t="shared" si="8"/>
        <x:v>-20367.917072372351</x:v>
      </x:c>
      <x:c r="E336">
        <x:f t="shared" si="9"/>
        <x:v>-21904.22804430117</x:v>
      </x:c>
    </x:row>
    <x:row r="337">
      <x:c r="A337">
        <x:f t="shared" si="5"/>
        <x:v>-0.23300000000000001</x:v>
      </x:c>
      <x:c r="B337">
        <x:f t="shared" si="6"/>
        <x:v>-0.31097897475410718</x:v>
      </x:c>
      <x:c r="C337">
        <x:f t="shared" si="7"/>
        <x:v>-6197.6076393513285</x:v>
      </x:c>
      <x:c r="D337">
        <x:f t="shared" si="8"/>
        <x:v>-18899.222425472472</x:v>
      </x:c>
      <x:c r="E337">
        <x:f t="shared" si="9"/>
        <x:v>-20375.352826851115</x:v>
      </x:c>
    </x:row>
    <x:row r="338">
      <x:c r="A338">
        <x:f t="shared" si="5"/>
        <x:v>-0.22500000000000001</x:v>
      </x:c>
      <x:c r="B338">
        <x:f t="shared" si="6"/>
        <x:v>-0.28536299915617747</x:v>
      </x:c>
      <x:c r="C338">
        <x:f t="shared" si="7"/>
        <x:v>-5724.6003963935982</x:v>
      </x:c>
      <x:c r="D338">
        <x:f t="shared" si="8"/>
        <x:v>-17629.003880901917</x:v>
      </x:c>
      <x:c r="E338">
        <x:f t="shared" si="9"/>
        <x:v>-19051.132271648297</x:v>
      </x:c>
    </x:row>
    <x:row r="339">
      <x:c r="A339">
        <x:f t="shared" si="5"/>
        <x:v>-0.217</x:v>
      </x:c>
      <x:c r="B339">
        <x:f t="shared" si="6"/>
        <x:v>-0.26127610188143535</x:v>
      </x:c>
      <x:c r="C339">
        <x:f t="shared" si="7"/>
        <x:v>-5268.9875445368234</x:v>
      </x:c>
      <x:c r="D339">
        <x:f t="shared" si="8"/>
        <x:v>-16393.138607990768</x:v>
      </x:c>
      <x:c r="E339">
        <x:f t="shared" si="9"/>
        <x:v>-17760.80185039583</x:v>
      </x:c>
    </x:row>
    <x:row r="340">
      <x:c r="A340">
        <x:f t="shared" si="5"/>
        <x:v>-0.20799999999999999</x:v>
      </x:c>
      <x:c r="B340">
        <x:f t="shared" si="6"/>
        <x:v>-0.23592219111435497</x:v>
      </x:c>
      <x:c r="C340">
        <x:f t="shared" si="7"/>
        <x:v>-4777.603842826582</x:v>
      </x:c>
      <x:c r="D340">
        <x:f t="shared" si="8"/>
        <x:v>-15045.242230124342</x:v>
      </x:c>
      <x:c r="E340">
        <x:f t="shared" si="9"/>
        <x:v>-16351.096914099966</x:v>
      </x:c>
    </x:row>
    <x:row r="341">
      <x:c r="A341">
        <x:f t="shared" si="5"/>
        <x:v>-0.2</x:v>
      </x:c>
      <x:c r="B341">
        <x:f t="shared" si="6"/>
        <x:v>-0.21486365220766857</x:v>
      </x:c>
      <x:c r="C341">
        <x:f t="shared" si="7"/>
        <x:v>-4359.9901999884787</x:v>
      </x:c>
      <x:c r="D341">
        <x:f t="shared" si="8"/>
        <x:v>-13886.103797269352</x:v>
      </x:c>
      <x:c r="E341">
        <x:f t="shared" si="9"/>
        <x:v>-15136.55814203358</x:v>
      </x:c>
    </x:row>
    <x:row r="342">
      <x:c r="A342">
        <x:f t="shared" si="5"/>
        <x:v>-0.192</x:v>
      </x:c>
      <x:c r="B342">
        <x:f t="shared" si="6"/>
        <x:v>-0.1951314257202057</x:v>
      </x:c>
      <x:c r="C342">
        <x:f t="shared" si="7"/>
        <x:v>-3960.7421763302191</x:v>
      </x:c>
      <x:c r="D342">
        <x:f t="shared" si="8"/>
        <x:v>-12764.866565310112</x:v>
      </x:c>
      <x:c r="E342">
        <x:f t="shared" si="9"/>
        <x:v>-13959.503640642601</x:v>
      </x:c>
    </x:row>
    <x:row r="343">
      <x:c r="A343">
        <x:f t="shared" si="5"/>
        <x:v>-0.183</x:v>
      </x:c>
      <x:c r="B343">
        <x:f t="shared" si="6"/>
        <x:v>-0.17444351947665382</x:v>
      </x:c>
      <x:c r="C343">
        <x:f t="shared" si="7"/>
        <x:v>-3533.9191182778195</x:v>
      </x:c>
      <x:c r="D343">
        <x:f t="shared" si="8"/>
        <x:v>-11550.242027722496</x:v>
      </x:c>
      <x:c r="E343">
        <x:f t="shared" si="9"/>
        <x:v>-12681.604714695779</x:v>
      </x:c>
    </x:row>
    <x:row r="344">
      <x:c r="A344">
        <x:f t="shared" si="5"/>
        <x:v>-0.17499999999999999</x:v>
      </x:c>
      <x:c r="B344">
        <x:f t="shared" si="6"/>
        <x:v>-0.15733377440119511</x:v>
      </x:c>
      <x:c r="C344">
        <x:f t="shared" si="7"/>
        <x:v>-3174.6987799832932</x:v>
      </x:c>
      <x:c r="D344">
        <x:f t="shared" si="8"/>
        <x:v>-10513.469745248251</x:v>
      </x:c>
      <x:c r="E344">
        <x:f t="shared" si="9"/>
        <x:v>-11588.17818289464</x:v>
      </x:c>
    </x:row>
    <x:row r="345">
      <x:c r="A345">
        <x:f t="shared" si="5"/>
        <x:v>-0.16700000000000001</x:v>
      </x:c>
      <x:c r="B345">
        <x:f t="shared" si="6"/>
        <x:v>-0.14137113236063215</x:v>
      </x:c>
      <x:c r="C345">
        <x:f t="shared" si="7"/>
        <x:v>-2834.7671819467178</x:v>
      </x:c>
      <x:c r="D345">
        <x:f t="shared" si="8"/>
        <x:v>-9518.3342443124784</x:v>
      </x:c>
      <x:c r="E345">
        <x:f t="shared" si="9"/>
        <x:v>-10536.017531248719</x:v>
      </x:c>
    </x:row>
    <x:row r="346">
      <x:c r="A346">
        <x:f t="shared" si="5"/>
        <x:v>-0.158</x:v>
      </x:c>
      <x:c r="B346">
        <x:f t="shared" si="6"/>
        <x:v>-0.12471921807230046</x:v>
      </x:c>
      <x:c r="C346">
        <x:f t="shared" si="7"/>
        <x:v>-2475.736579407454</x:v>
      </x:c>
      <x:c r="D346">
        <x:f t="shared" si="8"/>
        <x:v>-8450.1146067239897</x:v>
      </x:c>
      <x:c r="E346">
        <x:f t="shared" si="9"/>
        <x:v>-9403.2197680937752</x:v>
      </x:c>
    </x:row>
    <x:row r="347">
      <x:c r="A347">
        <x:f t="shared" si="5"/>
        <x:v>-0.15</x:v>
      </x:c>
      <x:c r="B347">
        <x:f t="shared" si="6"/>
        <x:v>-0.11102336728663431</x:v>
      </x:c>
      <x:c r="C347">
        <x:f t="shared" si="7"/>
        <x:v>-2177.6671843117474</x:v>
      </x:c>
      <x:c r="D347">
        <x:f t="shared" si="8"/>
        <x:v>-7547.5826717634845</x:v>
      </x:c>
      <x:c r="E347">
        <x:f t="shared" si="9"/>
        <x:v>-8442.9245038226654</x:v>
      </x:c>
    </x:row>
    <x:row r="348">
      <x:c r="A348">
        <x:f t="shared" si="5"/>
        <x:v>-0.14199999999999999</x:v>
      </x:c>
      <x:c r="B348">
        <x:f t="shared" si="6"/>
        <x:v>-9.8319082050352336E-2</x:v>
      </x:c>
      <x:c r="C348">
        <x:f t="shared" si="7"/>
        <x:v>-1899.6570192596373</x:v>
      </x:c>
      <x:c r="D348">
        <x:f t="shared" si="8"/>
        <x:v>-6690.6108063324282</x:v>
      </x:c>
      <x:c r="E348">
        <x:f t="shared" si="9"/>
        <x:v>-7527.8673822461351</x:v>
      </x:c>
    </x:row>
    <x:row r="349">
      <x:c r="A349">
        <x:f t="shared" si="5"/>
        <x:v>-0.13300000000000001</x:v>
      </x:c>
      <x:c r="B349">
        <x:f t="shared" si="6"/>
        <x:v>-8.5156359718553176E-2</x:v>
      </x:c>
      <x:c r="C349">
        <x:f t="shared" si="7"/>
        <x:v>-1611.0978519744349</x:v>
      </x:c>
      <x:c r="D349">
        <x:f t="shared" si="8"/>
        <x:v>-5782.5863929769912</x:v>
      </x:c>
      <x:c r="E349">
        <x:f t="shared" si="9"/>
        <x:v>-6554.1364146582637</x:v>
      </x:c>
    </x:row>
    <x:row r="350">
      <x:c r="A350">
        <x:f t="shared" si="5"/>
        <x:v>-0.125</x:v>
      </x:c>
      <x:c r="B350">
        <x:f t="shared" si="6"/>
        <x:v>-7.4413578671737923E-2</x:v>
      </x:c>
      <x:c r="C350">
        <x:f t="shared" si="7"/>
        <x:v>-1376.2576530040769</x:v>
      </x:c>
      <x:c r="D350">
        <x:f t="shared" si="8"/>
        <x:v>-5026.7415034051373</x:v>
      </x:c>
      <x:c r="E350">
        <x:f t="shared" si="9"/>
        <x:v>-5739.5919717311044</x:v>
      </x:c>
    </x:row>
    <x:row r="351">
      <x:c r="A351">
        <x:f t="shared" si="5"/>
        <x:v>-0.11700000000000001</x:v>
      </x:c>
      <x:c r="B351">
        <x:f t="shared" si="6"/>
        <x:v>-6.4530590996128012E-2</x:v>
      </x:c>
      <x:c r="C351">
        <x:f t="shared" si="7"/>
        <x:v>-1161.8662425758666</x:v>
      </x:c>
      <x:c r="D351">
        <x:f t="shared" si="8"/>
        <x:v>-4320.5432959684549</x:v>
      </x:c>
      <x:c r="E351">
        <x:f t="shared" si="9"/>
        <x:v>-4974.4518534386225</x:v>
      </x:c>
    </x:row>
    <x:row r="352">
      <x:c r="A352">
        <x:f t="shared" si="5"/>
        <x:v>-0.108</x:v>
      </x:c>
      <x:c r="B352">
        <x:f t="shared" si="6"/>
        <x:v>-5.4393810229043993E-2</x:v>
      </x:c>
      <x:c r="C352">
        <x:f t="shared" si="7"/>
        <x:v>-945.08643135841521</x:v>
      </x:c>
      <x:c r="D352">
        <x:f t="shared" si="8"/>
        <x:v>-3587.0630675248431</x:v>
      </x:c>
      <x:c r="E352">
        <x:f t="shared" si="9"/>
        <x:v>-4174.4317239557349</x:v>
      </x:c>
    </x:row>
    <x:row r="353">
      <x:c r="A353">
        <x:f t="shared" si="5"/>
        <x:v>-0.1</x:v>
      </x:c>
      <x:c r="B353">
        <x:f t="shared" si="6"/>
        <x:v>-4.6217631182344121E-2</x:v>
      </x:c>
      <x:c r="C353">
        <x:f t="shared" si="7"/>
        <x:v>-773.9404461593731</x:v>
      </x:c>
      <x:c r="D353">
        <x:f t="shared" si="8"/>
        <x:v>-2990.7521080161314</x:v>
      </x:c>
      <x:c r="E353">
        <x:f t="shared" si="9"/>
        <x:v>-3518.8494159470647</x:v>
      </x:c>
    </x:row>
    <x:row r="354">
      <x:c r="A354">
        <x:f t="shared" si="5"/>
        <x:v>-9.1999999999999998E-2</x:v>
      </x:c>
      <x:c r="B354">
        <x:f t="shared" si="6"/>
        <x:v>-3.8793322623632776E-2</x:v>
      </x:c>
      <x:c r="C354">
        <x:f t="shared" si="7"/>
        <x:v>-622.7876519774909</x:v>
      </x:c>
      <x:c r="D354">
        <x:f t="shared" si="8"/>
        <x:v>-2448.1742219196822</x:v>
      </x:c>
      <x:c r="E354">
        <x:f t="shared" si="9"/>
        <x:v>-2916.9995331569153</x:v>
      </x:c>
    </x:row>
    <x:row r="355">
      <x:c r="A355">
        <x:f t="shared" si="5"/>
        <x:v>-8.3000000000000004E-2</x:v>
      </x:c>
      <x:c r="B355">
        <x:f t="shared" si="6"/>
        <x:v>-3.1303072409855304E-2</x:v>
      </x:c>
      <x:c r="C355">
        <x:f t="shared" si="7"/>
        <x:v>-476.07728499047153</x:v>
      </x:c>
      <x:c r="D355">
        <x:f t="shared" si="8"/>
        <x:v>-1903.505948859045</x:v>
      </x:c>
      <x:c r="E355">
        <x:f t="shared" si="9"/>
        <x:v>-2305.8725854526674</x:v>
      </x:c>
    </x:row>
    <x:row r="356">
      <x:c r="A356">
        <x:f t="shared" si="5"/>
        <x:v>-7.4999999999999997E-2</x:v>
      </x:c>
      <x:c r="B356">
        <x:f t="shared" si="6"/>
        <x:v>-2.5381627713954913E-2</x:v>
      </x:c>
      <x:c r="C356">
        <x:f t="shared" si="7"/>
        <x:v>-365.6858715468552</x:v>
      </x:c>
      <x:c r="D356">
        <x:f t="shared" si="8"/>
        <x:v>-1478.9642244424758</x:v>
      </x:c>
      <x:c r="E356">
        <x:f t="shared" si="9"/>
        <x:v>-1822.7678078152858</x:v>
      </x:c>
    </x:row>
    <x:row r="357">
      <x:c r="A357">
        <x:f t="shared" si="5"/>
        <x:v>-6.7000000000000004E-2</x:v>
      </x:c>
      <x:c r="B357">
        <x:f t="shared" si="6"/>
        <x:v>-2.0128040178406081E-2</x:v>
      </x:c>
      <x:c r="C357">
        <x:f t="shared" si="7"/>
        <x:v>-273.20619150514904</x:v>
      </x:c>
      <x:c r="D357">
        <x:f t="shared" si="8"/>
        <x:v>-1111.3665792034881</x:v>
      </x:c>
      <x:c r="E357">
        <x:f t="shared" si="9"/>
        <x:v>-1397.5520721561479</x:v>
      </x:c>
    </x:row>
    <x:row r="358">
      <x:c r="A358">
        <x:f t="shared" si="5"/>
        <x:v>-5.8000000000000003E-2</x:v>
      </x:c>
      <x:c r="B358">
        <x:f t="shared" si="6"/>
        <x:v>-1.4988976835297763E-2</x:v>
      </x:c>
      <x:c r="C358">
        <x:f t="shared" si="7"/>
        <x:v>-189.13531467878693</x:v>
      </x:c>
      <x:c r="D358">
        <x:f t="shared" si="8"/>
        <x:v>-766.31188824812671</x:v>
      </x:c>
      <x:c r="E358">
        <x:f t="shared" si="9"/>
        <x:v>-989.67471788156035</x:v>
      </x:c>
    </x:row>
    <x:row r="359">
      <x:c r="A359">
        <x:f t="shared" si="5"/>
        <x:v>-0.05</x:v>
      </x:c>
      <x:c r="B359">
        <x:f t="shared" si="6"/>
        <x:v>-1.1085185236197503E-2</x:v>
      </x:c>
      <x:c r="C359">
        <x:f t="shared" si="7"/>
        <x:v>-130.58382574901771</x:v>
      </x:c>
      <x:c r="D359">
        <x:f t="shared" si="8"/>
        <x:v>-520.01022342426404</x:v>
      </x:c>
      <x:c r="E359">
        <x:f t="shared" si="9"/>
        <x:v>-690.46185643132958</x:v>
      </x:c>
    </x:row>
    <x:row r="360">
      <x:c r="A360">
        <x:f t="shared" si="5"/>
        <x:v>-4.2000000000000003E-2</x:v>
      </x:c>
      <x:c r="B360">
        <x:f t="shared" si="6"/>
        <x:v>-7.7892075411227779E-3</x:v>
      </x:c>
      <x:c r="C360">
        <x:f t="shared" si="7"/>
        <x:v>-85.532537980298912</x:v>
      </x:c>
      <x:c r="D360">
        <x:f t="shared" si="8"/>
        <x:v>-328.85027552274187</x:v>
      </x:c>
      <x:c r="E360">
        <x:f t="shared" si="9"/>
        <x:v>-450.68761011315837</x:v>
      </x:c>
    </x:row>
    <x:row r="361">
      <x:c r="A361">
        <x:f t="shared" si="5"/>
        <x:v>-3.3000000000000002E-2</x:v>
      </x:c>
      <x:c r="B361">
        <x:f t="shared" si="6"/>
        <x:v>-4.7902418510830103E-3</x:v>
      </x:c>
      <x:c r="C361">
        <x:f t="shared" si="7"/>
        <x:v>-48.707150080789688</x:v>
      </x:c>
      <x:c r="D361">
        <x:f t="shared" si="8"/>
        <x:v>-175.28477054044197</x:v>
      </x:c>
      <x:c r="E361">
        <x:f t="shared" si="9"/>
        <x:v>-249.93122636938642</x:v>
      </x:c>
    </x:row>
    <x:row r="362">
      <x:c r="A362">
        <x:f t="shared" si="5"/>
        <x:v>-2.5000000000000001E-2</x:v>
      </x:c>
      <x:c r="B362">
        <x:f t="shared" si="6"/>
        <x:v>-2.7419606900593863E-3</x:v>
      </x:c>
      <x:c r="C362">
        <x:f t="shared" si="7"/>
        <x:v>-26.20922916708696</x:v>
      </x:c>
      <x:c r="D362">
        <x:f t="shared" si="8"/>
        <x:v>-86.794732464311892</x:v>
      </x:c>
      <x:c r="E362">
        <x:f t="shared" si="9"/>
        <x:v>-128.37390922902341</x:v>
      </x:c>
    </x:row>
    <x:row r="363">
      <x:c r="A363">
        <x:f t="shared" si="5"/>
        <x:v>-1.7000000000000001E-2</x:v>
      </x:c>
      <x:c r="B363">
        <x:f t="shared" si="6"/>
        <x:v>-1.2654526615278883E-3</x:v>
      </x:c>
      <x:c r="C363">
        <x:f t="shared" si="7"/>
        <x:v>-11.501173772391667</x:v>
      </x:c>
      <x:c r="D363">
        <x:f t="shared" si="8"/>
        <x:v>-34.567441559190229</x:v>
      </x:c>
      <x:c r="E363">
        <x:f t="shared" si="9"/>
        <x:v>-52.890554438504296</x:v>
      </x:c>
    </x:row>
    <x:row r="364">
      <x:c r="A364">
        <x:f t="shared" si="5"/>
        <x:v>-8.0000000000000002E-3</x:v>
      </x:c>
      <x:c r="B364">
        <x:f t="shared" si="6"/>
        <x:v>-2.7987863211365038E-4</x:v>
      </x:c>
      <x:c r="C364">
        <x:f t="shared" si="7"/>
        <x:v>-2.4515400940208565</x:v>
      </x:c>
      <x:c r="D364">
        <x:f t="shared" si="8"/>
        <x:v>-6.7016754171791035</x:v>
      </x:c>
      <x:c r="E364">
        <x:f t="shared" si="9"/>
        <x:v>-10.54136055730396</x:v>
      </x:c>
    </x:row>
    <x:row r="365">
      <x:c r="A365">
        <x:f t="shared" si="5"/>
        <x:v>0</x:v>
      </x:c>
      <x:c r="B365">
        <x:f t="shared" si="6"/>
        <x:v>0</x:v>
      </x:c>
      <x:c r="C365">
        <x:f t="shared" si="7"/>
        <x:v>0</x:v>
      </x:c>
      <x:c r="D365">
        <x:f t="shared" si="8"/>
        <x:v>0</x:v>
      </x:c>
      <x:c r="E365">
        <x:f t="shared" si="9"/>
        <x:v>0</x:v>
      </x:c>
    </x:row>
    <x:row r="366">
      <x:c r="A366">
        <x:f t="shared" si="5"/>
        <x:v>8.0000000000000002E-3</x:v>
      </x:c>
      <x:c r="B366">
        <x:f t="shared" si="6"/>
        <x:v>-2.7987863211365038E-4</x:v>
      </x:c>
      <x:c r="C366">
        <x:f t="shared" si="7"/>
        <x:v>-2.4515400940208565</x:v>
      </x:c>
      <x:c r="D366">
        <x:f t="shared" si="8"/>
        <x:v>-6.7016754171791035</x:v>
      </x:c>
      <x:c r="E366">
        <x:f t="shared" si="9"/>
        <x:v>-10.54136055730396</x:v>
      </x:c>
    </x:row>
    <x:row r="367">
      <x:c r="A367">
        <x:f t="shared" si="5"/>
        <x:v>1.7000000000000001E-2</x:v>
      </x:c>
      <x:c r="B367">
        <x:f t="shared" si="6"/>
        <x:v>-1.2654526615278883E-3</x:v>
      </x:c>
      <x:c r="C367">
        <x:f t="shared" si="7"/>
        <x:v>-11.501173772391667</x:v>
      </x:c>
      <x:c r="D367">
        <x:f t="shared" si="8"/>
        <x:v>-34.567441559186591</x:v>
      </x:c>
      <x:c r="E367">
        <x:f t="shared" si="9"/>
        <x:v>-52.890554438502477</x:v>
      </x:c>
    </x:row>
    <x:row r="368">
      <x:c r="A368">
        <x:f t="shared" si="5"/>
        <x:v>2.5000000000000001E-2</x:v>
      </x:c>
      <x:c r="B368">
        <x:f t="shared" si="6"/>
        <x:v>-2.7419606900593863E-3</x:v>
      </x:c>
      <x:c r="C368">
        <x:f t="shared" si="7"/>
        <x:v>-26.20922916708696</x:v>
      </x:c>
      <x:c r="D368">
        <x:f t="shared" si="8"/>
        <x:v>-86.794732464307344</x:v>
      </x:c>
      <x:c r="E368">
        <x:f t="shared" si="9"/>
        <x:v>-128.37390922901977</x:v>
      </x:c>
    </x:row>
    <x:row r="369">
      <x:c r="A369">
        <x:f t="shared" si="5"/>
        <x:v>3.3000000000000002E-2</x:v>
      </x:c>
      <x:c r="B369">
        <x:f t="shared" si="6"/>
        <x:v>-4.7902418510830103E-3</x:v>
      </x:c>
      <x:c r="C369">
        <x:f t="shared" si="7"/>
        <x:v>-48.707150080789688</x:v>
      </x:c>
      <x:c r="D369">
        <x:f t="shared" si="8"/>
        <x:v>-175.28477054044197</x:v>
      </x:c>
      <x:c r="E369">
        <x:f t="shared" si="9"/>
        <x:v>-249.93122636938642</x:v>
      </x:c>
    </x:row>
    <x:row r="370">
      <x:c r="A370">
        <x:f t="shared" si="5"/>
        <x:v>4.2000000000000003E-2</x:v>
      </x:c>
      <x:c r="B370">
        <x:f t="shared" si="6"/>
        <x:v>-7.7892075411227779E-3</x:v>
      </x:c>
      <x:c r="C370">
        <x:f t="shared" si="7"/>
        <x:v>-85.532537980298912</x:v>
      </x:c>
      <x:c r="D370">
        <x:f t="shared" si="8"/>
        <x:v>-328.85027552274187</x:v>
      </x:c>
      <x:c r="E370">
        <x:f t="shared" si="9"/>
        <x:v>-450.68761011315837</x:v>
      </x:c>
    </x:row>
    <x:row r="371">
      <x:c r="A371">
        <x:f t="shared" si="5"/>
        <x:v>0.05</x:v>
      </x:c>
      <x:c r="B371">
        <x:f t="shared" si="6"/>
        <x:v>-1.1085185236197503E-2</x:v>
      </x:c>
      <x:c r="C371">
        <x:f t="shared" si="7"/>
        <x:v>-130.58382574901771</x:v>
      </x:c>
      <x:c r="D371">
        <x:f t="shared" si="8"/>
        <x:v>-520.01022342426404</x:v>
      </x:c>
      <x:c r="E371">
        <x:f t="shared" si="9"/>
        <x:v>-690.46185643132958</x:v>
      </x:c>
    </x:row>
    <x:row r="372">
      <x:c r="A372">
        <x:f t="shared" si="5"/>
        <x:v>5.8000000000000003E-2</x:v>
      </x:c>
      <x:c r="B372">
        <x:f t="shared" si="6"/>
        <x:v>-1.4988976835297763E-2</x:v>
      </x:c>
      <x:c r="C372">
        <x:f t="shared" si="7"/>
        <x:v>-189.13531467878693</x:v>
      </x:c>
      <x:c r="D372">
        <x:f t="shared" si="8"/>
        <x:v>-766.31188824812671</x:v>
      </x:c>
      <x:c r="E372">
        <x:f t="shared" si="9"/>
        <x:v>-989.67471788156035</x:v>
      </x:c>
    </x:row>
    <x:row r="373">
      <x:c r="A373" t="n">
        <x:f t="shared" ref="A373:A436" si="10">I130</x:f>
        <x:v>0.067</x:v>
      </x:c>
      <x:c r="B373" t="n">
        <x:f t="shared" ref="B373:B436" si="11">J130</x:f>
        <x:v>-0.02012804017840608</x:v>
      </x:c>
      <x:c r="C373" t="n">
        <x:f t="shared" ref="C373:C436" si="12">K130</x:f>
        <x:v>-273.20619150514904</x:v>
      </x:c>
      <x:c r="D373" t="n">
        <x:f t="shared" ref="D373:D436" si="13">L130</x:f>
        <x:v>-1111.366579203488</x:v>
      </x:c>
      <x:c r="E373" t="n">
        <x:f t="shared" ref="E373:E436" si="14">M130</x:f>
        <x:v>-1397.552072156148</x:v>
      </x:c>
    </x:row>
    <x:row r="374">
      <x:c r="A374">
        <x:f t="shared" si="10"/>
        <x:v>7.4999999999999997E-2</x:v>
      </x:c>
      <x:c r="B374">
        <x:f t="shared" si="11"/>
        <x:v>-2.5381627713954913E-2</x:v>
      </x:c>
      <x:c r="C374">
        <x:f t="shared" si="12"/>
        <x:v>-365.6858715468552</x:v>
      </x:c>
      <x:c r="D374">
        <x:f t="shared" si="13"/>
        <x:v>-1478.9642244424758</x:v>
      </x:c>
      <x:c r="E374">
        <x:f t="shared" si="14"/>
        <x:v>-1822.7678078152858</x:v>
      </x:c>
    </x:row>
    <x:row r="375">
      <x:c r="A375">
        <x:f t="shared" si="10"/>
        <x:v>8.3000000000000004E-2</x:v>
      </x:c>
      <x:c r="B375">
        <x:f t="shared" si="11"/>
        <x:v>-3.1303072409855304E-2</x:v>
      </x:c>
      <x:c r="C375">
        <x:f t="shared" si="12"/>
        <x:v>-476.07728499047153</x:v>
      </x:c>
      <x:c r="D375">
        <x:f t="shared" si="13"/>
        <x:v>-1903.505948859045</x:v>
      </x:c>
      <x:c r="E375">
        <x:f t="shared" si="14"/>
        <x:v>-2305.8725854526674</x:v>
      </x:c>
    </x:row>
    <x:row r="376">
      <x:c r="A376">
        <x:f t="shared" si="10"/>
        <x:v>9.1999999999999998E-2</x:v>
      </x:c>
      <x:c r="B376">
        <x:f t="shared" si="11"/>
        <x:v>-3.8793322623632776E-2</x:v>
      </x:c>
      <x:c r="C376">
        <x:f t="shared" si="12"/>
        <x:v>-622.7876519774909</x:v>
      </x:c>
      <x:c r="D376">
        <x:f t="shared" si="13"/>
        <x:v>-2448.1742219196822</x:v>
      </x:c>
      <x:c r="E376">
        <x:f t="shared" si="14"/>
        <x:v>-2916.9995331569153</x:v>
      </x:c>
    </x:row>
    <x:row r="377">
      <x:c r="A377">
        <x:f t="shared" si="10"/>
        <x:v>0.1</x:v>
      </x:c>
      <x:c r="B377">
        <x:f t="shared" si="11"/>
        <x:v>-4.6217631182344121E-2</x:v>
      </x:c>
      <x:c r="C377">
        <x:f t="shared" si="12"/>
        <x:v>-773.94044615938219</x:v>
      </x:c>
      <x:c r="D377">
        <x:f t="shared" si="13"/>
        <x:v>-2990.7521080161423</x:v>
      </x:c>
      <x:c r="E377">
        <x:f t="shared" si="14"/>
        <x:v>-3518.8494159470793</x:v>
      </x:c>
    </x:row>
    <x:row r="378">
      <x:c r="A378">
        <x:f t="shared" si="10"/>
        <x:v>0.108</x:v>
      </x:c>
      <x:c r="B378">
        <x:f t="shared" si="11"/>
        <x:v>-5.4393810229043993E-2</x:v>
      </x:c>
      <x:c r="C378">
        <x:f t="shared" si="12"/>
        <x:v>-945.08643135841885</x:v>
      </x:c>
      <x:c r="D378">
        <x:f t="shared" si="13"/>
        <x:v>-3587.0630675248613</x:v>
      </x:c>
      <x:c r="E378">
        <x:f t="shared" si="14"/>
        <x:v>-4174.4317239557495</x:v>
      </x:c>
    </x:row>
    <x:row r="379">
      <x:c r="A379">
        <x:f t="shared" si="10"/>
        <x:v>0.11700000000000001</x:v>
      </x:c>
      <x:c r="B379">
        <x:f t="shared" si="11"/>
        <x:v>-6.4530590996128012E-2</x:v>
      </x:c>
      <x:c r="C379">
        <x:f t="shared" si="12"/>
        <x:v>-1161.8662425758666</x:v>
      </x:c>
      <x:c r="D379">
        <x:f t="shared" si="13"/>
        <x:v>-4320.5432959684549</x:v>
      </x:c>
      <x:c r="E379">
        <x:f t="shared" si="14"/>
        <x:v>-4974.4518534386225</x:v>
      </x:c>
    </x:row>
    <x:row r="380">
      <x:c r="A380">
        <x:f t="shared" si="10"/>
        <x:v>0.125</x:v>
      </x:c>
      <x:c r="B380">
        <x:f t="shared" si="11"/>
        <x:v>-7.4413578671737923E-2</x:v>
      </x:c>
      <x:c r="C380">
        <x:f t="shared" si="12"/>
        <x:v>-1376.2576530040769</x:v>
      </x:c>
      <x:c r="D380">
        <x:f t="shared" si="13"/>
        <x:v>-5026.7415034051373</x:v>
      </x:c>
      <x:c r="E380">
        <x:f t="shared" si="14"/>
        <x:v>-5739.5919717311044</x:v>
      </x:c>
    </x:row>
    <x:row r="381">
      <x:c r="A381">
        <x:f t="shared" si="10"/>
        <x:v>0.13300000000000001</x:v>
      </x:c>
      <x:c r="B381">
        <x:f t="shared" si="11"/>
        <x:v>-8.5156359718553176E-2</x:v>
      </x:c>
      <x:c r="C381">
        <x:f t="shared" si="12"/>
        <x:v>-1611.0978519744349</x:v>
      </x:c>
      <x:c r="D381">
        <x:f t="shared" si="13"/>
        <x:v>-5782.5863929769912</x:v>
      </x:c>
      <x:c r="E381">
        <x:f t="shared" si="14"/>
        <x:v>-6554.1364146582637</x:v>
      </x:c>
    </x:row>
    <x:row r="382">
      <x:c r="A382">
        <x:f t="shared" si="10"/>
        <x:v>0.14199999999999999</x:v>
      </x:c>
      <x:c r="B382">
        <x:f t="shared" si="11"/>
        <x:v>-9.8319082050352336E-2</x:v>
      </x:c>
      <x:c r="C382">
        <x:f t="shared" si="12"/>
        <x:v>-1899.6570192596264</x:v>
      </x:c>
      <x:c r="D382">
        <x:f t="shared" si="13"/>
        <x:v>-6690.6108063344145</x:v>
      </x:c>
      <x:c r="E382">
        <x:f t="shared" si="14"/>
        <x:v>-7527.8673822440323</x:v>
      </x:c>
    </x:row>
    <x:row r="383">
      <x:c r="A383">
        <x:f t="shared" si="10"/>
        <x:v>0.15</x:v>
      </x:c>
      <x:c r="B383">
        <x:f t="shared" si="11"/>
        <x:v>-0.11102336728663431</x:v>
      </x:c>
      <x:c r="C383">
        <x:f t="shared" si="12"/>
        <x:v>-2177.6671843117401</x:v>
      </x:c>
      <x:c r="D383">
        <x:f t="shared" si="13"/>
        <x:v>-7547.5826717672899</x:v>
      </x:c>
      <x:c r="E383">
        <x:f t="shared" si="14"/>
        <x:v>-8442.9245038226436</x:v>
      </x:c>
    </x:row>
    <x:row r="384">
      <x:c r="A384">
        <x:f t="shared" si="10"/>
        <x:v>0.158</x:v>
      </x:c>
      <x:c r="B384">
        <x:f t="shared" si="11"/>
        <x:v>-0.12471921807230046</x:v>
      </x:c>
      <x:c r="C384">
        <x:f t="shared" si="12"/>
        <x:v>-2475.736579407454</x:v>
      </x:c>
      <x:c r="D384">
        <x:f t="shared" si="13"/>
        <x:v>-8450.1146067239897</x:v>
      </x:c>
      <x:c r="E384">
        <x:f t="shared" si="14"/>
        <x:v>-9403.2197680937752</x:v>
      </x:c>
    </x:row>
    <x:row r="385">
      <x:c r="A385">
        <x:f t="shared" si="10"/>
        <x:v>0.16700000000000001</x:v>
      </x:c>
      <x:c r="B385">
        <x:f t="shared" si="11"/>
        <x:v>-0.14137113236063215</x:v>
      </x:c>
      <x:c r="C385">
        <x:f t="shared" si="12"/>
        <x:v>-2834.7671819467178</x:v>
      </x:c>
      <x:c r="D385">
        <x:f t="shared" si="13"/>
        <x:v>-9518.3342443124784</x:v>
      </x:c>
      <x:c r="E385">
        <x:f t="shared" si="14"/>
        <x:v>-10536.017531248719</x:v>
      </x:c>
    </x:row>
    <x:row r="386">
      <x:c r="A386">
        <x:f t="shared" si="10"/>
        <x:v>0.17499999999999999</x:v>
      </x:c>
      <x:c r="B386">
        <x:f t="shared" si="11"/>
        <x:v>-0.15733377440119511</x:v>
      </x:c>
      <x:c r="C386">
        <x:f t="shared" si="12"/>
        <x:v>-3174.6987799832932</x:v>
      </x:c>
      <x:c r="D386">
        <x:f t="shared" si="13"/>
        <x:v>-10513.469745248251</x:v>
      </x:c>
      <x:c r="E386">
        <x:f t="shared" si="14"/>
        <x:v>-11588.17818289464</x:v>
      </x:c>
    </x:row>
    <x:row r="387">
      <x:c r="A387">
        <x:f t="shared" si="10"/>
        <x:v>0.183</x:v>
      </x:c>
      <x:c r="B387">
        <x:f t="shared" si="11"/>
        <x:v>-0.17444351947665382</x:v>
      </x:c>
      <x:c r="C387">
        <x:f t="shared" si="12"/>
        <x:v>-3533.9191182778195</x:v>
      </x:c>
      <x:c r="D387">
        <x:f t="shared" si="13"/>
        <x:v>-11550.242027722496</x:v>
      </x:c>
      <x:c r="E387">
        <x:f t="shared" si="14"/>
        <x:v>-12681.604714695779</x:v>
      </x:c>
    </x:row>
    <x:row r="388">
      <x:c r="A388">
        <x:f t="shared" si="10"/>
        <x:v>0.192</x:v>
      </x:c>
      <x:c r="B388">
        <x:f t="shared" si="11"/>
        <x:v>-0.1951314257202057</x:v>
      </x:c>
      <x:c r="C388">
        <x:f t="shared" si="12"/>
        <x:v>-3960.7421763302191</x:v>
      </x:c>
      <x:c r="D388">
        <x:f t="shared" si="13"/>
        <x:v>-12764.866565310112</x:v>
      </x:c>
      <x:c r="E388">
        <x:f t="shared" si="14"/>
        <x:v>-13959.503640642601</x:v>
      </x:c>
    </x:row>
    <x:row r="389">
      <x:c r="A389">
        <x:f t="shared" si="10"/>
        <x:v>0.2</x:v>
      </x:c>
      <x:c r="B389">
        <x:f t="shared" si="11"/>
        <x:v>-0.21486365220766857</x:v>
      </x:c>
      <x:c r="C389">
        <x:f t="shared" si="12"/>
        <x:v>-4359.9901999884787</x:v>
      </x:c>
      <x:c r="D389">
        <x:f t="shared" si="13"/>
        <x:v>-13886.103797269352</x:v>
      </x:c>
      <x:c r="E389">
        <x:f t="shared" si="14"/>
        <x:v>-15136.55814203358</x:v>
      </x:c>
    </x:row>
    <x:row r="390">
      <x:c r="A390">
        <x:f t="shared" si="10"/>
        <x:v>0.20799999999999999</x:v>
      </x:c>
      <x:c r="B390">
        <x:f t="shared" si="11"/>
        <x:v>-0.23592219111435497</x:v>
      </x:c>
      <x:c r="C390">
        <x:f t="shared" si="12"/>
        <x:v>-4777.603842826582</x:v>
      </x:c>
      <x:c r="D390">
        <x:f t="shared" si="13"/>
        <x:v>-15045.242230124342</x:v>
      </x:c>
      <x:c r="E390">
        <x:f t="shared" si="14"/>
        <x:v>-16351.096914099966</x:v>
      </x:c>
    </x:row>
    <x:row r="391">
      <x:c r="A391">
        <x:f t="shared" si="10"/>
        <x:v>0.217</x:v>
      </x:c>
      <x:c r="B391">
        <x:f t="shared" si="11"/>
        <x:v>-0.26127610188143535</x:v>
      </x:c>
      <x:c r="C391">
        <x:f t="shared" si="12"/>
        <x:v>-5268.9875445368234</x:v>
      </x:c>
      <x:c r="D391">
        <x:f t="shared" si="13"/>
        <x:v>-16393.138607990768</x:v>
      </x:c>
      <x:c r="E391">
        <x:f t="shared" si="14"/>
        <x:v>-17760.80185039583</x:v>
      </x:c>
    </x:row>
    <x:row r="392">
      <x:c r="A392">
        <x:f t="shared" si="10"/>
        <x:v>0.22500000000000001</x:v>
      </x:c>
      <x:c r="B392">
        <x:f t="shared" si="11"/>
        <x:v>-0.28536299915617747</x:v>
      </x:c>
      <x:c r="C392">
        <x:f t="shared" si="12"/>
        <x:v>-5724.6003963936055</x:v>
      </x:c>
      <x:c r="D392">
        <x:f t="shared" si="13"/>
        <x:v>-17629.003880901961</x:v>
      </x:c>
      <x:c r="E392">
        <x:f t="shared" si="14"/>
        <x:v>-19051.132271648341</x:v>
      </x:c>
    </x:row>
    <x:row r="393">
      <x:c r="A393">
        <x:f t="shared" si="10"/>
        <x:v>0.23300000000000001</x:v>
      </x:c>
      <x:c r="B393">
        <x:f t="shared" si="11"/>
        <x:v>-0.31097897475410718</x:v>
      </x:c>
      <x:c r="C393">
        <x:f t="shared" si="12"/>
        <x:v>-6197.6076393513431</x:v>
      </x:c>
      <x:c r="D393">
        <x:f t="shared" si="13"/>
        <x:v>-18899.222425472501</x:v>
      </x:c>
      <x:c r="E393">
        <x:f t="shared" si="14"/>
        <x:v>-20375.352826851158</x:v>
      </x:c>
    </x:row>
    <x:row r="394">
      <x:c r="A394">
        <x:f t="shared" si="10"/>
        <x:v>0.24199999999999999</x:v>
      </x:c>
      <x:c r="B394">
        <x:f t="shared" si="11"/>
        <x:v>-0.34171172867979749</x:v>
      </x:c>
      <x:c r="C394">
        <x:f t="shared" si="12"/>
        <x:v>-6750.1435304916085</x:v>
      </x:c>
      <x:c r="D394">
        <x:f t="shared" si="13"/>
        <x:v>-20367.917072372351</x:v>
      </x:c>
      <x:c r="E394">
        <x:f t="shared" si="14"/>
        <x:v>-21904.22804430117</x:v>
      </x:c>
    </x:row>
    <x:row r="395">
      <x:c r="A395">
        <x:f t="shared" si="10"/>
        <x:v>0.25</x:v>
      </x:c>
      <x:c r="B395">
        <x:f t="shared" si="11"/>
        <x:v>-0.37081187517208036</x:v>
      </x:c>
      <x:c r="C395">
        <x:f t="shared" si="12"/>
        <x:v>-7259.0775623812369</x:v>
      </x:c>
      <x:c r="D395">
        <x:f t="shared" si="13"/>
        <x:v>-21707.520208299306</x:v>
      </x:c>
      <x:c r="E395">
        <x:f t="shared" si="14"/>
        <x:v>-23296.801058357276</x:v>
      </x:c>
    </x:row>
    <x:row r="396">
      <x:c r="A396">
        <x:f t="shared" si="10"/>
        <x:v>0.25800000000000001</x:v>
      </x:c>
      <x:c r="B396">
        <x:f t="shared" si="11"/>
        <x:v>-0.4016673031354685</x:v>
      </x:c>
      <x:c r="C396">
        <x:f t="shared" si="12"/>
        <x:v>-7784.4332514201305</x:v>
      </x:c>
      <x:c r="D396">
        <x:f t="shared" si="13"/>
        <x:v>-23078.113644632846</x:v>
      </x:c>
      <x:c r="E396">
        <x:f t="shared" si="14"/>
        <x:v>-24719.85672730935</x:v>
      </x:c>
    </x:row>
    <x:row r="397">
      <x:c r="A397">
        <x:f t="shared" si="10"/>
        <x:v>0.26700000000000002</x:v>
      </x:c>
      <x:c r="B397">
        <x:f t="shared" si="11"/>
        <x:v>-0.43857412502381976</x:v>
      </x:c>
      <x:c r="C397">
        <x:f t="shared" si="12"/>
        <x:v>-8394.7042158108015</x:v>
      </x:c>
      <x:c r="D397">
        <x:f t="shared" si="13"/>
        <x:v>-24655.783322873089</x:v>
      </x:c>
      <x:c r="E397">
        <x:f t="shared" si="14"/>
        <x:v>-26355.922820228821</x:v>
      </x:c>
    </x:row>
    <x:row r="398">
      <x:c r="A398">
        <x:f t="shared" si="10"/>
        <x:v>0.27500000000000002</x:v>
      </x:c>
      <x:c r="B398">
        <x:f t="shared" si="11"/>
        <x:v>-0.47341919121004139</x:v>
      </x:c>
      <x:c r="C398">
        <x:f t="shared" si="12"/>
        <x:v>-8953.936813088847</x:v>
      </x:c>
      <x:c r="D398">
        <x:f t="shared" si="13"/>
        <x:v>-26088.80968164916</x:v>
      </x:c>
      <x:c r="E398">
        <x:f t="shared" si="14"/>
        <x:v>-27840.28839250606</x:v>
      </x:c>
    </x:row>
    <x:row r="399">
      <x:c r="A399">
        <x:f t="shared" si="10"/>
        <x:v>0.28299999999999997</x:v>
      </x:c>
      <x:c r="B399">
        <x:f t="shared" si="11"/>
        <x:v>-0.51026903842853244</x:v>
      </x:c>
      <x:c r="C399">
        <x:f t="shared" si="12"/>
        <x:v>-9528.6373739095579</x:v>
      </x:c>
      <x:c r="D399">
        <x:f t="shared" si="13"/>
        <x:v>-27549.646131814996</x:v>
      </x:c>
      <x:c r="E399">
        <x:f t="shared" si="14"/>
        <x:v>-29351.915801664421</x:v>
      </x:c>
    </x:row>
    <x:row r="400">
      <x:c r="A400">
        <x:f t="shared" si="10"/>
        <x:v>0.29199999999999998</x:v>
      </x:c>
      <x:c r="B400">
        <x:f t="shared" si="11"/>
        <x:v>-0.55422705180376397</x:v>
      </x:c>
      <x:c r="C400">
        <x:f t="shared" si="12"/>
        <x:v>-10193.291736298088</x:v>
      </x:c>
      <x:c r="D400">
        <x:f t="shared" si="13"/>
        <x:v>-29225.110156036026</x:v>
      </x:c>
      <x:c r="E400">
        <x:f t="shared" si="14"/>
        <x:v>-31083.84952937637</x:v>
      </x:c>
    </x:row>
    <x:row r="401">
      <x:c r="A401">
        <x:f t="shared" si="10"/>
        <x:v>0.3</x:v>
      </x:c>
      <x:c r="B401">
        <x:f t="shared" si="11"/>
        <x:v>-0.59562134887653428</x:v>
      </x:c>
      <x:c r="C401">
        <x:f t="shared" si="12"/>
        <x:v>-10799.871032643307</x:v>
      </x:c>
      <x:c r="D401">
        <x:f t="shared" si="13"/>
        <x:v>-30741.814145394601</x:v>
      </x:c>
      <x:c r="E401">
        <x:f t="shared" si="14"/>
        <x:v>-32650.140682705838</x:v>
      </x:c>
    </x:row>
    <x:row r="402">
      <x:c r="A402">
        <x:f t="shared" si="10"/>
        <x:v>0.308</x:v>
      </x:c>
      <x:c r="B402">
        <x:f t="shared" si="11"/>
        <x:v>-0.63929306925479068</x:v>
      </x:c>
      <x:c r="C402">
        <x:f t="shared" si="12"/>
        <x:v>-11420.992588521869</x:v>
      </x:c>
      <x:c r="D402">
        <x:f t="shared" si="13"/>
        <x:v>-32283.3287901734</x:v>
      </x:c>
      <x:c r="E402">
        <x:f t="shared" si="14"/>
        <x:v>-34240.659083493854</x:v>
      </x:c>
    </x:row>
    <x:row r="403">
      <x:c r="A403">
        <x:f t="shared" si="10"/>
        <x:v>0.317</x:v>
      </x:c>
      <x:c r="B403">
        <x:f t="shared" si="11"/>
        <x:v>-0.69126076184193153</x:v>
      </x:c>
      <x:c r="C403">
        <x:f t="shared" si="12"/>
        <x:v>-12136.776407525518</x:v>
      </x:c>
      <x:c r="D403">
        <x:f t="shared" si="13"/>
        <x:v>-34046.041947946462</x:v>
      </x:c>
      <x:c r="E403">
        <x:f t="shared" si="14"/>
        <x:v>-36057.791762901921</x:v>
      </x:c>
    </x:row>
    <x:row r="404">
      <x:c r="A404">
        <x:f t="shared" si="10"/>
        <x:v>0.32500000000000001</x:v>
      </x:c>
      <x:c r="B404">
        <x:f t="shared" si="11"/>
        <x:v>-0.74008074998198481</x:v>
      </x:c>
      <x:c r="C404">
        <x:f t="shared" si="12"/>
        <x:v>-12787.842801368242</x:v>
      </x:c>
      <x:c r="D404">
        <x:f t="shared" si="13"/>
        <x:v>-35637.240500205327</x:v>
      </x:c>
      <x:c r="E404">
        <x:f t="shared" si="14"/>
        <x:v>-37696.722160192003</x:v>
      </x:c>
    </x:row>
    <x:row r="405">
      <x:c r="A405">
        <x:f t="shared" si="10"/>
        <x:v>0.33300000000000002</x:v>
      </x:c>
      <x:c r="B405">
        <x:f t="shared" si="11"/>
        <x:v>-0.79147378083268904</x:v>
      </x:c>
      <x:c r="C405">
        <x:f t="shared" si="12"/>
        <x:v>-13452.557524737189</x:v>
      </x:c>
      <x:c r="D405">
        <x:f t="shared" si="13"/>
        <x:v>-37250.428651962648</x:v>
      </x:c>
      <x:c r="E405">
        <x:f t="shared" si="14"/>
        <x:v>-39357.029917001244</x:v>
      </x:c>
    </x:row>
    <x:row r="406">
      <x:c r="A406">
        <x:f t="shared" si="10"/>
        <x:v>0.34200000000000003</x:v>
      </x:c>
      <x:c r="B406">
        <x:f t="shared" si="11"/>
        <x:v>-0.8524904108952569</x:v>
      </x:c>
      <x:c r="C406">
        <x:f t="shared" si="12"/>
        <x:v>-14216.328265502132</x:v>
      </x:c>
      <x:c r="D406">
        <x:f t="shared" si="13"/>
        <x:v>-39090.472738230732</x:v>
      </x:c>
      <x:c r="E406">
        <x:f t="shared" si="14"/>
        <x:v>-41249.342022156037</x:v>
      </x:c>
    </x:row>
    <x:row r="407">
      <x:c r="A407">
        <x:f t="shared" si="10"/>
        <x:v>0.35</x:v>
      </x:c>
      <x:c r="B407">
        <x:f t="shared" si="11"/>
        <x:v>-0.90968416440080091</x:v>
      </x:c>
      <x:c r="C407">
        <x:f t="shared" si="12"/>
        <x:v>-14909.123361914171</x:v>
      </x:c>
      <x:c r="D407">
        <x:f t="shared" si="13"/>
        <x:v>-40747.537049505336</x:v>
      </x:c>
      <x:c r="E407">
        <x:f t="shared" si="14"/>
        <x:v>-42952.199792501269</x:v>
      </x:c>
    </x:row>
    <x:row r="408">
      <x:c r="A408">
        <x:f t="shared" si="10"/>
        <x:v>0.35799999999999998</x:v>
      </x:c>
      <x:c r="B408">
        <x:f t="shared" si="11"/>
        <x:v>-0.96976937592569357</x:v>
      </x:c>
      <x:c r="C408">
        <x:f t="shared" si="12"/>
        <x:v>-15614.706103309647</x:v>
      </x:c>
      <x:c r="D408">
        <x:f t="shared" si="13"/>
        <x:v>-42423.945096951444</x:v>
      </x:c>
      <x:c r="E408">
        <x:f t="shared" si="14"/>
        <x:v>-44673.766867657643</x:v>
      </x:c>
    </x:row>
    <x:row r="409">
      <x:c r="A409">
        <x:f t="shared" si="10"/>
        <x:v>0.36699999999999999</x:v>
      </x:c>
      <x:c r="B409">
        <x:f t="shared" si="11"/>
        <x:v>-1.0409543459660426</x:v>
      </x:c>
      <x:c r="C409">
        <x:f t="shared" si="12"/>
        <x:v>-16423.437974027576</x:v>
      </x:c>
      <x:c r="D409">
        <x:f t="shared" si="13"/>
        <x:v>-44332.017687418353</x:v>
      </x:c>
      <x:c r="E409">
        <x:f t="shared" si="14"/>
        <x:v>-46631.877946633977</x:v>
      </x:c>
    </x:row>
    <x:row r="410">
      <x:c r="A410">
        <x:f t="shared" si="10"/>
        <x:v>0.375</x:v>
      </x:c>
      <x:c r="B410">
        <x:f t="shared" si="11"/>
        <x:v>-1.1075409744717035</x:v>
      </x:c>
      <x:c r="C410">
        <x:f t="shared" si="12"/>
        <x:v>-17155.307880334622</x:v>
      </x:c>
      <x:c r="D410">
        <x:f t="shared" si="13"/>
        <x:v>-46046.862259196627</x:v>
      </x:c>
      <x:c r="E410">
        <x:f t="shared" si="14"/>
        <x:v>-48390.515274855643</x:v>
      </x:c>
    </x:row>
    <x:row r="411">
      <x:c r="A411">
        <x:f t="shared" si="10"/>
        <x:v>0.38300000000000001</x:v>
      </x:c>
      <x:c r="B411">
        <x:f t="shared" si="11"/>
        <x:v>-1.1773600760669751</x:v>
      </x:c>
      <x:c r="C411">
        <x:f t="shared" si="12"/>
        <x:v>-17899.138415944799</x:v>
      </x:c>
      <x:c r="D411">
        <x:f t="shared" si="13"/>
        <x:v>-47778.575755723403</x:v>
      </x:c>
      <x:c r="E411">
        <x:f t="shared" si="14"/>
        <x:v>-50165.371473340492</x:v>
      </x:c>
    </x:row>
    <x:row r="412">
      <x:c r="A412">
        <x:f t="shared" si="10"/>
        <x:v>0.39200000000000002</x:v>
      </x:c>
      <x:c r="B412">
        <x:f t="shared" si="11"/>
        <x:v>-1.2599122492363222</x:v>
      </x:c>
      <x:c r="C412">
        <x:f t="shared" si="12"/>
        <x:v>-18749.923928481869</x:v>
      </x:c>
      <x:c r="D412">
        <x:f t="shared" si="13"/>
        <x:v>-49745.975650615073</x:v>
      </x:c>
      <x:c r="E412">
        <x:f t="shared" si="14"/>
        <x:v>-52180.525354744314</x:v>
      </x:c>
    </x:row>
    <x:row r="413">
      <x:c r="A413">
        <x:f t="shared" si="10"/>
        <x:v>0.4</x:v>
      </x:c>
      <x:c r="B413">
        <x:f t="shared" si="11"/>
        <x:v>-1.3369812749583616</x:v>
      </x:c>
      <x:c r="C413">
        <x:f t="shared" si="12"/>
        <x:v>-19518.319974547761</x:v>
      </x:c>
      <x:c r="D413">
        <x:f t="shared" si="13"/>
        <x:v>-51511.044325088587</x:v>
      </x:c>
      <x:c r="E413">
        <x:f t="shared" si="14"/>
        <x:v>-53987.343983635947</x:v>
      </x:c>
    </x:row>
    <x:row r="414">
      <x:c r="A414">
        <x:f t="shared" si="10"/>
        <x:v>0.40799999999999997</x:v>
      </x:c>
      <x:c r="B414">
        <x:f t="shared" si="11"/>
        <x:v>-1.4176461878619193</x:v>
      </x:c>
      <x:c r="C414">
        <x:f t="shared" si="12"/>
        <x:v>-20297.883237372909</x:v>
      </x:c>
      <x:c r="D414">
        <x:f t="shared" si="13"/>
        <x:v>-53290.673072524412</x:v>
      </x:c>
      <x:c r="E414">
        <x:f t="shared" si="14"/>
        <x:v>-55808.063239413677</x:v>
      </x:c>
    </x:row>
    <x:row r="415">
      <x:c r="A415">
        <x:f t="shared" si="10"/>
        <x:v>0.41699999999999998</x:v>
      </x:c>
      <x:c r="B415">
        <x:f t="shared" si="11"/>
        <x:v>-1.512843152252799</x:v>
      </x:c>
      <x:c r="C415">
        <x:f t="shared" si="12"/>
        <x:v>-21187.933007764419</x:v>
      </x:c>
      <x:c r="D415">
        <x:f t="shared" si="13"/>
        <x:v>-55309.282407726903</x:v>
      </x:c>
      <x:c r="E415">
        <x:f t="shared" si="14"/>
        <x:v>-57872.108972825328</x:v>
      </x:c>
    </x:row>
    <x:row r="416">
      <x:c r="A416">
        <x:f t="shared" si="10"/>
        <x:v>0.42499999999999999</x:v>
      </x:c>
      <x:c r="B416">
        <x:f t="shared" si="11"/>
        <x:v>-1.601553853415453</x:v>
      </x:c>
      <x:c r="C416">
        <x:f t="shared" si="12"/>
        <x:v>-21990.411244520401</x:v>
      </x:c>
      <x:c r="D416">
        <x:f t="shared" si="13"/>
        <x:v>-57117.531516682895</x:v>
      </x:c>
      <x:c r="E416">
        <x:f t="shared" si="14"/>
        <x:v>-59720.042102486739</x:v>
      </x:c>
    </x:row>
    <x:row r="417">
      <x:c r="A417">
        <x:f t="shared" si="10"/>
        <x:v>0.433</x:v>
      </x:c>
      <x:c r="B417">
        <x:f t="shared" si="11"/>
        <x:v>-1.6942460296072568</x:v>
      </x:c>
      <x:c r="C417">
        <x:f t="shared" si="12"/>
        <x:v>-22803.296578072215</x:v>
      </x:c>
      <x:c r="D417">
        <x:f t="shared" si="13"/>
        <x:v>-58938.191859995903</x:v>
      </x:c>
      <x:c r="E417">
        <x:f t="shared" si="14"/>
        <x:v>-61579.723356260423</x:v>
      </x:c>
    </x:row>
    <x:row r="418">
      <x:c r="A418">
        <x:f t="shared" si="10"/>
        <x:v>0.442</x:v>
      </x:c>
      <x:c r="B418">
        <x:f t="shared" si="11"/>
        <x:v>-1.8034433360094226</x:v>
      </x:c>
      <x:c r="C418">
        <x:f t="shared" si="12"/>
        <x:v>-23729.938248077415</x:v>
      </x:c>
      <x:c r="D418">
        <x:f t="shared" si="13"/>
        <x:v>-61000.455221790791</x:v>
      </x:c>
      <x:c r="E418">
        <x:f t="shared" si="14"/>
        <x:v>-63685.092564364168</x:v>
      </x:c>
    </x:row>
    <x:row r="419">
      <x:c r="A419">
        <x:f t="shared" si="10"/>
        <x:v>0.45</x:v>
      </x:c>
      <x:c r="B419">
        <x:f t="shared" si="11"/>
        <x:v>-1.9050240415085682</x:v>
      </x:c>
      <x:c r="C419">
        <x:f t="shared" si="12"/>
        <x:v>-24564.15831269131</x:v>
      </x:c>
      <x:c r="D419">
        <x:f t="shared" si="13"/>
        <x:v>-62845.334215087452</x:v>
      </x:c>
      <x:c r="E419">
        <x:f t="shared" si="14"/>
        <x:v>-65567.58378946672</x:v>
      </x:c>
    </x:row>
    <x:row r="420">
      <x:c r="A420">
        <x:f t="shared" si="10"/>
        <x:v>0.45800000000000002</x:v>
      </x:c>
      <x:c r="B420">
        <x:f t="shared" si="11"/>
        <x:v>-2.0109937508048006</x:v>
      </x:c>
      <x:c r="C420">
        <x:f t="shared" si="12"/>
        <x:v>-25408.058195726262</x:v>
      </x:c>
      <x:c r="D420">
        <x:f t="shared" si="13"/>
        <x:v>-64700.628963954092</x:v>
      </x:c>
      <x:c r="E420">
        <x:f t="shared" si="14"/>
        <x:v>-67459.829123438802</x:v>
      </x:c>
    </x:row>
    <x:row r="421">
      <x:c r="A421">
        <x:f t="shared" si="10"/>
        <x:v>0.46700000000000003</x:v>
      </x:c>
      <x:c r="B421">
        <x:f t="shared" si="11"/>
        <x:v>-2.13562408544135</x:v>
      </x:c>
      <x:c r="C421">
        <x:f t="shared" si="12"/>
        <x:v>-26368.734852925336</x:v>
      </x:c>
      <x:c r="D421">
        <x:f t="shared" si="13"/>
        <x:v>-66799.530021092098</x:v>
      </x:c>
      <x:c r="E421">
        <x:f t="shared" si="14"/>
        <x:v>-69599.510532789413</x:v>
      </x:c>
    </x:row>
    <x:row r="422">
      <x:c r="A422">
        <x:f t="shared" si="10"/>
        <x:v>0.47499999999999998</x:v>
      </x:c>
      <x:c r="B422">
        <x:f t="shared" si="11"/>
        <x:v>-2.2513714361657549</x:v>
      </x:c>
      <x:c r="C422">
        <x:f t="shared" si="12"/>
        <x:v>-27232.458450313294</x:v>
      </x:c>
      <x:c r="D422">
        <x:f t="shared" si="13"/>
        <x:v>-68674.960061513659</x:v>
      </x:c>
      <x:c r="E422">
        <x:f t="shared" si="14"/>
        <x:v>-71510.490507051625</x:v>
      </x:c>
    </x:row>
    <x:row r="423">
      <x:c r="A423">
        <x:f t="shared" si="10"/>
        <x:v>0.48299999999999998</x:v>
      </x:c>
      <x:c r="B423">
        <x:f t="shared" si="11"/>
        <x:v>-2.3719370163648819</x:v>
      </x:c>
      <x:c r="C423">
        <x:f t="shared" si="12"/>
        <x:v>-28105.166881475925</x:v>
      </x:c>
      <x:c r="D423">
        <x:f t="shared" si="13"/>
        <x:v>-70558.956545294859</x:v>
      </x:c>
      <x:c r="E423">
        <x:f t="shared" si="14"/>
        <x:v>-73429.381226253347</x:v>
      </x:c>
    </x:row>
    <x:row r="424">
      <x:c r="A424">
        <x:f t="shared" si="10"/>
        <x:v>0.49199999999999999</x:v>
      </x:c>
      <x:c r="B424">
        <x:f t="shared" si="11"/>
        <x:v>-2.5135093403541759</x:v>
      </x:c>
      <x:c r="C424">
        <x:f t="shared" si="12"/>
        <x:v>-29097.435135520704</x:v>
      </x:c>
      <x:c r="D424">
        <x:f t="shared" si="13"/>
        <x:v>-72687.992783106223</x:v>
      </x:c>
      <x:c r="E424">
        <x:f t="shared" si="14"/>
        <x:v>-75596.893145963986</x:v>
      </x:c>
    </x:row>
    <x:row r="425">
      <x:c r="A425">
        <x:f t="shared" si="10"/>
        <x:v>0.5</x:v>
      </x:c>
      <x:c r="B425">
        <x:f t="shared" si="11"/>
        <x:v>-2.6447875068229223</x:v>
      </x:c>
      <x:c r="C425">
        <x:f t="shared" si="12"/>
        <x:v>-29988.524239953986</x:v>
      </x:c>
      <x:c r="D425">
        <x:f t="shared" si="13"/>
        <x:v>-74588.343833805033</x:v>
      </x:c>
      <x:c r="E425">
        <x:f t="shared" si="14"/>
        <x:v>-77530.754646811518</x:v>
      </x:c>
    </x:row>
    <x:row r="426">
      <x:c r="A426">
        <x:f t="shared" si="10"/>
        <x:v>0.50800000000000001</x:v>
      </x:c>
      <x:c r="B426">
        <x:f t="shared" si="11"/>
        <x:v>-2.7813345652473345</x:v>
      </x:c>
      <x:c r="C426">
        <x:f t="shared" si="12"/>
        <x:v>-30887.934860679583</x:v>
      </x:c>
      <x:c r="D426">
        <x:f t="shared" si="13"/>
        <x:v>-76495.550616892637</x:v>
      </x:c>
      <x:c r="E426">
        <x:f t="shared" si="14"/>
        <x:v>-79470.825965851109</x:v>
      </x:c>
    </x:row>
    <x:row r="427">
      <x:c r="A427">
        <x:f t="shared" si="10"/>
        <x:v>0.51700000000000002</x:v>
      </x:c>
      <x:c r="B427">
        <x:f t="shared" si="11"/>
        <x:v>-2.9414332074700269</x:v>
      </x:c>
      <x:c r="C427">
        <x:f t="shared" si="12"/>
        <x:v>-31909.462641600694</x:v>
      </x:c>
      <x:c r="D427">
        <x:f t="shared" si="13"/>
        <x:v>-78648.706761738111</x:v>
      </x:c>
      <x:c r="E427">
        <x:f t="shared" si="14"/>
        <x:v>-81660.187434621097</x:v>
      </x:c>
    </x:row>
    <x:row r="428">
      <x:c r="A428">
        <x:f t="shared" si="10"/>
        <x:v>0.52500000000000002</x:v>
      </x:c>
      <x:c r="B428">
        <x:f t="shared" si="11"/>
        <x:v>-3.0896730716708589</x:v>
      </x:c>
      <x:c r="C428">
        <x:f t="shared" si="12"/>
        <x:v>-32825.877462688077</x:v>
      </x:c>
      <x:c r="D428">
        <x:f t="shared" si="13"/>
        <x:v>-80568.773681183695</x:v>
      </x:c>
      <x:c r="E428">
        <x:f t="shared" si="14"/>
        <x:v>-83611.759447186691</x:v>
      </x:c>
    </x:row>
    <x:row r="429">
      <x:c r="A429">
        <x:f t="shared" si="10"/>
        <x:v>0.53300000000000003</x:v>
      </x:c>
      <x:c r="B429">
        <x:f t="shared" si="11"/>
        <x:v>-3.2436536593402252</x:v>
      </x:c>
      <x:c r="C429">
        <x:f t="shared" si="12"/>
        <x:v>-33749.981453086351</x:v>
      </x:c>
      <x:c r="D429">
        <x:f t="shared" si="13"/>
        <x:v>-82494.11644292518</x:v>
      </x:c>
      <x:c r="E429">
        <x:f t="shared" si="14"/>
        <x:v>-85567.974379462074</x:v>
      </x:c>
    </x:row>
    <x:row r="430">
      <x:c r="A430">
        <x:f t="shared" si="10"/>
        <x:v>0.54200000000000004</x:v>
      </x:c>
      <x:c r="B430">
        <x:f t="shared" si="11"/>
        <x:v>-3.4239373717214221</x:v>
      </x:c>
      <x:c r="C430">
        <x:f t="shared" si="12"/>
        <x:v>-34798.545562910251</x:v>
      </x:c>
      <x:c r="D430">
        <x:f t="shared" si="13"/>
        <x:v>-84665.837128348503</x:v>
      </x:c>
      <x:c r="E430">
        <x:f t="shared" si="14"/>
        <x:v>-87773.675624308933</x:v>
      </x:c>
    </x:row>
    <x:row r="431">
      <x:c r="A431">
        <x:f t="shared" si="10"/>
        <x:v>0.55000000000000004</x:v>
      </x:c>
      <x:c r="B431">
        <x:f t="shared" si="11"/>
        <x:v>-3.5906356710743239</x:v>
      </x:c>
      <x:c r="C431">
        <x:f t="shared" si="12"/>
        <x:v>-35738.342299056225</x:v>
      </x:c>
      <x:c r="D431">
        <x:f t="shared" si="13"/>
        <x:v>-86600.815246497659</x:v>
      </x:c>
      <x:c r="E431">
        <x:f t="shared" si="14"/>
        <x:v>-89738.19699014083</x:v>
      </x:c>
    </x:row>
    <x:row r="432">
      <x:c r="A432">
        <x:f t="shared" si="10"/>
        <x:v>0.55800000000000005</x:v>
      </x:c>
      <x:c r="B432">
        <x:f t="shared" si="11"/>
        <x:v>-3.7635674146301881</x:v>
      </x:c>
      <x:c r="C432">
        <x:f t="shared" si="12"/>
        <x:v>-36685.226067220021</x:v>
      </x:c>
      <x:c r="D432">
        <x:f t="shared" si="13"/>
        <x:v>-88539.612282307149</x:v>
      </x:c>
      <x:c r="E432">
        <x:f t="shared" si="14"/>
        <x:v>-91705.919959116174</x:v>
      </x:c>
    </x:row>
    <x:row r="433">
      <x:c r="A433">
        <x:f t="shared" si="10"/>
        <x:v>0.56699999999999995</x:v>
      </x:c>
      <x:c r="B433">
        <x:f t="shared" si="11"/>
        <x:v>-3.965768378529674</x:v>
      </x:c>
      <x:c r="C433">
        <x:f t="shared" si="12"/>
        <x:v>-37758.709506008992</x:v>
      </x:c>
      <x:c r="D433">
        <x:f t="shared" si="13"/>
        <x:v>-90724.77444856253</x:v>
      </x:c>
      <x:c r="E433">
        <x:f t="shared" si="14"/>
        <x:v>-93922.892718857969</x:v>
      </x:c>
    </x:row>
    <x:row r="434">
      <x:c r="A434">
        <x:f t="shared" si="10"/>
        <x:v>0.57499999999999996</x:v>
      </x:c>
      <x:c r="B434">
        <x:f t="shared" si="11"/>
        <x:v>-4.1524868146580047</x:v>
      </x:c>
      <x:c r="C434">
        <x:f t="shared" si="12"/>
        <x:v>-38720.0379034832</x:v>
      </x:c>
      <x:c r="D434">
        <x:f t="shared" si="13"/>
        <x:v>-92670.235040711414</x:v>
      </x:c>
      <x:c r="E434">
        <x:f t="shared" si="14"/>
        <x:v>-95895.985812650615</x:v>
      </x:c>
    </x:row>
    <x:row r="435">
      <x:c r="A435">
        <x:f t="shared" si="10"/>
        <x:v>0.58299999999999996</x:v>
      </x:c>
      <x:c r="B435">
        <x:f t="shared" si="11"/>
        <x:v>-4.3459520128728855</x:v>
      </x:c>
      <x:c r="C435">
        <x:f t="shared" si="12"/>
        <x:v>-39687.880586280618</x:v>
      </x:c>
      <x:c r="D435">
        <x:f t="shared" si="13"/>
        <x:v>-94618.172780739114</x:v>
      </x:c>
      <x:c r="E435">
        <x:f t="shared" si="14"/>
        <x:v>-97870.956421788025</x:v>
      </x:c>
    </x:row>
    <x:row r="436">
      <x:c r="A436">
        <x:f t="shared" si="10"/>
        <x:v>0.59199999999999997</x:v>
      </x:c>
      <x:c r="B436">
        <x:f t="shared" si="11"/>
        <x:v>-4.5718748099950517</x:v>
      </x:c>
      <x:c r="C436">
        <x:f t="shared" si="12"/>
        <x:v>-40784.269673397313</x:v>
      </x:c>
      <x:c r="D436">
        <x:f t="shared" si="13"/>
        <x:v>-96812.058229060291</x:v>
      </x:c>
      <x:c r="E436">
        <x:f t="shared" si="14"/>
        <x:v>-100094.54459469789</x:v>
      </x:c>
    </x:row>
    <x:row r="437">
      <x:c r="A437" t="n">
        <x:f t="shared" ref="A437:A485" si="15">I194</x:f>
        <x:v>0.6</x:v>
      </x:c>
      <x:c r="B437" t="n">
        <x:f t="shared" ref="B437:B485" si="16">J194</x:f>
        <x:v>-4.780239127223922</x:v>
      </x:c>
      <x:c r="C437" t="n">
        <x:f t="shared" ref="C437:C485" si="17">K194</x:f>
        <x:v>-41765.370410184376</x:v>
      </x:c>
      <x:c r="D437" t="n">
        <x:f t="shared" ref="D437:D485" si="18">L194</x:f>
        <x:v>-98763.92423983713</x:v>
      </x:c>
      <x:c r="E437" t="n">
        <x:f t="shared" ref="E437:E485" si="19">M194</x:f>
        <x:v>-102072.18940950758</x:v>
      </x:c>
    </x:row>
    <x:row r="438">
      <x:c r="A438">
        <x:f t="shared" si="15"/>
        <x:v>0.60799999999999998</x:v>
      </x:c>
      <x:c r="B438">
        <x:f t="shared" si="16"/>
        <x:v>-4.995883813084447</x:v>
      </x:c>
      <x:c r="C438">
        <x:f t="shared" si="17"/>
        <x:v>-42752.441205505645</x:v>
      </x:c>
      <x:c r="D438">
        <x:f t="shared" si="18"/>
        <x:v>-100717.0331168441</x:v>
      </x:c>
      <x:c r="E438">
        <x:f t="shared" si="19"/>
        <x:v>-104050.49672552545</x:v>
      </x:c>
    </x:row>
    <x:row r="439">
      <x:c r="A439">
        <x:f t="shared" si="15"/>
        <x:v>0.61699999999999999</x:v>
      </x:c>
      <x:c r="B439">
        <x:f t="shared" si="16"/>
        <x:v>-5.2474043572378832</x:v>
      </x:c>
      <x:c r="C439">
        <x:f t="shared" si="17"/>
        <x:v>-43869.822519639056</x:v>
      </x:c>
      <x:c r="D439">
        <x:f t="shared" si="18"/>
        <x:v>-102915.30156679449</x:v>
      </x:c>
      <x:c r="E439">
        <x:f t="shared" si="19"/>
        <x:v>-106276.42770998081</x:v>
      </x:c>
    </x:row>
    <x:row r="440">
      <x:c r="A440">
        <x:f t="shared" si="15"/>
        <x:v>0.625</x:v>
      </x:c>
      <x:c r="B440">
        <x:f t="shared" si="16"/>
        <x:v>-5.479103372775171</x:v>
      </x:c>
      <x:c r="C440">
        <x:f t="shared" si="17"/>
        <x:v>-44869.024435891464</x:v>
      </x:c>
      <x:c r="D440">
        <x:f t="shared" si="18"/>
        <x:v>-104869.82387216578</x:v>
      </x:c>
      <x:c r="E440">
        <x:f t="shared" si="19"/>
        <x:v>-108254.93665267841</x:v>
      </x:c>
    </x:row>
    <x:row r="441">
      <x:c r="A441">
        <x:f t="shared" si="15"/>
        <x:v>0.63300000000000001</x:v>
      </x:c>
      <x:c r="B441">
        <x:f t="shared" si="16"/>
        <x:v>-5.7186363390651422</x:v>
      </x:c>
      <x:c r="C441">
        <x:f t="shared" si="17"/>
        <x:v>-45873.679789055182</x:v>
      </x:c>
      <x:c r="D441">
        <x:f t="shared" si="18"/>
        <x:v>-106824.4548063119</x:v>
      </x:c>
      <x:c r="E441">
        <x:f t="shared" si="19"/>
        <x:v>-110232.99428005761</x:v>
      </x:c>
    </x:row>
    <x:row r="442">
      <x:c r="A442">
        <x:f t="shared" si="15"/>
        <x:v>0.64200000000000002</x:v>
      </x:c>
      <x:c r="B442">
        <x:f t="shared" si="16"/>
        <x:v>-5.9977007769762167</x:v>
      </x:c>
      <x:c r="C442">
        <x:f t="shared" si="17"/>
        <x:v>-47010.236953450061</x:v>
      </x:c>
      <x:c r="D442">
        <x:f t="shared" si="18"/>
        <x:v>-109023.11773384197</x:v>
      </x:c>
      <x:c r="E442">
        <x:f t="shared" si="19"/>
        <x:v>-112457.35129337219</x:v>
      </x:c>
    </x:row>
    <x:row r="443">
      <x:c r="A443">
        <x:f t="shared" si="15"/>
        <x:v>0.65</x:v>
      </x:c>
      <x:c r="B443">
        <x:f t="shared" si="16"/>
        <x:v>-6.2544853914218947</x:v>
      </x:c>
      <x:c r="C443">
        <x:f t="shared" si="17"/>
        <x:v>-48025.954152811115</x:v>
      </x:c>
      <x:c r="D443">
        <x:f t="shared" si="18"/>
        <x:v>-110976.85216755129</x:v>
      </x:c>
      <x:c r="E443">
        <x:f t="shared" si="19"/>
        <x:v>-114433.34492030981</x:v>
      </x:c>
    </x:row>
    <x:row r="444">
      <x:c r="A444">
        <x:f t="shared" si="15"/>
        <x:v>0.65800000000000003</x:v>
      </x:c>
      <x:c r="B444">
        <x:f t="shared" si="16"/>
        <x:v>-6.5196771902137698</x:v>
      </x:c>
      <x:c r="C444">
        <x:f t="shared" si="17"/>
        <x:v>-49046.634821966058</x:v>
      </x:c>
      <x:c r="D444">
        <x:f t="shared" si="18"/>
        <x:v>-112929.65387596656</x:v>
      </x:c>
      <x:c r="E444">
        <x:f t="shared" si="19"/>
        <x:v>-116407.86707581836</x:v>
      </x:c>
    </x:row>
    <x:row r="445">
      <x:c r="A445">
        <x:f t="shared" si="15"/>
        <x:v>0.66700000000000004</x:v>
      </x:c>
      <x:c r="B445">
        <x:f t="shared" si="16"/>
        <x:v>-6.8283007484997142</x:v>
      </x:c>
      <x:c r="C445">
        <x:f t="shared" si="17"/>
        <x:v>-50200.645163369787</x:v>
      </x:c>
      <x:c r="D445">
        <x:f t="shared" si="18"/>
        <x:v>-115125.04934461691</x:v>
      </x:c>
      <x:c r="E445">
        <x:f t="shared" si="19"/>
        <x:v>-118627.06266188357</x:v>
      </x:c>
    </x:row>
    <x:row r="446">
      <x:c r="A446">
        <x:f t="shared" si="15"/>
        <x:v>0.67500000000000004</x:v>
      </x:c>
      <x:c r="B446">
        <x:f t="shared" si="16"/>
        <x:v>-7.1119829201097673</x:v>
      </x:c>
      <x:c r="C446">
        <x:f t="shared" si="17"/>
        <x:v>-51231.374010913656</x:v>
      </x:c>
      <x:c r="D446">
        <x:f t="shared" si="18"/>
        <x:v>-117074.83465957025</x:v>
      </x:c>
      <x:c r="E446">
        <x:f t="shared" si="19"/>
        <x:v>-120597.44652148281</x:v>
      </x:c>
    </x:row>
    <x:row r="447">
      <x:c r="A447">
        <x:f t="shared" si="15"/>
        <x:v>0.68300000000000005</x:v>
      </x:c>
      <x:c r="B447">
        <x:f t="shared" si="16"/>
        <x:v>-7.4046648244461721</x:v>
      </x:c>
      <x:c r="C447">
        <x:f t="shared" si="17"/>
        <x:v>-52266.602037422461</x:v>
      </x:c>
      <x:c r="D447">
        <x:f t="shared" si="18"/>
        <x:v>-119022.73194468833</x:v>
      </x:c>
      <x:c r="E447">
        <x:f t="shared" si="19"/>
        <x:v>-122565.42525707473</x:v>
      </x:c>
    </x:row>
    <x:row r="448">
      <x:c r="A448">
        <x:f t="shared" si="15"/>
        <x:v>0.69199999999999995</x:v>
      </x:c>
      <x:c r="B448">
        <x:f t="shared" si="16"/>
        <x:v>-7.7449306373637228</x:v>
      </x:c>
      <x:c r="C448">
        <x:f t="shared" si="17"/>
        <x:v>-53436.433148204567</x:v>
      </x:c>
      <x:c r="D448">
        <x:f t="shared" si="18"/>
        <x:v>-121211.50058427514</x:v>
      </x:c>
      <x:c r="E448">
        <x:f t="shared" si="19"/>
        <x:v>-124776.17612891932</x:v>
      </x:c>
    </x:row>
    <x:row r="449">
      <x:c r="A449">
        <x:f t="shared" si="15"/>
        <x:v>0.7</x:v>
      </x:c>
      <x:c r="B449">
        <x:f t="shared" si="16"/>
        <x:v>-8.0573823215368066</x:v>
      </x:c>
      <x:c r="C449">
        <x:f t="shared" si="17"/>
        <x:v>-54480.749191198192</x:v>
      </x:c>
      <x:c r="D449">
        <x:f t="shared" si="18"/>
        <x:v>-123154.43747008915</x:v>
      </x:c>
      <x:c r="E449">
        <x:f t="shared" si="19"/>
        <x:v>-126738.11882360443</x:v>
      </x:c>
    </x:row>
    <x:row r="450">
      <x:c r="A450">
        <x:f t="shared" si="15"/>
        <x:v>0.70799999999999996</x:v>
      </x:c>
      <x:c r="B450">
        <x:f t="shared" si="16"/>
        <x:v>-8.379445258978194</x:v>
      </x:c>
      <x:c r="C450">
        <x:f t="shared" si="17"/>
        <x:v>-55529.124801208076</x:v>
      </x:c>
      <x:c r="D450">
        <x:f t="shared" si="18"/>
        <x:v>-125094.61059367246</x:v>
      </x:c>
      <x:c r="E450">
        <x:f t="shared" si="19"/>
        <x:v>-128696.80249462544</x:v>
      </x:c>
    </x:row>
    <x:row r="451">
      <x:c r="A451">
        <x:f t="shared" si="15"/>
        <x:v>0.71699999999999997</x:v>
      </x:c>
      <x:c r="B451">
        <x:f t="shared" si="16"/>
        <x:v>-8.7535031569864259</x:v>
      </x:c>
      <x:c r="C451">
        <x:f t="shared" si="17"/>
        <x:v>-56713.231033901524</x:v>
      </x:c>
      <x:c r="D451">
        <x:f t="shared" si="18"/>
        <x:v>-127273.67283059817</x:v>
      </x:c>
      <x:c r="E451">
        <x:f t="shared" si="19"/>
        <x:v>-130896.10580357289</x:v>
      </x:c>
    </x:row>
    <x:row r="452">
      <x:c r="A452">
        <x:f t="shared" si="15"/>
        <x:v>0.72499999999999998</x:v>
      </x:c>
      <x:c r="B452">
        <x:f t="shared" si="16"/>
        <x:v>-9.0966552194690848</x:v>
      </x:c>
      <x:c r="C452">
        <x:f t="shared" si="17"/>
        <x:v>-57769.785871170316</x:v>
      </x:c>
      <x:c r="D452">
        <x:f t="shared" si="18"/>
        <x:v>-129207.10406628711</x:v>
      </x:c>
      <x:c r="E452">
        <x:f t="shared" si="19"/>
        <x:v>-132847.0183380536</x:v>
      </x:c>
    </x:row>
    <x:row r="453">
      <x:c r="A453">
        <x:f t="shared" si="15"/>
        <x:v>0.73299999999999998</x:v>
      </x:c>
      <x:c r="B453">
        <x:f t="shared" si="16"/>
        <x:v>-9.4500486732272293</x:v>
      </x:c>
      <x:c r="C453">
        <x:f t="shared" si="17"/>
        <x:v>-58829.984333780376</x:v>
      </x:c>
      <x:c r="D453">
        <x:f t="shared" si="18"/>
        <x:v>-131136.96927609123</x:v>
      </x:c>
      <x:c r="E453">
        <x:f t="shared" si="19"/>
        <x:v>-134793.8913710381</x:v>
      </x:c>
    </x:row>
    <x:row r="454">
      <x:c r="A454">
        <x:f t="shared" si="15"/>
        <x:v>0.74199999999999999</x:v>
      </x:c>
      <x:c r="B454">
        <x:f t="shared" si="16"/>
        <x:v>-9.8601139367465294</x:v>
      </x:c>
      <x:c r="C454">
        <x:f t="shared" si="17"/>
        <x:v>-60026.903256236474</x:v>
      </x:c>
      <x:c r="D454">
        <x:f t="shared" si="18"/>
        <x:v>-133303.50387707388</x:v>
      </x:c>
      <x:c r="E454">
        <x:f t="shared" si="19"/>
        <x:v>-136979.00244933437</x:v>
      </x:c>
    </x:row>
    <x:row r="455">
      <x:c r="A455">
        <x:f t="shared" si="15"/>
        <x:v>0.75</x:v>
      </x:c>
      <x:c r="B455">
        <x:f t="shared" si="16"/>
        <x:v>-10.235955038383963</x:v>
      </x:c>
      <x:c r="C455">
        <x:f t="shared" si="17"/>
        <x:v>-61094.421380709784</x:v>
      </x:c>
      <x:c r="D455">
        <x:f t="shared" si="18"/>
        <x:v>-135224.99566257387</x:v>
      </x:c>
      <x:c r="E455">
        <x:f t="shared" si="19"/>
        <x:v>-138916.51889518261</x:v>
      </x:c>
    </x:row>
    <x:row r="456">
      <x:c r="A456">
        <x:f t="shared" si="15"/>
        <x:v>0.75800000000000001</x:v>
      </x:c>
      <x:c r="B456">
        <x:f t="shared" si="16"/>
        <x:v>-10.622685923482095</x:v>
      </x:c>
      <x:c r="C456">
        <x:f t="shared" si="17"/>
        <x:v>-62165.189846866822</x:v>
      </x:c>
      <x:c r="D456">
        <x:f t="shared" si="18"/>
        <x:v>-137142.1869054522</x:v>
      </x:c>
      <x:c r="E456">
        <x:f t="shared" si="19"/>
        <x:v>-140849.28287495405</x:v>
      </x:c>
    </x:row>
    <x:row r="457">
      <x:c r="A457">
        <x:f t="shared" si="15"/>
        <x:v>0.76700000000000002</x:v>
      </x:c>
      <x:c r="B457">
        <x:f t="shared" si="16"/>
        <x:v>-11.071038001998204</x:v>
      </x:c>
      <x:c r="C457">
        <x:f t="shared" si="17"/>
        <x:v>-63373.538684469881</x:v>
      </x:c>
      <x:c r="D457">
        <x:f t="shared" si="18"/>
        <x:v>-139293.61086167686</x:v>
      </x:c>
      <x:c r="E457">
        <x:f t="shared" si="19"/>
        <x:v>-143017.69446274079</x:v>
      </x:c>
    </x:row>
    <x:row r="458">
      <x:c r="A458">
        <x:f t="shared" si="15"/>
        <x:v>0.77500000000000002</x:v>
      </x:c>
      <x:c r="B458">
        <x:f t="shared" si="16"/>
        <x:v>-11.481613456182458</x:v>
      </x:c>
      <x:c r="C458">
        <x:f t="shared" si="17"/>
        <x:v>-64450.814321778293</x:v>
      </x:c>
      <x:c r="D458">
        <x:f t="shared" si="18"/>
        <x:v>-141200.93534309621</x:v>
      </x:c>
      <x:c r="E458">
        <x:f t="shared" si="19"/>
        <x:v>-144939.65393967155</x:v>
      </x:c>
    </x:row>
    <x:row r="459">
      <x:c r="A459">
        <x:f t="shared" si="15"/>
        <x:v>0.78300000000000003</x:v>
      </x:c>
      <x:c r="B459">
        <x:f t="shared" si="16"/>
        <x:v>-11.903744966717568</x:v>
      </x:c>
      <x:c r="C459">
        <x:f t="shared" si="17"/>
        <x:v>-65530.968666103057</x:v>
      </x:c>
      <x:c r="D459">
        <x:f t="shared" si="18"/>
        <x:v>-143103.28717150204</x:v>
      </x:c>
      <x:c r="E459">
        <x:f t="shared" si="19"/>
        <x:v>-146856.21000814691</x:v>
      </x:c>
    </x:row>
    <x:row r="460">
      <x:c r="A460">
        <x:f t="shared" si="15"/>
        <x:v>0.79200000000000004</x:v>
      </x:c>
      <x:c r="B460">
        <x:f t="shared" si="16"/>
        <x:v>-12.392726180069985</x:v>
      </x:c>
      <x:c r="C460">
        <x:f t="shared" si="17"/>
        <x:v>-66749.440755261516</x:v>
      </x:c>
      <x:c r="D460">
        <x:f t="shared" si="18"/>
        <x:v>-145237.23692226943</x:v>
      </x:c>
      <x:c r="E460">
        <x:f t="shared" si="19"/>
        <x:v>-149005.63294747737</x:v>
      </x:c>
    </x:row>
    <x:row r="461">
      <x:c r="A461">
        <x:f t="shared" si="15"/>
        <x:v>0.8</x:v>
      </x:c>
      <x:c r="B461">
        <x:f t="shared" si="16"/>
        <x:v>-12.840136776974759</x:v>
      </x:c>
      <x:c r="C461">
        <x:f t="shared" si="17"/>
        <x:v>-67835.334719187129</x:v>
      </x:c>
      <x:c r="D461">
        <x:f t="shared" si="18"/>
        <x:v>-147128.35590287362</x:v>
      </x:c>
      <x:c r="E461">
        <x:f t="shared" si="19"/>
        <x:v>-150910.062898851</x:v>
      </x:c>
    </x:row>
    <x:row r="462">
      <x:c r="A462">
        <x:f t="shared" si="15"/>
        <x:v>0.80800000000000005</x:v>
      </x:c>
      <x:c r="B462">
        <x:f t="shared" si="16"/>
        <x:v>-13.299787208880844</x:v>
      </x:c>
      <x:c r="C462">
        <x:f t="shared" si="17"/>
        <x:v>-68923.75640485117</x:v>
      </x:c>
      <x:c r="D462">
        <x:f t="shared" si="18"/>
        <x:v>-149013.88756056636</x:v>
      </x:c>
      <x:c r="E462">
        <x:f t="shared" si="19"/>
        <x:v>-152808.49543699686</x:v>
      </x:c>
    </x:row>
    <x:row r="463">
      <x:c r="A463">
        <x:f t="shared" si="15"/>
        <x:v>0.81699999999999995</x:v>
      </x:c>
      <x:c r="B463">
        <x:f t="shared" si="16"/>
        <x:v>-13.831801402375277</x:v>
      </x:c>
      <x:c r="C463">
        <x:f t="shared" si="17"/>
        <x:v>-70151.117679492658</x:v>
      </x:c>
      <x:c r="D463">
        <x:f t="shared" si="18"/>
        <x:v>-151128.20153368788</x:v>
      </x:c>
      <x:c r="E463">
        <x:f t="shared" si="19"/>
        <x:v>-154936.84079418762</x:v>
      </x:c>
    </x:row>
    <x:row r="464">
      <x:c r="A464">
        <x:f t="shared" si="15"/>
        <x:v>0.82499999999999996</x:v>
      </x:c>
      <x:c r="B464">
        <x:f t="shared" si="16"/>
        <x:v>-14.318202220481453</x:v>
      </x:c>
      <x:c r="C464">
        <x:f t="shared" si="17"/>
        <x:v>-71244.554262802048</x:v>
      </x:c>
      <x:c r="D464">
        <x:f t="shared" si="18"/>
        <x:v>-153001.25134490427</x:v>
      </x:c>
      <x:c r="E464">
        <x:f t="shared" si="19"/>
        <x:v>-156821.9415170548</x:v>
      </x:c>
    </x:row>
    <x:row r="465">
      <x:c r="A465">
        <x:f t="shared" si="15"/>
        <x:v>0.83299999999999996</x:v>
      </x:c>
      <x:c r="B465">
        <x:f t="shared" si="16"/>
        <x:v>-14.817543761564139</x:v>
      </x:c>
      <x:c r="C465">
        <x:f t="shared" si="17"/>
        <x:v>-72340.187247200345</x:v>
      </x:c>
      <x:c r="D465">
        <x:f t="shared" si="18"/>
        <x:v>-154868.15200145351</x:v>
      </x:c>
      <x:c r="E465">
        <x:f t="shared" si="19"/>
        <x:v>-158700.50306586799</x:v>
      </x:c>
    </x:row>
    <x:row r="466">
      <x:c r="A466">
        <x:f t="shared" si="15"/>
        <x:v>0.84199999999999997</x:v>
      </x:c>
      <x:c r="B466">
        <x:f t="shared" si="16"/>
        <x:v>-15.39505495210642</x:v>
      </x:c>
      <x:c r="C466">
        <x:f t="shared" si="17"/>
        <x:v>-73575.272777374368</x:v>
      </x:c>
      <x:c r="D466">
        <x:f t="shared" si="18"/>
        <x:v>-156960.85443111658</x:v>
      </x:c>
      <x:c r="E466">
        <x:f t="shared" si="19"/>
        <x:v>-160805.86562780722</x:v>
      </x:c>
    </x:row>
    <x:row r="467">
      <x:c r="A467">
        <x:f t="shared" si="15"/>
        <x:v>0.85</x:v>
      </x:c>
      <x:c r="B467">
        <x:f t="shared" si="16"/>
        <x:v>-15.922654129073635</x:v>
      </x:c>
      <x:c r="C467">
        <x:f t="shared" si="17"/>
        <x:v>-74675.236694186082</x:v>
      </x:c>
      <x:c r="D467">
        <x:f t="shared" si="18"/>
        <x:v>-158814.13192459266</x:v>
      </x:c>
      <x:c r="E467">
        <x:f t="shared" si="19"/>
        <x:v>-162669.99600543149</x:v>
      </x:c>
    </x:row>
    <x:row r="468">
      <x:c r="A468">
        <x:f t="shared" si="15"/>
        <x:v>0.85799999999999998</x:v>
      </x:c>
      <x:c r="B468">
        <x:f t="shared" si="16"/>
        <x:v>-16.463911639531943</x:v>
      </x:c>
      <x:c r="C468">
        <x:f t="shared" si="17"/>
        <x:v>-75777.084390837059</x:v>
      </x:c>
      <x:c r="D468">
        <x:f t="shared" si="18"/>
        <x:v>-160660.74701629803</x:v>
      </x:c>
      <x:c r="E468">
        <x:f t="shared" si="19"/>
        <x:v>-164527.09337077409</x:v>
      </x:c>
    </x:row>
    <x:row r="469">
      <x:c r="A469">
        <x:f t="shared" si="15"/>
        <x:v>0.86699999999999999</x:v>
      </x:c>
      <x:c r="B469">
        <x:f t="shared" si="16"/>
        <x:v>-17.089442616799715</x:v>
      </x:c>
      <x:c r="C469">
        <x:f t="shared" si="17"/>
        <x:v>-77018.794989844479</x:v>
      </x:c>
      <x:c r="D469">
        <x:f t="shared" si="18"/>
        <x:v>-162730.03298707728</x:v>
      </x:c>
      <x:c r="E469">
        <x:f t="shared" si="19"/>
        <x:v>-166607.73644990035</x:v>
      </x:c>
    </x:row>
    <x:row r="470">
      <x:c r="A470">
        <x:f t="shared" si="15"/>
        <x:v>0.875</x:v>
      </x:c>
      <x:c r="B470">
        <x:f t="shared" si="16"/>
        <x:v>-17.660500113955095</x:v>
      </x:c>
      <x:c r="C470">
        <x:f t="shared" si="17"/>
        <x:v>-78124.328383369575</x:v>
      </x:c>
      <x:c r="D470">
        <x:f t="shared" si="18"/>
        <x:v>-164561.98259931064</x:v>
      </x:c>
      <x:c r="E470">
        <x:f t="shared" si="19"/>
        <x:v>-168449.40082622971</x:v>
      </x:c>
    </x:row>
    <x:row r="471">
      <x:c r="A471">
        <x:f t="shared" si="15"/>
        <x:v>0.88300000000000001</x:v>
      </x:c>
      <x:c r="B471">
        <x:f t="shared" si="16"/>
        <x:v>-18.245949870930872</x:v>
      </x:c>
      <x:c r="C471">
        <x:f t="shared" si="17"/>
        <x:v>-79231.450693104271</x:v>
      </x:c>
      <x:c r="D471">
        <x:f t="shared" si="18"/>
        <x:v>-166386.8012256964</x:v>
      </x:c>
      <x:c r="E471">
        <x:f t="shared" si="19"/>
        <x:v>-170283.58230501931</x:v>
      </x:c>
    </x:row>
    <x:row r="472">
      <x:c r="A472">
        <x:f t="shared" si="15"/>
        <x:v>0.89200000000000002</x:v>
      </x:c>
      <x:c r="B472">
        <x:f t="shared" si="16"/>
        <x:v>-18.922080788589938</x:v>
      </x:c>
      <x:c r="C472">
        <x:f t="shared" si="17"/>
        <x:v>-80478.749607010046</x:v>
      </x:c>
      <x:c r="D472">
        <x:f t="shared" si="18"/>
        <x:v>-168431.02288308344</x:v>
      </x:c>
      <x:c r="E472">
        <x:f t="shared" si="19"/>
        <x:v>-172337.92378063095</x:v>
      </x:c>
    </x:row>
    <x:row r="473">
      <x:c r="A473">
        <x:f t="shared" si="15"/>
        <x:v>0.9</x:v>
      </x:c>
      <x:c r="B473">
        <x:f t="shared" si="16"/>
        <x:v>-19.538907124212074</x:v>
      </x:c>
      <x:c r="C473">
        <x:f t="shared" si="17"/>
        <x:v>-81588.949134183073</x:v>
      </x:c>
      <x:c r="D473">
        <x:f t="shared" si="18"/>
        <x:v>-170240.22471774745</x:v>
      </x:c>
      <x:c r="E473">
        <x:f t="shared" si="19"/>
        <x:v>-174155.75991096892</x:v>
      </x:c>
    </x:row>
    <x:row r="474">
      <x:c r="A474">
        <x:f t="shared" si="15"/>
        <x:v>0.90800000000000003</x:v>
      </x:c>
      <x:c r="B474">
        <x:f t="shared" si="16"/>
        <x:v>-20.170875551412792</x:v>
      </x:c>
      <x:c r="C474">
        <x:f t="shared" si="17"/>
        <x:v>-82700.459556477144</x:v>
      </x:c>
      <x:c r="D474">
        <x:f t="shared" si="18"/>
        <x:v>-172041.86803726552</x:v>
      </x:c>
      <x:c r="E474">
        <x:f t="shared" si="19"/>
        <x:v>-175965.70357183574</x:v>
      </x:c>
    </x:row>
    <x:row r="475">
      <x:c r="A475">
        <x:f t="shared" si="15"/>
        <x:v>0.91700000000000004</x:v>
      </x:c>
      <x:c r="B475">
        <x:f t="shared" si="16"/>
        <x:v>-20.900242486699881</x:v>
      </x:c>
      <x:c r="C475">
        <x:f t="shared" si="17"/>
        <x:v>-83952.369247370851</x:v>
      </x:c>
      <x:c r="D475">
        <x:f t="shared" si="18"/>
        <x:v>-174059.52189979836</x:v>
      </x:c>
      <x:c r="E475">
        <x:f t="shared" si="19"/>
        <x:v>-177992.30309147591</x:v>
      </x:c>
    </x:row>
    <x:row r="476">
      <x:c r="A476">
        <x:f t="shared" si="15"/>
        <x:v>0.92500000000000004</x:v>
      </x:c>
      <x:c r="B476">
        <x:f t="shared" si="16"/>
        <x:v>-21.565197447271657</x:v>
      </x:c>
      <x:c r="C476">
        <x:f t="shared" si="17"/>
        <x:v>-85066.383249791965</x:v>
      </x:c>
      <x:c r="D476">
        <x:f t="shared" si="18"/>
        <x:v>-175844.68076899392</x:v>
      </x:c>
      <x:c r="E476">
        <x:f t="shared" si="19"/>
        <x:v>-179785.07110087413</x:v>
      </x:c>
    </x:row>
    <x:row r="477">
      <x:c r="A477">
        <x:f t="shared" si="15"/>
        <x:v>0.93300000000000005</x:v>
      </x:c>
      <x:c r="B477">
        <x:f t="shared" si="16"/>
        <x:v>-22.246059825895372</x:v>
      </x:c>
      <x:c r="C477">
        <x:f t="shared" si="17"/>
        <x:v>-86181.446082973955</x:v>
      </x:c>
      <x:c r="D477">
        <x:f t="shared" si="18"/>
        <x:v>-177621.89133436125</x:v>
      </x:c>
      <x:c r="E477">
        <x:f t="shared" si="19"/>
        <x:v>-181569.57405040326</x:v>
      </x:c>
    </x:row>
    <x:row r="478">
      <x:c r="A478">
        <x:f t="shared" si="15"/>
        <x:v>0.94199999999999995</x:v>
      </x:c>
      <x:c r="B478">
        <x:f t="shared" si="16"/>
        <x:v>-23.031353320222479</x:v>
      </x:c>
      <x:c r="C478">
        <x:f t="shared" si="17"/>
        <x:v>-87437.045115058572</x:v>
      </x:c>
      <x:c r="D478">
        <x:f t="shared" si="18"/>
        <x:v>-179611.60663962277</x:v>
      </x:c>
      <x:c r="E478">
        <x:f t="shared" si="19"/>
        <x:v>-183567.12131353328</x:v>
      </x:c>
    </x:row>
    <x:row r="479">
      <x:c r="A479">
        <x:f t="shared" si="15"/>
        <x:v>0.95</x:v>
      </x:c>
      <x:c r="B479">
        <x:f t="shared" si="16"/>
        <x:v>-23.746844660086936</x:v>
      </x:c>
      <x:c r="C479">
        <x:f t="shared" si="17"/>
        <x:v>-88554.070883643246</x:v>
      </x:c>
      <x:c r="D479">
        <x:f t="shared" si="18"/>
        <x:v>-181371.54200338566</x:v>
      </x:c>
      <x:c r="E479">
        <x:f t="shared" si="19"/>
        <x:v>-185333.69359371395</x:v>
      </x:c>
    </x:row>
    <x:row r="480">
      <x:c r="A480">
        <x:f t="shared" si="15"/>
        <x:v>0.95799999999999996</x:v>
      </x:c>
      <x:c r="B480">
        <x:f t="shared" si="16"/>
        <x:v>-24.47902381513677</x:v>
      </x:c>
      <x:c r="C480">
        <x:f t="shared" si="17"/>
        <x:v>-89671.898520796967</x:v>
      </x:c>
      <x:c r="D480">
        <x:f t="shared" si="18"/>
        <x:v>-183123.17397563395</x:v>
      </x:c>
      <x:c r="E480">
        <x:f t="shared" si="19"/>
        <x:v>-187091.66215917439</x:v>
      </x:c>
    </x:row>
    <x:row r="481">
      <x:c r="A481">
        <x:f t="shared" si="15"/>
        <x:v>0.96699999999999997</x:v>
      </x:c>
      <x:c r="B481">
        <x:f t="shared" si="16"/>
        <x:v>-25.322987391846254</x:v>
      </x:c>
      <x:c r="C481">
        <x:f t="shared" si="17"/>
        <x:v>-90930.318556275321</x:v>
      </x:c>
      <x:c r="D481">
        <x:f t="shared" si="18"/>
        <x:v>-185083.70199145714</x:v>
      </x:c>
      <x:c r="E481">
        <x:f t="shared" si="19"/>
        <x:v>-189058.96620570039</x:v>
      </x:c>
    </x:row>
    <x:row r="482">
      <x:c r="A482">
        <x:f t="shared" si="15"/>
        <x:v>0.97499999999999998</x:v>
      </x:c>
      <x:c r="B482">
        <x:f t="shared" si="16"/>
        <x:v>-26.091469511469313</x:v>
      </x:c>
      <x:c r="C482">
        <x:f t="shared" si="17"/>
        <x:v>-92049.599695208031</x:v>
      </x:c>
      <x:c r="D482">
        <x:f t="shared" si="18"/>
        <x:v>-186817.33873453335</x:v>
      </x:c>
      <x:c r="E482">
        <x:f t="shared" si="19"/>
        <x:v>-190798.31818207764</x:v>
      </x:c>
    </x:row>
    <x:row r="483">
      <x:c r="A483">
        <x:f t="shared" si="15"/>
        <x:v>0.98299999999999998</x:v>
      </x:c>
      <x:c r="B483">
        <x:f t="shared" si="16"/>
        <x:v>-26.877434485224512</x:v>
      </x:c>
      <x:c r="C483">
        <x:f t="shared" si="17"/>
        <x:v>-93169.450020823526</x:v>
      </x:c>
      <x:c r="D483">
        <x:f t="shared" si="18"/>
        <x:v>-188542.34891493848</x:v>
      </x:c>
      <x:c r="E483">
        <x:f t="shared" si="19"/>
        <x:v>-192528.7589427018</x:v>
      </x:c>
    </x:row>
    <x:row r="484">
      <x:c r="A484">
        <x:f t="shared" si="15"/>
        <x:v>0.99199999999999999</x:v>
      </x:c>
      <x:c r="B484">
        <x:f t="shared" si="16"/>
        <x:v>-27.782863149590867</x:v>
      </x:c>
      <x:c r="C484">
        <x:f t="shared" si="17"/>
        <x:v>-94429.872930648256</x:v>
      </x:c>
      <x:c r="D484">
        <x:f t="shared" si="18"/>
        <x:v>-190472.55314770059</x:v>
      </x:c>
      <x:c r="E484">
        <x:f t="shared" si="19"/>
        <x:v>-194464.73837065237</x:v>
      </x:c>
    </x:row>
    <x:row r="485">
      <x:c r="A485">
        <x:f t="shared" si="15"/>
        <x:v>1</x:v>
      </x:c>
      <x:c r="B485">
        <x:f t="shared" si="16"/>
        <x:v>-28.606835752051211</x:v>
      </x:c>
      <x:c r="C485">
        <x:f t="shared" si="17"/>
        <x:v>-95550.696824635204</x:v>
      </x:c>
      <x:c r="D485">
        <x:f t="shared" si="18"/>
        <x:v>-192178.91313344726</x:v>
      </x:c>
      <x:c r="E485">
        <x:f t="shared" si="19"/>
        <x:v>-196175.94007289349</x:v>
      </x:c>
    </x:row>
    <x:row r="490">
      <x:c r="A490" t="n">
        <x:f t="shared" ref="A490:A553" si="20">I2</x:f>
        <x:v>-1</x:v>
      </x:c>
      <x:c r="B490" t="n">
        <x:f t="shared" ref="B490:B553" si="21">P2</x:f>
        <x:v>2695.1978892010684</x:v>
      </x:c>
      <x:c r="C490" t="n">
        <x:f t="shared" ref="C490:C553" si="22">R2</x:f>
        <x:v>2668.5127615852166</x:v>
      </x:c>
      <x:c r="D490" t="n">
        <x:f t="shared" ref="D490:D553" si="23">T2</x:f>
        <x:v>6671.281903963041</x:v>
      </x:c>
      <x:c r="E490" t="n">
        <x:f t="shared" ref="E490:E553" si="24">V2</x:f>
        <x:v>6671.281903963041</x:v>
      </x:c>
    </x:row>
    <x:row r="491">
      <x:c r="A491">
        <x:f t="shared" si="20"/>
        <x:v>-0.99199999999999999</x:v>
      </x:c>
      <x:c r="B491">
        <x:f t="shared" si="21"/>
        <x:v>2694.7726350073826</x:v>
      </x:c>
      <x:c r="C491">
        <x:f t="shared" si="22"/>
        <x:v>2629.7083164113487</x:v>
      </x:c>
      <x:c r="D491">
        <x:f t="shared" si="23"/>
        <x:v>6568.6893297362412</x:v>
      </x:c>
      <x:c r="E491">
        <x:f t="shared" si="24"/>
        <x:v>6567.6261942520241</x:v>
      </x:c>
    </x:row>
    <x:row r="492">
      <x:c r="A492">
        <x:f t="shared" si="20"/>
        <x:v>-0.98299999999999998</x:v>
      </x:c>
      <x:c r="B492">
        <x:f t="shared" si="21"/>
        <x:v>2694.2983068640106</x:v>
      </x:c>
      <x:c r="C492">
        <x:f t="shared" si="22"/>
        <x:v>2586.4258733286742</x:v>
      </x:c>
      <x:c r="D492">
        <x:f t="shared" si="23"/>
        <x:v>6454.2576651478003</x:v>
      </x:c>
      <x:c r="E492">
        <x:f t="shared" si="24"/>
        <x:v>6452.0087093051552</x:v>
      </x:c>
    </x:row>
    <x:row r="493">
      <x:c r="A493">
        <x:f t="shared" si="20"/>
        <x:v>-0.97499999999999998</x:v>
      </x:c>
      <x:c r="B493">
        <x:f t="shared" si="21"/>
        <x:v>2693.8803110250356</x:v>
      </x:c>
      <x:c r="C493">
        <x:f t="shared" si="22"/>
        <x:v>2548.2837530222323</x:v>
      </x:c>
      <x:c r="D493">
        <x:f t="shared" si="23"/>
        <x:v>6353.4161689951516</x:v>
      </x:c>
      <x:c r="E493">
        <x:f t="shared" si="24"/>
        <x:v>6350.1222235550704</x:v>
      </x:c>
    </x:row>
    <x:row r="494">
      <x:c r="A494">
        <x:f t="shared" si="20"/>
        <x:v>-0.96699999999999997</x:v>
      </x:c>
      <x:c r="B494">
        <x:f t="shared" si="21"/>
        <x:v>2693.4657308823962</x:v>
      </x:c>
      <x:c r="C494">
        <x:f t="shared" si="22"/>
        <x:v>2510.4533150063435</x:v>
      </x:c>
      <x:c r="D494">
        <x:f t="shared" si="23"/>
        <x:v>6253.3987095832817</x:v>
      </x:c>
      <x:c r="E494">
        <x:f t="shared" si="24"/>
        <x:v>6249.0683137866017</x:v>
      </x:c>
    </x:row>
    <x:row r="495">
      <x:c r="A495">
        <x:f t="shared" si="20"/>
        <x:v>-0.95799999999999996</x:v>
      </x:c>
      <x:c r="B495">
        <x:f t="shared" si="21"/>
        <x:v>2693.0034110464517</x:v>
      </x:c>
      <x:c r="C495">
        <x:f t="shared" si="22"/>
        <x:v>2468.2666299763951</x:v>
      </x:c>
      <x:c r="D495">
        <x:f t="shared" si="23"/>
        <x:v>6141.864049161637</x:v>
      </x:c>
      <x:c r="E495">
        <x:f t="shared" si="24"/>
        <x:v>6136.3778537750932</x:v>
      </x:c>
    </x:row>
    <x:row r="496">
      <x:c r="A496">
        <x:f t="shared" si="20"/>
        <x:v>-0.95</x:v>
      </x:c>
      <x:c r="B496">
        <x:f t="shared" si="21"/>
        <x:v>2692.5960892585231</x:v>
      </x:c>
      <x:c r="C496">
        <x:f t="shared" si="22"/>
        <x:v>2431.0985168279312</x:v>
      </x:c>
      <x:c r="D496">
        <x:f t="shared" si="23"/>
        <x:v>6043.5976678239176</x:v>
      </x:c>
      <x:c r="E496">
        <x:f t="shared" si="24"/>
        <x:v>6037.0931679675541</x:v>
      </x:c>
    </x:row>
    <x:row r="497">
      <x:c r="A497">
        <x:f t="shared" si="20"/>
        <x:v>-0.94199999999999995</x:v>
      </x:c>
      <x:c r="B497">
        <x:f t="shared" si="21"/>
        <x:v>2692.1921831669297</x:v>
      </x:c>
      <x:c r="C497">
        <x:f t="shared" si="22"/>
        <x:v>2394.2420859700205</x:v>
      </x:c>
      <x:c r="D497">
        <x:f t="shared" si="23"/>
        <x:v>5946.1553232269753</x:v>
      </x:c>
      <x:c r="E497">
        <x:f t="shared" si="24"/>
        <x:v>5938.6410581416285</x:v>
      </x:c>
    </x:row>
    <x:row r="498">
      <x:c r="A498">
        <x:f t="shared" si="20"/>
        <x:v>-0.93300000000000005</x:v>
      </x:c>
      <x:c r="B498">
        <x:f t="shared" si="21"/>
        <x:v>2691.7418716384122</x:v>
      </x:c>
      <x:c r="C498">
        <x:f t="shared" si="22"/>
        <x:v>2353.1511589928</x:v>
      </x:c>
      <x:c r="D498">
        <x:f t="shared" si="23"/>
        <x:v>5837.5176669721304</x:v>
      </x:c>
      <x:c r="E498">
        <x:f t="shared" si="24"/>
        <x:v>5828.8776230654903</x:v>
      </x:c>
    </x:row>
    <x:row r="499">
      <x:c r="A499">
        <x:f t="shared" si="20"/>
        <x:v>-0.92500000000000004</x:v>
      </x:c>
      <x:c r="B499">
        <x:f t="shared" si="21"/>
        <x:v>2691.3452239015301</x:v>
      </x:c>
      <x:c r="C499">
        <x:f t="shared" si="22"/>
        <x:v>2316.9570530023138</x:v>
      </x:c>
      <x:c r="D499">
        <x:f t="shared" si="23"/>
        <x:v>5741.8264004493403</x:v>
      </x:c>
      <x:c r="E499">
        <x:f t="shared" si="24"/>
        <x:v>5732.1947372004943</x:v>
      </x:c>
    </x:row>
    <x:row r="500">
      <x:c r="A500">
        <x:f t="shared" si="20"/>
        <x:v>-0.91700000000000004</x:v>
      </x:c>
      <x:c r="B500">
        <x:f t="shared" si="21"/>
        <x:v>2690.9519918609831</x:v>
      </x:c>
      <x:c r="C500">
        <x:f t="shared" si="22"/>
        <x:v>2281.0746293023826</x:v>
      </x:c>
      <x:c r="D500">
        <x:f t="shared" si="23"/>
        <x:v>5646.9591706673291</x:v>
      </x:c>
      <x:c r="E500">
        <x:f t="shared" si="24"/>
        <x:v>5636.3444273171144</x:v>
      </x:c>
    </x:row>
    <x:row r="501">
      <x:c r="A501">
        <x:f t="shared" si="20"/>
        <x:v>-0.90800000000000003</x:v>
      </x:c>
      <x:c r="B501">
        <x:f t="shared" si="21"/>
        <x:v>2690.5136886398923</x:v>
      </x:c>
      <x:c r="C501">
        <x:f t="shared" si="22"/>
        <x:v>2241.0794603778854</x:v>
      </x:c>
      <x:c r="D501">
        <x:f t="shared" si="23"/>
        <x:v>5541.218518579276</x:v>
      </x:c>
      <x:c r="E501">
        <x:f t="shared" si="24"/>
        <x:v>5529.5080171763357</x:v>
      </x:c>
    </x:row>
    <x:row r="502">
      <x:c r="A502">
        <x:f t="shared" si="20"/>
        <x:v>-0.9</x:v>
      </x:c>
      <x:c r="B502">
        <x:f t="shared" si="21"/>
        <x:v>2690.1277149540565</x:v>
      </x:c>
      <x:c r="C502">
        <x:f t="shared" si="22"/>
        <x:v>2205.8593615453797</x:v>
      </x:c>
      <x:c r="D502">
        <x:f t="shared" si="23"/>
        <x:v>5448.1023668714188</x:v>
      </x:c>
      <x:c r="E502">
        <x:f t="shared" si="24"/>
        <x:v>5435.4269312538872</x:v>
      </x:c>
    </x:row>
    <x:row r="503">
      <x:c r="A503">
        <x:f t="shared" si="20"/>
        <x:v>-0.89200000000000002</x:v>
      </x:c>
      <x:c r="B503">
        <x:f t="shared" si="21"/>
        <x:v>2689.7451569645559</x:v>
      </x:c>
      <x:c r="C503">
        <x:f t="shared" si="22"/>
        <x:v>2170.9509450034266</x:v>
      </x:c>
      <x:c r="D503">
        <x:f t="shared" si="23"/>
        <x:v>5355.8102519043368</x:v>
      </x:c>
      <x:c r="E503">
        <x:f t="shared" si="24"/>
        <x:v>5342.1784213130541</x:v>
      </x:c>
    </x:row>
    <x:row r="504">
      <x:c r="A504">
        <x:f t="shared" si="20"/>
        <x:v>-0.88300000000000001</x:v>
      </x:c>
      <x:c r="B504">
        <x:f t="shared" si="21"/>
        <x:v>2689.3188620508927</x:v>
      </x:c>
      <x:c r="C504">
        <x:f t="shared" si="22"/>
        <x:v>2132.0515341316559</x:v>
      </x:c>
      <x:c r="D504">
        <x:f t="shared" si="23"/>
        <x:v>5252.966603983079</x:v>
      </x:c>
      <x:c r="E504">
        <x:f t="shared" si="24"/>
        <x:v>5238.2690361076393</x:v>
      </x:c>
    </x:row>
    <x:row r="505">
      <x:c r="A505">
        <x:f t="shared" si="20"/>
        <x:v>-0.875</x:v>
      </x:c>
      <x:c r="B505">
        <x:f t="shared" si="21"/>
        <x:v>2688.9435624161033</x:v>
      </x:c>
      <x:c r="C505">
        <x:f t="shared" si="22"/>
        <x:v>2097.8054424571283</x:v>
      </x:c>
      <x:c r="D505">
        <x:f t="shared" si="23"/>
        <x:v>5162.4255670901503</x:v>
      </x:c>
      <x:c r="E505">
        <x:f t="shared" si="24"/>
        <x:v>5146.7897501277366</x:v>
      </x:c>
    </x:row>
    <x:row r="506">
      <x:c r="A506">
        <x:f t="shared" si="20"/>
        <x:v>-0.86699999999999999</x:v>
      </x:c>
      <x:c r="B506">
        <x:f t="shared" si="21"/>
        <x:v>2688.5716784776487</x:v>
      </x:c>
      <x:c r="C506">
        <x:f t="shared" si="22"/>
        <x:v>2063.8710330731533</x:v>
      </x:c>
      <x:c r="D506">
        <x:f t="shared" si="23"/>
        <x:v>5072.7085669379976</x:v>
      </x:c>
      <x:c r="E506">
        <x:f t="shared" si="24"/>
        <x:v>5056.1430401294483</x:v>
      </x:c>
    </x:row>
    <x:row r="507">
      <x:c r="A507">
        <x:f t="shared" si="20"/>
        <x:v>-0.85799999999999998</x:v>
      </x:c>
      <x:c r="B507">
        <x:f t="shared" si="21"/>
        <x:v>2688.1573918714125</x:v>
      </x:c>
      <x:c r="C507">
        <x:f t="shared" si="22"/>
        <x:v>2026.0673802541089</x:v>
      </x:c>
      <x:c r="D507">
        <x:f t="shared" si="23"/>
        <x:v>4972.7619231835379</x:v>
      </x:c>
      <x:c r="E507">
        <x:f t="shared" si="24"/>
        <x:v>4955.1606798593975</x:v>
      </x:c>
    </x:row>
    <x:row r="508">
      <x:c r="A508">
        <x:f t="shared" si="20"/>
        <x:v>-0.85</x:v>
      </x:c>
      <x:c r="B508">
        <x:f t="shared" si="21"/>
        <x:v>2687.7927662876696</x:v>
      </x:c>
      <x:c r="C508">
        <x:f t="shared" si="22"/>
        <x:v>1992.7952957375599</x:v>
      </x:c>
      <x:c r="D508">
        <x:f t="shared" si="23"/>
        <x:v>4884.7960011055375</x:v>
      </x:c>
      <x:c r="E508">
        <x:f t="shared" si="24"/>
        <x:v>4866.2831938220397</x:v>
      </x:c>
    </x:row>
    <x:row r="509">
      <x:c r="A509">
        <x:f t="shared" si="20"/>
        <x:v>-0.84199999999999997</x:v>
      </x:c>
      <x:c r="B509">
        <x:f t="shared" si="21"/>
        <x:v>2687.4315564002609</x:v>
      </x:c>
      <x:c r="C509">
        <x:f t="shared" si="22"/>
        <x:v>1959.8348935115644</x:v>
      </x:c>
      <x:c r="D509">
        <x:f t="shared" si="23"/>
        <x:v>4797.6541157683168</x:v>
      </x:c>
      <x:c r="E509">
        <x:f t="shared" si="24"/>
        <x:v>4778.238283766299</x:v>
      </x:c>
    </x:row>
    <x:row r="510">
      <x:c r="A510">
        <x:f t="shared" si="20"/>
        <x:v>-0.83299999999999996</x:v>
      </x:c>
      <x:c r="B510">
        <x:f t="shared" si="21"/>
        <x:v>2687.0292781014527</x:v>
      </x:c>
      <x:c r="C510">
        <x:f t="shared" si="22"/>
        <x:v>1923.1269987452456</x:v>
      </x:c>
      <x:c r="D510">
        <x:f t="shared" si="23"/>
        <x:v>4700.6044761806515</x:v>
      </x:c>
      <x:c r="E510">
        <x:f t="shared" si="24"/>
        <x:v>4680.1829484316113</x:v>
      </x:c>
    </x:row>
    <x:row r="511">
      <x:c r="A511">
        <x:f t="shared" si="20"/>
        <x:v>-0.82499999999999996</x:v>
      </x:c>
      <x:c r="B511">
        <x:f t="shared" si="21"/>
        <x:v>2686.6753265687557</x:v>
      </x:c>
      <x:c r="C511">
        <x:f t="shared" si="22"/>
        <x:v>1890.8289213866744</x:v>
      </x:c>
      <x:c r="D511">
        <x:f t="shared" si="23"/>
        <x:v>4615.2136689175813</x:v>
      </x:c>
      <x:c r="E511">
        <x:f t="shared" si="24"/>
        <x:v>4593.9072623367983</x:v>
      </x:c>
    </x:row>
    <x:row r="512">
      <x:c r="A512">
        <x:f t="shared" si="20"/>
        <x:v>-0.81699999999999995</x:v>
      </x:c>
      <x:c r="B512">
        <x:f t="shared" si="21"/>
        <x:v>2686.3247907323939</x:v>
      </x:c>
      <x:c r="C512">
        <x:f t="shared" si="22"/>
        <x:v>1858.8425263186568</x:v>
      </x:c>
      <x:c r="D512">
        <x:f t="shared" si="23"/>
        <x:v>4530.6468983952882</x:v>
      </x:c>
      <x:c r="E512">
        <x:f t="shared" si="24"/>
        <x:v>4508.4641522236016</x:v>
      </x:c>
    </x:row>
    <x:row r="513">
      <x:c r="A513">
        <x:f t="shared" si="20"/>
        <x:v>-0.80800000000000005</x:v>
      </x:c>
      <x:c r="B513">
        <x:f t="shared" si="21"/>
        <x:v>2685.9345207410115</x:v>
      </x:c>
      <x:c r="C513">
        <x:f t="shared" si="22"/>
        <x:v>1823.2303896050653</x:v>
      </x:c>
      <x:c r="D513">
        <x:f t="shared" si="23"/>
        <x:v>4436.4942629744219</x:v>
      </x:c>
      <x:c r="E513">
        <x:f t="shared" si="24"/>
        <x:v>4413.3358418242815</x:v>
      </x:c>
    </x:row>
    <x:row r="514">
      <x:c r="A514">
        <x:f t="shared" si="20"/>
        <x:v>-0.8</x:v>
      </x:c>
      <x:c r="B514">
        <x:f t="shared" si="21"/>
        <x:v>2685.5912432593618</x:v>
      </x:c>
      <x:c r="C514">
        <x:f t="shared" si="22"/>
        <x:v>1791.9063194044727</x:v>
      </x:c>
      <x:c r="D514">
        <x:f t="shared" si="23"/>
        <x:v>4353.678570526281</x:v>
      </x:c>
      <x:c r="E514">
        <x:f t="shared" si="24"/>
        <x:v>4329.6619556720143</x:v>
      </x:c>
    </x:row>
    <x:row r="515">
      <x:c r="A515">
        <x:f t="shared" si="20"/>
        <x:v>-0.79200000000000004</x:v>
      </x:c>
      <x:c r="B515">
        <x:f t="shared" si="21"/>
        <x:v>2685.251381474046</x:v>
      </x:c>
      <x:c r="C515">
        <x:f t="shared" si="22"/>
        <x:v>1760.8939314944344</x:v>
      </x:c>
      <x:c r="D515">
        <x:f t="shared" si="23"/>
        <x:v>4271.6869148189189</x:v>
      </x:c>
      <x:c r="E515">
        <x:f t="shared" si="24"/>
        <x:v>4246.8206455013624</x:v>
      </x:c>
    </x:row>
    <x:row r="516">
      <x:c r="A516">
        <x:f t="shared" si="20"/>
        <x:v>-0.78300000000000003</x:v>
      </x:c>
      <x:c r="B516">
        <x:f t="shared" si="21"/>
        <x:v>2684.873119790092</x:v>
      </x:c>
      <x:c r="C516">
        <x:f t="shared" si="22"/>
        <x:v>1726.3775528335677</x:v>
      </x:c>
      <x:c r="D516">
        <x:f t="shared" si="23"/>
        <x:v>4180.431283564847</x:v>
      </x:c>
      <x:c r="E516">
        <x:f t="shared" si="24"/>
        <x:v>4154.6193600374036</x:v>
      </x:c>
    </x:row>
    <x:row r="517">
      <x:c r="A517">
        <x:f t="shared" si="20"/>
        <x:v>-0.77500000000000002</x:v>
      </x:c>
      <x:c r="B517">
        <x:f t="shared" si="21"/>
        <x:v>2684.5405163594878</x:v>
      </x:c>
      <x:c r="C517">
        <x:f t="shared" si="22"/>
        <x:v>1696.0274897909542</x:v>
      </x:c>
      <x:c r="D517">
        <x:f t="shared" si="23"/>
        <x:v>4100.1907059316354</x:v>
      </x:c>
      <x:c r="E517">
        <x:f t="shared" si="24"/>
        <x:v>4073.5472738276831</x:v>
      </x:c>
    </x:row>
    <x:row r="518">
      <x:c r="A518">
        <x:f t="shared" si="20"/>
        <x:v>-0.76700000000000002</x:v>
      </x:c>
      <x:c r="B518">
        <x:f t="shared" si="21"/>
        <x:v>2684.2113286252188</x:v>
      </x:c>
      <x:c r="C518">
        <x:f t="shared" si="22"/>
        <x:v>1665.989109038894</x:v>
      </x:c>
      <x:c r="D518">
        <x:f t="shared" si="23"/>
        <x:v>4020.7741650392022</x:v>
      </x:c>
      <x:c r="E518">
        <x:f t="shared" si="24"/>
        <x:v>3993.3077635995774</x:v>
      </x:c>
    </x:row>
    <x:row r="519">
      <x:c r="A519">
        <x:f t="shared" si="20"/>
        <x:v>-0.75800000000000001</x:v>
      </x:c>
      <x:c r="B519">
        <x:f t="shared" si="21"/>
        <x:v>2683.8450752486906</x:v>
      </x:c>
      <x:c r="C519">
        <x:f t="shared" si="22"/>
        <x:v>1632.568488430753</x:v>
      </x:c>
      <x:c r="D519">
        <x:f t="shared" si="23"/>
        <x:v>3932.4155379519252</x:v>
      </x:c>
      <x:c r="E519">
        <x:f t="shared" si="24"/>
        <x:v>3904.0335030709807</x:v>
      </x:c>
    </x:row>
    <x:row r="520">
      <x:c r="A520">
        <x:f t="shared" si="20"/>
        <x:v>-0.75</x:v>
      </x:c>
      <x:c r="B520">
        <x:f t="shared" si="21"/>
        <x:v>2683.5231458691333</x:v>
      </x:c>
      <x:c r="C520">
        <x:f t="shared" si="22"/>
        <x:v>1603.1924325461182</x:v>
      </x:c>
      <x:c r="D520">
        <x:f t="shared" si="23"/>
        <x:v>3854.7500751336447</x:v>
      </x:c>
      <x:c r="E520">
        <x:f t="shared" si="24"/>
        <x:v>3825.5632168038064</x:v>
      </x:c>
    </x:row>
    <x:row r="521">
      <x:c r="A521">
        <x:f t="shared" si="20"/>
        <x:v>-0.74199999999999999</x:v>
      </x:c>
      <x:c r="B521">
        <x:f t="shared" si="21"/>
        <x:v>2683.2046321859102</x:v>
      </x:c>
      <x:c r="C521">
        <x:f t="shared" si="22"/>
        <x:v>1574.1280589520366</x:v>
      </x:c>
      <x:c r="D521">
        <x:f t="shared" si="23"/>
        <x:v>3777.9086490561408</x:v>
      </x:c>
      <x:c r="E521">
        <x:f t="shared" si="24"/>
        <x:v>3747.925506518246</x:v>
      </x:c>
    </x:row>
    <x:row r="522">
      <x:c r="A522">
        <x:f t="shared" si="20"/>
        <x:v>-0.73299999999999998</x:v>
      </x:c>
      <x:c r="B522">
        <x:f t="shared" si="21"/>
        <x:v>2682.85038711681</x:v>
      </x:c>
      <x:c r="C522">
        <x:f t="shared" si="22"/>
        <x:v>1541.8031963966218</x:v>
      </x:c>
      <x:c r="D522">
        <x:f t="shared" si="23"/>
        <x:v>3692.447026135661</x:v>
      </x:c>
      <x:c r="E522">
        <x:f t="shared" si="24"/>
        <x:v>3661.5782709250147</x:v>
      </x:c>
    </x:row>
    <x:row r="523">
      <x:c r="A523">
        <x:f t="shared" si="20"/>
        <x:v>-0.72499999999999998</x:v>
      </x:c>
      <x:c r="B523">
        <x:f t="shared" si="21"/>
        <x:v>2682.5391317882991</x:v>
      </x:c>
      <x:c r="C523">
        <x:f t="shared" si="22"/>
        <x:v>1513.4011476699659</x:v>
      </x:c>
      <x:c r="D523">
        <x:f t="shared" si="23"/>
        <x:v>3617.3566781323107</x:v>
      </x:c>
      <x:c r="E523">
        <x:f t="shared" si="24"/>
        <x:v>3585.7097846003849</x:v>
      </x:c>
    </x:row>
    <x:row r="524">
      <x:c r="A524">
        <x:f t="shared" si="20"/>
        <x:v>-0.71699999999999997</x:v>
      </x:c>
      <x:c r="B524">
        <x:f t="shared" si="21"/>
        <x:v>2682.231292156122</x:v>
      </x:c>
      <x:c r="C524">
        <x:f t="shared" si="22"/>
        <x:v>1485.3107812338621</x:v>
      </x:c>
      <x:c r="D524">
        <x:f t="shared" si="23"/>
        <x:v>3543.0903668697347</x:v>
      </x:c>
      <x:c r="E524">
        <x:f t="shared" si="24"/>
        <x:v>3510.6738742573698</x:v>
      </x:c>
    </x:row>
    <x:row r="525">
      <x:c r="A525">
        <x:f t="shared" si="20"/>
        <x:v>-0.70799999999999996</x:v>
      </x:c>
      <x:c r="B525">
        <x:f t="shared" si="21"/>
        <x:v>2681.8890553944493</x:v>
      </x:c>
      <x:c r="C525">
        <x:f t="shared" si="22"/>
        <x:v>1454.0816767311737</x:v>
      </x:c>
      <x:c r="D525">
        <x:f t="shared" si="23"/>
        <x:v>3460.5257481160511</x:v>
      </x:c>
      <x:c r="E525">
        <x:f t="shared" si="24"/>
        <x:v>3427.2536635995016</x:v>
      </x:c>
    </x:row>
    <x:row r="526">
      <x:c r="A526">
        <x:f t="shared" si="20"/>
        <x:v>-0.7</x:v>
      </x:c>
      <x:c r="B526">
        <x:f t="shared" si="21"/>
        <x:v>2681.5884741169839</x:v>
      </x:c>
      <x:c r="C526">
        <x:f t="shared" si="22"/>
        <x:v>1426.6536351624961</x:v>
      </x:c>
      <x:c r="D526">
        <x:f t="shared" si="23"/>
        <x:v>3388.0105149276301</x:v>
      </x:c>
      <x:c r="E526">
        <x:f t="shared" si="24"/>
        <x:v>3353.9869772174184</x:v>
      </x:c>
    </x:row>
    <x:row r="527">
      <x:c r="A527">
        <x:f t="shared" si="20"/>
        <x:v>-0.69199999999999995</x:v>
      </x:c>
      <x:c r="B527">
        <x:f t="shared" si="21"/>
        <x:v>2681.2913085358537</x:v>
      </x:c>
      <x:c r="C527">
        <x:f t="shared" si="22"/>
        <x:v>1399.5372758843714</x:v>
      </x:c>
      <x:c r="D527">
        <x:f t="shared" si="23"/>
        <x:v>3316.3193184799852</x:v>
      </x:c>
      <x:c r="E527">
        <x:f t="shared" si="24"/>
        <x:v>3281.5528668169482</x:v>
      </x:c>
    </x:row>
    <x:row r="528">
      <x:c r="A528">
        <x:f t="shared" si="20"/>
        <x:v>-0.68300000000000005</x:v>
      </x:c>
      <x:c r="B528">
        <x:f t="shared" si="21"/>
        <x:v>2680.9610800816076</x:v>
      </x:c>
      <x:c r="C528">
        <x:f t="shared" si="22"/>
        <x:v>1369.4039294344093</x:v>
      </x:c>
      <x:c r="D528">
        <x:f t="shared" si="23"/>
        <x:v>3236.6517038930992</x:v>
      </x:c>
      <x:c r="E528">
        <x:f t="shared" si="24"/>
        <x:v>3201.0596810944471</x:v>
      </x:c>
    </x:row>
    <x:row r="529">
      <x:c r="A529">
        <x:f t="shared" si="20"/>
        <x:v>-0.67500000000000004</x:v>
      </x:c>
      <x:c r="B529">
        <x:f t="shared" si="21"/>
        <x:v>2680.6711728551891</x:v>
      </x:c>
      <x:c r="C529">
        <x:f t="shared" si="22"/>
        <x:v>1342.9498950237103</x:v>
      </x:c>
      <x:c r="D529">
        <x:f t="shared" si="23"/>
        <x:v>3166.7115855196066</x:v>
      </x:c>
      <x:c r="E529">
        <x:f t="shared" si="24"/>
        <x:v>3130.3947946549083</x:v>
      </x:c>
    </x:row>
    <x:row r="530">
      <x:c r="A530">
        <x:f t="shared" si="20"/>
        <x:v>-0.66700000000000004</x:v>
      </x:c>
      <x:c r="B530">
        <x:f t="shared" si="21"/>
        <x:v>2680.3846813251052</x:v>
      </x:c>
      <x:c r="C530">
        <x:f t="shared" si="22"/>
        <x:v>1316.8075429035646</x:v>
      </x:c>
      <x:c r="D530">
        <x:f t="shared" si="23"/>
        <x:v>3097.5955038868924</x:v>
      </x:c>
      <x:c r="E530">
        <x:f t="shared" si="24"/>
        <x:v>3060.5624841969843</x:v>
      </x:c>
    </x:row>
    <x:row r="531">
      <x:c r="A531">
        <x:f t="shared" si="20"/>
        <x:v>-0.65800000000000003</x:v>
      </x:c>
      <x:c r="B531">
        <x:f t="shared" si="21"/>
        <x:v>2680.0664611782863</x:v>
      </x:c>
      <x:c r="C531">
        <x:f t="shared" si="22"/>
        <x:v>1287.7699545063276</x:v>
      </x:c>
      <x:c r="D531">
        <x:f t="shared" si="23"/>
        <x:v>3020.8248934668009</x:v>
      </x:c>
      <x:c r="E531">
        <x:f t="shared" si="24"/>
        <x:v>2982.9963234098454</x:v>
      </x:c>
    </x:row>
    <x:row r="532">
      <x:c r="A532">
        <x:f t="shared" si="20"/>
        <x:v>-0.65</x:v>
      </x:c>
      <x:c r="B532">
        <x:f t="shared" si="21"/>
        <x:v>2679.7872280029137</x:v>
      </x:c>
      <x:c r="C532">
        <x:f t="shared" si="22"/>
        <x:v>1262.2899272536067</x:v>
      </x:c>
      <x:c r="D532">
        <x:f t="shared" si="23"/>
        <x:v>2953.459889908238</x:v>
      </x:c>
      <x:c r="E532">
        <x:f t="shared" si="24"/>
        <x:v>2914.9332369128515</x:v>
      </x:c>
    </x:row>
    <x:row r="533">
      <x:c r="A533">
        <x:f t="shared" si="20"/>
        <x:v>-0.64200000000000002</x:v>
      </x:c>
      <x:c r="B533">
        <x:f t="shared" si="21"/>
        <x:v>2679.5114105238763</x:v>
      </x:c>
      <x:c r="C533">
        <x:f t="shared" si="22"/>
        <x:v>1237.1215822914398</x:v>
      </x:c>
      <x:c r="D533">
        <x:f t="shared" si="23"/>
        <x:v>2886.9189230904535</x:v>
      </x:c>
      <x:c r="E533">
        <x:f t="shared" si="24"/>
        <x:v>2847.7027263974737</x:v>
      </x:c>
    </x:row>
    <x:row r="534">
      <x:c r="A534">
        <x:f t="shared" si="20"/>
        <x:v>-0.63300000000000001</x:v>
      </x:c>
      <x:c r="B534">
        <x:f t="shared" si="21"/>
        <x:v>2679.2051986844849</x:v>
      </x:c>
      <x:c r="C534">
        <x:f t="shared" si="22"/>
        <x:v>1209.1797519469287</x:v>
      </x:c>
      <x:c r="D534">
        <x:f t="shared" si="23"/>
        <x:v>2813.0453168371569</x:v>
      </x:c>
      <x:c r="E534">
        <x:f t="shared" si="24"/>
        <x:v>2773.063590545697</x:v>
      </x:c>
    </x:row>
    <x:row r="535">
      <x:c r="A535">
        <x:f t="shared" si="20"/>
        <x:v>-0.625</x:v>
      </x:c>
      <x:c r="B535">
        <x:f t="shared" si="21"/>
        <x:v>2678.9366395601587</x:v>
      </x:c>
      <x:c r="C535">
        <x:f t="shared" si="22"/>
        <x:v>1184.6737318521868</x:v>
      </x:c>
      <x:c r="D535">
        <x:f t="shared" si="23"/>
        <x:v>2748.2554280935246</x:v>
      </x:c>
      <x:c r="E535">
        <x:f t="shared" si="24"/>
        <x:v>2707.6023039912498</x:v>
      </x:c>
    </x:row>
    <x:row r="536">
      <x:c r="A536">
        <x:f t="shared" si="20"/>
        <x:v>-0.61699999999999999</x:v>
      </x:c>
      <x:c r="B536">
        <x:f t="shared" si="21"/>
        <x:v>2678.6714961321677</x:v>
      </x:c>
      <x:c r="C536">
        <x:f t="shared" si="22"/>
        <x:v>1160.4793940479983</x:v>
      </x:c>
      <x:c r="D536">
        <x:f t="shared" si="23"/>
        <x:v>2684.2895760906704</x:v>
      </x:c>
      <x:c r="E536">
        <x:f t="shared" si="24"/>
        <x:v>2642.9735934184177</x:v>
      </x:c>
    </x:row>
    <x:row r="537">
      <x:c r="A537">
        <x:f t="shared" si="20"/>
        <x:v>-0.60799999999999998</x:v>
      </x:c>
      <x:c r="B537">
        <x:f t="shared" si="21"/>
        <x:v>2678.377292600203</x:v>
      </x:c>
      <x:c r="C537">
        <x:f t="shared" si="22"/>
        <x:v>1133.633321756213</x:v>
      </x:c>
      <x:c r="D537">
        <x:f t="shared" si="23"/>
        <x:v>2613.3129740041691</x:v>
      </x:c>
      <x:c r="E537">
        <x:f t="shared" si="24"/>
        <x:v>2571.2614825020046</x:v>
      </x:c>
    </x:row>
    <x:row r="538">
      <x:c r="A538">
        <x:f t="shared" si="20"/>
        <x:v>-0.6</x:v>
      </x:c>
      <x:c r="B538">
        <x:f t="shared" si="21"/>
        <x:v>2678.1194075269232</x:v>
      </x:c>
      <x:c r="C538">
        <x:f t="shared" si="22"/>
        <x:v>1110.1013088194502</x:v>
      </x:c>
      <x:c r="D538">
        <x:f t="shared" si="23"/>
        <x:v>2551.098200075467</x:v>
      </x:c>
      <x:c r="E538">
        <x:f t="shared" si="24"/>
        <x:v>2508.4019958901035</x:v>
      </x:c>
    </x:row>
    <x:row r="539">
      <x:c r="A539">
        <x:f t="shared" si="20"/>
        <x:v>-0.59199999999999997</x:v>
      </x:c>
      <x:c r="B539">
        <x:f t="shared" si="21"/>
        <x:v>2677.8649381499786</x:v>
      </x:c>
      <x:c r="C539">
        <x:f t="shared" si="22"/>
        <x:v>1086.88097817324</x:v>
      </x:c>
      <x:c r="D539">
        <x:f t="shared" si="23"/>
        <x:v>2489.7074628875416</x:v>
      </x:c>
      <x:c r="E539">
        <x:f t="shared" si="24"/>
        <x:v>2446.3750852598164</x:v>
      </x:c>
    </x:row>
    <x:row r="540">
      <x:c r="A540">
        <x:f t="shared" si="20"/>
        <x:v>-0.58299999999999996</x:v>
      </x:c>
      <x:c r="B540">
        <x:f t="shared" si="21"/>
        <x:v>2677.5827429254409</x:v>
      </x:c>
      <x:c r="C540">
        <x:f t="shared" si="22"/>
        <x:v>1061.1306639341806</x:v>
      </x:c>
      <x:c r="D540">
        <x:f t="shared" si="23"/>
        <x:v>2421.627864967837</x:v>
      </x:c>
      <x:c r="E540">
        <x:f t="shared" si="24"/>
        <x:v>2377.5899992787677</x:v>
      </x:c>
    </x:row>
    <x:row r="541">
      <x:c r="A541">
        <x:f t="shared" si="20"/>
        <x:v>-0.57499999999999996</x:v>
      </x:c>
      <x:c r="B541">
        <x:f t="shared" si="21"/>
        <x:v>2677.3355319032075</x:v>
      </x:c>
      <x:c r="C541">
        <x:f t="shared" si="22"/>
        <x:v>1038.5726581553961</x:v>
      </x:c>
      <x:c r="D541">
        <x:f t="shared" si="23"/>
        <x:v>2361.9882058540638</x:v>
      </x:c>
      <x:c r="E541">
        <x:f t="shared" si="24"/>
        <x:v>2317.3323126094115</x:v>
      </x:c>
    </x:row>
    <x:row r="542">
      <x:c r="A542">
        <x:f t="shared" si="20"/>
        <x:v>-0.56699999999999995</x:v>
      </x:c>
      <x:c r="B542">
        <x:f t="shared" si="21"/>
        <x:v>2677.0917365773089</x:v>
      </x:c>
      <x:c r="C542">
        <x:f t="shared" si="22"/>
        <x:v>1016.3263346671649</x:v>
      </x:c>
      <x:c r="D542">
        <x:f t="shared" si="23"/>
        <x:v>2303.1725834810691</x:v>
      </x:c>
      <x:c r="E542">
        <x:f t="shared" si="24"/>
        <x:v>2257.9072019216705</x:v>
      </x:c>
    </x:row>
    <x:row r="543">
      <x:c r="A543">
        <x:f t="shared" si="20"/>
        <x:v>-0.55800000000000005</x:v>
      </x:c>
      <x:c r="B543">
        <x:f t="shared" si="21"/>
        <x:v>2676.8215496601988</x:v>
      </x:c>
      <x:c r="C543">
        <x:f t="shared" si="22"/>
        <x:v>991.67177848083179</x:v>
      </x:c>
      <x:c r="D543">
        <x:f t="shared" si="23"/>
        <x:v>2237.9899897281612</x:v>
      </x:c>
      <x:c r="E543">
        <x:f t="shared" si="24"/>
        <x:v>2192.0491408759858</x:v>
      </x:c>
    </x:row>
    <x:row r="544">
      <x:c r="A544">
        <x:f t="shared" si="20"/>
        <x:v>-0.55000000000000004</x:v>
      </x:c>
      <x:c r="B544">
        <x:f t="shared" si="21"/>
        <x:v>2676.5850126890118</x:v>
      </x:c>
      <x:c r="C544">
        <x:f t="shared" si="22"/>
        <x:v>970.08777986002588</x:v>
      </x:c>
      <x:c r="D544">
        <x:f t="shared" si="23"/>
        <x:v>2180.9254454293177</x:v>
      </x:c>
      <x:c r="E544">
        <x:f t="shared" si="24"/>
        <x:v>2134.3932541491758</x:v>
      </x:c>
    </x:row>
    <x:row r="545">
      <x:c r="A545">
        <x:f t="shared" si="20"/>
        <x:v>-0.54200000000000004</x:v>
      </x:c>
      <x:c r="B545">
        <x:f t="shared" si="21"/>
        <x:v>2676.3518914141596</x:v>
      </x:c>
      <x:c r="C545">
        <x:f t="shared" si="22"/>
        <x:v>948.81546352977307</x:v>
      </x:c>
      <x:c r="D545">
        <x:f t="shared" si="23"/>
        <x:v>2124.6849378712523</x:v>
      </x:c>
      <x:c r="E545">
        <x:f t="shared" si="24"/>
        <x:v>2077.5699434039798</x:v>
      </x:c>
    </x:row>
    <x:row r="546">
      <x:c r="A546">
        <x:f t="shared" si="20"/>
        <x:v>-0.53300000000000003</x:v>
      </x:c>
      <x:c r="B546">
        <x:f t="shared" si="21"/>
        <x:v>2676.0937128044761</x:v>
      </x:c>
      <x:c r="C546">
        <x:f t="shared" si="22"/>
        <x:v>925.25666539616589</x:v>
      </x:c>
      <x:c r="D546">
        <x:f t="shared" si="23"/>
        <x:v>2062.3993482851392</x:v>
      </x:c>
      <x:c r="E546">
        <x:f t="shared" si="24"/>
        <x:v>2014.6389072936586</x:v>
      </x:c>
    </x:row>
    <x:row r="547">
      <x:c r="A547">
        <x:f t="shared" si="20"/>
        <x:v>-0.52500000000000002</x:v>
      </x:c>
      <x:c r="B547">
        <x:f t="shared" si="21"/>
        <x:v>2675.867849884336</x:v>
      </x:c>
      <x:c r="C547">
        <x:f t="shared" si="22"/>
        <x:v>904.64667393333821</x:v>
      </x:c>
      <x:c r="D547">
        <x:f t="shared" si="23"/>
        <x:v>2007.9099188012265</x:v>
      </x:c>
      <x:c r="E547">
        <x:f t="shared" si="24"/>
        <x:v>1959.5848205093939</x:v>
      </x:c>
    </x:row>
    <x:row r="548">
      <x:c r="A548">
        <x:f t="shared" si="20"/>
        <x:v>-0.51700000000000002</x:v>
      </x:c>
      <x:c r="B548">
        <x:f t="shared" si="21"/>
        <x:v>2675.6454026605297</x:v>
      </x:c>
      <x:c r="C548">
        <x:f t="shared" si="22"/>
        <x:v>884.34836476106409</x:v>
      </x:c>
      <x:c r="D548">
        <x:f t="shared" si="23"/>
        <x:v>1954.2445260580903</x:v>
      </x:c>
      <x:c r="E548">
        <x:f t="shared" si="24"/>
        <x:v>1905.3633097067436</x:v>
      </x:c>
    </x:row>
    <x:row r="549">
      <x:c r="A549">
        <x:f t="shared" si="20"/>
        <x:v>-0.50800000000000001</x:v>
      </x:c>
      <x:c r="B549">
        <x:f t="shared" si="21"/>
        <x:v>2675.3992323582734</x:v>
      </x:c>
      <x:c r="C549">
        <x:f t="shared" si="22"/>
        <x:v>861.88532468018263</x:v>
      </x:c>
      <x:c r="D549">
        <x:f t="shared" si="23"/>
        <x:v>1894.8559406387737</x:v>
      </x:c>
      <x:c r="E549">
        <x:f t="shared" si="24"/>
        <x:v>1845.3592985317862</x:v>
      </x:c>
    </x:row>
    <x:row r="550">
      <x:c r="A550">
        <x:f t="shared" si="20"/>
        <x:v>-0.5</x:v>
      </x:c>
      <x:c r="B550">
        <x:f t="shared" si="21"/>
        <x:v>2675.1840434891792</x:v>
      </x:c>
      <x:c r="C550">
        <x:f t="shared" si="22"/>
        <x:v>842.24934037533387</x:v>
      </x:c>
      <x:c r="D550">
        <x:f t="shared" si="23"/>
        <x:v>1842.9416259697903</x:v>
      </x:c>
      <x:c r="E550">
        <x:f t="shared" si="24"/>
        <x:v>1792.9070116900673</x:v>
      </x:c>
    </x:row>
    <x:row r="551">
      <x:c r="A551">
        <x:f t="shared" si="20"/>
        <x:v>-0.49199999999999999</x:v>
      </x:c>
      <x:c r="B551">
        <x:f t="shared" si="21"/>
        <x:v>2674.9722703164202</x:v>
      </x:c>
      <x:c r="C551">
        <x:f t="shared" si="22"/>
        <x:v>822.92503836103856</x:v>
      </x:c>
      <x:c r="D551">
        <x:f t="shared" si="23"/>
        <x:v>1791.8513480415841</x:v>
      </x:c>
      <x:c r="E551">
        <x:f t="shared" si="24"/>
        <x:v>1741.2873008299634</x:v>
      </x:c>
    </x:row>
    <x:row r="552">
      <x:c r="A552">
        <x:f t="shared" si="20"/>
        <x:v>-0.48299999999999998</x:v>
      </x:c>
      <x:c r="B552">
        <x:f t="shared" si="21"/>
        <x:v>2674.738108321591</x:v>
      </x:c>
      <x:c r="C552">
        <x:f t="shared" si="22"/>
        <x:v>801.55775633288272</x:v>
      </x:c>
      <x:c r="D552">
        <x:f t="shared" si="23"/>
        <x:v>1735.3597667890629</x:v>
      </x:c>
      <x:c r="E552">
        <x:f t="shared" si="24"/>
        <x:v>1684.2103145903689</x:v>
      </x:c>
    </x:row>
    <x:row r="553">
      <x:c r="A553">
        <x:f t="shared" si="20"/>
        <x:v>-0.47499999999999998</x:v>
      </x:c>
      <x:c r="B553">
        <x:f t="shared" si="21"/>
        <x:v>2674.5335935035428</x:v>
      </x:c>
      <x:c r="C553">
        <x:f t="shared" si="22"/>
        <x:v>782.89577918601265</x:v>
      </x:c>
      <x:c r="D553">
        <x:f t="shared" si="23"/>
        <x:v>1686.0205669350094</x:v>
      </x:c>
      <x:c r="E553">
        <x:f t="shared" si="24"/>
        <x:v>1634.3598276911957</x:v>
      </x:c>
    </x:row>
    <x:row r="554">
      <x:c r="A554" t="n">
        <x:f t="shared" ref="A554:A617" si="25">I66</x:f>
        <x:v>-0.467</x:v>
      </x:c>
      <x:c r="B554" t="n">
        <x:f t="shared" ref="B554:B617" si="26">P66</x:f>
        <x:v>2674.33249438183</x:v>
      </x:c>
      <x:c r="C554" t="n">
        <x:f t="shared" ref="C554:C617" si="27">R66</x:f>
        <x:v>764.545484329696</x:v>
      </x:c>
      <x:c r="D554" t="n">
        <x:f t="shared" ref="D554:D617" si="28">T66</x:f>
        <x:v>1637.5054038217336</x:v>
      </x:c>
      <x:c r="E554" t="n">
        <x:f t="shared" ref="E554:E617" si="29">V66</x:f>
        <x:v>1585.3419167736374</x:v>
      </x:c>
    </x:row>
    <x:row r="555">
      <x:c r="A555">
        <x:f t="shared" si="25"/>
        <x:v>-0.45800000000000002</x:v>
      </x:c>
      <x:c r="B555">
        <x:f t="shared" si="26"/>
        <x:v>2674.1103406944285</x:v>
      </x:c>
      <x:c r="C555">
        <x:f t="shared" si="27"/>
        <x:v>744.27396035426614</x:v>
      </x:c>
      <x:c r="D555">
        <x:f t="shared" si="28"/>
        <x:v>1583.9108267360079</x:v>
      </x:c>
      <x:c r="E555">
        <x:f t="shared" si="29"/>
        <x:v>1531.1919554694066</x:v>
      </x:c>
    </x:row>
    <x:row r="556">
      <x:c r="A556">
        <x:f t="shared" si="25"/>
        <x:v>-0.45</x:v>
      </x:c>
      <x:c r="B556">
        <x:f t="shared" si="26"/>
        <x:v>2673.9164999274262</x:v>
      </x:c>
      <x:c r="C556">
        <x:f t="shared" si="27"/>
        <x:v>726.58599036537464</x:v>
      </x:c>
      <x:c r="D556">
        <x:f t="shared" si="28"/>
        <x:v>1537.146741696884</x:v>
      </x:c>
      <x:c r="E556">
        <x:f t="shared" si="29"/>
        <x:v>1483.9432685127788</x:v>
      </x:c>
    </x:row>
    <x:row r="557">
      <x:c r="A557">
        <x:f t="shared" si="25"/>
        <x:v>-0.442</x:v>
      </x:c>
      <x:c r="B557">
        <x:f t="shared" si="26"/>
        <x:v>2673.7260748567596</x:v>
      </x:c>
      <x:c r="C557">
        <x:f t="shared" si="27"/>
        <x:v>709.20970266703625</x:v>
      </x:c>
      <x:c r="D557">
        <x:f t="shared" si="28"/>
        <x:v>1491.2066933985375</x:v>
      </x:c>
      <x:c r="E557">
        <x:f t="shared" si="29"/>
        <x:v>1437.5271575377656</x:v>
      </x:c>
    </x:row>
    <x:row r="558">
      <x:c r="A558">
        <x:f t="shared" si="25"/>
        <x:v>-0.433</x:v>
      </x:c>
      <x:c r="B558">
        <x:f t="shared" si="26"/>
        <x:v>2673.515929476785</x:v>
      </x:c>
      <x:c r="C558">
        <x:f t="shared" si="27"/>
        <x:v>690.03393674433278</x:v>
      </x:c>
      <x:c r="D558">
        <x:f t="shared" si="28"/>
        <x:v>1440.509120479609</x:v>
      </x:c>
      <x:c r="E558">
        <x:f t="shared" si="29"/>
        <x:v>1386.3042211688996</x:v>
      </x:c>
    </x:row>
    <x:row r="559">
      <x:c r="A559">
        <x:f t="shared" si="25"/>
        <x:v>-0.42499999999999999</x:v>
      </x:c>
      <x:c r="B559">
        <x:f t="shared" si="26"/>
        <x:v>2673.3327627608296</x:v>
      </x:c>
      <x:c r="C559">
        <x:f t="shared" si="27"/>
        <x:v>673.31997391341986</x:v>
      </x:c>
      <x:c r="D559">
        <x:f t="shared" si="28"/>
        <x:v>1396.3201502554145</x:v>
      </x:c>
      <x:c r="E559">
        <x:f t="shared" si="29"/>
        <x:v>1341.6573341548174</x:v>
      </x:c>
    </x:row>
    <x:row r="560">
      <x:c r="A560">
        <x:f t="shared" si="25"/>
        <x:v>-0.41699999999999998</x:v>
      </x:c>
      <x:c r="B560">
        <x:f t="shared" si="26"/>
        <x:v>2673.1530117412094</x:v>
      </x:c>
      <x:c r="C560">
        <x:f t="shared" si="27"/>
        <x:v>656.91769337306016</x:v>
      </x:c>
      <x:c r="D560">
        <x:f t="shared" si="28"/>
        <x:v>1352.955216771998</x:v>
      </x:c>
      <x:c r="E560">
        <x:f t="shared" si="29"/>
        <x:v>1297.8430231223497</x:v>
      </x:c>
    </x:row>
    <x:row r="561">
      <x:c r="A561">
        <x:f t="shared" si="25"/>
        <x:v>-0.40799999999999997</x:v>
      </x:c>
      <x:c r="B561">
        <x:f t="shared" si="26"/>
        <x:v>2672.9548746686619</x:v>
      </x:c>
      <x:c r="C561">
        <x:f t="shared" si="27"/>
        <x:v>638.83768550308218</x:v>
      </x:c>
      <x:c r="D561">
        <x:f t="shared" si="28"/>
        <x:v>1305.154648019864</x:v>
      </x:c>
      <x:c r="E561">
        <x:f t="shared" si="29"/>
        <x:v>1249.5471116888466</x:v>
      </x:c>
    </x:row>
    <x:row r="562">
      <x:c r="A562">
        <x:f t="shared" si="25"/>
        <x:v>-0.4</x:v>
      </x:c>
      <x:c r="B562">
        <x:f t="shared" si="26"/>
        <x:v>2672.7823820037529</x:v>
      </x:c>
      <x:c r="C562">
        <x:f t="shared" si="27"/>
        <x:v>623.09772983014795</x:v>
      </x:c>
      <x:c r="D562">
        <x:f t="shared" si="28"/>
        <x:v>1263.5407926106002</x:v>
      </x:c>
      <x:c r="E562">
        <x:f t="shared" si="29"/>
        <x:v>1207.5020246173106</x:v>
      </x:c>
    </x:row>
    <x:row r="563">
      <x:c r="A563">
        <x:f t="shared" si="25"/>
        <x:v>-0.39200000000000002</x:v>
      </x:c>
      <x:c r="B563">
        <x:f t="shared" si="26"/>
        <x:v>2672.6133050351787</x:v>
      </x:c>
      <x:c r="C563">
        <x:f t="shared" si="27"/>
        <x:v>607.66945644776706</x:v>
      </x:c>
      <x:c r="D563">
        <x:f t="shared" si="28"/>
        <x:v>1222.750973942113</x:v>
      </x:c>
      <x:c r="E563">
        <x:f t="shared" si="29"/>
        <x:v>1166.2895135273884</x:v>
      </x:c>
    </x:row>
    <x:row r="564">
      <x:c r="A564">
        <x:f t="shared" si="25"/>
        <x:v>-0.38300000000000001</x:v>
      </x:c>
      <x:c r="B564">
        <x:f t="shared" si="26"/>
        <x:v>2672.4271762700582</x:v>
      </x:c>
      <x:c r="C564">
        <x:f t="shared" si="27"/>
        <x:v>590.68520663051504</x:v>
      </x:c>
      <x:c r="D564">
        <x:f t="shared" si="28"/>
        <x:v>1177.8474093567754</x:v>
      </x:c>
      <x:c r="E564">
        <x:f t="shared" si="29"/>
        <x:v>1120.9206270292493</x:v>
      </x:c>
    </x:row>
    <x:row r="565">
      <x:c r="A565">
        <x:f t="shared" si="25"/>
        <x:v>-0.375</x:v>
      </x:c>
      <x:c r="B565">
        <x:f t="shared" si="26"/>
        <x:v>2672.2653576561956</x:v>
      </x:c>
      <x:c r="C565">
        <x:f t="shared" si="27"/>
        <x:v>575.91925811555939</x:v>
      </x:c>
      <x:c r="D565">
        <x:f t="shared" si="28"/>
        <x:v>1138.8086687624409</x:v>
      </x:c>
      <x:c r="E565">
        <x:f t="shared" si="29"/>
        <x:v>1081.4773399002586</x:v>
      </x:c>
    </x:row>
    <x:row r="566">
      <x:c r="A566">
        <x:f t="shared" si="25"/>
        <x:v>-0.36699999999999999</x:v>
      </x:c>
      <x:c r="B566">
        <x:f t="shared" si="26"/>
        <x:v>2672.1069547386678</x:v>
      </x:c>
      <x:c r="C566">
        <x:f t="shared" si="27"/>
        <x:v>561.46499189115696</x:v>
      </x:c>
      <x:c r="D566">
        <x:f t="shared" si="28"/>
        <x:v>1100.5939649088839</x:v>
      </x:c>
      <x:c r="E566">
        <x:f t="shared" si="29"/>
        <x:v>1042.8666287528822</x:v>
      </x:c>
    </x:row>
    <x:row r="567">
      <x:c r="A567">
        <x:f t="shared" si="25"/>
        <x:v>-0.35799999999999998</x:v>
      </x:c>
      <x:c r="B567">
        <x:f t="shared" si="26"/>
        <x:v>2671.9328342809749</x:v>
      </x:c>
      <x:c r="C567">
        <x:f t="shared" si="27"/>
        <x:v>545.576500126631</x:v>
      </x:c>
      <x:c r="D567">
        <x:f t="shared" si="28"/>
        <x:v>1058.5874044903424</x:v>
      </x:c>
      <x:c r="E567">
        <x:f t="shared" si="29"/>
        <x:v>1000.4247671901072</x:v>
      </x:c>
    </x:row>
    <x:row r="568">
      <x:c r="A568">
        <x:f t="shared" si="25"/>
        <x:v>-0.35</x:v>
      </x:c>
      <x:c r="B568">
        <x:f t="shared" si="26"/>
        <x:v>2671.7816897181583</x:v>
      </x:c>
      <x:c r="C568">
        <x:f t="shared" si="27"/>
        <x:v>531.78455876965381</x:v>
      </x:c>
      <x:c r="D568">
        <x:f t="shared" si="28"/>
        <x:v>1022.1237787109374</x:v>
      </x:c>
      <x:c r="E568">
        <x:f t="shared" si="29"/>
        <x:v>963.58328000366168</x:v>
      </x:c>
    </x:row>
    <x:row r="569">
      <x:c r="A569">
        <x:f t="shared" si="25"/>
        <x:v>-0.34200000000000003</x:v>
      </x:c>
      <x:c r="B569">
        <x:f t="shared" si="26"/>
        <x:v>2671.6339608516769</x:v>
      </x:c>
      <x:c r="C569">
        <x:f t="shared" si="27"/>
        <x:v>518.30429970323007</x:v>
      </x:c>
      <x:c r="D569">
        <x:f t="shared" si="28"/>
        <x:v>986.48418967231009</x:v>
      </x:c>
      <x:c r="E569">
        <x:f t="shared" si="29"/>
        <x:v>927.57436879883096</x:v>
      </x:c>
    </x:row>
    <x:row r="570">
      <x:c r="A570">
        <x:f t="shared" si="25"/>
        <x:v>-0.33300000000000002</x:v>
      </x:c>
      <x:c r="B570">
        <x:f t="shared" si="26"/>
        <x:v>2671.4718487014106</x:v>
      </x:c>
      <x:c r="C570">
        <x:f t="shared" si="27"/>
        <x:v>503.51156599142996</x:v>
      </x:c>
      <x:c r="D570">
        <x:f t="shared" si="28"/>
        <x:v>947.37463342056446</x:v>
      </x:c>
      <x:c r="E570">
        <x:f t="shared" si="29"/>
        <x:v>888.05953217141951</x:v>
      </x:c>
    </x:row>
    <x:row r="571">
      <x:c r="A571">
        <x:f t="shared" si="25"/>
        <x:v>-0.32500000000000001</x:v>
      </x:c>
      <x:c r="B571">
        <x:f t="shared" si="26"/>
        <x:v>2671.3313781896409</x:v>
      </x:c>
      <x:c r="C571">
        <x:f t="shared" si="27"/>
        <x:v>490.69363179243157</x:v>
      </x:c>
      <x:c r="D571">
        <x:f t="shared" si="28"/>
        <x:v>913.48612245608945</x:v>
      </x:c>
      <x:c r="E571">
        <x:f t="shared" si="29"/>
        <x:v>853.81984492751985</x:v>
      </x:c>
    </x:row>
    <x:row r="572">
      <x:c r="A572">
        <x:f t="shared" si="25"/>
        <x:v>-0.317</x:v>
      </x:c>
      <x:c r="B572">
        <x:f t="shared" si="26"/>
        <x:v>2671.1943233742059</x:v>
      </x:c>
      <x:c r="C572">
        <x:f t="shared" si="27"/>
        <x:v>478.18737988398607</x:v>
      </x:c>
      <x:c r="D572">
        <x:f t="shared" si="28"/>
        <x:v>880.42164823239102</x:v>
      </x:c>
      <x:c r="E572">
        <x:f t="shared" si="29"/>
        <x:v>820.4127336652341</x:v>
      </x:c>
    </x:row>
    <x:row r="573">
      <x:c r="A573">
        <x:f t="shared" si="25"/>
        <x:v>-0.308</x:v>
      </x:c>
      <x:c r="B573">
        <x:f t="shared" si="26"/>
        <x:v>2671.0442195313667</x:v>
      </x:c>
      <x:c r="C573">
        <x:f t="shared" si="27"/>
        <x:v>464.49040422491237</x:v>
      </x:c>
      <x:c r="D573">
        <x:f t="shared" si="28"/>
        <x:v>844.20909614744266</x:v>
      </x:c>
      <x:c r="E573">
        <x:f t="shared" si="29"/>
        <x:v>783.82492197318754</x:v>
      </x:c>
    </x:row>
    <x:row r="574">
      <x:c r="A574">
        <x:f t="shared" si="25"/>
        <x:v>-0.3</x:v>
      </x:c>
      <x:c r="B574">
        <x:f t="shared" si="26"/>
        <x:v>2670.9144230706429</x:v>
      </x:c>
      <x:c r="C574">
        <x:f t="shared" si="27"/>
        <x:v>452.64647718389233</x:v>
      </x:c>
      <x:c r="D574">
        <x:f t="shared" si="28"/>
        <x:v>812.8956999978966</x:v>
      </x:c>
      <x:c r="E574">
        <x:f t="shared" si="29"/>
        <x:v>752.18703467183286</x:v>
      </x:c>
    </x:row>
    <x:row r="575">
      <x:c r="A575">
        <x:f t="shared" si="25"/>
        <x:v>-0.29199999999999998</x:v>
      </x:c>
      <x:c r="B575">
        <x:f t="shared" si="26"/>
        <x:v>2670.7880423062543</x:v>
      </x:c>
      <x:c r="C575">
        <x:f t="shared" si="27"/>
        <x:v>441.11423243342574</x:v>
      </x:c>
      <x:c r="D575">
        <x:f t="shared" si="28"/>
        <x:v>782.4063405891286</x:v>
      </x:c>
      <x:c r="E575">
        <x:f t="shared" si="29"/>
        <x:v>721.38172335209333</x:v>
      </x:c>
    </x:row>
    <x:row r="576">
      <x:c r="A576">
        <x:f t="shared" si="25"/>
        <x:v>-0.28299999999999997</x:v>
      </x:c>
      <x:c r="B576">
        <x:f t="shared" si="26"/>
        <x:v>2670.6499467708427</x:v>
      </x:c>
      <x:c r="C576">
        <x:f t="shared" si="27"/>
        <x:v>428.51301482707748</x:v>
      </x:c>
      <x:c r="D576">
        <x:f t="shared" si="28"/>
        <x:v>749.09079267097502</x:v>
      </x:c>
      <x:c r="E576">
        <x:f t="shared" si="29"/>
        <x:v>687.72093659540951</x:v>
      </x:c>
    </x:row>
    <x:row r="577">
      <x:c r="A577">
        <x:f t="shared" si="25"/>
        <x:v>-0.27500000000000002</x:v>
      </x:c>
      <x:c r="B577">
        <x:f t="shared" si="26"/>
        <x:v>2670.5308243611653</x:v>
      </x:c>
      <x:c r="C577">
        <x:f t="shared" si="27"/>
        <x:v>417.64309494403631</x:v>
      </x:c>
      <x:c r="D577">
        <x:f t="shared" si="28"/>
        <x:v>720.35251133635927</x:v>
      </x:c>
      <x:c r="E577">
        <x:f t="shared" si="29"/>
        <x:v>658.68484923660094</x:v>
      </x:c>
    </x:row>
    <x:row r="578">
      <x:c r="A578">
        <x:f t="shared" si="25"/>
        <x:v>-0.26700000000000002</x:v>
      </x:c>
      <x:c r="B578">
        <x:f t="shared" si="26"/>
        <x:v>2670.4151176478226</x:v>
      </x:c>
      <x:c r="C578">
        <x:f t="shared" si="27"/>
        <x:v>407.08485735154818</x:v>
      </x:c>
      <x:c r="D578">
        <x:f t="shared" si="28"/>
        <x:v>692.43826674252091</x:v>
      </x:c>
      <x:c r="E578">
        <x:f t="shared" si="29"/>
        <x:v>630.48133785940684</x:v>
      </x:c>
    </x:row>
    <x:row r="579">
      <x:c r="A579">
        <x:f t="shared" si="25"/>
        <x:v>-0.25800000000000001</x:v>
      </x:c>
      <x:c r="B579">
        <x:f t="shared" si="26"/>
        <x:v>2670.2890304198377</x:v>
      </x:c>
      <x:c r="C579">
        <x:f t="shared" si="27"/>
        <x:v>395.57939779792588</x:v>
      </x:c>
      <x:c r="D579">
        <x:f t="shared" si="28"/>
        <x:v>662.01972299116323</x:v>
      </x:c>
      <x:c r="E579">
        <x:f t="shared" si="29"/>
        <x:v>599.74757603808689</x:v>
      </x:c>
    </x:row>
    <x:row r="580">
      <x:c r="A580">
        <x:f t="shared" si="25"/>
        <x:v>-0.25</x:v>
      </x:c>
      <x:c r="B580">
        <x:f t="shared" si="26"/>
        <x:v>2670.1805820612071</x:v>
      </x:c>
      <x:c r="C580">
        <x:f t="shared" si="27"/>
        <x:v>385.68348507286333</x:v>
      </x:c>
      <x:c r="D580">
        <x:f t="shared" si="28"/>
        <x:v>635.85655647147735</x:v>
      </x:c>
      <x:c r="E580">
        <x:f t="shared" si="29"/>
        <x:v>573.31328862182386</x:v>
      </x:c>
    </x:row>
    <x:row r="581">
      <x:c r="A581">
        <x:f t="shared" si="25"/>
        <x:v>-0.24199999999999999</x:v>
      </x:c>
      <x:c r="B581">
        <x:f t="shared" si="26"/>
        <x:v>2670.0755493989109</x:v>
      </x:c>
      <x:c r="C581">
        <x:f t="shared" si="27"/>
        <x:v>376.09925463835384</x:v>
      </x:c>
      <x:c r="D581">
        <x:f t="shared" si="28"/>
        <x:v>610.51742669256885</x:v>
      </x:c>
      <x:c r="E581">
        <x:f t="shared" si="29"/>
        <x:v>547.71157718717541</x:v>
      </x:c>
    </x:row>
    <x:row r="582">
      <x:c r="A582">
        <x:f t="shared" si="25"/>
        <x:v>-0.23300000000000001</x:v>
      </x:c>
      <x:c r="B582">
        <x:f t="shared" si="26"/>
        <x:v>2669.9614704783535</x:v>
      </x:c>
      <x:c r="C582">
        <x:f t="shared" si="27"/>
        <x:v>365.68955313745749</x:v>
      </x:c>
      <x:c r="D582">
        <x:f t="shared" si="28"/>
        <x:v>582.9958871080072</x:v>
      </x:c>
      <x:c r="E582">
        <x:f t="shared" si="29"/>
        <x:v>519.90484030121934</x:v>
      </x:c>
    </x:row>
    <x:row r="583">
      <x:c r="A583">
        <x:f t="shared" si="25"/>
        <x:v>-0.22500000000000001</x:v>
      </x:c>
      <x:c r="B583">
        <x:f t="shared" si="26"/>
        <x:v>2669.8636961707689</x:v>
      </x:c>
      <x:c r="C583">
        <x:f t="shared" si="27"/>
        <x:v>356.76764757037353</x:v>
      </x:c>
      <x:c r="D583">
        <x:f t="shared" si="28"/>
        <x:v>559.40783540325083</x:v>
      </x:c>
      <x:c r="E583">
        <x:f t="shared" si="29"/>
        <x:v>496.07235282750179</x:v>
      </x:c>
    </x:row>
    <x:row r="584">
      <x:c r="A584">
        <x:f t="shared" si="25"/>
        <x:v>-0.217</x:v>
      </x:c>
      <x:c r="B584">
        <x:f t="shared" si="26"/>
        <x:v>2669.769337559519</x:v>
      </x:c>
      <x:c r="C584">
        <x:f t="shared" si="27"/>
        <x:v>348.15742429384272</x:v>
      </x:c>
      <x:c r="D584">
        <x:f t="shared" si="28"/>
        <x:v>536.64382043927219</x:v>
      </x:c>
      <x:c r="E584">
        <x:f t="shared" si="29"/>
        <x:v>473.07244133539882</x:v>
      </x:c>
    </x:row>
    <x:row r="585">
      <x:c r="A585">
        <x:f t="shared" si="25"/>
        <x:v>-0.20799999999999999</x:v>
      </x:c>
      <x:c r="B585">
        <x:f t="shared" si="26"/>
        <x:v>2669.6672669463883</x:v>
      </x:c>
      <x:c r="C585">
        <x:f t="shared" si="27"/>
        <x:v>338.84348084567222</x:v>
      </x:c>
      <x:c r="D585">
        <x:f t="shared" si="28"/>
        <x:v>512.01928502150633</x:v>
      </x:c>
      <x:c r="E585">
        <x:f t="shared" si="29"/>
        <x:v>448.19272938480651</x:v>
      </x:c>
    </x:row>
    <x:row r="586">
      <x:c r="A586">
        <x:f t="shared" si="25"/>
        <x:v>-0.2</x:v>
      </x:c>
      <x:c r="B586">
        <x:f t="shared" si="26"/>
        <x:v>2669.5801666898506</x:v>
      </x:c>
      <x:c r="C586">
        <x:f t="shared" si="27"/>
        <x:v>330.89558243656683</x:v>
      </x:c>
      <x:c r="D586">
        <x:f t="shared" si="28"/>
        <x:v>491.00634813167994</x:v>
      </x:c>
      <x:c r="E586">
        <x:f t="shared" si="29"/>
        <x:v>426.96204185363462</x:v>
      </x:c>
    </x:row>
    <x:row r="587">
      <x:c r="A587">
        <x:f t="shared" si="25"/>
        <x:v>-0.192</x:v>
      </x:c>
      <x:c r="B587">
        <x:f t="shared" si="26"/>
        <x:v>2669.4964821296471</x:v>
      </x:c>
      <x:c r="C587">
        <x:f t="shared" si="27"/>
        <x:v>323.25936631801449</x:v>
      </x:c>
      <x:c r="D587">
        <x:f t="shared" si="28"/>
        <x:v>470.81744798263048</x:v>
      </x:c>
      <x:c r="E587">
        <x:f t="shared" si="29"/>
        <x:v>406.56393030407702</x:v>
      </x:c>
    </x:row>
    <x:row r="588">
      <x:c r="A588">
        <x:f t="shared" si="25"/>
        <x:v>-0.183</x:v>
      </x:c>
      <x:c r="B588">
        <x:f t="shared" si="26"/>
        <x:v>2669.4064198239439</x:v>
      </x:c>
      <x:c r="C588">
        <x:f t="shared" si="27"/>
        <x:v>315.04118092257016</x:v>
      </x:c>
      <x:c r="D588">
        <x:f t="shared" si="28"/>
        <x:v>449.08991673166133</x:v>
      </x:c>
      <x:c r="E588">
        <x:f t="shared" si="29"/>
        <x:v>384.6112432888491</x:v>
      </x:c>
    </x:row>
    <x:row r="589">
      <x:c r="A589">
        <x:f t="shared" si="25"/>
        <x:v>-0.17499999999999999</x:v>
      </x:c>
      <x:c r="B589">
        <x:f t="shared" si="26"/>
        <x:v>2669.3299936184521</x:v>
      </x:c>
      <x:c r="C589">
        <x:f t="shared" si="27"/>
        <x:v>308.06728967144329</x:v>
      </x:c>
      <x:c r="D589">
        <x:f t="shared" si="28"/>
        <x:v>430.65209465676418</x:v>
      </x:c>
      <x:c r="E589">
        <x:f t="shared" si="29"/>
        <x:v>365.98235570022246</x:v>
      </x:c>
    </x:row>
    <x:row r="590">
      <x:c r="A590">
        <x:f t="shared" si="25"/>
        <x:v>-0.16700000000000001</x:v>
      </x:c>
      <x:c r="B590">
        <x:f t="shared" si="26"/>
        <x:v>2669.2569831092951</x:v>
      </x:c>
      <x:c r="C590">
        <x:f t="shared" si="27"/>
        <x:v>301.40508071086964</x:v>
      </x:c>
      <x:c r="D590">
        <x:f t="shared" si="28"/>
        <x:v>413.03830932264486</x:v>
      </x:c>
      <x:c r="E590">
        <x:f t="shared" si="29"/>
        <x:v>348.18604409321068</x:v>
      </x:c>
    </x:row>
    <x:row r="591">
      <x:c r="A591">
        <x:f t="shared" si="25"/>
        <x:v>-0.158</x:v>
      </x:c>
      <x:c r="B591">
        <x:f t="shared" si="26"/>
        <x:v>2669.1789291110185</x:v>
      </x:c>
      <x:c r="C591">
        <x:f t="shared" si="27"/>
        <x:v>294.2826533681511</x:v>
      </x:c>
      <x:c r="D591">
        <x:f t="shared" si="28"/>
        <x:v>394.20778223847111</x:v>
      </x:c>
      <x:c r="E591">
        <x:f t="shared" si="29"/>
        <x:v>329.16038201334601</x:v>
      </x:c>
    </x:row>
    <x:row r="592">
      <x:c r="A592">
        <x:f t="shared" si="25"/>
        <x:v>-0.15</x:v>
      </x:c>
      <x:c r="B592">
        <x:f t="shared" si="26"/>
        <x:v>2669.1131769565732</x:v>
      </x:c>
      <x:c r="C592">
        <x:f t="shared" si="27"/>
        <x:v>288.28276927500292</x:v>
      </x:c>
      <x:c r="D592">
        <x:f t="shared" si="28"/>
        <x:v>378.34507497850399</x:v>
      </x:c>
      <x:c r="E592">
        <x:f t="shared" si="29"/>
        <x:v>313.13329436726525</x:v>
      </x:c>
    </x:row>
    <x:row r="593">
      <x:c r="A593">
        <x:f t="shared" si="25"/>
        <x:v>-0.14199999999999999</x:v>
      </x:c>
      <x:c r="B593">
        <x:f t="shared" si="26"/>
        <x:v>2669.0508404984621</x:v>
      </x:c>
      <x:c r="C593">
        <x:f t="shared" si="27"/>
        <x:v>282.5945674724079</x:v>
      </x:c>
      <x:c r="D593">
        <x:f t="shared" si="28"/>
        <x:v>363.30640445931436</x:v>
      </x:c>
      <x:c r="E593">
        <x:f t="shared" si="29"/>
        <x:v>297.93878270279907</x:v>
      </x:c>
    </x:row>
    <x:row r="594">
      <x:c r="A594">
        <x:f t="shared" si="25"/>
        <x:v>-0.13300000000000001</x:v>
      </x:c>
      <x:c r="B594">
        <x:f t="shared" si="26"/>
        <x:v>2668.9847948076131</x:v>
      </x:c>
      <x:c r="C594">
        <x:f t="shared" si="27"/>
        <x:v>276.56789818241526</x:v>
      </x:c>
      <x:c r="D594">
        <x:f t="shared" si="28"/>
        <x:v>347.37288154193652</x:v>
      </x:c>
      <x:c r="E594">
        <x:f t="shared" si="29"/>
        <x:v>281.84014555829816</x:v>
      </x:c>
    </x:row>
    <x:row r="595">
      <x:c r="A595">
        <x:f t="shared" si="25"/>
        <x:v>-0.125</x:v>
      </x:c>
      <x:c r="B595">
        <x:f t="shared" si="26"/>
        <x:v>2668.9297167042141</x:v>
      </x:c>
      <x:c r="C595">
        <x:f t="shared" si="27"/>
        <x:v>271.54202124724566</x:v>
      </x:c>
      <x:c r="D595">
        <x:f t="shared" si="28"/>
        <x:v>334.08528909689915</x:v>
      </x:c>
      <x:c r="E595">
        <x:f t="shared" si="29"/>
        <x:v>268.414857854763</x:v>
      </x:c>
    </x:row>
    <x:row r="596">
      <x:c r="A596">
        <x:f t="shared" si="25"/>
        <x:v>-0.11700000000000001</x:v>
      </x:c>
      <x:c r="B596">
        <x:f t="shared" si="26"/>
        <x:v>2668.8780542971494</x:v>
      </x:c>
      <x:c r="C596">
        <x:f t="shared" si="27"/>
        <x:v>266.82782660262927</x:v>
      </x:c>
      <x:c r="D596">
        <x:f t="shared" si="28"/>
        <x:v>321.62173339263933</x:v>
      </x:c>
      <x:c r="E596">
        <x:f t="shared" si="29"/>
        <x:v>255.82214613284236</x:v>
      </x:c>
    </x:row>
    <x:row r="597">
      <x:c r="A597">
        <x:f t="shared" si="25"/>
        <x:v>-0.108</x:v>
      </x:c>
      <x:c r="B597">
        <x:f t="shared" si="26"/>
        <x:v>2668.8240169137275</x:v>
      </x:c>
      <x:c r="C597">
        <x:f t="shared" si="27"/>
        <x:v>261.89691536536253</x:v>
      </x:c>
      <x:c r="D597">
        <x:f t="shared" si="28"/>
        <x:v>308.58521464205745</x:v>
      </x:c>
      <x:c r="E597">
        <x:f t="shared" si="29"/>
        <x:v>242.6505339237053</x:v>
      </x:c>
    </x:row>
    <x:row r="598">
      <x:c r="A598">
        <x:f t="shared" si="25"/>
        <x:v>-0.1</x:v>
      </x:c>
      <x:c r="B598">
        <x:f t="shared" si="26"/>
        <x:v>2668.779612861375</x:v>
      </x:c>
      <x:c r="C598">
        <x:f t="shared" si="27"/>
        <x:v>257.8450455881715</x:v>
      </x:c>
      <x:c r="D598">
        <x:f t="shared" si="28"/>
        <x:v>297.87273701194982</x:v>
      </x:c>
      <x:c r="E598">
        <x:f t="shared" si="29"/>
        <x:v>231.82704616271567</x:v>
      </x:c>
    </x:row>
    <x:row r="599">
      <x:c r="A599">
        <x:f t="shared" si="25"/>
        <x:v>-9.1999999999999998E-2</x:v>
      </x:c>
      <x:c r="B599">
        <x:f t="shared" si="26"/>
        <x:v>2668.7386245053572</x:v>
      </x:c>
      <x:c r="C599">
        <x:f t="shared" si="27"/>
        <x:v>254.10485810153369</x:v>
      </x:c>
      <x:c r="D599">
        <x:f t="shared" si="28"/>
        <x:v>287.98429612261964</x:v>
      </x:c>
      <x:c r="E599">
        <x:f t="shared" si="29"/>
        <x:v>221.83613438334069</x:v>
      </x:c>
    </x:row>
    <x:row r="600">
      <x:c r="A600">
        <x:f t="shared" si="25"/>
        <x:v>-8.3000000000000004E-2</x:v>
      </x:c>
      <x:c r="B600">
        <x:f t="shared" si="26"/>
        <x:v>2668.6965954293619</x:v>
      </x:c>
      <x:c r="C600">
        <x:f t="shared" si="27"/>
        <x:v>250.26970491699296</x:v>
      </x:c>
      <x:c r="D600">
        <x:f t="shared" si="28"/>
        <x:v>277.84478153883373</x:v>
      </x:c>
      <x:c r="E600">
        <x:f t="shared" si="29"/>
        <x:v>211.59154710956733</x:v>
      </x:c>
    </x:row>
    <x:row r="601">
      <x:c r="A601">
        <x:f t="shared" si="25"/>
        <x:v>-7.4999999999999997E-2</x:v>
      </x:c>
      <x:c r="B601">
        <x:f t="shared" si="26"/>
        <x:v>2668.6628654280557</x:v>
      </x:c>
      <x:c r="C601">
        <x:f t="shared" si="27"/>
        <x:v>247.19184229778054</x:v>
      </x:c>
      <x:c r="D601">
        <x:f t="shared" si="28"/>
        <x:v>269.70741872365579</x:v>
      </x:c>
      <x:c r="E601">
        <x:f t="shared" si="29"/>
        <x:v>203.36985929112333</x:v>
      </x:c>
    </x:row>
    <x:row r="602">
      <x:c r="A602">
        <x:f t="shared" si="25"/>
        <x:v>-6.7000000000000004E-2</x:v>
      </x:c>
      <x:c r="B602">
        <x:f t="shared" si="26"/>
        <x:v>2668.6325511230839</x:v>
      </x:c>
      <x:c r="C602">
        <x:f t="shared" si="27"/>
        <x:v>244.42566196912128</x:v>
      </x:c>
      <x:c r="D602">
        <x:f t="shared" si="28"/>
        <x:v>262.3940926492553</x:v>
      </x:c>
      <x:c r="E602">
        <x:f t="shared" si="29"/>
        <x:v>195.98074745429378</x:v>
      </x:c>
    </x:row>
    <x:row r="603">
      <x:c r="A603">
        <x:f t="shared" si="25"/>
        <x:v>-5.8000000000000003E-2</x:v>
      </x:c>
      <x:c r="B603">
        <x:f t="shared" si="26"/>
        <x:v>2668.6025303545161</x:v>
      </x:c>
      <x:c r="C603">
        <x:f t="shared" si="27"/>
        <x:v>241.68626683730656</x:v>
      </x:c>
      <x:c r="D603">
        <x:f t="shared" si="28"/>
        <x:v>255.15158223226561</x:v>
      </x:c>
      <x:c r="E603">
        <x:f t="shared" si="29"/>
        <x:v>188.66318511588446</x:v>
      </x:c>
    </x:row>
    <x:row r="604">
      <x:c r="A604">
        <x:f t="shared" si="25"/>
        <x:v>-0.05</x:v>
      </x:c>
      <x:c r="B604">
        <x:f t="shared" si="26"/>
        <x:v>2668.579474404256</x:v>
      </x:c>
      <x:c r="C604">
        <x:f t="shared" si="27"/>
        <x:v>239.58241137607271</x:v>
      </x:c>
      <x:c r="D604">
        <x:f t="shared" si="28"/>
        <x:v>249.58933423201725</x:v>
      </x:c>
      <x:c r="E604">
        <x:f t="shared" si="29"/>
        <x:v>183.04329723998595</x:v>
      </x:c>
    </x:row>
    <x:row r="605">
      <x:c r="A605">
        <x:f t="shared" si="25"/>
        <x:v>-4.2000000000000003E-2</x:v>
      </x:c>
      <x:c r="B605">
        <x:f t="shared" si="26"/>
        <x:v>2668.5598341503305</x:v>
      </x:c>
      <x:c r="C605">
        <x:f t="shared" si="27"/>
        <x:v>237.79023820539209</x:v>
      </x:c>
      <x:c r="D605">
        <x:f t="shared" si="28"/>
        <x:v>244.85112297254656</x:v>
      </x:c>
      <x:c r="E605">
        <x:f t="shared" si="29"/>
        <x:v>178.25598534570207</x:v>
      </x:c>
    </x:row>
    <x:row r="606">
      <x:c r="A606">
        <x:f t="shared" si="25"/>
        <x:v>-3.3000000000000002E-2</x:v>
      </x:c>
      <x:c r="B606">
        <x:f t="shared" si="26"/>
        <x:v>2668.5418216891899</x:v>
      </x:c>
      <x:c r="C606">
        <x:f t="shared" si="27"/>
        <x:v>236.14660112630315</x:v>
      </x:c>
      <x:c r="D606">
        <x:f t="shared" si="28"/>
        <x:v>240.50561672235264</x:v>
      </x:c>
      <x:c r="E606">
        <x:f t="shared" si="29"/>
        <x:v>173.86544794265637</x:v>
      </x:c>
    </x:row>
    <x:row r="607">
      <x:c r="A607">
        <x:f t="shared" si="25"/>
        <x:v>-2.5000000000000001E-2</x:v>
      </x:c>
      <x:c r="B607">
        <x:f t="shared" si="26"/>
        <x:v>2668.5294397899765</x:v>
      </x:c>
      <x:c r="C607">
        <x:f t="shared" si="27"/>
        <x:v>235.01675282304802</x:v>
      </x:c>
      <x:c r="D607">
        <x:f t="shared" si="28"/>
        <x:v>237.51848353703414</x:v>
      </x:c>
      <x:c r="E607">
        <x:f t="shared" si="29"/>
        <x:v>170.84736000930349</x:v>
      </x:c>
    </x:row>
    <x:row r="608">
      <x:c r="A608">
        <x:f t="shared" si="25"/>
        <x:v>-1.7000000000000001E-2</x:v>
      </x:c>
      <x:c r="B608">
        <x:f t="shared" si="26"/>
        <x:v>2668.5204735870971</x:v>
      </x:c>
      <x:c r="C608">
        <x:f t="shared" si="27"/>
        <x:v>234.19858681034597</x:v>
      </x:c>
      <x:c r="D608">
        <x:f t="shared" si="28"/>
        <x:v>235.35538709249317</x:v>
      </x:c>
      <x:c r="E608">
        <x:f t="shared" si="29"/>
        <x:v>168.66184805756521</x:v>
      </x:c>
    </x:row>
    <x:row r="609">
      <x:c r="A609">
        <x:f t="shared" si="25"/>
        <x:v>-8.0000000000000002E-3</x:v>
      </x:c>
      <x:c r="B609">
        <x:f t="shared" si="26"/>
        <x:v>2668.514469433384</x:v>
      </x:c>
      <x:c r="C609">
        <x:f t="shared" si="27"/>
        <x:v>233.65070778398297</x:v>
      </x:c>
      <x:c r="D609">
        <x:f t="shared" si="28"/>
        <x:v>233.90688500909519</x:v>
      </x:c>
      <x:c r="E609">
        <x:f t="shared" si="29"/>
        <x:v>167.19833558988333</x:v>
      </x:c>
    </x:row>
    <x:row r="610">
      <x:c r="A610">
        <x:f t="shared" si="25"/>
        <x:v>0</x:v>
      </x:c>
      <x:c r="B610">
        <x:f t="shared" si="26"/>
        <x:v>2668.5127615852166</x:v>
      </x:c>
      <x:c r="C610">
        <x:f t="shared" si="27"/>
        <x:v>233.49486663870644</x:v>
      </x:c>
      <x:c r="D610">
        <x:f t="shared" si="28"/>
        <x:v>233.49486663870644</x:v>
      </x:c>
      <x:c r="E610">
        <x:f t="shared" si="29"/>
        <x:v>166.78204759907604</x:v>
      </x:c>
    </x:row>
    <x:row r="611">
      <x:c r="A611">
        <x:f t="shared" si="25"/>
        <x:v>8.0000000000000002E-3</x:v>
      </x:c>
      <x:c r="B611">
        <x:f t="shared" si="26"/>
        <x:v>2668.514469433384</x:v>
      </x:c>
      <x:c r="C611">
        <x:f t="shared" si="27"/>
        <x:v>233.65070778398297</x:v>
      </x:c>
      <x:c r="D611">
        <x:f t="shared" si="28"/>
        <x:v>233.90688500909519</x:v>
      </x:c>
      <x:c r="E611">
        <x:f t="shared" si="29"/>
        <x:v>167.19833558988333</x:v>
      </x:c>
    </x:row>
    <x:row r="612">
      <x:c r="A612">
        <x:f t="shared" si="25"/>
        <x:v>1.7000000000000001E-2</x:v>
      </x:c>
      <x:c r="B612">
        <x:f t="shared" si="26"/>
        <x:v>2668.5204735870971</x:v>
      </x:c>
      <x:c r="C612">
        <x:f t="shared" si="27"/>
        <x:v>234.19858681034597</x:v>
      </x:c>
      <x:c r="D612">
        <x:f t="shared" si="28"/>
        <x:v>235.35538709249312</x:v>
      </x:c>
      <x:c r="E612">
        <x:f t="shared" si="29"/>
        <x:v>168.66184805756518</x:v>
      </x:c>
    </x:row>
    <x:row r="613">
      <x:c r="A613">
        <x:f t="shared" si="25"/>
        <x:v>2.5000000000000001E-2</x:v>
      </x:c>
      <x:c r="B613">
        <x:f t="shared" si="26"/>
        <x:v>2668.5294397899765</x:v>
      </x:c>
      <x:c r="C613">
        <x:f t="shared" si="27"/>
        <x:v>235.01675282304802</x:v>
      </x:c>
      <x:c r="D613">
        <x:f t="shared" si="28"/>
        <x:v>237.51848353703411</x:v>
      </x:c>
      <x:c r="E613">
        <x:f t="shared" si="29"/>
        <x:v>170.84736000930343</x:v>
      </x:c>
    </x:row>
    <x:row r="614">
      <x:c r="A614">
        <x:f t="shared" si="25"/>
        <x:v>3.3000000000000002E-2</x:v>
      </x:c>
      <x:c r="B614">
        <x:f t="shared" si="26"/>
        <x:v>2668.5418216891899</x:v>
      </x:c>
      <x:c r="C614">
        <x:f t="shared" si="27"/>
        <x:v>236.14660112630315</x:v>
      </x:c>
      <x:c r="D614">
        <x:f t="shared" si="28"/>
        <x:v>240.50561672235264</x:v>
      </x:c>
      <x:c r="E614">
        <x:f t="shared" si="29"/>
        <x:v>173.86544794265637</x:v>
      </x:c>
    </x:row>
    <x:row r="615">
      <x:c r="A615">
        <x:f t="shared" si="25"/>
        <x:v>4.2000000000000003E-2</x:v>
      </x:c>
      <x:c r="B615">
        <x:f t="shared" si="26"/>
        <x:v>2668.5598341503305</x:v>
      </x:c>
      <x:c r="C615">
        <x:f t="shared" si="27"/>
        <x:v>237.79023820539209</x:v>
      </x:c>
      <x:c r="D615">
        <x:f t="shared" si="28"/>
        <x:v>244.85112297254656</x:v>
      </x:c>
      <x:c r="E615">
        <x:f t="shared" si="29"/>
        <x:v>178.25598534570207</x:v>
      </x:c>
    </x:row>
    <x:row r="616">
      <x:c r="A616">
        <x:f t="shared" si="25"/>
        <x:v>0.05</x:v>
      </x:c>
      <x:c r="B616">
        <x:f t="shared" si="26"/>
        <x:v>2668.579474404256</x:v>
      </x:c>
      <x:c r="C616">
        <x:f t="shared" si="27"/>
        <x:v>239.58241137607271</x:v>
      </x:c>
      <x:c r="D616">
        <x:f t="shared" si="28"/>
        <x:v>249.58933423201725</x:v>
      </x:c>
      <x:c r="E616">
        <x:f t="shared" si="29"/>
        <x:v>183.04329723998595</x:v>
      </x:c>
    </x:row>
    <x:row r="617">
      <x:c r="A617">
        <x:f t="shared" si="25"/>
        <x:v>5.8000000000000003E-2</x:v>
      </x:c>
      <x:c r="B617">
        <x:f t="shared" si="26"/>
        <x:v>2668.6025303545161</x:v>
      </x:c>
      <x:c r="C617">
        <x:f t="shared" si="27"/>
        <x:v>241.68626683730656</x:v>
      </x:c>
      <x:c r="D617">
        <x:f t="shared" si="28"/>
        <x:v>255.15158223226561</x:v>
      </x:c>
      <x:c r="E617">
        <x:f t="shared" si="29"/>
        <x:v>188.66318511588446</x:v>
      </x:c>
    </x:row>
    <x:row r="618">
      <x:c r="A618" t="n">
        <x:f t="shared" ref="A618:A681" si="30">I130</x:f>
        <x:v>0.067</x:v>
      </x:c>
      <x:c r="B618" t="n">
        <x:f t="shared" ref="B618:B681" si="31">P130</x:f>
        <x:v>2668.632551123084</x:v>
      </x:c>
      <x:c r="C618" t="n">
        <x:f t="shared" ref="C618:C681" si="32">R130</x:f>
        <x:v>244.42566196912128</x:v>
      </x:c>
      <x:c r="D618" t="n">
        <x:f t="shared" ref="D618:D681" si="33">T130</x:f>
        <x:v>262.3940926492553</x:v>
      </x:c>
      <x:c r="E618" t="n">
        <x:f t="shared" ref="E618:E681" si="34">V130</x:f>
        <x:v>195.98074745429378</x:v>
      </x:c>
    </x:row>
    <x:row r="619">
      <x:c r="A619">
        <x:f t="shared" si="30"/>
        <x:v>7.4999999999999997E-2</x:v>
      </x:c>
      <x:c r="B619">
        <x:f t="shared" si="31"/>
        <x:v>2668.6628654280557</x:v>
      </x:c>
      <x:c r="C619">
        <x:f t="shared" si="32"/>
        <x:v>247.19184229778054</x:v>
      </x:c>
      <x:c r="D619">
        <x:f t="shared" si="33"/>
        <x:v>269.70741872365579</x:v>
      </x:c>
      <x:c r="E619">
        <x:f t="shared" si="34"/>
        <x:v>203.36985929112333</x:v>
      </x:c>
    </x:row>
    <x:row r="620">
      <x:c r="A620">
        <x:f t="shared" si="30"/>
        <x:v>8.3000000000000004E-2</x:v>
      </x:c>
      <x:c r="B620">
        <x:f t="shared" si="31"/>
        <x:v>2668.6965954293619</x:v>
      </x:c>
      <x:c r="C620">
        <x:f t="shared" si="32"/>
        <x:v>250.26970491699296</x:v>
      </x:c>
      <x:c r="D620">
        <x:f t="shared" si="33"/>
        <x:v>277.84478153883373</x:v>
      </x:c>
      <x:c r="E620">
        <x:f t="shared" si="34"/>
        <x:v>211.59154710956733</x:v>
      </x:c>
    </x:row>
    <x:row r="621">
      <x:c r="A621">
        <x:f t="shared" si="30"/>
        <x:v>9.1999999999999998E-2</x:v>
      </x:c>
      <x:c r="B621">
        <x:f t="shared" si="31"/>
        <x:v>2668.7386245053572</x:v>
      </x:c>
      <x:c r="C621">
        <x:f t="shared" si="32"/>
        <x:v>254.10485810153369</x:v>
      </x:c>
      <x:c r="D621">
        <x:f t="shared" si="33"/>
        <x:v>287.98429612261964</x:v>
      </x:c>
      <x:c r="E621">
        <x:f t="shared" si="34"/>
        <x:v>221.83613438334069</x:v>
      </x:c>
    </x:row>
    <x:row r="622">
      <x:c r="A622">
        <x:f t="shared" si="30"/>
        <x:v>0.1</x:v>
      </x:c>
      <x:c r="B622">
        <x:f t="shared" si="31"/>
        <x:v>2668.779612861375</x:v>
      </x:c>
      <x:c r="C622">
        <x:f t="shared" si="32"/>
        <x:v>257.84504558817162</x:v>
      </x:c>
      <x:c r="D622">
        <x:f t="shared" si="33"/>
        <x:v>297.87273701194999</x:v>
      </x:c>
      <x:c r="E622">
        <x:f t="shared" si="34"/>
        <x:v>231.82704616271587</x:v>
      </x:c>
    </x:row>
    <x:row r="623">
      <x:c r="A623">
        <x:f t="shared" si="30"/>
        <x:v>0.108</x:v>
      </x:c>
      <x:c r="B623">
        <x:f t="shared" si="31"/>
        <x:v>2668.8240169137275</x:v>
      </x:c>
      <x:c r="C623">
        <x:f t="shared" si="32"/>
        <x:v>261.89691536536259</x:v>
      </x:c>
      <x:c r="D623">
        <x:f t="shared" si="33"/>
        <x:v>308.58521464205768</x:v>
      </x:c>
      <x:c r="E623">
        <x:f t="shared" si="34"/>
        <x:v>242.65053392370547</x:v>
      </x:c>
    </x:row>
    <x:row r="624">
      <x:c r="A624">
        <x:f t="shared" si="30"/>
        <x:v>0.11700000000000001</x:v>
      </x:c>
      <x:c r="B624">
        <x:f t="shared" si="31"/>
        <x:v>2668.8780542971494</x:v>
      </x:c>
      <x:c r="C624">
        <x:f t="shared" si="32"/>
        <x:v>266.82782660262927</x:v>
      </x:c>
      <x:c r="D624">
        <x:f t="shared" si="33"/>
        <x:v>321.62173339263933</x:v>
      </x:c>
      <x:c r="E624">
        <x:f t="shared" si="34"/>
        <x:v>255.82214613284236</x:v>
      </x:c>
    </x:row>
    <x:row r="625">
      <x:c r="A625">
        <x:f t="shared" si="30"/>
        <x:v>0.125</x:v>
      </x:c>
      <x:c r="B625">
        <x:f t="shared" si="31"/>
        <x:v>2668.9297167042141</x:v>
      </x:c>
      <x:c r="C625">
        <x:f t="shared" si="32"/>
        <x:v>271.54202124724566</x:v>
      </x:c>
      <x:c r="D625">
        <x:f t="shared" si="33"/>
        <x:v>334.08528909689915</x:v>
      </x:c>
      <x:c r="E625">
        <x:f t="shared" si="34"/>
        <x:v>268.414857854763</x:v>
      </x:c>
    </x:row>
    <x:row r="626">
      <x:c r="A626">
        <x:f t="shared" si="30"/>
        <x:v>0.13300000000000001</x:v>
      </x:c>
      <x:c r="B626">
        <x:f t="shared" si="31"/>
        <x:v>2668.9847948076131</x:v>
      </x:c>
      <x:c r="C626">
        <x:f t="shared" si="32"/>
        <x:v>276.56789818241526</x:v>
      </x:c>
      <x:c r="D626">
        <x:f t="shared" si="33"/>
        <x:v>347.37288154193652</x:v>
      </x:c>
      <x:c r="E626">
        <x:f t="shared" si="34"/>
        <x:v>281.84014555829816</x:v>
      </x:c>
    </x:row>
    <x:row r="627">
      <x:c r="A627">
        <x:f t="shared" si="30"/>
        <x:v>0.14199999999999999</x:v>
      </x:c>
      <x:c r="B627">
        <x:f t="shared" si="31"/>
        <x:v>2669.0508404984621</x:v>
      </x:c>
      <x:c r="C627">
        <x:f t="shared" si="32"/>
        <x:v>282.59456747240779</x:v>
      </x:c>
      <x:c r="D627">
        <x:f t="shared" si="33"/>
        <x:v>363.30640445931414</x:v>
      </x:c>
      <x:c r="E627">
        <x:f t="shared" si="34"/>
        <x:v>297.93878270279879</x:v>
      </x:c>
    </x:row>
    <x:row r="628">
      <x:c r="A628">
        <x:f t="shared" si="30"/>
        <x:v>0.15</x:v>
      </x:c>
      <x:c r="B628">
        <x:f t="shared" si="31"/>
        <x:v>2669.1131769565732</x:v>
      </x:c>
      <x:c r="C628">
        <x:f t="shared" si="32"/>
        <x:v>288.28276927500281</x:v>
      </x:c>
      <x:c r="D628">
        <x:f t="shared" si="33"/>
        <x:v>378.3450749785037</x:v>
      </x:c>
      <x:c r="E628">
        <x:f t="shared" si="34"/>
        <x:v>313.13329436726491</x:v>
      </x:c>
    </x:row>
    <x:row r="629">
      <x:c r="A629">
        <x:f t="shared" si="30"/>
        <x:v>0.158</x:v>
      </x:c>
      <x:c r="B629">
        <x:f t="shared" si="31"/>
        <x:v>2669.1789291110185</x:v>
      </x:c>
      <x:c r="C629">
        <x:f t="shared" si="32"/>
        <x:v>294.2826533681511</x:v>
      </x:c>
      <x:c r="D629">
        <x:f t="shared" si="33"/>
        <x:v>394.20778223847111</x:v>
      </x:c>
      <x:c r="E629">
        <x:f t="shared" si="34"/>
        <x:v>329.16038201334601</x:v>
      </x:c>
    </x:row>
    <x:row r="630">
      <x:c r="A630">
        <x:f t="shared" si="30"/>
        <x:v>0.16700000000000001</x:v>
      </x:c>
      <x:c r="B630">
        <x:f t="shared" si="31"/>
        <x:v>2669.2569831092951</x:v>
      </x:c>
      <x:c r="C630">
        <x:f t="shared" si="32"/>
        <x:v>301.40508071086964</x:v>
      </x:c>
      <x:c r="D630">
        <x:f t="shared" si="33"/>
        <x:v>413.03830932264486</x:v>
      </x:c>
      <x:c r="E630">
        <x:f t="shared" si="34"/>
        <x:v>348.18604409321068</x:v>
      </x:c>
    </x:row>
    <x:row r="631">
      <x:c r="A631">
        <x:f t="shared" si="30"/>
        <x:v>0.17499999999999999</x:v>
      </x:c>
      <x:c r="B631">
        <x:f t="shared" si="31"/>
        <x:v>2669.3299936184521</x:v>
      </x:c>
      <x:c r="C631">
        <x:f t="shared" si="32"/>
        <x:v>308.06728967144329</x:v>
      </x:c>
      <x:c r="D631">
        <x:f t="shared" si="33"/>
        <x:v>430.65209465676418</x:v>
      </x:c>
      <x:c r="E631">
        <x:f t="shared" si="34"/>
        <x:v>365.98235570022246</x:v>
      </x:c>
    </x:row>
    <x:row r="632">
      <x:c r="A632">
        <x:f t="shared" si="30"/>
        <x:v>0.183</x:v>
      </x:c>
      <x:c r="B632">
        <x:f t="shared" si="31"/>
        <x:v>2669.4064198239439</x:v>
      </x:c>
      <x:c r="C632">
        <x:f t="shared" si="32"/>
        <x:v>315.04118092257016</x:v>
      </x:c>
      <x:c r="D632">
        <x:f t="shared" si="33"/>
        <x:v>449.08991673166133</x:v>
      </x:c>
      <x:c r="E632">
        <x:f t="shared" si="34"/>
        <x:v>384.6112432888491</x:v>
      </x:c>
    </x:row>
    <x:row r="633">
      <x:c r="A633">
        <x:f t="shared" si="30"/>
        <x:v>0.192</x:v>
      </x:c>
      <x:c r="B633">
        <x:f t="shared" si="31"/>
        <x:v>2669.4964821296471</x:v>
      </x:c>
      <x:c r="C633">
        <x:f t="shared" si="32"/>
        <x:v>323.25936631801449</x:v>
      </x:c>
      <x:c r="D633">
        <x:f t="shared" si="33"/>
        <x:v>470.81744798263048</x:v>
      </x:c>
      <x:c r="E633">
        <x:f t="shared" si="34"/>
        <x:v>406.56393030407702</x:v>
      </x:c>
    </x:row>
    <x:row r="634">
      <x:c r="A634">
        <x:f t="shared" si="30"/>
        <x:v>0.2</x:v>
      </x:c>
      <x:c r="B634">
        <x:f t="shared" si="31"/>
        <x:v>2669.5801666898506</x:v>
      </x:c>
      <x:c r="C634">
        <x:f t="shared" si="32"/>
        <x:v>330.89558243656683</x:v>
      </x:c>
      <x:c r="D634">
        <x:f t="shared" si="33"/>
        <x:v>491.00634813167994</x:v>
      </x:c>
      <x:c r="E634">
        <x:f t="shared" si="34"/>
        <x:v>426.96204185363462</x:v>
      </x:c>
    </x:row>
    <x:row r="635">
      <x:c r="A635">
        <x:f t="shared" si="30"/>
        <x:v>0.20799999999999999</x:v>
      </x:c>
      <x:c r="B635">
        <x:f t="shared" si="31"/>
        <x:v>2669.6672669463883</x:v>
      </x:c>
      <x:c r="C635">
        <x:f t="shared" si="32"/>
        <x:v>338.84348084567222</x:v>
      </x:c>
      <x:c r="D635">
        <x:f t="shared" si="33"/>
        <x:v>512.01928502150633</x:v>
      </x:c>
      <x:c r="E635">
        <x:f t="shared" si="34"/>
        <x:v>448.19272938480651</x:v>
      </x:c>
    </x:row>
    <x:row r="636">
      <x:c r="A636">
        <x:f t="shared" si="30"/>
        <x:v>0.217</x:v>
      </x:c>
      <x:c r="B636">
        <x:f t="shared" si="31"/>
        <x:v>2669.769337559519</x:v>
      </x:c>
      <x:c r="C636">
        <x:f t="shared" si="32"/>
        <x:v>348.15742429384272</x:v>
      </x:c>
      <x:c r="D636">
        <x:f t="shared" si="33"/>
        <x:v>536.64382043927219</x:v>
      </x:c>
      <x:c r="E636">
        <x:f t="shared" si="34"/>
        <x:v>473.07244133539882</x:v>
      </x:c>
    </x:row>
    <x:row r="637">
      <x:c r="A637">
        <x:f t="shared" si="30"/>
        <x:v>0.22500000000000001</x:v>
      </x:c>
      <x:c r="B637">
        <x:f t="shared" si="31"/>
        <x:v>2669.8636961707689</x:v>
      </x:c>
      <x:c r="C637">
        <x:f t="shared" si="32"/>
        <x:v>356.76764757037364</x:v>
      </x:c>
      <x:c r="D637">
        <x:f t="shared" si="33"/>
        <x:v>559.40783540325128</x:v>
      </x:c>
      <x:c r="E637">
        <x:f t="shared" si="34"/>
        <x:v>496.07235282750207</x:v>
      </x:c>
    </x:row>
    <x:row r="638">
      <x:c r="A638">
        <x:f t="shared" si="30"/>
        <x:v>0.23300000000000001</x:v>
      </x:c>
      <x:c r="B638">
        <x:f t="shared" si="31"/>
        <x:v>2669.9614704783535</x:v>
      </x:c>
      <x:c r="C638">
        <x:f t="shared" si="32"/>
        <x:v>365.68955313745766</x:v>
      </x:c>
      <x:c r="D638">
        <x:f t="shared" si="33"/>
        <x:v>582.99588710800765</x:v>
      </x:c>
      <x:c r="E638">
        <x:f t="shared" si="34"/>
        <x:v>519.90484030121968</x:v>
      </x:c>
    </x:row>
    <x:row r="639">
      <x:c r="A639">
        <x:f t="shared" si="30"/>
        <x:v>0.24199999999999999</x:v>
      </x:c>
      <x:c r="B639">
        <x:f t="shared" si="31"/>
        <x:v>2670.0755493989109</x:v>
      </x:c>
      <x:c r="C639">
        <x:f t="shared" si="32"/>
        <x:v>376.09925463835384</x:v>
      </x:c>
      <x:c r="D639">
        <x:f t="shared" si="33"/>
        <x:v>610.51742669256885</x:v>
      </x:c>
      <x:c r="E639">
        <x:f t="shared" si="34"/>
        <x:v>547.71157718717541</x:v>
      </x:c>
    </x:row>
    <x:row r="640">
      <x:c r="A640">
        <x:f t="shared" si="30"/>
        <x:v>0.25</x:v>
      </x:c>
      <x:c r="B640">
        <x:f t="shared" si="31"/>
        <x:v>2670.1805820612071</x:v>
      </x:c>
      <x:c r="C640">
        <x:f t="shared" si="32"/>
        <x:v>385.68348507286333</x:v>
      </x:c>
      <x:c r="D640">
        <x:f t="shared" si="33"/>
        <x:v>635.85655647147735</x:v>
      </x:c>
      <x:c r="E640">
        <x:f t="shared" si="34"/>
        <x:v>573.31328862182386</x:v>
      </x:c>
    </x:row>
    <x:row r="641">
      <x:c r="A641">
        <x:f t="shared" si="30"/>
        <x:v>0.25800000000000001</x:v>
      </x:c>
      <x:c r="B641">
        <x:f t="shared" si="31"/>
        <x:v>2670.2890304198377</x:v>
      </x:c>
      <x:c r="C641">
        <x:f t="shared" si="32"/>
        <x:v>395.57939779792588</x:v>
      </x:c>
      <x:c r="D641">
        <x:f t="shared" si="33"/>
        <x:v>662.01972299116323</x:v>
      </x:c>
      <x:c r="E641">
        <x:f t="shared" si="34"/>
        <x:v>599.74757603808689</x:v>
      </x:c>
    </x:row>
    <x:row r="642">
      <x:c r="A642">
        <x:f t="shared" si="30"/>
        <x:v>0.26700000000000002</x:v>
      </x:c>
      <x:c r="B642">
        <x:f t="shared" si="31"/>
        <x:v>2670.4151176478226</x:v>
      </x:c>
      <x:c r="C642">
        <x:f t="shared" si="32"/>
        <x:v>407.08485735154807</x:v>
      </x:c>
      <x:c r="D642">
        <x:f t="shared" si="33"/>
        <x:v>692.43826674252057</x:v>
      </x:c>
      <x:c r="E642">
        <x:f t="shared" si="34"/>
        <x:v>630.48133785940638</x:v>
      </x:c>
    </x:row>
    <x:row r="643">
      <x:c r="A643">
        <x:f t="shared" si="30"/>
        <x:v>0.27500000000000002</x:v>
      </x:c>
      <x:c r="B643">
        <x:f t="shared" si="31"/>
        <x:v>2670.5308243611653</x:v>
      </x:c>
      <x:c r="C643">
        <x:f t="shared" si="32"/>
        <x:v>417.64309494403608</x:v>
      </x:c>
      <x:c r="D643">
        <x:f t="shared" si="33"/>
        <x:v>720.3525113363587</x:v>
      </x:c>
      <x:c r="E643">
        <x:f t="shared" si="34"/>
        <x:v>658.68484923660026</x:v>
      </x:c>
    </x:row>
    <x:row r="644">
      <x:c r="A644">
        <x:f t="shared" si="30"/>
        <x:v>0.28299999999999997</x:v>
      </x:c>
      <x:c r="B644">
        <x:f t="shared" si="31"/>
        <x:v>2670.6499467708427</x:v>
      </x:c>
      <x:c r="C644">
        <x:f t="shared" si="32"/>
        <x:v>428.51301482707726</x:v>
      </x:c>
      <x:c r="D644">
        <x:f t="shared" si="33"/>
        <x:v>749.09079267097434</x:v>
      </x:c>
      <x:c r="E644">
        <x:f t="shared" si="34"/>
        <x:v>687.72093659540906</x:v>
      </x:c>
    </x:row>
    <x:row r="645">
      <x:c r="A645">
        <x:f t="shared" si="30"/>
        <x:v>0.29199999999999998</x:v>
      </x:c>
      <x:c r="B645">
        <x:f t="shared" si="31"/>
        <x:v>2670.7880423062543</x:v>
      </x:c>
      <x:c r="C645">
        <x:f t="shared" si="32"/>
        <x:v>441.11423243342597</x:v>
      </x:c>
      <x:c r="D645">
        <x:f t="shared" si="33"/>
        <x:v>782.40634058912906</x:v>
      </x:c>
      <x:c r="E645">
        <x:f t="shared" si="34"/>
        <x:v>721.38172335209379</x:v>
      </x:c>
    </x:row>
    <x:row r="646">
      <x:c r="A646">
        <x:f t="shared" si="30"/>
        <x:v>0.3</x:v>
      </x:c>
      <x:c r="B646">
        <x:f t="shared" si="31"/>
        <x:v>2670.9144230706429</x:v>
      </x:c>
      <x:c r="C646">
        <x:f t="shared" si="32"/>
        <x:v>452.64647718389233</x:v>
      </x:c>
      <x:c r="D646">
        <x:f t="shared" si="33"/>
        <x:v>812.8956999978966</x:v>
      </x:c>
      <x:c r="E646">
        <x:f t="shared" si="34"/>
        <x:v>752.18703467183286</x:v>
      </x:c>
    </x:row>
    <x:row r="647">
      <x:c r="A647">
        <x:f t="shared" si="30"/>
        <x:v>0.308</x:v>
      </x:c>
      <x:c r="B647">
        <x:f t="shared" si="31"/>
        <x:v>2671.0442195313667</x:v>
      </x:c>
      <x:c r="C647">
        <x:f t="shared" si="32"/>
        <x:v>464.49040422491237</x:v>
      </x:c>
      <x:c r="D647">
        <x:f t="shared" si="33"/>
        <x:v>844.20909614744266</x:v>
      </x:c>
      <x:c r="E647">
        <x:f t="shared" si="34"/>
        <x:v>783.82492197318754</x:v>
      </x:c>
    </x:row>
    <x:row r="648">
      <x:c r="A648">
        <x:f t="shared" si="30"/>
        <x:v>0.317</x:v>
      </x:c>
      <x:c r="B648">
        <x:f t="shared" si="31"/>
        <x:v>2671.1943233742059</x:v>
      </x:c>
      <x:c r="C648">
        <x:f t="shared" si="32"/>
        <x:v>478.18737988398607</x:v>
      </x:c>
      <x:c r="D648">
        <x:f t="shared" si="33"/>
        <x:v>880.42164823239102</x:v>
      </x:c>
      <x:c r="E648">
        <x:f t="shared" si="34"/>
        <x:v>820.4127336652341</x:v>
      </x:c>
    </x:row>
    <x:row r="649">
      <x:c r="A649">
        <x:f t="shared" si="30"/>
        <x:v>0.32500000000000001</x:v>
      </x:c>
      <x:c r="B649">
        <x:f t="shared" si="31"/>
        <x:v>2671.3313781896409</x:v>
      </x:c>
      <x:c r="C649">
        <x:f t="shared" si="32"/>
        <x:v>490.69363179243157</x:v>
      </x:c>
      <x:c r="D649">
        <x:f t="shared" si="33"/>
        <x:v>913.48612245608945</x:v>
      </x:c>
      <x:c r="E649">
        <x:f t="shared" si="34"/>
        <x:v>853.81984492751985</x:v>
      </x:c>
    </x:row>
    <x:row r="650">
      <x:c r="A650">
        <x:f t="shared" si="30"/>
        <x:v>0.33300000000000002</x:v>
      </x:c>
      <x:c r="B650">
        <x:f t="shared" si="31"/>
        <x:v>2671.4718487014106</x:v>
      </x:c>
      <x:c r="C650">
        <x:f t="shared" si="32"/>
        <x:v>503.51156599142973</x:v>
      </x:c>
      <x:c r="D650">
        <x:f t="shared" si="33"/>
        <x:v>947.3746334205639</x:v>
      </x:c>
      <x:c r="E650">
        <x:f t="shared" si="34"/>
        <x:v>888.05953217141905</x:v>
      </x:c>
    </x:row>
    <x:row r="651">
      <x:c r="A651">
        <x:f t="shared" si="30"/>
        <x:v>0.34200000000000003</x:v>
      </x:c>
      <x:c r="B651">
        <x:f t="shared" si="31"/>
        <x:v>2671.6339608516769</x:v>
      </x:c>
      <x:c r="C651">
        <x:f t="shared" si="32"/>
        <x:v>518.30429970323041</x:v>
      </x:c>
      <x:c r="D651">
        <x:f t="shared" si="33"/>
        <x:v>986.484189672311</x:v>
      </x:c>
      <x:c r="E651">
        <x:f t="shared" si="34"/>
        <x:v>927.57436879883176</x:v>
      </x:c>
    </x:row>
    <x:row r="652">
      <x:c r="A652">
        <x:f t="shared" si="30"/>
        <x:v>0.35</x:v>
      </x:c>
      <x:c r="B652">
        <x:f t="shared" si="31"/>
        <x:v>2671.7816897181583</x:v>
      </x:c>
      <x:c r="C652">
        <x:f t="shared" si="32"/>
        <x:v>531.78455876965381</x:v>
      </x:c>
      <x:c r="D652">
        <x:f t="shared" si="33"/>
        <x:v>1022.1237787109374</x:v>
      </x:c>
      <x:c r="E652">
        <x:f t="shared" si="34"/>
        <x:v>963.58328000366168</x:v>
      </x:c>
    </x:row>
    <x:row r="653">
      <x:c r="A653">
        <x:f t="shared" si="30"/>
        <x:v>0.35799999999999998</x:v>
      </x:c>
      <x:c r="B653">
        <x:f t="shared" si="31"/>
        <x:v>2671.9328342809749</x:v>
      </x:c>
      <x:c r="C653">
        <x:f t="shared" si="32"/>
        <x:v>545.57650012663112</x:v>
      </x:c>
      <x:c r="D653">
        <x:f t="shared" si="33"/>
        <x:v>1058.5874044903426</x:v>
      </x:c>
      <x:c r="E653">
        <x:f t="shared" si="34"/>
        <x:v>1000.4247671901077</x:v>
      </x:c>
    </x:row>
    <x:row r="654">
      <x:c r="A654">
        <x:f t="shared" si="30"/>
        <x:v>0.36699999999999999</x:v>
      </x:c>
      <x:c r="B654">
        <x:f t="shared" si="31"/>
        <x:v>2672.1069547386678</x:v>
      </x:c>
      <x:c r="C654">
        <x:f t="shared" si="32"/>
        <x:v>561.46499189115673</x:v>
      </x:c>
      <x:c r="D654">
        <x:f t="shared" si="33"/>
        <x:v>1100.5939649088832</x:v>
      </x:c>
      <x:c r="E654">
        <x:f t="shared" si="34"/>
        <x:v>1042.8666287528815</x:v>
      </x:c>
    </x:row>
    <x:row r="655">
      <x:c r="A655">
        <x:f t="shared" si="30"/>
        <x:v>0.375</x:v>
      </x:c>
      <x:c r="B655">
        <x:f t="shared" si="31"/>
        <x:v>2672.2653576561956</x:v>
      </x:c>
      <x:c r="C655">
        <x:f t="shared" si="32"/>
        <x:v>575.91925811555939</x:v>
      </x:c>
      <x:c r="D655">
        <x:f t="shared" si="33"/>
        <x:v>1138.8086687624409</x:v>
      </x:c>
      <x:c r="E655">
        <x:f t="shared" si="34"/>
        <x:v>1081.4773399002586</x:v>
      </x:c>
    </x:row>
    <x:row r="656">
      <x:c r="A656">
        <x:f t="shared" si="30"/>
        <x:v>0.38300000000000001</x:v>
      </x:c>
      <x:c r="B656">
        <x:f t="shared" si="31"/>
        <x:v>2672.4271762700582</x:v>
      </x:c>
      <x:c r="C656">
        <x:f t="shared" si="32"/>
        <x:v>590.68520663051527</x:v>
      </x:c>
      <x:c r="D656">
        <x:f t="shared" si="33"/>
        <x:v>1177.8474093567763</x:v>
      </x:c>
      <x:c r="E656">
        <x:f t="shared" si="34"/>
        <x:v>1120.9206270292505</x:v>
      </x:c>
    </x:row>
    <x:row r="657">
      <x:c r="A657">
        <x:f t="shared" si="30"/>
        <x:v>0.39200000000000002</x:v>
      </x:c>
      <x:c r="B657">
        <x:f t="shared" si="31"/>
        <x:v>2672.6133050351787</x:v>
      </x:c>
      <x:c r="C657">
        <x:f t="shared" si="32"/>
        <x:v>607.66945644776661</x:v>
      </x:c>
      <x:c r="D657">
        <x:f t="shared" si="33"/>
        <x:v>1222.7509739421123</x:v>
      </x:c>
      <x:c r="E657">
        <x:f t="shared" si="34"/>
        <x:v>1166.2895135273877</x:v>
      </x:c>
    </x:row>
    <x:row r="658">
      <x:c r="A658">
        <x:f t="shared" si="30"/>
        <x:v>0.4</x:v>
      </x:c>
      <x:c r="B658">
        <x:f t="shared" si="31"/>
        <x:v>2672.7823820037529</x:v>
      </x:c>
      <x:c r="C658">
        <x:f t="shared" si="32"/>
        <x:v>623.09772983014795</x:v>
      </x:c>
      <x:c r="D658">
        <x:f t="shared" si="33"/>
        <x:v>1263.5407926106002</x:v>
      </x:c>
      <x:c r="E658">
        <x:f t="shared" si="34"/>
        <x:v>1207.5020246173106</x:v>
      </x:c>
    </x:row>
    <x:row r="659">
      <x:c r="A659">
        <x:f t="shared" si="30"/>
        <x:v>0.40799999999999997</x:v>
      </x:c>
      <x:c r="B659">
        <x:f t="shared" si="31"/>
        <x:v>2672.9548746686619</x:v>
      </x:c>
      <x:c r="C659">
        <x:f t="shared" si="32"/>
        <x:v>638.83768550308173</x:v>
      </x:c>
      <x:c r="D659">
        <x:f t="shared" si="33"/>
        <x:v>1305.1546480198635</x:v>
      </x:c>
      <x:c r="E659">
        <x:f t="shared" si="34"/>
        <x:v>1249.5471116888461</x:v>
      </x:c>
    </x:row>
    <x:row r="660">
      <x:c r="A660">
        <x:f t="shared" si="30"/>
        <x:v>0.41699999999999998</x:v>
      </x:c>
      <x:c r="B660">
        <x:f t="shared" si="31"/>
        <x:v>2673.1530117412094</x:v>
      </x:c>
      <x:c r="C660">
        <x:f t="shared" si="32"/>
        <x:v>656.91769337306039</x:v>
      </x:c>
      <x:c r="D660">
        <x:f t="shared" si="33"/>
        <x:v>1352.9552167719985</x:v>
      </x:c>
      <x:c r="E660">
        <x:f t="shared" si="34"/>
        <x:v>1297.8430231223504</x:v>
      </x:c>
    </x:row>
    <x:row r="661">
      <x:c r="A661">
        <x:f t="shared" si="30"/>
        <x:v>0.42499999999999999</x:v>
      </x:c>
      <x:c r="B661">
        <x:f t="shared" si="31"/>
        <x:v>2673.3327627608296</x:v>
      </x:c>
      <x:c r="C661">
        <x:f t="shared" si="32"/>
        <x:v>673.31997391341974</x:v>
      </x:c>
      <x:c r="D661">
        <x:f t="shared" si="33"/>
        <x:v>1396.3201502554143</x:v>
      </x:c>
      <x:c r="E661">
        <x:f t="shared" si="34"/>
        <x:v>1341.6573341548171</x:v>
      </x:c>
    </x:row>
    <x:row r="662">
      <x:c r="A662">
        <x:f t="shared" si="30"/>
        <x:v>0.433</x:v>
      </x:c>
      <x:c r="B662">
        <x:f t="shared" si="31"/>
        <x:v>2673.515929476785</x:v>
      </x:c>
      <x:c r="C662">
        <x:f t="shared" si="32"/>
        <x:v>690.03393674433289</x:v>
      </x:c>
      <x:c r="D662">
        <x:f t="shared" si="33"/>
        <x:v>1440.5091204796092</x:v>
      </x:c>
      <x:c r="E662">
        <x:f t="shared" si="34"/>
        <x:v>1386.3042211689001</x:v>
      </x:c>
    </x:row>
    <x:row r="663">
      <x:c r="A663">
        <x:f t="shared" si="30"/>
        <x:v>0.442</x:v>
      </x:c>
      <x:c r="B663">
        <x:f t="shared" si="31"/>
        <x:v>2673.7260748567596</x:v>
      </x:c>
      <x:c r="C663">
        <x:f t="shared" si="32"/>
        <x:v>709.20970266703614</x:v>
      </x:c>
      <x:c r="D663">
        <x:f t="shared" si="33"/>
        <x:v>1491.206693398537</x:v>
      </x:c>
      <x:c r="E663">
        <x:f t="shared" si="34"/>
        <x:v>1437.5271575377651</x:v>
      </x:c>
    </x:row>
    <x:row r="664">
      <x:c r="A664">
        <x:f t="shared" si="30"/>
        <x:v>0.45</x:v>
      </x:c>
      <x:c r="B664">
        <x:f t="shared" si="31"/>
        <x:v>2673.9164999274262</x:v>
      </x:c>
      <x:c r="C664">
        <x:f t="shared" si="32"/>
        <x:v>726.58599036537476</x:v>
      </x:c>
      <x:c r="D664">
        <x:f t="shared" si="33"/>
        <x:v>1537.1467416968844</x:v>
      </x:c>
      <x:c r="E664">
        <x:f t="shared" si="34"/>
        <x:v>1483.943268512779</x:v>
      </x:c>
    </x:row>
    <x:row r="665">
      <x:c r="A665">
        <x:f t="shared" si="30"/>
        <x:v>0.45800000000000002</x:v>
      </x:c>
      <x:c r="B665">
        <x:f t="shared" si="31"/>
        <x:v>2674.1103406944285</x:v>
      </x:c>
      <x:c r="C665">
        <x:f t="shared" si="32"/>
        <x:v>744.2739603542658</x:v>
      </x:c>
      <x:c r="D665">
        <x:f t="shared" si="33"/>
        <x:v>1583.9108267360073</x:v>
      </x:c>
      <x:c r="E665">
        <x:f t="shared" si="34"/>
        <x:v>1531.1919554694059</x:v>
      </x:c>
    </x:row>
    <x:row r="666">
      <x:c r="A666">
        <x:f t="shared" si="30"/>
        <x:v>0.46700000000000003</x:v>
      </x:c>
      <x:c r="B666">
        <x:f t="shared" si="31"/>
        <x:v>2674.3324943818302</x:v>
      </x:c>
      <x:c r="C666">
        <x:f t="shared" si="32"/>
        <x:v>764.54548432969614</x:v>
      </x:c>
      <x:c r="D666">
        <x:f t="shared" si="33"/>
        <x:v>1637.5054038217343</x:v>
      </x:c>
      <x:c r="E666">
        <x:f t="shared" si="34"/>
        <x:v>1585.3419167736381</x:v>
      </x:c>
    </x:row>
    <x:row r="667">
      <x:c r="A667">
        <x:f t="shared" si="30"/>
        <x:v>0.47499999999999998</x:v>
      </x:c>
      <x:c r="B667">
        <x:f t="shared" si="31"/>
        <x:v>2674.5335935035428</x:v>
      </x:c>
      <x:c r="C667">
        <x:f t="shared" si="32"/>
        <x:v>782.89577918601265</x:v>
      </x:c>
      <x:c r="D667">
        <x:f t="shared" si="33"/>
        <x:v>1686.0205669350094</x:v>
      </x:c>
      <x:c r="E667">
        <x:f t="shared" si="34"/>
        <x:v>1634.3598276911957</x:v>
      </x:c>
    </x:row>
    <x:row r="668">
      <x:c r="A668">
        <x:f t="shared" si="30"/>
        <x:v>0.48299999999999998</x:v>
      </x:c>
      <x:c r="B668">
        <x:f t="shared" si="31"/>
        <x:v>2674.738108321591</x:v>
      </x:c>
      <x:c r="C668">
        <x:f t="shared" si="32"/>
        <x:v>801.55775633288295</x:v>
      </x:c>
      <x:c r="D668">
        <x:f t="shared" si="33"/>
        <x:v>1735.3597667890638</x:v>
      </x:c>
      <x:c r="E668">
        <x:f t="shared" si="34"/>
        <x:v>1684.2103145903695</x:v>
      </x:c>
    </x:row>
    <x:row r="669">
      <x:c r="A669">
        <x:f t="shared" si="30"/>
        <x:v>0.49199999999999999</x:v>
      </x:c>
      <x:c r="B669">
        <x:f t="shared" si="31"/>
        <x:v>2674.9722703164202</x:v>
      </x:c>
      <x:c r="C669">
        <x:f t="shared" si="32"/>
        <x:v>822.92503836103822</x:v>
      </x:c>
      <x:c r="D669">
        <x:f t="shared" si="33"/>
        <x:v>1791.8513480415836</x:v>
      </x:c>
      <x:c r="E669">
        <x:f t="shared" si="34"/>
        <x:v>1741.2873008299623</x:v>
      </x:c>
    </x:row>
    <x:row r="670">
      <x:c r="A670">
        <x:f t="shared" si="30"/>
        <x:v>0.5</x:v>
      </x:c>
      <x:c r="B670">
        <x:f t="shared" si="31"/>
        <x:v>2675.1840434891792</x:v>
      </x:c>
      <x:c r="C670">
        <x:f t="shared" si="32"/>
        <x:v>842.24934037533387</x:v>
      </x:c>
      <x:c r="D670">
        <x:f t="shared" si="33"/>
        <x:v>1842.9416259697903</x:v>
      </x:c>
      <x:c r="E670">
        <x:f t="shared" si="34"/>
        <x:v>1792.9070116900673</x:v>
      </x:c>
    </x:row>
    <x:row r="671">
      <x:c r="A671">
        <x:f t="shared" si="30"/>
        <x:v>0.50800000000000001</x:v>
      </x:c>
      <x:c r="B671">
        <x:f t="shared" si="31"/>
        <x:v>2675.3992323582734</x:v>
      </x:c>
      <x:c r="C671">
        <x:f t="shared" si="32"/>
        <x:v>861.88532468018286</x:v>
      </x:c>
      <x:c r="D671">
        <x:f t="shared" si="33"/>
        <x:v>1894.8559406387742</x:v>
      </x:c>
      <x:c r="E671">
        <x:f t="shared" si="34"/>
        <x:v>1845.3592985317866</x:v>
      </x:c>
    </x:row>
    <x:row r="672">
      <x:c r="A672">
        <x:f t="shared" si="30"/>
        <x:v>0.51700000000000002</x:v>
      </x:c>
      <x:c r="B672">
        <x:f t="shared" si="31"/>
        <x:v>2675.6454026605297</x:v>
      </x:c>
      <x:c r="C672">
        <x:f t="shared" si="32"/>
        <x:v>884.34836476106409</x:v>
      </x:c>
      <x:c r="D672">
        <x:f t="shared" si="33"/>
        <x:v>1954.2445260580898</x:v>
      </x:c>
      <x:c r="E672">
        <x:f t="shared" si="34"/>
        <x:v>1905.3633097067434</x:v>
      </x:c>
    </x:row>
    <x:row r="673">
      <x:c r="A673">
        <x:f t="shared" si="30"/>
        <x:v>0.52500000000000002</x:v>
      </x:c>
      <x:c r="B673">
        <x:f t="shared" si="31"/>
        <x:v>2675.867849884336</x:v>
      </x:c>
      <x:c r="C673">
        <x:f t="shared" si="32"/>
        <x:v>904.64667393333821</x:v>
      </x:c>
      <x:c r="D673">
        <x:f t="shared" si="33"/>
        <x:v>2007.9099188012265</x:v>
      </x:c>
      <x:c r="E673">
        <x:f t="shared" si="34"/>
        <x:v>1959.5848205093939</x:v>
      </x:c>
    </x:row>
    <x:row r="674">
      <x:c r="A674">
        <x:f t="shared" si="30"/>
        <x:v>0.53300000000000003</x:v>
      </x:c>
      <x:c r="B674">
        <x:f t="shared" si="31"/>
        <x:v>2676.0937128044761</x:v>
      </x:c>
      <x:c r="C674">
        <x:f t="shared" si="32"/>
        <x:v>925.25666539616498</x:v>
      </x:c>
      <x:c r="D674">
        <x:f t="shared" si="33"/>
        <x:v>2062.3993482851374</x:v>
      </x:c>
      <x:c r="E674">
        <x:f t="shared" si="34"/>
        <x:v>2014.638907293657</x:v>
      </x:c>
    </x:row>
    <x:row r="675">
      <x:c r="A675">
        <x:f t="shared" si="30"/>
        <x:v>0.54200000000000004</x:v>
      </x:c>
      <x:c r="B675">
        <x:f t="shared" si="31"/>
        <x:v>2676.3518914141596</x:v>
      </x:c>
      <x:c r="C675">
        <x:f t="shared" si="32"/>
        <x:v>948.8154635297733</x:v>
      </x:c>
      <x:c r="D675">
        <x:f t="shared" si="33"/>
        <x:v>2124.6849378712532</x:v>
      </x:c>
      <x:c r="E675">
        <x:f t="shared" si="34"/>
        <x:v>2077.5699434039807</x:v>
      </x:c>
    </x:row>
    <x:row r="676">
      <x:c r="A676">
        <x:f t="shared" si="30"/>
        <x:v>0.55000000000000004</x:v>
      </x:c>
      <x:c r="B676">
        <x:f t="shared" si="31"/>
        <x:v>2676.5850126890118</x:v>
      </x:c>
      <x:c r="C676">
        <x:f t="shared" si="32"/>
        <x:v>970.08777986002588</x:v>
      </x:c>
      <x:c r="D676">
        <x:f t="shared" si="33"/>
        <x:v>2180.9254454293177</x:v>
      </x:c>
      <x:c r="E676">
        <x:f t="shared" si="34"/>
        <x:v>2134.3932541491758</x:v>
      </x:c>
    </x:row>
    <x:row r="677">
      <x:c r="A677">
        <x:f t="shared" si="30"/>
        <x:v>0.55800000000000005</x:v>
      </x:c>
      <x:c r="B677">
        <x:f t="shared" si="31"/>
        <x:v>2676.8215496601988</x:v>
      </x:c>
      <x:c r="C677">
        <x:f t="shared" si="32"/>
        <x:v>991.67177848083202</x:v>
      </x:c>
      <x:c r="D677">
        <x:f t="shared" si="33"/>
        <x:v>2237.9899897281621</x:v>
      </x:c>
      <x:c r="E677">
        <x:f t="shared" si="34"/>
        <x:v>2192.0491408759867</x:v>
      </x:c>
    </x:row>
    <x:row r="678">
      <x:c r="A678">
        <x:f t="shared" si="30"/>
        <x:v>0.56699999999999995</x:v>
      </x:c>
      <x:c r="B678">
        <x:f t="shared" si="31"/>
        <x:v>2677.0917365773089</x:v>
      </x:c>
      <x:c r="C678">
        <x:f t="shared" si="32"/>
        <x:v>1016.3263346671646</x:v>
      </x:c>
      <x:c r="D678">
        <x:f t="shared" si="33"/>
        <x:v>2303.1725834810677</x:v>
      </x:c>
      <x:c r="E678">
        <x:f t="shared" si="34"/>
        <x:v>2257.9072019216701</x:v>
      </x:c>
    </x:row>
    <x:row r="679">
      <x:c r="A679">
        <x:f t="shared" si="30"/>
        <x:v>0.57499999999999996</x:v>
      </x:c>
      <x:c r="B679">
        <x:f t="shared" si="31"/>
        <x:v>2677.3355319032075</x:v>
      </x:c>
      <x:c r="C679">
        <x:f t="shared" si="32"/>
        <x:v>1038.5726581553961</x:v>
      </x:c>
      <x:c r="D679">
        <x:f t="shared" si="33"/>
        <x:v>2361.9882058540638</x:v>
      </x:c>
      <x:c r="E679">
        <x:f t="shared" si="34"/>
        <x:v>2317.3323126094115</x:v>
      </x:c>
    </x:row>
    <x:row r="680">
      <x:c r="A680">
        <x:f t="shared" si="30"/>
        <x:v>0.58299999999999996</x:v>
      </x:c>
      <x:c r="B680">
        <x:f t="shared" si="31"/>
        <x:v>2677.5827429254409</x:v>
      </x:c>
      <x:c r="C680">
        <x:f t="shared" si="32"/>
        <x:v>1061.1306639341801</x:v>
      </x:c>
      <x:c r="D680">
        <x:f t="shared" si="33"/>
        <x:v>2421.6278649678361</x:v>
      </x:c>
      <x:c r="E680">
        <x:f t="shared" si="34"/>
        <x:v>2377.5899992787668</x:v>
      </x:c>
    </x:row>
    <x:row r="681">
      <x:c r="A681">
        <x:f t="shared" si="30"/>
        <x:v>0.59199999999999997</x:v>
      </x:c>
      <x:c r="B681">
        <x:f t="shared" si="31"/>
        <x:v>2677.8649381499786</x:v>
      </x:c>
      <x:c r="C681">
        <x:f t="shared" si="32"/>
        <x:v>1086.8809781732407</x:v>
      </x:c>
      <x:c r="D681">
        <x:f t="shared" si="33"/>
        <x:v>2489.7074628875434</x:v>
      </x:c>
      <x:c r="E681">
        <x:f t="shared" si="34"/>
        <x:v>2446.3750852598187</x:v>
      </x:c>
    </x:row>
    <x:row r="682">
      <x:c r="A682" t="n">
        <x:f t="shared" ref="A682:A730" si="35">I194</x:f>
        <x:v>0.6</x:v>
      </x:c>
      <x:c r="B682" t="n">
        <x:f t="shared" ref="B682:B730" si="36">P194</x:f>
        <x:v>2678.119407526923</x:v>
      </x:c>
      <x:c r="C682" t="n">
        <x:f t="shared" ref="C682:C730" si="37">R194</x:f>
        <x:v>1110.1013088194502</x:v>
      </x:c>
      <x:c r="D682" t="n">
        <x:f t="shared" ref="D682:D730" si="38">T194</x:f>
        <x:v>2551.098200075467</x:v>
      </x:c>
      <x:c r="E682" t="n">
        <x:f t="shared" ref="E682:E730" si="39">V194</x:f>
        <x:v>2508.4019958901035</x:v>
      </x:c>
    </x:row>
    <x:row r="683">
      <x:c r="A683">
        <x:f t="shared" si="35"/>
        <x:v>0.60799999999999998</x:v>
      </x:c>
      <x:c r="B683">
        <x:f t="shared" si="36"/>
        <x:v>2678.377292600203</x:v>
      </x:c>
      <x:c r="C683">
        <x:f t="shared" si="37"/>
        <x:v>1133.6333217562135</x:v>
      </x:c>
      <x:c r="D683">
        <x:f t="shared" si="38"/>
        <x:v>2613.31297400417</x:v>
      </x:c>
      <x:c r="E683">
        <x:f t="shared" si="39"/>
        <x:v>2571.2614825020055</x:v>
      </x:c>
    </x:row>
    <x:row r="684">
      <x:c r="A684">
        <x:f t="shared" si="35"/>
        <x:v>0.61699999999999999</x:v>
      </x:c>
      <x:c r="B684">
        <x:f t="shared" si="36"/>
        <x:v>2678.6714961321677</x:v>
      </x:c>
      <x:c r="C684">
        <x:f t="shared" si="37"/>
        <x:v>1160.4793940479979</x:v>
      </x:c>
      <x:c r="D684">
        <x:f t="shared" si="38"/>
        <x:v>2684.289576090669</x:v>
      </x:c>
      <x:c r="E684">
        <x:f t="shared" si="39"/>
        <x:v>2642.9735934184168</x:v>
      </x:c>
    </x:row>
    <x:row r="685">
      <x:c r="A685">
        <x:f t="shared" si="35"/>
        <x:v>0.625</x:v>
      </x:c>
      <x:c r="B685">
        <x:f t="shared" si="36"/>
        <x:v>2678.9366395601587</x:v>
      </x:c>
      <x:c r="C685">
        <x:f t="shared" si="37"/>
        <x:v>1184.6737318521868</x:v>
      </x:c>
      <x:c r="D685">
        <x:f t="shared" si="38"/>
        <x:v>2748.2554280935246</x:v>
      </x:c>
      <x:c r="E685">
        <x:f t="shared" si="39"/>
        <x:v>2707.6023039912498</x:v>
      </x:c>
    </x:row>
    <x:row r="686">
      <x:c r="A686">
        <x:f t="shared" si="35"/>
        <x:v>0.63300000000000001</x:v>
      </x:c>
      <x:c r="B686">
        <x:f t="shared" si="36"/>
        <x:v>2679.2051986844849</x:v>
      </x:c>
      <x:c r="C686">
        <x:f t="shared" si="37"/>
        <x:v>1209.1797519469292</x:v>
      </x:c>
      <x:c r="D686">
        <x:f t="shared" si="38"/>
        <x:v>2813.0453168371578</x:v>
      </x:c>
      <x:c r="E686">
        <x:f t="shared" si="39"/>
        <x:v>2773.0635905456975</x:v>
      </x:c>
    </x:row>
    <x:row r="687">
      <x:c r="A687">
        <x:f t="shared" si="35"/>
        <x:v>0.64200000000000002</x:v>
      </x:c>
      <x:c r="B687">
        <x:f t="shared" si="36"/>
        <x:v>2679.5114105238763</x:v>
      </x:c>
      <x:c r="C687">
        <x:f t="shared" si="37"/>
        <x:v>1237.1215822914396</x:v>
      </x:c>
      <x:c r="D687">
        <x:f t="shared" si="38"/>
        <x:v>2886.9189230904522</x:v>
      </x:c>
      <x:c r="E687">
        <x:f t="shared" si="39"/>
        <x:v>2847.7027263974724</x:v>
      </x:c>
    </x:row>
    <x:row r="688">
      <x:c r="A688">
        <x:f t="shared" si="35"/>
        <x:v>0.65</x:v>
      </x:c>
      <x:c r="B688">
        <x:f t="shared" si="36"/>
        <x:v>2679.7872280029137</x:v>
      </x:c>
      <x:c r="C688">
        <x:f t="shared" si="37"/>
        <x:v>1262.2899272536067</x:v>
      </x:c>
      <x:c r="D688">
        <x:f t="shared" si="38"/>
        <x:v>2953.459889908238</x:v>
      </x:c>
      <x:c r="E688">
        <x:f t="shared" si="39"/>
        <x:v>2914.9332369128515</x:v>
      </x:c>
    </x:row>
    <x:row r="689">
      <x:c r="A689">
        <x:f t="shared" si="35"/>
        <x:v>0.65800000000000003</x:v>
      </x:c>
      <x:c r="B689">
        <x:f t="shared" si="36"/>
        <x:v>2680.0664611782863</x:v>
      </x:c>
      <x:c r="C689">
        <x:f t="shared" si="37"/>
        <x:v>1287.7699545063265</x:v>
      </x:c>
      <x:c r="D689">
        <x:f t="shared" si="38"/>
        <x:v>3020.8248934667977</x:v>
      </x:c>
      <x:c r="E689">
        <x:f t="shared" si="39"/>
        <x:v>2982.9963234098418</x:v>
      </x:c>
    </x:row>
    <x:row r="690">
      <x:c r="A690">
        <x:f t="shared" si="35"/>
        <x:v>0.66700000000000004</x:v>
      </x:c>
      <x:c r="B690">
        <x:f t="shared" si="36"/>
        <x:v>2680.3846813251052</x:v>
      </x:c>
      <x:c r="C690">
        <x:f t="shared" si="37"/>
        <x:v>1316.8075429035648</x:v>
      </x:c>
      <x:c r="D690">
        <x:f t="shared" si="38"/>
        <x:v>3097.5955038868938</x:v>
      </x:c>
      <x:c r="E690">
        <x:f t="shared" si="39"/>
        <x:v>3060.5624841969852</x:v>
      </x:c>
    </x:row>
    <x:row r="691">
      <x:c r="A691">
        <x:f t="shared" si="35"/>
        <x:v>0.67500000000000004</x:v>
      </x:c>
      <x:c r="B691">
        <x:f t="shared" si="36"/>
        <x:v>2680.6711728551891</x:v>
      </x:c>
      <x:c r="C691">
        <x:f t="shared" si="37"/>
        <x:v>1342.9498950237103</x:v>
      </x:c>
      <x:c r="D691">
        <x:f t="shared" si="38"/>
        <x:v>3166.7115855196066</x:v>
      </x:c>
      <x:c r="E691">
        <x:f t="shared" si="39"/>
        <x:v>3130.3947946549083</x:v>
      </x:c>
    </x:row>
    <x:row r="692">
      <x:c r="A692">
        <x:f t="shared" si="35"/>
        <x:v>0.68300000000000005</x:v>
      </x:c>
      <x:c r="B692">
        <x:f t="shared" si="36"/>
        <x:v>2680.9610800816076</x:v>
      </x:c>
      <x:c r="C692">
        <x:f t="shared" si="37"/>
        <x:v>1369.4039294344093</x:v>
      </x:c>
      <x:c r="D692">
        <x:f t="shared" si="38"/>
        <x:v>3236.6517038930992</x:v>
      </x:c>
      <x:c r="E692">
        <x:f t="shared" si="39"/>
        <x:v>3201.0596810944471</x:v>
      </x:c>
    </x:row>
    <x:row r="693">
      <x:c r="A693">
        <x:f t="shared" si="35"/>
        <x:v>0.69199999999999995</x:v>
      </x:c>
      <x:c r="B693">
        <x:f t="shared" si="36"/>
        <x:v>2681.2913085358537</x:v>
      </x:c>
      <x:c r="C693">
        <x:f t="shared" si="37"/>
        <x:v>1399.5372758843714</x:v>
      </x:c>
      <x:c r="D693">
        <x:f t="shared" si="38"/>
        <x:v>3316.3193184799852</x:v>
      </x:c>
      <x:c r="E693">
        <x:f t="shared" si="39"/>
        <x:v>3281.5528668169482</x:v>
      </x:c>
    </x:row>
    <x:row r="694">
      <x:c r="A694">
        <x:f t="shared" si="35"/>
        <x:v>0.7</x:v>
      </x:c>
      <x:c r="B694">
        <x:f t="shared" si="36"/>
        <x:v>2681.5884741169839</x:v>
      </x:c>
      <x:c r="C694">
        <x:f t="shared" si="37"/>
        <x:v>1426.6536351624961</x:v>
      </x:c>
      <x:c r="D694">
        <x:f t="shared" si="38"/>
        <x:v>3388.0105149276301</x:v>
      </x:c>
      <x:c r="E694">
        <x:f t="shared" si="39"/>
        <x:v>3353.9869772174184</x:v>
      </x:c>
    </x:row>
    <x:row r="695">
      <x:c r="A695">
        <x:f t="shared" si="35"/>
        <x:v>0.70799999999999996</x:v>
      </x:c>
      <x:c r="B695">
        <x:f t="shared" si="36"/>
        <x:v>2681.8890553944493</x:v>
      </x:c>
      <x:c r="C695">
        <x:f t="shared" si="37"/>
        <x:v>1454.0816767311733</x:v>
      </x:c>
      <x:c r="D695">
        <x:f t="shared" si="38"/>
        <x:v>3460.5257481160506</x:v>
      </x:c>
      <x:c r="E695">
        <x:f t="shared" si="39"/>
        <x:v>3427.2536635995016</x:v>
      </x:c>
    </x:row>
    <x:row r="696">
      <x:c r="A696">
        <x:f t="shared" si="35"/>
        <x:v>0.71699999999999997</x:v>
      </x:c>
      <x:c r="B696">
        <x:f t="shared" si="36"/>
        <x:v>2682.231292156122</x:v>
      </x:c>
      <x:c r="C696">
        <x:f t="shared" si="37"/>
        <x:v>1485.3107812338633</x:v>
      </x:c>
      <x:c r="D696">
        <x:f t="shared" si="38"/>
        <x:v>3543.090366869737</x:v>
      </x:c>
      <x:c r="E696">
        <x:f t="shared" si="39"/>
        <x:v>3510.6738742573721</x:v>
      </x:c>
    </x:row>
    <x:row r="697">
      <x:c r="A697">
        <x:f t="shared" si="35"/>
        <x:v>0.72499999999999998</x:v>
      </x:c>
      <x:c r="B697">
        <x:f t="shared" si="36"/>
        <x:v>2682.5391317882991</x:v>
      </x:c>
      <x:c r="C697">
        <x:f t="shared" si="37"/>
        <x:v>1513.4011476699659</x:v>
      </x:c>
      <x:c r="D697">
        <x:f t="shared" si="38"/>
        <x:v>3617.3566781323107</x:v>
      </x:c>
      <x:c r="E697">
        <x:f t="shared" si="39"/>
        <x:v>3585.7097846003849</x:v>
      </x:c>
    </x:row>
    <x:row r="698">
      <x:c r="A698">
        <x:f t="shared" si="35"/>
        <x:v>0.73299999999999998</x:v>
      </x:c>
      <x:c r="B698">
        <x:f t="shared" si="36"/>
        <x:v>2682.85038711681</x:v>
      </x:c>
      <x:c r="C698">
        <x:f t="shared" si="37"/>
        <x:v>1541.8031963966221</x:v>
      </x:c>
      <x:c r="D698">
        <x:f t="shared" si="38"/>
        <x:v>3692.4470261356614</x:v>
      </x:c>
      <x:c r="E698">
        <x:f t="shared" si="39"/>
        <x:v>3661.5782709250157</x:v>
      </x:c>
    </x:row>
    <x:row r="699">
      <x:c r="A699">
        <x:f t="shared" si="35"/>
        <x:v>0.74199999999999999</x:v>
      </x:c>
      <x:c r="B699">
        <x:f t="shared" si="36"/>
        <x:v>2683.2046321859102</x:v>
      </x:c>
      <x:c r="C699">
        <x:f t="shared" si="37"/>
        <x:v>1574.1280589520366</x:v>
      </x:c>
      <x:c r="D699">
        <x:f t="shared" si="38"/>
        <x:v>3777.9086490561399</x:v>
      </x:c>
      <x:c r="E699">
        <x:f t="shared" si="39"/>
        <x:v>3747.9255065182456</x:v>
      </x:c>
    </x:row>
    <x:row r="700">
      <x:c r="A700">
        <x:f t="shared" si="35"/>
        <x:v>0.75</x:v>
      </x:c>
      <x:c r="B700">
        <x:f t="shared" si="36"/>
        <x:v>2683.5231458691333</x:v>
      </x:c>
      <x:c r="C700">
        <x:f t="shared" si="37"/>
        <x:v>1603.1924325461182</x:v>
      </x:c>
      <x:c r="D700">
        <x:f t="shared" si="38"/>
        <x:v>3854.7500751336447</x:v>
      </x:c>
      <x:c r="E700">
        <x:f t="shared" si="39"/>
        <x:v>3825.5632168038064</x:v>
      </x:c>
    </x:row>
    <x:row r="701">
      <x:c r="A701">
        <x:f t="shared" si="35"/>
        <x:v>0.75800000000000001</x:v>
      </x:c>
      <x:c r="B701">
        <x:f t="shared" si="36"/>
        <x:v>2683.8450752486906</x:v>
      </x:c>
      <x:c r="C701">
        <x:f t="shared" si="37"/>
        <x:v>1632.5684884307536</x:v>
      </x:c>
      <x:c r="D701">
        <x:f t="shared" si="38"/>
        <x:v>3932.4155379519266</x:v>
      </x:c>
      <x:c r="E701">
        <x:f t="shared" si="39"/>
        <x:v>3904.0335030709825</x:v>
      </x:c>
    </x:row>
    <x:row r="702">
      <x:c r="A702">
        <x:f t="shared" si="35"/>
        <x:v>0.76700000000000002</x:v>
      </x:c>
      <x:c r="B702">
        <x:f t="shared" si="36"/>
        <x:v>2684.2113286252188</x:v>
      </x:c>
      <x:c r="C702">
        <x:f t="shared" si="37"/>
        <x:v>1665.9891090388933</x:v>
      </x:c>
      <x:c r="D702">
        <x:f t="shared" si="38"/>
        <x:v>4020.7741650392004</x:v>
      </x:c>
      <x:c r="E702">
        <x:f t="shared" si="39"/>
        <x:v>3993.3077635995755</x:v>
      </x:c>
    </x:row>
    <x:row r="703">
      <x:c r="A703">
        <x:f t="shared" si="35"/>
        <x:v>0.77500000000000002</x:v>
      </x:c>
      <x:c r="B703">
        <x:f t="shared" si="36"/>
        <x:v>2684.5405163594878</x:v>
      </x:c>
      <x:c r="C703">
        <x:f t="shared" si="37"/>
        <x:v>1696.0274897909542</x:v>
      </x:c>
      <x:c r="D703">
        <x:f t="shared" si="38"/>
        <x:v>4100.1907059316354</x:v>
      </x:c>
      <x:c r="E703">
        <x:f t="shared" si="39"/>
        <x:v>4073.5472738276831</x:v>
      </x:c>
    </x:row>
    <x:row r="704">
      <x:c r="A704">
        <x:f t="shared" si="35"/>
        <x:v>0.78300000000000003</x:v>
      </x:c>
      <x:c r="B704">
        <x:f t="shared" si="36"/>
        <x:v>2684.873119790092</x:v>
      </x:c>
      <x:c r="C704">
        <x:f t="shared" si="37"/>
        <x:v>1726.3775528335661</x:v>
      </x:c>
      <x:c r="D704">
        <x:f t="shared" si="38"/>
        <x:v>4180.4312835648425</x:v>
      </x:c>
      <x:c r="E704">
        <x:f t="shared" si="39"/>
        <x:v>4154.6193600374008</x:v>
      </x:c>
    </x:row>
    <x:row r="705">
      <x:c r="A705">
        <x:f t="shared" si="35"/>
        <x:v>0.79200000000000004</x:v>
      </x:c>
      <x:c r="B705">
        <x:f t="shared" si="36"/>
        <x:v>2685.251381474046</x:v>
      </x:c>
      <x:c r="C705">
        <x:f t="shared" si="37"/>
        <x:v>1760.893931494435</x:v>
      </x:c>
      <x:c r="D705">
        <x:f t="shared" si="38"/>
        <x:v>4271.6869148189198</x:v>
      </x:c>
      <x:c r="E705">
        <x:f t="shared" si="39"/>
        <x:v>4246.8206455013642</x:v>
      </x:c>
    </x:row>
    <x:row r="706">
      <x:c r="A706">
        <x:f t="shared" si="35"/>
        <x:v>0.8</x:v>
      </x:c>
      <x:c r="B706">
        <x:f t="shared" si="36"/>
        <x:v>2685.5912432593618</x:v>
      </x:c>
      <x:c r="C706">
        <x:f t="shared" si="37"/>
        <x:v>1791.9063194044727</x:v>
      </x:c>
      <x:c r="D706">
        <x:f t="shared" si="38"/>
        <x:v>4353.678570526281</x:v>
      </x:c>
      <x:c r="E706">
        <x:f t="shared" si="39"/>
        <x:v>4329.6619556720143</x:v>
      </x:c>
    </x:row>
    <x:row r="707">
      <x:c r="A707">
        <x:f t="shared" si="35"/>
        <x:v>0.80800000000000005</x:v>
      </x:c>
      <x:c r="B707">
        <x:f t="shared" si="36"/>
        <x:v>2685.9345207410115</x:v>
      </x:c>
      <x:c r="C707">
        <x:f t="shared" si="37"/>
        <x:v>1823.2303896050653</x:v>
      </x:c>
      <x:c r="D707">
        <x:f t="shared" si="38"/>
        <x:v>4436.4942629744219</x:v>
      </x:c>
      <x:c r="E707">
        <x:f t="shared" si="39"/>
        <x:v>4413.3358418242815</x:v>
      </x:c>
    </x:row>
    <x:row r="708">
      <x:c r="A708">
        <x:f t="shared" si="35"/>
        <x:v>0.81699999999999995</x:v>
      </x:c>
      <x:c r="B708">
        <x:f t="shared" si="36"/>
        <x:v>2686.3247907323939</x:v>
      </x:c>
      <x:c r="C708">
        <x:f t="shared" si="37"/>
        <x:v>1858.8425263186568</x:v>
      </x:c>
      <x:c r="D708">
        <x:f t="shared" si="38"/>
        <x:v>4530.6468983952882</x:v>
      </x:c>
      <x:c r="E708">
        <x:f t="shared" si="39"/>
        <x:v>4508.4641522236016</x:v>
      </x:c>
    </x:row>
    <x:row r="709">
      <x:c r="A709">
        <x:f t="shared" si="35"/>
        <x:v>0.82499999999999996</x:v>
      </x:c>
      <x:c r="B709">
        <x:f t="shared" si="36"/>
        <x:v>2686.6753265687557</x:v>
      </x:c>
      <x:c r="C709">
        <x:f t="shared" si="37"/>
        <x:v>1890.8289213866744</x:v>
      </x:c>
      <x:c r="D709">
        <x:f t="shared" si="38"/>
        <x:v>4615.2136689175813</x:v>
      </x:c>
      <x:c r="E709">
        <x:f t="shared" si="39"/>
        <x:v>4593.9072623367983</x:v>
      </x:c>
    </x:row>
    <x:row r="710">
      <x:c r="A710">
        <x:f t="shared" si="35"/>
        <x:v>0.83299999999999996</x:v>
      </x:c>
      <x:c r="B710">
        <x:f t="shared" si="36"/>
        <x:v>2687.0292781014527</x:v>
      </x:c>
      <x:c r="C710">
        <x:f t="shared" si="37"/>
        <x:v>1923.1269987452447</x:v>
      </x:c>
      <x:c r="D710">
        <x:f t="shared" si="38"/>
        <x:v>4700.6044761806506</x:v>
      </x:c>
      <x:c r="E710">
        <x:f t="shared" si="39"/>
        <x:v>4680.1829484316095</x:v>
      </x:c>
    </x:row>
    <x:row r="711">
      <x:c r="A711">
        <x:f t="shared" si="35"/>
        <x:v>0.84199999999999997</x:v>
      </x:c>
      <x:c r="B711">
        <x:f t="shared" si="36"/>
        <x:v>2687.4315564002609</x:v>
      </x:c>
      <x:c r="C711">
        <x:f t="shared" si="37"/>
        <x:v>1959.8348935115648</x:v>
      </x:c>
      <x:c r="D711">
        <x:f t="shared" si="38"/>
        <x:v>4797.6541157683187</x:v>
      </x:c>
      <x:c r="E711">
        <x:f t="shared" si="39"/>
        <x:v>4778.2382837662999</x:v>
      </x:c>
    </x:row>
    <x:row r="712">
      <x:c r="A712">
        <x:f t="shared" si="35"/>
        <x:v>0.85</x:v>
      </x:c>
      <x:c r="B712">
        <x:f t="shared" si="36"/>
        <x:v>2687.7927662876696</x:v>
      </x:c>
      <x:c r="C712">
        <x:f t="shared" si="37"/>
        <x:v>1992.7952957375599</x:v>
      </x:c>
      <x:c r="D712">
        <x:f t="shared" si="38"/>
        <x:v>4884.7960011055375</x:v>
      </x:c>
      <x:c r="E712">
        <x:f t="shared" si="39"/>
        <x:v>4866.2831938220397</x:v>
      </x:c>
    </x:row>
    <x:row r="713">
      <x:c r="A713">
        <x:f t="shared" si="35"/>
        <x:v>0.85799999999999998</x:v>
      </x:c>
      <x:c r="B713">
        <x:f t="shared" si="36"/>
        <x:v>2688.1573918714125</x:v>
      </x:c>
      <x:c r="C713">
        <x:f t="shared" si="37"/>
        <x:v>2026.0673802541094</x:v>
      </x:c>
      <x:c r="D713">
        <x:f t="shared" si="38"/>
        <x:v>4972.7619231835379</x:v>
      </x:c>
      <x:c r="E713">
        <x:f t="shared" si="39"/>
        <x:v>4955.1606798593994</x:v>
      </x:c>
    </x:row>
    <x:row r="714">
      <x:c r="A714">
        <x:f t="shared" si="35"/>
        <x:v>0.86699999999999999</x:v>
      </x:c>
      <x:c r="B714">
        <x:f t="shared" si="36"/>
        <x:v>2688.5716784776487</x:v>
      </x:c>
      <x:c r="C714">
        <x:f t="shared" si="37"/>
        <x:v>2063.8710330731533</x:v>
      </x:c>
      <x:c r="D714">
        <x:f t="shared" si="38"/>
        <x:v>5072.7085669379967</x:v>
      </x:c>
      <x:c r="E714">
        <x:f t="shared" si="39"/>
        <x:v>5056.1430401294474</x:v>
      </x:c>
    </x:row>
    <x:row r="715">
      <x:c r="A715">
        <x:f t="shared" si="35"/>
        <x:v>0.875</x:v>
      </x:c>
      <x:c r="B715">
        <x:f t="shared" si="36"/>
        <x:v>2688.9435624161033</x:v>
      </x:c>
      <x:c r="C715">
        <x:f t="shared" si="37"/>
        <x:v>2097.8054424571283</x:v>
      </x:c>
      <x:c r="D715">
        <x:f t="shared" si="38"/>
        <x:v>5162.4255670901503</x:v>
      </x:c>
      <x:c r="E715">
        <x:f t="shared" si="39"/>
        <x:v>5146.7897501277366</x:v>
      </x:c>
    </x:row>
    <x:row r="716">
      <x:c r="A716">
        <x:f t="shared" si="35"/>
        <x:v>0.88300000000000001</x:v>
      </x:c>
      <x:c r="B716">
        <x:f t="shared" si="36"/>
        <x:v>2689.3188620508927</x:v>
      </x:c>
      <x:c r="C716">
        <x:f t="shared" si="37"/>
        <x:v>2132.0515341316568</x:v>
      </x:c>
      <x:c r="D716">
        <x:f t="shared" si="38"/>
        <x:v>5252.9666039830799</x:v>
      </x:c>
      <x:c r="E716">
        <x:f t="shared" si="39"/>
        <x:v>5238.2690361076411</x:v>
      </x:c>
    </x:row>
    <x:row r="717">
      <x:c r="A717">
        <x:f t="shared" si="35"/>
        <x:v>0.89200000000000002</x:v>
      </x:c>
      <x:c r="B717">
        <x:f t="shared" si="36"/>
        <x:v>2689.7451569645559</x:v>
      </x:c>
      <x:c r="C717">
        <x:f t="shared" si="37"/>
        <x:v>2170.9509450034257</x:v>
      </x:c>
      <x:c r="D717">
        <x:f t="shared" si="38"/>
        <x:v>5355.810251904335</x:v>
      </x:c>
      <x:c r="E717">
        <x:f t="shared" si="39"/>
        <x:v>5342.1784213130522</x:v>
      </x:c>
    </x:row>
    <x:row r="718">
      <x:c r="A718">
        <x:f t="shared" si="35"/>
        <x:v>0.9</x:v>
      </x:c>
      <x:c r="B718">
        <x:f t="shared" si="36"/>
        <x:v>2690.1277149540565</x:v>
      </x:c>
      <x:c r="C718">
        <x:f t="shared" si="37"/>
        <x:v>2205.8593615453797</x:v>
      </x:c>
      <x:c r="D718">
        <x:f t="shared" si="38"/>
        <x:v>5448.1023668714188</x:v>
      </x:c>
      <x:c r="E718">
        <x:f t="shared" si="39"/>
        <x:v>5435.4269312538872</x:v>
      </x:c>
    </x:row>
    <x:row r="719">
      <x:c r="A719">
        <x:f t="shared" si="35"/>
        <x:v>0.90800000000000003</x:v>
      </x:c>
      <x:c r="B719">
        <x:f t="shared" si="36"/>
        <x:v>2690.5136886398923</x:v>
      </x:c>
      <x:c r="C719">
        <x:f t="shared" si="37"/>
        <x:v>2241.079460377885</x:v>
      </x:c>
      <x:c r="D719">
        <x:f t="shared" si="38"/>
        <x:v>5541.218518579275</x:v>
      </x:c>
      <x:c r="E719">
        <x:f t="shared" si="39"/>
        <x:v>5529.5080171763339</x:v>
      </x:c>
    </x:row>
    <x:row r="720">
      <x:c r="A720">
        <x:f t="shared" si="35"/>
        <x:v>0.91700000000000004</x:v>
      </x:c>
      <x:c r="B720">
        <x:f t="shared" si="36"/>
        <x:v>2690.9519918609831</x:v>
      </x:c>
      <x:c r="C720">
        <x:f t="shared" si="37"/>
        <x:v>2281.0746293023826</x:v>
      </x:c>
      <x:c r="D720">
        <x:f t="shared" si="38"/>
        <x:v>5646.95917066733</x:v>
      </x:c>
      <x:c r="E720">
        <x:f t="shared" si="39"/>
        <x:v>5636.3444273171153</x:v>
      </x:c>
    </x:row>
    <x:row r="721">
      <x:c r="A721">
        <x:f t="shared" si="35"/>
        <x:v>0.92500000000000004</x:v>
      </x:c>
      <x:c r="B721">
        <x:f t="shared" si="36"/>
        <x:v>2691.3452239015301</x:v>
      </x:c>
      <x:c r="C721">
        <x:f t="shared" si="37"/>
        <x:v>2316.9570530023138</x:v>
      </x:c>
      <x:c r="D721">
        <x:f t="shared" si="38"/>
        <x:v>5741.8264004493403</x:v>
      </x:c>
      <x:c r="E721">
        <x:f t="shared" si="39"/>
        <x:v>5732.1947372004943</x:v>
      </x:c>
    </x:row>
    <x:row r="722">
      <x:c r="A722">
        <x:f t="shared" si="35"/>
        <x:v>0.93300000000000005</x:v>
      </x:c>
      <x:c r="B722">
        <x:f t="shared" si="36"/>
        <x:v>2691.7418716384122</x:v>
      </x:c>
      <x:c r="C722">
        <x:f t="shared" si="37"/>
        <x:v>2353.1511589928</x:v>
      </x:c>
      <x:c r="D722">
        <x:f t="shared" si="38"/>
        <x:v>5837.5176669721304</x:v>
      </x:c>
      <x:c r="E722">
        <x:f t="shared" si="39"/>
        <x:v>5828.8776230654903</x:v>
      </x:c>
    </x:row>
    <x:row r="723">
      <x:c r="A723">
        <x:f t="shared" si="35"/>
        <x:v>0.94199999999999995</x:v>
      </x:c>
      <x:c r="B723">
        <x:f t="shared" si="36"/>
        <x:v>2692.1921831669297</x:v>
      </x:c>
      <x:c r="C723">
        <x:f t="shared" si="37"/>
        <x:v>2394.2420859700205</x:v>
      </x:c>
      <x:c r="D723">
        <x:f t="shared" si="38"/>
        <x:v>5946.1553232269753</x:v>
      </x:c>
      <x:c r="E723">
        <x:f t="shared" si="39"/>
        <x:v>5938.6410581416285</x:v>
      </x:c>
    </x:row>
    <x:row r="724">
      <x:c r="A724">
        <x:f t="shared" si="35"/>
        <x:v>0.95</x:v>
      </x:c>
      <x:c r="B724">
        <x:f t="shared" si="36"/>
        <x:v>2692.5960892585231</x:v>
      </x:c>
      <x:c r="C724">
        <x:f t="shared" si="37"/>
        <x:v>2431.0985168279312</x:v>
      </x:c>
      <x:c r="D724">
        <x:f t="shared" si="38"/>
        <x:v>6043.5976678239176</x:v>
      </x:c>
      <x:c r="E724">
        <x:f t="shared" si="39"/>
        <x:v>6037.0931679675541</x:v>
      </x:c>
    </x:row>
    <x:row r="725">
      <x:c r="A725">
        <x:f t="shared" si="35"/>
        <x:v>0.95799999999999996</x:v>
      </x:c>
      <x:c r="B725">
        <x:f t="shared" si="36"/>
        <x:v>2693.0034110464517</x:v>
      </x:c>
      <x:c r="C725">
        <x:f t="shared" si="37"/>
        <x:v>2468.2666299763941</x:v>
      </x:c>
      <x:c r="D725">
        <x:f t="shared" si="38"/>
        <x:v>6141.8640491616352</x:v>
      </x:c>
      <x:c r="E725">
        <x:f t="shared" si="39"/>
        <x:v>6136.3778537750923</x:v>
      </x:c>
    </x:row>
    <x:row r="726">
      <x:c r="A726">
        <x:f t="shared" si="35"/>
        <x:v>0.96699999999999997</x:v>
      </x:c>
      <x:c r="B726">
        <x:f t="shared" si="36"/>
        <x:v>2693.4657308823962</x:v>
      </x:c>
      <x:c r="C726">
        <x:f t="shared" si="37"/>
        <x:v>2510.4533150063444</x:v>
      </x:c>
      <x:c r="D726">
        <x:f t="shared" si="38"/>
        <x:v>6253.3987095832836</x:v>
      </x:c>
      <x:c r="E726">
        <x:f t="shared" si="39"/>
        <x:v>6249.0683137866017</x:v>
      </x:c>
    </x:row>
    <x:row r="727">
      <x:c r="A727">
        <x:f t="shared" si="35"/>
        <x:v>0.97499999999999998</x:v>
      </x:c>
      <x:c r="B727">
        <x:f t="shared" si="36"/>
        <x:v>2693.8803110250356</x:v>
      </x:c>
      <x:c r="C727">
        <x:f t="shared" si="37"/>
        <x:v>2548.2837530222323</x:v>
      </x:c>
      <x:c r="D727">
        <x:f t="shared" si="38"/>
        <x:v>6353.4161689951516</x:v>
      </x:c>
      <x:c r="E727">
        <x:f t="shared" si="39"/>
        <x:v>6350.1222235550704</x:v>
      </x:c>
    </x:row>
    <x:row r="728">
      <x:c r="A728">
        <x:f t="shared" si="35"/>
        <x:v>0.98299999999999998</x:v>
      </x:c>
      <x:c r="B728">
        <x:f t="shared" si="36"/>
        <x:v>2694.2983068640106</x:v>
      </x:c>
      <x:c r="C728">
        <x:f t="shared" si="37"/>
        <x:v>2586.4258733286752</x:v>
      </x:c>
      <x:c r="D728">
        <x:f t="shared" si="38"/>
        <x:v>6454.2576651478012</x:v>
      </x:c>
      <x:c r="E728">
        <x:f t="shared" si="39"/>
        <x:v>6452.008709305157</x:v>
      </x:c>
    </x:row>
    <x:row r="729">
      <x:c r="A729">
        <x:f t="shared" si="35"/>
        <x:v>0.99199999999999999</x:v>
      </x:c>
      <x:c r="B729">
        <x:f t="shared" si="36"/>
        <x:v>2694.7726350073826</x:v>
      </x:c>
      <x:c r="C729">
        <x:f t="shared" si="37"/>
        <x:v>2629.7083164113478</x:v>
      </x:c>
      <x:c r="D729">
        <x:f t="shared" si="38"/>
        <x:v>6568.6893297362394</x:v>
      </x:c>
      <x:c r="E729">
        <x:f t="shared" si="39"/>
        <x:v>6567.6261942520232</x:v>
      </x:c>
    </x:row>
    <x:row r="730">
      <x:c r="A730">
        <x:f t="shared" si="35"/>
        <x:v>1</x:v>
      </x:c>
      <x:c r="B730">
        <x:f t="shared" si="36"/>
        <x:v>2695.1978892010684</x:v>
      </x:c>
      <x:c r="C730">
        <x:f t="shared" si="37"/>
        <x:v>2668.5127615852166</x:v>
      </x:c>
      <x:c r="D730">
        <x:f t="shared" si="38"/>
        <x:v>6671.2819039630413</x:v>
      </x:c>
      <x:c r="E730">
        <x:f t="shared" si="39"/>
        <x:v>6671.2819039630413</x:v>
      </x:c>
    </x:row>
    <x:row r="735">
      <x:c r="A735" t="n">
        <x:f t="shared" ref="A735:A798" si="40">I2</x:f>
        <x:v>-1</x:v>
      </x:c>
      <x:c r="B735" t="n">
        <x:f t="shared" ref="B735:B798" si="41">Y2</x:f>
        <x:v>2695.1794479163473</x:v>
      </x:c>
      <x:c r="C735" t="n">
        <x:f t="shared" ref="C735:C798" si="42">AA2</x:f>
        <x:v>2668.428145382045</x:v>
      </x:c>
      <x:c r="D735" t="n">
        <x:f t="shared" ref="D735:D798" si="43">AC2</x:f>
        <x:v>6671.247983955019</x:v>
      </x:c>
      <x:c r="E735" t="n">
        <x:f t="shared" ref="E735:E798" si="44">AE2</x:f>
        <x:v>6671.247983955019</x:v>
      </x:c>
    </x:row>
    <x:row r="736">
      <x:c r="A736">
        <x:f t="shared" si="40"/>
        <x:v>-0.99199999999999999</x:v>
      </x:c>
      <x:c r="B736">
        <x:f t="shared" si="41"/>
        <x:v>2694.649504247689</x:v>
      </x:c>
      <x:c r="C736">
        <x:f t="shared" si="42"/>
        <x:v>2629.6394627152467</x:v>
      </x:c>
      <x:c r="D736">
        <x:f t="shared" si="43"/>
        <x:v>6568.698547910094</x:v>
      </x:c>
      <x:c r="E736">
        <x:f t="shared" si="44"/>
        <x:v>6567.6354124258787</x:v>
      </x:c>
    </x:row>
    <x:row r="737">
      <x:c r="A737">
        <x:f t="shared" si="40"/>
        <x:v>-0.98299999999999998</x:v>
      </x:c>
      <x:c r="B737">
        <x:f t="shared" si="41"/>
        <x:v>2694.1888252313724</x:v>
      </x:c>
      <x:c r="C737">
        <x:f t="shared" si="42"/>
        <x:v>2585.9914136189823</x:v>
      </x:c>
      <x:c r="D737">
        <x:f t="shared" si="43"/>
        <x:v>6453.9451764081532</x:v>
      </x:c>
      <x:c r="E737">
        <x:f t="shared" si="44"/>
        <x:v>6451.6962205655063</x:v>
      </x:c>
    </x:row>
    <x:row r="738">
      <x:c r="A738">
        <x:f t="shared" si="40"/>
        <x:v>-0.97499999999999998</x:v>
      </x:c>
      <x:c r="B738">
        <x:f t="shared" si="41"/>
        <x:v>2693.7352285655788</x:v>
      </x:c>
      <x:c r="C738">
        <x:f t="shared" si="42"/>
        <x:v>2547.8333970113854</x:v>
      </x:c>
      <x:c r="D738">
        <x:f t="shared" si="43"/>
        <x:v>6353.4611546852802</x:v>
      </x:c>
      <x:c r="E738">
        <x:f t="shared" si="44"/>
        <x:v>6350.167209245199</x:v>
      </x:c>
    </x:row>
    <x:row r="739">
      <x:c r="A739">
        <x:f t="shared" si="40"/>
        <x:v>-0.96699999999999997</x:v>
      </x:c>
      <x:c r="B739">
        <x:f t="shared" si="41"/>
        <x:v>2693.2153299918791</x:v>
      </x:c>
      <x:c r="C739">
        <x:f t="shared" si="42"/>
        <x:v>2510.4039491819062</x:v>
      </x:c>
      <x:c r="D739">
        <x:f t="shared" si="43"/>
        <x:v>6253.0707671760938</x:v>
      </x:c>
      <x:c r="E739">
        <x:f t="shared" si="44"/>
        <x:v>6248.7403713794138</x:v>
      </x:c>
    </x:row>
    <x:row r="740">
      <x:c r="A740">
        <x:f t="shared" si="40"/>
        <x:v>-0.95799999999999996</x:v>
      </x:c>
      <x:c r="B740">
        <x:f t="shared" si="41"/>
        <x:v>2692.8270450627988</x:v>
      </x:c>
      <x:c r="C740">
        <x:f t="shared" si="42"/>
        <x:v>2468.416414407845</x:v>
      </x:c>
      <x:c r="D740">
        <x:f t="shared" si="43"/>
        <x:v>6141.3739805987534</x:v>
      </x:c>
      <x:c r="E740">
        <x:f t="shared" si="44"/>
        <x:v>6135.8877852122096</x:v>
      </x:c>
    </x:row>
    <x:row r="741">
      <x:c r="A741">
        <x:f t="shared" si="40"/>
        <x:v>-0.95</x:v>
      </x:c>
      <x:c r="B741">
        <x:f t="shared" si="41"/>
        <x:v>2692.226227498772</x:v>
      </x:c>
      <x:c r="C741">
        <x:f t="shared" si="42"/>
        <x:v>2431.3222101605998</x:v>
      </x:c>
      <x:c r="D741">
        <x:f t="shared" si="43"/>
        <x:v>6043.3407753063475</x:v>
      </x:c>
      <x:c r="E741">
        <x:f t="shared" si="44"/>
        <x:v>6036.8362754499831</x:v>
      </x:c>
    </x:row>
    <x:row r="742">
      <x:c r="A742">
        <x:f t="shared" si="40"/>
        <x:v>-0.94199999999999995</x:v>
      </x:c>
      <x:c r="B742">
        <x:f t="shared" si="41"/>
        <x:v>2691.9513345452874</x:v>
      </x:c>
      <x:c r="C742">
        <x:f t="shared" si="42"/>
        <x:v>2394.3649511886424</x:v>
      </x:c>
      <x:c r="D742">
        <x:f t="shared" si="43"/>
        <x:v>5945.6334485608777</x:v>
      </x:c>
      <x:c r="E742">
        <x:f t="shared" si="44"/>
        <x:v>5938.11918347553</x:v>
      </x:c>
    </x:row>
    <x:row r="743">
      <x:c r="A743">
        <x:f t="shared" si="40"/>
        <x:v>-0.93300000000000005</x:v>
      </x:c>
      <x:c r="B743">
        <x:f t="shared" si="41"/>
        <x:v>2691.3317880941772</x:v>
      </x:c>
      <x:c r="C743">
        <x:f t="shared" si="42"/>
        <x:v>2353.0603134471717</x:v>
      </x:c>
      <x:c r="D743">
        <x:f t="shared" si="43"/>
        <x:v>5837.1856328694821</x:v>
      </x:c>
      <x:c r="E743">
        <x:f t="shared" si="44"/>
        <x:v>5828.5455889628411</x:v>
      </x:c>
    </x:row>
    <x:row r="744">
      <x:c r="A744">
        <x:f t="shared" si="40"/>
        <x:v>-0.92500000000000004</x:v>
      </x:c>
      <x:c r="B744">
        <x:f t="shared" si="41"/>
        <x:v>2691.0884023495619</x:v>
      </x:c>
      <x:c r="C744">
        <x:f t="shared" si="42"/>
        <x:v>2316.8740711674895</x:v>
      </x:c>
      <x:c r="D744">
        <x:f t="shared" si="43"/>
        <x:v>5741.7295362966088</x:v>
      </x:c>
      <x:c r="E744">
        <x:f t="shared" si="44"/>
        <x:v>5732.0978730477627</x:v>
      </x:c>
    </x:row>
    <x:row r="745">
      <x:c r="A745">
        <x:f t="shared" si="40"/>
        <x:v>-0.91700000000000004</x:v>
      </x:c>
      <x:c r="B745">
        <x:f t="shared" si="41"/>
        <x:v>2690.6954474900699</x:v>
      </x:c>
      <x:c r="C745">
        <x:f t="shared" si="42"/>
        <x:v>2281.4213901659514</x:v>
      </x:c>
      <x:c r="D745">
        <x:f t="shared" si="43"/>
        <x:v>5646.7277866164695</x:v>
      </x:c>
      <x:c r="E745">
        <x:f t="shared" si="44"/>
        <x:v>5636.1130432662549</x:v>
      </x:c>
    </x:row>
    <x:row r="746">
      <x:c r="A746">
        <x:f t="shared" si="40"/>
        <x:v>-0.90800000000000003</x:v>
      </x:c>
      <x:c r="B746">
        <x:f t="shared" si="41"/>
        <x:v>2690.1320799792074</x:v>
      </x:c>
      <x:c r="C746">
        <x:f t="shared" si="42"/>
        <x:v>2241.5050146309113</x:v>
      </x:c>
      <x:c r="D746">
        <x:f t="shared" si="43"/>
        <x:v>5541.4542258106449</x:v>
      </x:c>
      <x:c r="E746">
        <x:f t="shared" si="44"/>
        <x:v>5529.7437244077037</x:v>
      </x:c>
    </x:row>
    <x:row r="747">
      <x:c r="A747">
        <x:f t="shared" si="40"/>
        <x:v>-0.9</x:v>
      </x:c>
      <x:c r="B747">
        <x:f t="shared" si="41"/>
        <x:v>2689.8747687370624</x:v>
      </x:c>
      <x:c r="C747">
        <x:f t="shared" si="42"/>
        <x:v>2205.9282374305321</x:v>
      </x:c>
      <x:c r="D747">
        <x:f t="shared" si="43"/>
        <x:v>5448.2441741170287</x:v>
      </x:c>
      <x:c r="E747">
        <x:f t="shared" si="44"/>
        <x:v>5435.568738499499</x:v>
      </x:c>
    </x:row>
    <x:row r="748">
      <x:c r="A748">
        <x:f t="shared" si="40"/>
        <x:v>-0.89200000000000002</x:v>
      </x:c>
      <x:c r="B748">
        <x:f t="shared" si="41"/>
        <x:v>2689.4097329621941</x:v>
      </x:c>
      <x:c r="C748">
        <x:f t="shared" si="42"/>
        <x:v>2170.5785179125855</x:v>
      </x:c>
      <x:c r="D748">
        <x:f t="shared" si="43"/>
        <x:v>5355.7535640556407</x:v>
      </x:c>
      <x:c r="E748">
        <x:f t="shared" si="44"/>
        <x:v>5342.1217334643588</x:v>
      </x:c>
    </x:row>
    <x:row r="749">
      <x:c r="A749">
        <x:f t="shared" si="40"/>
        <x:v>-0.88300000000000001</x:v>
      </x:c>
      <x:c r="B749">
        <x:f t="shared" si="41"/>
        <x:v>2688.9805156608413</x:v>
      </x:c>
      <x:c r="C749">
        <x:f t="shared" si="42"/>
        <x:v>2131.7740125261425</x:v>
      </x:c>
      <x:c r="D749">
        <x:f t="shared" si="43"/>
        <x:v>5253.1451203444094</x:v>
      </x:c>
      <x:c r="E749">
        <x:f t="shared" si="44"/>
        <x:v>5238.4475524689706</x:v>
      </x:c>
    </x:row>
    <x:row r="750">
      <x:c r="A750">
        <x:f t="shared" si="40"/>
        <x:v>-0.875</x:v>
      </x:c>
      <x:c r="B750">
        <x:f t="shared" si="41"/>
        <x:v>2688.663945378994</x:v>
      </x:c>
      <x:c r="C750">
        <x:f t="shared" si="42"/>
        <x:v>2097.9403231136475</x:v>
      </x:c>
      <x:c r="D750">
        <x:f t="shared" si="43"/>
        <x:v>5162.261744423181</x:v>
      </x:c>
      <x:c r="E750">
        <x:f t="shared" si="44"/>
        <x:v>5146.6259274607673</x:v>
      </x:c>
    </x:row>
    <x:row r="751">
      <x:c r="A751">
        <x:f t="shared" si="40"/>
        <x:v>-0.86699999999999999</x:v>
      </x:c>
      <x:c r="B751">
        <x:f t="shared" si="41"/>
        <x:v>2688.3599201386814</x:v>
      </x:c>
      <x:c r="C751">
        <x:f t="shared" si="42"/>
        <x:v>2064.0528274628359</x:v>
      </x:c>
      <x:c r="D751">
        <x:f t="shared" si="43"/>
        <x:v>5072.4876261423988</x:v>
      </x:c>
      <x:c r="E751">
        <x:f t="shared" si="44"/>
        <x:v>5055.9220993338495</x:v>
      </x:c>
    </x:row>
    <x:row r="752">
      <x:c r="A752">
        <x:f t="shared" si="40"/>
        <x:v>-0.85799999999999998</x:v>
      </x:c>
      <x:c r="B752">
        <x:f t="shared" si="41"/>
        <x:v>2687.8899442216875</x:v>
      </x:c>
      <x:c r="C752">
        <x:f t="shared" si="42"/>
        <x:v>2025.882453771376</x:v>
      </x:c>
      <x:c r="D752">
        <x:f t="shared" si="43"/>
        <x:v>4972.6494839789893</x:v>
      </x:c>
      <x:c r="E752">
        <x:f t="shared" si="44"/>
        <x:v>4955.0482406548499</x:v>
      </x:c>
    </x:row>
    <x:row r="753">
      <x:c r="A753">
        <x:f t="shared" si="40"/>
        <x:v>-0.85</x:v>
      </x:c>
      <x:c r="B753">
        <x:f t="shared" si="41"/>
        <x:v>2687.5318603472888</x:v>
      </x:c>
      <x:c r="C753">
        <x:f t="shared" si="42"/>
        <x:v>1992.3821270692181</x:v>
      </x:c>
      <x:c r="D753">
        <x:f t="shared" si="43"/>
        <x:v>4884.2685576372187</x:v>
      </x:c>
      <x:c r="E753">
        <x:f t="shared" si="44"/>
        <x:v>4865.75575035372</x:v>
      </x:c>
    </x:row>
    <x:row r="754">
      <x:c r="A754">
        <x:f t="shared" si="40"/>
        <x:v>-0.84199999999999997</x:v>
      </x:c>
      <x:c r="B754">
        <x:f t="shared" si="41"/>
        <x:v>2687.2430684507012</x:v>
      </x:c>
      <x:c r="C754">
        <x:f t="shared" si="42"/>
        <x:v>1959.4786630524291</x:v>
      </x:c>
      <x:c r="D754">
        <x:f t="shared" si="43"/>
        <x:v>4797.5202527371293</x:v>
      </x:c>
      <x:c r="E754">
        <x:f t="shared" si="44"/>
        <x:v>4778.1044207351115</x:v>
      </x:c>
    </x:row>
    <x:row r="755">
      <x:c r="A755">
        <x:f t="shared" si="40"/>
        <x:v>-0.83299999999999996</x:v>
      </x:c>
      <x:c r="B755">
        <x:f t="shared" si="41"/>
        <x:v>2686.8370816958704</x:v>
      </x:c>
      <x:c r="C755">
        <x:f t="shared" si="42"/>
        <x:v>1922.830246360397</x:v>
      </x:c>
      <x:c r="D755">
        <x:f t="shared" si="43"/>
        <x:v>4700.3891661272646</x:v>
      </x:c>
      <x:c r="E755">
        <x:f t="shared" si="44"/>
        <x:v>4679.9676383782244</x:v>
      </x:c>
    </x:row>
    <x:row r="756">
      <x:c r="A756">
        <x:f t="shared" si="40"/>
        <x:v>-0.82499999999999996</x:v>
      </x:c>
      <x:c r="B756">
        <x:f t="shared" si="41"/>
        <x:v>2686.3290562347079</x:v>
      </x:c>
      <x:c r="C756">
        <x:f t="shared" si="42"/>
        <x:v>1890.6642418919669</x:v>
      </x:c>
      <x:c r="D756">
        <x:f t="shared" si="43"/>
        <x:v>4614.8462996856424</x:v>
      </x:c>
      <x:c r="E756">
        <x:f t="shared" si="44"/>
        <x:v>4593.5398931048603</x:v>
      </x:c>
    </x:row>
    <x:row r="757">
      <x:c r="A757">
        <x:f t="shared" si="40"/>
        <x:v>-0.81699999999999995</x:v>
      </x:c>
      <x:c r="B757">
        <x:f t="shared" si="41"/>
        <x:v>2685.975086049943</x:v>
      </x:c>
      <x:c r="C757">
        <x:f t="shared" si="42"/>
        <x:v>1858.6153385407679</x:v>
      </x:c>
      <x:c r="D757">
        <x:f t="shared" si="43"/>
        <x:v>4530.5093392336075</x:v>
      </x:c>
      <x:c r="E757">
        <x:f t="shared" si="44"/>
        <x:v>4508.3265930619218</x:v>
      </x:c>
    </x:row>
    <x:row r="758">
      <x:c r="A758">
        <x:f t="shared" si="40"/>
        <x:v>-0.80800000000000005</x:v>
      </x:c>
      <x:c r="B758">
        <x:f t="shared" si="41"/>
        <x:v>2685.6117027895602</x:v>
      </x:c>
      <x:c r="C758">
        <x:f t="shared" si="42"/>
        <x:v>1822.7245436204166</x:v>
      </x:c>
      <x:c r="D758">
        <x:f t="shared" si="43"/>
        <x:v>4436.0864161767022</x:v>
      </x:c>
      <x:c r="E758">
        <x:f t="shared" si="44"/>
        <x:v>4412.9279950265618</x:v>
      </x:c>
    </x:row>
    <x:row r="759">
      <x:c r="A759">
        <x:f t="shared" si="40"/>
        <x:v>-0.8</x:v>
      </x:c>
      <x:c r="B759">
        <x:f t="shared" si="41"/>
        <x:v>2685.2198059365082</x:v>
      </x:c>
      <x:c r="C759">
        <x:f t="shared" si="42"/>
        <x:v>1791.3103173149912</x:v>
      </x:c>
      <x:c r="D759">
        <x:f t="shared" si="43"/>
        <x:v>4353.3618800404856</x:v>
      </x:c>
      <x:c r="E759">
        <x:f t="shared" si="44"/>
        <x:v>4329.345265186219</x:v>
      </x:c>
    </x:row>
    <x:row r="760">
      <x:c r="A760">
        <x:f t="shared" si="40"/>
        <x:v>-0.79200000000000004</x:v>
      </x:c>
      <x:c r="B760">
        <x:f t="shared" si="41"/>
        <x:v>2684.9493444150958</x:v>
      </x:c>
      <x:c r="C760">
        <x:f t="shared" si="42"/>
        <x:v>1760.4310673656025</x:v>
      </x:c>
      <x:c r="D760">
        <x:f t="shared" si="43"/>
        <x:v>4271.5992312773296</x:v>
      </x:c>
      <x:c r="E760">
        <x:f t="shared" si="44"/>
        <x:v>4246.732961959774</x:v>
      </x:c>
    </x:row>
    <x:row r="761">
      <x:c r="A761">
        <x:f t="shared" si="40"/>
        <x:v>-0.78300000000000003</x:v>
      </x:c>
      <x:c r="B761">
        <x:f t="shared" si="41"/>
        <x:v>2684.6217262202226</x:v>
      </x:c>
      <x:c r="C761">
        <x:f t="shared" si="42"/>
        <x:v>1726.2341157164356</x:v>
      </x:c>
      <x:c r="D761">
        <x:f t="shared" si="43"/>
        <x:v>4179.9352678498881</x:v>
      </x:c>
      <x:c r="E761">
        <x:f t="shared" si="44"/>
        <x:v>4154.1233443224446</x:v>
      </x:c>
    </x:row>
    <x:row r="762">
      <x:c r="A762">
        <x:f t="shared" si="40"/>
        <x:v>-0.77500000000000002</x:v>
      </x:c>
      <x:c r="B762">
        <x:f t="shared" si="41"/>
        <x:v>2684.1567187076917</x:v>
      </x:c>
      <x:c r="C762">
        <x:f t="shared" si="42"/>
        <x:v>1695.8586735261722</x:v>
      </x:c>
      <x:c r="D762">
        <x:f t="shared" si="43"/>
        <x:v>4099.9658977903973</x:v>
      </x:c>
      <x:c r="E762">
        <x:f t="shared" si="44"/>
        <x:v>4073.322465686445</x:v>
      </x:c>
    </x:row>
    <x:row r="763">
      <x:c r="A763">
        <x:f t="shared" si="40"/>
        <x:v>-0.76700000000000002</x:v>
      </x:c>
      <x:c r="B763">
        <x:f t="shared" si="41"/>
        <x:v>2683.8451366502386</x:v>
      </x:c>
      <x:c r="C763">
        <x:f t="shared" si="42"/>
        <x:v>1665.8212925006906</x:v>
      </x:c>
      <x:c r="D763">
        <x:f t="shared" si="43"/>
        <x:v>4020.642850016849</x:v>
      </x:c>
      <x:c r="E763">
        <x:f t="shared" si="44"/>
        <x:v>3993.1764485772242</x:v>
      </x:c>
    </x:row>
    <x:row r="764">
      <x:c r="A764">
        <x:f t="shared" si="40"/>
        <x:v>-0.75800000000000001</x:v>
      </x:c>
      <x:c r="B764">
        <x:f t="shared" si="41"/>
        <x:v>2683.5136176627734</x:v>
      </x:c>
      <x:c r="C764">
        <x:f t="shared" si="42"/>
        <x:v>1632.376799481638</x:v>
      </x:c>
      <x:c r="D764">
        <x:f t="shared" si="43"/>
        <x:v>3932.1224212477778</x:v>
      </x:c>
      <x:c r="E764">
        <x:f t="shared" si="44"/>
        <x:v>3903.7403863668333</x:v>
      </x:c>
    </x:row>
    <x:row r="765">
      <x:c r="A765">
        <x:f t="shared" si="40"/>
        <x:v>-0.75</x:v>
      </x:c>
      <x:c r="B765">
        <x:f t="shared" si="41"/>
        <x:v>2683.212269613844</x:v>
      </x:c>
      <x:c r="C765">
        <x:f t="shared" si="42"/>
        <x:v>1602.8094295360397</x:v>
      </x:c>
      <x:c r="D765">
        <x:f t="shared" si="43"/>
        <x:v>3854.8328075100399</x:v>
      </x:c>
      <x:c r="E765">
        <x:f t="shared" si="44"/>
        <x:v>3825.645949180202</x:v>
      </x:c>
    </x:row>
    <x:row r="766">
      <x:c r="A766">
        <x:f t="shared" si="40"/>
        <x:v>-0.74199999999999999</x:v>
      </x:c>
      <x:c r="B766">
        <x:f t="shared" si="41"/>
        <x:v>2682.9899653906477</x:v>
      </x:c>
      <x:c r="C766">
        <x:f t="shared" si="42"/>
        <x:v>1573.7599919685726</x:v>
      </x:c>
      <x:c r="D766">
        <x:f t="shared" si="43"/>
        <x:v>3777.7390062611744</x:v>
      </x:c>
      <x:c r="E766">
        <x:f t="shared" si="44"/>
        <x:v>3747.7558637232796</x:v>
      </x:c>
    </x:row>
    <x:row r="767">
      <x:c r="A767">
        <x:f t="shared" si="40"/>
        <x:v>-0.73299999999999998</x:v>
      </x:c>
      <x:c r="B767">
        <x:f t="shared" si="41"/>
        <x:v>2682.6790087524896</x:v>
      </x:c>
      <x:c r="C767">
        <x:f t="shared" si="42"/>
        <x:v>1541.9632012793968</x:v>
      </x:c>
      <x:c r="D767">
        <x:f t="shared" si="43"/>
        <x:v>3692.4898473144344</x:v>
      </x:c>
      <x:c r="E767">
        <x:f t="shared" si="44"/>
        <x:v>3661.6210921037882</x:v>
      </x:c>
    </x:row>
    <x:row r="768">
      <x:c r="A768">
        <x:f t="shared" si="40"/>
        <x:v>-0.72499999999999998</x:v>
      </x:c>
      <x:c r="B768">
        <x:f t="shared" si="41"/>
        <x:v>2682.3886623098647</x:v>
      </x:c>
      <x:c r="C768">
        <x:f t="shared" si="42"/>
        <x:v>1513.6531034623615</x:v>
      </x:c>
      <x:c r="D768">
        <x:f t="shared" si="43"/>
        <x:v>3617.6794807622759</x:v>
      </x:c>
      <x:c r="E768">
        <x:f t="shared" si="44"/>
        <x:v>3586.0325872303506</x:v>
      </x:c>
    </x:row>
    <x:row r="769">
      <x:c r="A769">
        <x:f t="shared" si="40"/>
        <x:v>-0.71699999999999997</x:v>
      </x:c>
      <x:c r="B769">
        <x:f t="shared" si="41"/>
        <x:v>2682.2032020768329</x:v>
      </x:c>
      <x:c r="C769">
        <x:f t="shared" si="42"/>
        <x:v>1485.0967429511381</x:v>
      </x:c>
      <x:c r="D769">
        <x:f t="shared" si="43"/>
        <x:v>3542.9615560105917</x:v>
      </x:c>
      <x:c r="E769">
        <x:f t="shared" si="44"/>
        <x:v>3510.5450633982268</x:v>
      </x:c>
    </x:row>
    <x:row r="770">
      <x:c r="A770">
        <x:f t="shared" si="40"/>
        <x:v>-0.70799999999999996</x:v>
      </x:c>
      <x:c r="B770">
        <x:f t="shared" si="41"/>
        <x:v>2681.7900212837867</x:v>
      </x:c>
      <x:c r="C770">
        <x:f t="shared" si="42"/>
        <x:v>1453.6204263071959</x:v>
      </x:c>
      <x:c r="D770">
        <x:f t="shared" si="43"/>
        <x:v>3460.5582527761894</x:v>
      </x:c>
      <x:c r="E770">
        <x:f t="shared" si="44"/>
        <x:v>3427.2861682596395</x:v>
      </x:c>
    </x:row>
    <x:row r="771">
      <x:c r="A771">
        <x:f t="shared" si="40"/>
        <x:v>-0.7</x:v>
      </x:c>
      <x:c r="B771">
        <x:f t="shared" si="41"/>
        <x:v>2681.6464562529191</x:v>
      </x:c>
      <x:c r="C771">
        <x:f t="shared" si="42"/>
        <x:v>1426.4451757847878</x:v>
      </x:c>
      <x:c r="D771">
        <x:f t="shared" si="43"/>
        <x:v>3387.9425003472197</x:v>
      </x:c>
      <x:c r="E771">
        <x:f t="shared" si="44"/>
        <x:v>3353.9189626370085</x:v>
      </x:c>
    </x:row>
    <x:row r="772">
      <x:c r="A772">
        <x:f t="shared" si="40"/>
        <x:v>-0.69199999999999995</x:v>
      </x:c>
      <x:c r="B772">
        <x:f t="shared" si="41"/>
        <x:v>2681.4018438923181</x:v>
      </x:c>
      <x:c r="C772">
        <x:f t="shared" si="42"/>
        <x:v>1399.6223178847788</x:v>
      </x:c>
      <x:c r="D772">
        <x:f t="shared" si="43"/>
        <x:v>3315.7545835019178</x:v>
      </x:c>
      <x:c r="E772">
        <x:f t="shared" si="44"/>
        <x:v>3280.9881318388811</x:v>
      </x:c>
    </x:row>
    <x:row r="773">
      <x:c r="A773">
        <x:f t="shared" si="40"/>
        <x:v>-0.68300000000000005</x:v>
      </x:c>
      <x:c r="B773">
        <x:f t="shared" si="41"/>
        <x:v>2681.0046271600381</x:v>
      </x:c>
      <x:c r="C773">
        <x:f t="shared" si="42"/>
        <x:v>1369.53463092272</x:v>
      </x:c>
      <x:c r="D773">
        <x:f t="shared" si="43"/>
        <x:v>3236.4613821608532</x:v>
      </x:c>
      <x:c r="E773">
        <x:f t="shared" si="44"/>
        <x:v>3200.8693593622015</x:v>
      </x:c>
    </x:row>
    <x:row r="774">
      <x:c r="A774">
        <x:f t="shared" si="40"/>
        <x:v>-0.67500000000000004</x:v>
      </x:c>
      <x:c r="B774">
        <x:f t="shared" si="41"/>
        <x:v>2680.7715287985948</x:v>
      </x:c>
      <x:c r="C774">
        <x:f t="shared" si="42"/>
        <x:v>1342.8567868048142</x:v>
      </x:c>
      <x:c r="D774">
        <x:f t="shared" si="43"/>
        <x:v>3166.259400612073</x:v>
      </x:c>
      <x:c r="E774">
        <x:f t="shared" si="44"/>
        <x:v>3129.9426097473743</x:v>
      </x:c>
    </x:row>
    <x:row r="775">
      <x:c r="A775">
        <x:f t="shared" si="40"/>
        <x:v>-0.66700000000000004</x:v>
      </x:c>
      <x:c r="B775">
        <x:f t="shared" si="41"/>
        <x:v>2680.6232576705215</x:v>
      </x:c>
      <x:c r="C775">
        <x:f t="shared" si="42"/>
        <x:v>1316.3812634102339</x:v>
      </x:c>
      <x:c r="D775">
        <x:f t="shared" si="43"/>
        <x:v>3096.9092919272548</x:v>
      </x:c>
      <x:c r="E775">
        <x:f t="shared" si="44"/>
        <x:v>3059.8762722373463</x:v>
      </x:c>
    </x:row>
    <x:row r="776">
      <x:c r="A776">
        <x:f t="shared" si="40"/>
        <x:v>-0.65800000000000003</x:v>
      </x:c>
      <x:c r="B776">
        <x:f t="shared" si="41"/>
        <x:v>2680.3194831047786</x:v>
      </x:c>
      <x:c r="C776">
        <x:f t="shared" si="42"/>
        <x:v>1287.3992463636328</x:v>
      </x:c>
      <x:c r="D776">
        <x:f t="shared" si="43"/>
        <x:v>3020.7723219878835</x:v>
      </x:c>
      <x:c r="E776">
        <x:f t="shared" si="44"/>
        <x:v>2982.9437519309276</x:v>
      </x:c>
    </x:row>
    <x:row r="777">
      <x:c r="A777">
        <x:f t="shared" si="40"/>
        <x:v>-0.65</x:v>
      </x:c>
      <x:c r="B777">
        <x:f t="shared" si="41"/>
        <x:v>2680.0008437928418</x:v>
      </x:c>
      <x:c r="C777">
        <x:f t="shared" si="42"/>
        <x:v>1262.1922491504713</x:v>
      </x:c>
      <x:c r="D777">
        <x:f t="shared" si="43"/>
        <x:v>2953.0454000908212</x:v>
      </x:c>
      <x:c r="E777">
        <x:f t="shared" si="44"/>
        <x:v>2914.5187470954347</x:v>
      </x:c>
    </x:row>
    <x:row r="778">
      <x:c r="A778">
        <x:f t="shared" si="40"/>
        <x:v>-0.64200000000000002</x:v>
      </x:c>
      <x:c r="B778">
        <x:f t="shared" si="41"/>
        <x:v>2679.7722655199441</x:v>
      </x:c>
      <x:c r="C778">
        <x:f t="shared" si="42"/>
        <x:v>1237.2988669437987</x:v>
      </x:c>
      <x:c r="D778">
        <x:f t="shared" si="43"/>
        <x:v>2886.8093182607818</x:v>
      </x:c>
      <x:c r="E778">
        <x:f t="shared" si="44"/>
        <x:v>2847.5931215678015</x:v>
      </x:c>
    </x:row>
    <x:row r="779">
      <x:c r="A779">
        <x:f t="shared" si="40"/>
        <x:v>-0.63300000000000001</x:v>
      </x:c>
      <x:c r="B779">
        <x:f t="shared" si="41"/>
        <x:v>2679.4800447239541</x:v>
      </x:c>
      <x:c r="C779">
        <x:f t="shared" si="42"/>
        <x:v>1209.2757717257143</x:v>
      </x:c>
      <x:c r="D779">
        <x:f t="shared" si="43"/>
        <x:v>2813.2125751554345</x:v>
      </x:c>
      <x:c r="E779">
        <x:f t="shared" si="44"/>
        <x:v>2773.2308488639746</x:v>
      </x:c>
    </x:row>
    <x:row r="780">
      <x:c r="A780">
        <x:f t="shared" si="40"/>
        <x:v>-0.625</x:v>
      </x:c>
      <x:c r="B780">
        <x:f t="shared" si="41"/>
        <x:v>2679.0613485791851</x:v>
      </x:c>
      <x:c r="C780">
        <x:f t="shared" si="42"/>
        <x:v>1184.3076782731637</x:v>
      </x:c>
      <x:c r="D780">
        <x:f t="shared" si="43"/>
        <x:v>2747.9784005923898</x:v>
      </x:c>
      <x:c r="E780">
        <x:f t="shared" si="44"/>
        <x:v>2707.3252764901149</x:v>
      </x:c>
    </x:row>
    <x:row r="781">
      <x:c r="A781">
        <x:f t="shared" si="40"/>
        <x:v>-0.61699999999999999</x:v>
      </x:c>
      <x:c r="B781">
        <x:f t="shared" si="41"/>
        <x:v>2678.8524716885131</x:v>
      </x:c>
      <x:c r="C781">
        <x:f t="shared" si="42"/>
        <x:v>1160.1745172754654</x:v>
      </x:c>
      <x:c r="D781">
        <x:f t="shared" si="43"/>
        <x:v>2684.5299483671524</x:v>
      </x:c>
      <x:c r="E781">
        <x:f t="shared" si="44"/>
        <x:v>2643.2139656948998</x:v>
      </x:c>
    </x:row>
    <x:row r="782">
      <x:c r="A782">
        <x:f t="shared" si="40"/>
        <x:v>-0.60799999999999998</x:v>
      </x:c>
      <x:c r="B782">
        <x:f t="shared" si="41"/>
        <x:v>2678.5467573407996</x:v>
      </x:c>
      <x:c r="C782">
        <x:f t="shared" si="42"/>
        <x:v>1133.8318204369273</x:v>
      </x:c>
      <x:c r="D782">
        <x:f t="shared" si="43"/>
        <x:v>2613.1887828674335</x:v>
      </x:c>
      <x:c r="E782">
        <x:f t="shared" si="44"/>
        <x:v>2571.137291365269</x:v>
      </x:c>
    </x:row>
    <x:row r="783">
      <x:c r="A783">
        <x:f t="shared" si="40"/>
        <x:v>-0.6</x:v>
      </x:c>
      <x:c r="B783">
        <x:f t="shared" si="41"/>
        <x:v>2678.1346624951211</x:v>
      </x:c>
      <x:c r="C783">
        <x:f t="shared" si="42"/>
        <x:v>1110.4114575267997</x:v>
      </x:c>
      <x:c r="D783">
        <x:f t="shared" si="43"/>
        <x:v>2550.8882906400845</x:v>
      </x:c>
      <x:c r="E783">
        <x:f t="shared" si="44"/>
        <x:v>2508.192086454721</x:v>
      </x:c>
    </x:row>
    <x:row r="784">
      <x:c r="A784">
        <x:f t="shared" si="40"/>
        <x:v>-0.59199999999999997</x:v>
      </x:c>
      <x:c r="B784">
        <x:f t="shared" si="41"/>
        <x:v>2677.8312038609492</x:v>
      </x:c>
      <x:c r="C784">
        <x:f t="shared" si="42"/>
        <x:v>1086.8427303999092</x:v>
      </x:c>
      <x:c r="D784">
        <x:f t="shared" si="43"/>
        <x:v>2489.7392629473461</x:v>
      </x:c>
      <x:c r="E784">
        <x:f t="shared" si="44"/>
        <x:v>2446.4068853196209</x:v>
      </x:c>
    </x:row>
    <x:row r="785">
      <x:c r="A785">
        <x:f t="shared" si="40"/>
        <x:v>-0.58299999999999996</x:v>
      </x:c>
      <x:c r="B785">
        <x:f t="shared" si="41"/>
        <x:v>2677.5913730272569</x:v>
      </x:c>
      <x:c r="C785">
        <x:f t="shared" si="42"/>
        <x:v>1061.1254317167784</x:v>
      </x:c>
      <x:c r="D785">
        <x:f t="shared" si="43"/>
        <x:v>2421.2039336802191</x:v>
      </x:c>
      <x:c r="E785">
        <x:f t="shared" si="44"/>
        <x:v>2377.1660679911497</x:v>
      </x:c>
    </x:row>
    <x:row r="786">
      <x:c r="A786">
        <x:f t="shared" si="40"/>
        <x:v>-0.57499999999999996</x:v>
      </x:c>
      <x:c r="B786">
        <x:f t="shared" si="41"/>
        <x:v>2677.4013084133485</x:v>
      </x:c>
      <x:c r="C786">
        <x:f t="shared" si="42"/>
        <x:v>1038.5909879836215</x:v>
      </x:c>
      <x:c r="D786">
        <x:f t="shared" si="43"/>
        <x:v>2361.7787973155059</x:v>
      </x:c>
      <x:c r="E786">
        <x:f t="shared" si="44"/>
        <x:v>2317.1229040708531</x:v>
      </x:c>
    </x:row>
    <x:row r="787">
      <x:c r="A787">
        <x:f t="shared" si="40"/>
        <x:v>-0.56699999999999995</x:v>
      </x:c>
      <x:c r="B787">
        <x:f t="shared" si="41"/>
        <x:v>2677.1088155150319</x:v>
      </x:c>
      <x:c r="C787">
        <x:f t="shared" si="42"/>
        <x:v>1016.1344402669544</x:v>
      </x:c>
      <x:c r="D787">
        <x:f t="shared" si="43"/>
        <x:v>2303.344286876124</x:v>
      </x:c>
      <x:c r="E787">
        <x:f t="shared" si="44"/>
        <x:v>2258.0789053167259</x:v>
      </x:c>
    </x:row>
    <x:row r="788">
      <x:c r="A788">
        <x:f t="shared" si="40"/>
        <x:v>-0.55800000000000005</x:v>
      </x:c>
      <x:c r="B788">
        <x:f t="shared" si="41"/>
        <x:v>2676.6947597635431</x:v>
      </x:c>
      <x:c r="C788">
        <x:f t="shared" si="42"/>
        <x:v>991.53332581625716</x:v>
      </x:c>
      <x:c r="D788">
        <x:f t="shared" si="43"/>
        <x:v>2237.6242728070965</x:v>
      </x:c>
      <x:c r="E788">
        <x:f t="shared" si="44"/>
        <x:v>2191.6834239549212</x:v>
      </x:c>
    </x:row>
    <x:row r="789">
      <x:c r="A789">
        <x:f t="shared" si="40"/>
        <x:v>-0.55000000000000004</x:v>
      </x:c>
      <x:c r="B789">
        <x:f t="shared" si="41"/>
        <x:v>2676.4990534043568</x:v>
      </x:c>
      <x:c r="C789">
        <x:f t="shared" si="42"/>
        <x:v>970.16851043660358</x:v>
      </x:c>
      <x:c r="D789">
        <x:f t="shared" si="43"/>
        <x:v>2180.8662292442368</x:v>
      </x:c>
      <x:c r="E789">
        <x:f t="shared" si="44"/>
        <x:v>2134.3340379640949</x:v>
      </x:c>
    </x:row>
    <x:row r="790">
      <x:c r="A790">
        <x:f t="shared" si="40"/>
        <x:v>-0.54200000000000004</x:v>
      </x:c>
      <x:c r="B790">
        <x:f t="shared" si="41"/>
        <x:v>2676.2200621956567</x:v>
      </x:c>
      <x:c r="C790">
        <x:f t="shared" si="42"/>
        <x:v>948.76083680906561</x:v>
      </x:c>
      <x:c r="D790">
        <x:f t="shared" si="43"/>
        <x:v>2124.6961361378512</x:v>
      </x:c>
      <x:c r="E790">
        <x:f t="shared" si="44"/>
        <x:v>2077.5811416705787</x:v>
      </x:c>
    </x:row>
    <x:row r="791">
      <x:c r="A791">
        <x:f t="shared" si="40"/>
        <x:v>-0.53300000000000003</x:v>
      </x:c>
      <x:c r="B791">
        <x:f t="shared" si="41"/>
        <x:v>2676.1391391812404</x:v>
      </x:c>
      <x:c r="C791">
        <x:f t="shared" si="42"/>
        <x:v>924.7601899779155</x:v>
      </x:c>
      <x:c r="D791">
        <x:f t="shared" si="43"/>
        <x:v>2061.9306805806214</x:v>
      </x:c>
      <x:c r="E791">
        <x:f t="shared" si="44"/>
        <x:v>2014.1702395891407</x:v>
      </x:c>
    </x:row>
    <x:row r="792">
      <x:c r="A792">
        <x:f t="shared" si="40"/>
        <x:v>-0.52500000000000002</x:v>
      </x:c>
      <x:c r="B792">
        <x:f t="shared" si="41"/>
        <x:v>2675.8058348678301</x:v>
      </x:c>
      <x:c r="C792">
        <x:f t="shared" si="42"/>
        <x:v>904.25330988211329</x:v>
      </x:c>
      <x:c r="D792">
        <x:f t="shared" si="43"/>
        <x:v>2007.8337102011103</x:v>
      </x:c>
      <x:c r="E792">
        <x:f t="shared" si="44"/>
        <x:v>1959.5086119092775</x:v>
      </x:c>
    </x:row>
    <x:row r="793">
      <x:c r="A793">
        <x:f t="shared" si="40"/>
        <x:v>-0.51700000000000002</x:v>
      </x:c>
      <x:c r="B793">
        <x:f t="shared" si="41"/>
        <x:v>2675.7021946279692</x:v>
      </x:c>
      <x:c r="C793">
        <x:f t="shared" si="42"/>
        <x:v>884.12039163790871</x:v>
      </x:c>
      <x:c r="D793">
        <x:f t="shared" si="43"/>
        <x:v>1953.8304542430778</x:v>
      </x:c>
      <x:c r="E793">
        <x:f t="shared" si="44"/>
        <x:v>1904.9492378917314</x:v>
      </x:c>
    </x:row>
    <x:row r="794">
      <x:c r="A794">
        <x:f t="shared" si="40"/>
        <x:v>-0.50800000000000001</x:v>
      </x:c>
      <x:c r="B794">
        <x:f t="shared" si="41"/>
        <x:v>2675.4695261018783</x:v>
      </x:c>
      <x:c r="C794">
        <x:f t="shared" si="42"/>
        <x:v>861.71394056116776</x:v>
      </x:c>
      <x:c r="D794">
        <x:f t="shared" si="43"/>
        <x:v>1894.3114493737276</x:v>
      </x:c>
      <x:c r="E794">
        <x:f t="shared" si="44"/>
        <x:v>1844.81480726674</x:v>
      </x:c>
    </x:row>
    <x:row r="795">
      <x:c r="A795">
        <x:f t="shared" si="40"/>
        <x:v>-0.5</x:v>
      </x:c>
      <x:c r="B795">
        <x:f t="shared" si="41"/>
        <x:v>2675.3009110978614</x:v>
      </x:c>
      <x:c r="C795">
        <x:f t="shared" si="42"/>
        <x:v>842.09103914771345</x:v>
      </x:c>
      <x:c r="D795">
        <x:f t="shared" si="43"/>
        <x:v>1842.8570097666177</x:v>
      </x:c>
      <x:c r="E795">
        <x:f t="shared" si="44"/>
        <x:v>1792.8223954868949</x:v>
      </x:c>
    </x:row>
    <x:row r="796">
      <x:c r="A796">
        <x:f t="shared" si="40"/>
        <x:v>-0.49199999999999999</x:v>
      </x:c>
      <x:c r="B796">
        <x:f t="shared" si="41"/>
        <x:v>2675.1900720308854</x:v>
      </x:c>
      <x:c r="C796">
        <x:f t="shared" si="42"/>
        <x:v>822.55207478089949</x:v>
      </x:c>
      <x:c r="D796">
        <x:f t="shared" si="43"/>
        <x:v>1791.3583570829956</x:v>
      </x:c>
      <x:c r="E796">
        <x:f t="shared" si="44"/>
        <x:v>1740.7943098713745</x:v>
      </x:c>
    </x:row>
    <x:row r="797">
      <x:c r="A797">
        <x:f t="shared" si="40"/>
        <x:v>-0.48299999999999998</x:v>
      </x:c>
      <x:c r="B797">
        <x:f t="shared" si="41"/>
        <x:v>2674.966604122772</x:v>
      </x:c>
      <x:c r="C797">
        <x:f t="shared" si="42"/>
        <x:v>800.78844516792503</x:v>
      </x:c>
      <x:c r="D797">
        <x:f t="shared" si="43"/>
        <x:v>1735.3520404808066</x:v>
      </x:c>
      <x:c r="E797">
        <x:f t="shared" si="44"/>
        <x:v>1684.2025882821126</x:v>
      </x:c>
    </x:row>
    <x:row r="798">
      <x:c r="A798">
        <x:f t="shared" si="40"/>
        <x:v>-0.47499999999999998</x:v>
      </x:c>
      <x:c r="B798">
        <x:f t="shared" si="41"/>
        <x:v>2674.7319398843601</x:v>
      </x:c>
      <x:c r="C798">
        <x:f t="shared" si="42"/>
        <x:v>782.18275859500397</x:v>
      </x:c>
      <x:c r="D798">
        <x:f t="shared" si="43"/>
        <x:v>1686.2442602676783</x:v>
      </x:c>
      <x:c r="E798">
        <x:f t="shared" si="44"/>
        <x:v>1634.5835210238645</x:v>
      </x:c>
    </x:row>
    <x:row r="799">
      <x:c r="A799" t="n">
        <x:f t="shared" ref="A799:A862" si="45">I66</x:f>
        <x:v>-0.467</x:v>
      </x:c>
      <x:c r="B799" t="n">
        <x:f t="shared" ref="B799:B862" si="46">Y66</x:f>
        <x:v>2674.723922285471</x:v>
      </x:c>
      <x:c r="C799" t="n">
        <x:f t="shared" ref="C799:C862" si="47">AA66</x:f>
        <x:v>764.2997508213764</x:v>
      </x:c>
      <x:c r="D799" t="n">
        <x:f t="shared" ref="D799:D862" si="48">AC66</x:f>
        <x:v>1637.3177434988154</x:v>
      </x:c>
      <x:c r="E799" t="n">
        <x:f t="shared" ref="E799:E862" si="49">AE66</x:f>
        <x:v>1585.154256450719</x:v>
      </x:c>
    </x:row>
    <x:row r="800">
      <x:c r="A800">
        <x:f t="shared" si="45"/>
        <x:v>-0.45800000000000002</x:v>
      </x:c>
      <x:c r="B800">
        <x:f t="shared" si="46"/>
        <x:v>2674.5566383706246</x:v>
      </x:c>
      <x:c r="C800">
        <x:f t="shared" si="47"/>
        <x:v>744.29967064682944</x:v>
      </x:c>
      <x:c r="D800">
        <x:f t="shared" si="48"/>
        <x:v>1584.1474784934796</x:v>
      </x:c>
      <x:c r="E800">
        <x:f t="shared" si="49"/>
        <x:v>1531.4286072268783</x:v>
      </x:c>
    </x:row>
    <x:row r="801">
      <x:c r="A801">
        <x:f t="shared" si="45"/>
        <x:v>-0.45</x:v>
      </x:c>
      <x:c r="B801">
        <x:f t="shared" si="46"/>
        <x:v>2674.381298406674</x:v>
      </x:c>
      <x:c r="C801">
        <x:f t="shared" si="47"/>
        <x:v>726.39027637027345</x:v>
      </x:c>
      <x:c r="D801">
        <x:f t="shared" si="48"/>
        <x:v>1537.2156175815205</x:v>
      </x:c>
      <x:c r="E801">
        <x:f t="shared" si="49"/>
        <x:v>1484.0121443974156</x:v>
      </x:c>
    </x:row>
    <x:row r="802">
      <x:c r="A802">
        <x:f t="shared" si="45"/>
        <x:v>-0.442</x:v>
      </x:c>
      <x:c r="B802">
        <x:f t="shared" si="46"/>
        <x:v>2674.3335334564645</x:v>
      </x:c>
      <x:c r="C802">
        <x:f t="shared" si="47"/>
        <x:v>708.59652239732816</x:v>
      </x:c>
      <x:c r="D802">
        <x:f t="shared" si="48"/>
        <x:v>1491.0140510931733</x:v>
      </x:c>
      <x:c r="E802">
        <x:f t="shared" si="49"/>
        <x:v>1437.3345152324011</x:v>
      </x:c>
    </x:row>
    <x:row r="803">
      <x:c r="A803">
        <x:f t="shared" si="45"/>
        <x:v>-0.433</x:v>
      </x:c>
      <x:c r="B803">
        <x:f t="shared" si="46"/>
        <x:v>2674.1216025512749</x:v>
      </x:c>
      <x:c r="C803">
        <x:f t="shared" si="47"/>
        <x:v>689.6044707976647</x:v>
      </x:c>
      <x:c r="D803">
        <x:f t="shared" si="48"/>
        <x:v>1440.7064420089457</x:v>
      </x:c>
      <x:c r="E803">
        <x:f t="shared" si="49"/>
        <x:v>1386.5015426982363</x:v>
      </x:c>
    </x:row>
    <x:row r="804">
      <x:c r="A804">
        <x:f t="shared" si="45"/>
        <x:v>-0.42499999999999999</x:v>
      </x:c>
      <x:c r="B804">
        <x:f t="shared" si="46"/>
        <x:v>2674.0286984605818</x:v>
      </x:c>
      <x:c r="C804">
        <x:f t="shared" si="47"/>
        <x:v>673.52943021065596</x:v>
      </x:c>
      <x:c r="D804">
        <x:f t="shared" si="48"/>
        <x:v>1395.9069815926184</x:v>
      </x:c>
      <x:c r="E804">
        <x:f t="shared" si="49"/>
        <x:v>1341.2441654920215</x:v>
      </x:c>
    </x:row>
    <x:row r="805">
      <x:c r="A805">
        <x:f t="shared" si="45"/>
        <x:v>-0.41699999999999998</x:v>
      </x:c>
      <x:c r="B805">
        <x:f t="shared" si="46"/>
        <x:v>2673.8364151669812</x:v>
      </x:c>
      <x:c r="C805">
        <x:f t="shared" si="47"/>
        <x:v>657.15792890890543</x:v>
      </x:c>
      <x:c r="D805">
        <x:f t="shared" si="48"/>
        <x:v>1352.5285718842533</x:v>
      </x:c>
      <x:c r="E805">
        <x:f t="shared" si="49"/>
        <x:v>1297.4163782346052</x:v>
      </x:c>
    </x:row>
    <x:row r="806">
      <x:c r="A806">
        <x:f t="shared" si="45"/>
        <x:v>-0.40799999999999997</x:v>
      </x:c>
      <x:c r="B806">
        <x:f t="shared" si="46"/>
        <x:v>2673.7029376385944</x:v>
      </x:c>
      <x:c r="C806">
        <x:f t="shared" si="47"/>
        <x:v>638.70335285133183</x:v>
      </x:c>
      <x:c r="D806">
        <x:f t="shared" si="48"/>
        <x:v>1304.9764199784206</x:v>
      </x:c>
      <x:c r="E806">
        <x:f t="shared" si="49"/>
        <x:v>1249.3688836474032</x:v>
      </x:c>
    </x:row>
    <x:row r="807">
      <x:c r="A807">
        <x:f t="shared" si="45"/>
        <x:v>-0.4</x:v>
      </x:c>
      <x:c r="B807">
        <x:f t="shared" si="46"/>
        <x:v>2673.5261534625206</x:v>
      </x:c>
      <x:c r="C807">
        <x:f t="shared" si="47"/>
        <x:v>622.95581929458547</x:v>
      </x:c>
      <x:c r="D807">
        <x:f t="shared" si="48"/>
        <x:v>1262.9447905211184</x:v>
      </x:c>
      <x:c r="E807">
        <x:f t="shared" si="49"/>
        <x:v>1206.9060225278288</x:v>
      </x:c>
    </x:row>
    <x:row r="808">
      <x:c r="A808">
        <x:f t="shared" si="45"/>
        <x:v>-0.39200000000000002</x:v>
      </x:c>
      <x:c r="B808">
        <x:f t="shared" si="46"/>
        <x:v>2673.5228751299887</x:v>
      </x:c>
      <x:c r="C808">
        <x:f t="shared" si="47"/>
        <x:v>607.69841650728927</x:v>
      </x:c>
      <x:c r="D808">
        <x:f t="shared" si="48"/>
        <x:v>1222.5976275941218</x:v>
      </x:c>
      <x:c r="E808">
        <x:f t="shared" si="49"/>
        <x:v>1166.1361671793973</x:v>
      </x:c>
    </x:row>
    <x:row r="809">
      <x:c r="A809">
        <x:f t="shared" si="45"/>
        <x:v>-0.38300000000000001</x:v>
      </x:c>
      <x:c r="B809">
        <x:f t="shared" si="46"/>
        <x:v>2673.2921080293481</x:v>
      </x:c>
      <x:c r="C809">
        <x:f t="shared" si="47"/>
        <x:v>590.66197110767814</x:v>
      </x:c>
      <x:c r="D809">
        <x:f t="shared" si="48"/>
        <x:v>1177.5797561447957</x:v>
      </x:c>
      <x:c r="E809">
        <x:f t="shared" si="49"/>
        <x:v>1120.6529738172696</x:v>
      </x:c>
    </x:row>
    <x:row r="810">
      <x:c r="A810">
        <x:f t="shared" si="45"/>
        <x:v>-0.375</x:v>
      </x:c>
      <x:c r="B810">
        <x:f t="shared" si="46"/>
        <x:v>2673.18796223142</x:v>
      </x:c>
      <x:c r="C810">
        <x:f t="shared" si="47"/>
        <x:v>576.22258813122494</x:v>
      </x:c>
      <x:c r="D810">
        <x:f t="shared" si="48"/>
        <x:v>1138.4256657523622</x:v>
      </x:c>
      <x:c r="E810">
        <x:f t="shared" si="49"/>
        <x:v>1081.0943368901799</x:v>
      </x:c>
    </x:row>
    <x:row r="811">
      <x:c r="A811">
        <x:f t="shared" si="45"/>
        <x:v>-0.36699999999999999</x:v>
      </x:c>
      <x:c r="B811">
        <x:f t="shared" si="46"/>
        <x:v>2673.1305400369843</x:v>
      </x:c>
      <x:c r="C811">
        <x:f t="shared" si="47"/>
        <x:v>561.82224623232139</x:v>
      </x:c>
      <x:c r="D811">
        <x:f t="shared" si="48"/>
        <x:v>1100.589696399725</x:v>
      </x:c>
      <x:c r="E811">
        <x:f t="shared" si="49"/>
        <x:v>1042.8623602437233</x:v>
      </x:c>
    </x:row>
    <x:row r="812">
      <x:c r="A812">
        <x:f t="shared" si="45"/>
        <x:v>-0.35799999999999998</x:v>
      </x:c>
      <x:c r="B812">
        <x:f t="shared" si="46"/>
        <x:v>2672.9477639052798</x:v>
      </x:c>
      <x:c r="C812">
        <x:f t="shared" si="47"/>
        <x:v>545.46838456100261</x:v>
      </x:c>
      <x:c r="D812">
        <x:f t="shared" si="48"/>
        <x:v>1058.3002345586074</x:v>
      </x:c>
      <x:c r="E812">
        <x:f t="shared" si="49"/>
        <x:v>1000.1375972583725</x:v>
      </x:c>
    </x:row>
    <x:row r="813">
      <x:c r="A813">
        <x:f t="shared" si="45"/>
        <x:v>-0.35</x:v>
      </x:c>
      <x:c r="B813">
        <x:f t="shared" si="46"/>
        <x:v>2672.7315331589957</x:v>
      </x:c>
      <x:c r="C813">
        <x:f t="shared" si="47"/>
        <x:v>531.44205975631633</x:v>
      </x:c>
      <x:c r="D813">
        <x:f t="shared" si="48"/>
        <x:v>1021.9153193332289</x:v>
      </x:c>
      <x:c r="E813">
        <x:f t="shared" si="49"/>
        <x:v>963.37482062595336</x:v>
      </x:c>
    </x:row>
    <x:row r="814">
      <x:c r="A814">
        <x:f t="shared" si="45"/>
        <x:v>-0.34200000000000003</x:v>
      </x:c>
      <x:c r="B814">
        <x:f t="shared" si="46"/>
        <x:v>2672.6976301058958</x:v>
      </x:c>
      <x:c r="C814">
        <x:f t="shared" si="47"/>
        <x:v>518.30702957057997</x:v>
      </x:c>
      <x:c r="D814">
        <x:f t="shared" si="48"/>
        <x:v>986.64556882876252</x:v>
      </x:c>
      <x:c r="E814">
        <x:f t="shared" si="49"/>
        <x:v>927.73574795528327</x:v>
      </x:c>
    </x:row>
    <x:row r="815">
      <x:c r="A815">
        <x:f t="shared" si="45"/>
        <x:v>-0.33300000000000002</x:v>
      </x:c>
      <x:c r="B815">
        <x:f t="shared" si="46"/>
        <x:v>2672.4754623052013</x:v>
      </x:c>
      <x:c r="C815">
        <x:f t="shared" si="47"/>
        <x:v>503.5300716509127</x:v>
      </x:c>
      <x:c r="D815">
        <x:f t="shared" si="48"/>
        <x:v>946.93028901938692</x:v>
      </x:c>
      <x:c r="E815">
        <x:f t="shared" si="49"/>
        <x:v>887.61518777024196</x:v>
      </x:c>
    </x:row>
    <x:row r="816">
      <x:c r="A816">
        <x:f t="shared" si="45"/>
        <x:v>-0.32500000000000001</x:v>
      </x:c>
      <x:c r="B816">
        <x:f t="shared" si="46"/>
        <x:v>2672.2656801334788</x:v>
      </x:c>
      <x:c r="C816">
        <x:f t="shared" si="47"/>
        <x:v>490.6119523498117</x:v>
      </x:c>
      <x:c r="D816">
        <x:f t="shared" si="48"/>
        <x:v>913.38844435295391</x:v>
      </x:c>
      <x:c r="E816">
        <x:f t="shared" si="49"/>
        <x:v>853.72216682438443</x:v>
      </x:c>
    </x:row>
    <x:row r="817">
      <x:c r="A817">
        <x:f t="shared" si="45"/>
        <x:v>-0.317</x:v>
      </x:c>
      <x:c r="B817">
        <x:f t="shared" si="46"/>
        <x:v>2672.1155658418929</x:v>
      </x:c>
      <x:c r="C817">
        <x:f t="shared" si="47"/>
        <x:v>478.15408387641003</x:v>
      </x:c>
      <x:c r="D817">
        <x:f t="shared" si="48"/>
        <x:v>880.52295629152457</x:v>
      </x:c>
      <x:c r="E817">
        <x:f t="shared" si="49"/>
        <x:v>820.51404172436776</x:v>
      </x:c>
    </x:row>
    <x:row r="818">
      <x:c r="A818">
        <x:f t="shared" si="45"/>
        <x:v>-0.308</x:v>
      </x:c>
      <x:c r="B818">
        <x:f t="shared" si="46"/>
        <x:v>2671.9751728842639</x:v>
      </x:c>
      <x:c r="C818">
        <x:f t="shared" si="47"/>
        <x:v>464.26488226134251</x:v>
      </x:c>
      <x:c r="D818">
        <x:f t="shared" si="48"/>
        <x:v>843.85241150892091</x:v>
      </x:c>
      <x:c r="E818">
        <x:f t="shared" si="49"/>
        <x:v>783.46823733466601</x:v>
      </x:c>
    </x:row>
    <x:row r="819">
      <x:c r="A819">
        <x:f t="shared" si="45"/>
        <x:v>-0.3</x:v>
      </x:c>
      <x:c r="B819">
        <x:f t="shared" si="46"/>
        <x:v>2671.9092619653225</x:v>
      </x:c>
      <x:c r="C819">
        <x:f t="shared" si="47"/>
        <x:v>452.12513673633737</x:v>
      </x:c>
      <x:c r="D819">
        <x:f t="shared" si="48"/>
        <x:v>813.20584870524624</x:v>
      </x:c>
      <x:c r="E819">
        <x:f t="shared" si="49"/>
        <x:v>752.49718337918262</x:v>
      </x:c>
    </x:row>
    <x:row r="820">
      <x:c r="A820">
        <x:f t="shared" si="45"/>
        <x:v>-0.29199999999999998</x:v>
      </x:c>
      <x:c r="B820">
        <x:f t="shared" si="46"/>
        <x:v>2671.6172551078062</x:v>
      </x:c>
      <x:c r="C820">
        <x:f t="shared" si="47"/>
        <x:v>440.789520058493</x:v>
      </x:c>
      <x:c r="D820">
        <x:f t="shared" si="48"/>
        <x:v>782.23831898070887</x:v>
      </x:c>
      <x:c r="E820">
        <x:f t="shared" si="49"/>
        <x:v>721.2137017436736</x:v>
      </x:c>
    </x:row>
    <x:row r="821">
      <x:c r="A821">
        <x:f t="shared" si="45"/>
        <x:v>-0.28299999999999997</x:v>
      </x:c>
      <x:c r="B821">
        <x:f t="shared" si="46"/>
        <x:v>2671.4755777744185</x:v>
      </x:c>
      <x:c r="C821">
        <x:f t="shared" si="47"/>
        <x:v>428.42468286207787</x:v>
      </x:c>
      <x:c r="D821">
        <x:f t="shared" si="48"/>
        <x:v>748.93086768833803</x:v>
      </x:c>
      <x:c r="E821">
        <x:f t="shared" si="49"/>
        <x:v>687.56101161277263</x:v>
      </x:c>
    </x:row>
    <x:row r="822">
      <x:c r="A822">
        <x:f t="shared" si="45"/>
        <x:v>-0.27500000000000002</x:v>
      </x:c>
      <x:c r="B822">
        <x:f t="shared" si="46"/>
        <x:v>2671.3571868013596</x:v>
      </x:c>
      <x:c r="C822">
        <x:f t="shared" si="47"/>
        <x:v>417.67037608062077</x:v>
      </x:c>
      <x:c r="D822">
        <x:f t="shared" si="48"/>
        <x:v>720.43324191293686</x:v>
      </x:c>
      <x:c r="E822">
        <x:f t="shared" si="49"/>
        <x:v>658.76557981317865</x:v>
      </x:c>
    </x:row>
    <x:row r="823">
      <x:c r="A823">
        <x:f t="shared" si="45"/>
        <x:v>-0.26700000000000002</x:v>
      </x:c>
      <x:c r="B823">
        <x:f t="shared" si="46"/>
        <x:v>2671.2248800209791</x:v>
      </x:c>
      <x:c r="C823">
        <x:f t="shared" si="47"/>
        <x:v>406.74702738970677</x:v>
      </x:c>
      <x:c r="D823">
        <x:f t="shared" si="48"/>
        <x:v>691.96705519544912</x:v>
      </x:c>
      <x:c r="E823">
        <x:f t="shared" si="49"/>
        <x:v>630.01012631233505</x:v>
      </x:c>
    </x:row>
    <x:row r="824">
      <x:c r="A824">
        <x:f t="shared" si="45"/>
        <x:v>-0.25800000000000001</x:v>
      </x:c>
      <x:c r="B824">
        <x:f t="shared" si="46"/>
        <x:v>2670.8930621337031</x:v>
      </x:c>
      <x:c r="C824">
        <x:f t="shared" si="47"/>
        <x:v>395.08927018210937</x:v>
      </x:c>
      <x:c r="D824">
        <x:f t="shared" si="48"/>
        <x:v>661.68999948461476</x:v>
      </x:c>
      <x:c r="E824">
        <x:f t="shared" si="49"/>
        <x:v>599.4178525315383</x:v>
      </x:c>
    </x:row>
    <x:row r="825">
      <x:c r="A825">
        <x:f t="shared" si="45"/>
        <x:v>-0.25</x:v>
      </x:c>
      <x:c r="B825">
        <x:f t="shared" si="46"/>
        <x:v>2670.7843017787291</x:v>
      </x:c>
      <x:c r="C825">
        <x:f t="shared" si="47"/>
        <x:v>385.36613803777971</x:v>
      </x:c>
      <x:c r="D825">
        <x:f t="shared" si="48"/>
        <x:v>635.69825524385692</x:v>
      </x:c>
      <x:c r="E825">
        <x:f t="shared" si="49"/>
        <x:v>573.15498739420343</x:v>
      </x:c>
    </x:row>
    <x:row r="826">
      <x:c r="A826">
        <x:f t="shared" si="45"/>
        <x:v>-0.24199999999999999</x:v>
      </x:c>
      <x:c r="B826">
        <x:f t="shared" si="46"/>
        <x:v>2670.7108751368901</x:v>
      </x:c>
      <x:c r="C826">
        <x:f t="shared" si="47"/>
        <x:v>376.13515915351996</x:v>
      </x:c>
      <x:c r="D826">
        <x:f t="shared" si="48"/>
        <x:v>609.84988496189897</x:v>
      </x:c>
      <x:c r="E826">
        <x:f t="shared" si="49"/>
        <x:v>547.04403545650553</x:v>
      </x:c>
    </x:row>
    <x:row r="827">
      <x:c r="A827">
        <x:f t="shared" si="45"/>
        <x:v>-0.23300000000000001</x:v>
      </x:c>
      <x:c r="B827">
        <x:f t="shared" si="46"/>
        <x:v>2670.5085985921796</x:v>
      </x:c>
      <x:c r="C827">
        <x:f t="shared" si="47"/>
        <x:v>365.6912781317871</x:v>
      </x:c>
      <x:c r="D827">
        <x:f t="shared" si="48"/>
        <x:v>582.82512814340009</x:v>
      </x:c>
      <x:c r="E827">
        <x:f t="shared" si="49"/>
        <x:v>519.73408133661223</x:v>
      </x:c>
    </x:row>
    <x:row r="828">
      <x:c r="A828">
        <x:f t="shared" si="45"/>
        <x:v>-0.22500000000000001</x:v>
      </x:c>
      <x:c r="B828">
        <x:f t="shared" si="46"/>
        <x:v>2670.2708582144087</x:v>
      </x:c>
      <x:c r="C828">
        <x:f t="shared" si="47"/>
        <x:v>356.4473590251373</x:v>
      </x:c>
      <x:c r="D828">
        <x:f t="shared" si="48"/>
        <x:v>559.21212141093656</x:v>
      </x:c>
      <x:c r="E828">
        <x:f t="shared" si="49"/>
        <x:v>495.87663883518746</x:v>
      </x:c>
    </x:row>
    <x:row r="829">
      <x:c r="A829">
        <x:f t="shared" si="45"/>
        <x:v>-0.217</x:v>
      </x:c>
      <x:c r="B829">
        <x:f t="shared" si="46"/>
        <x:v>2670.1536854385186</x:v>
      </x:c>
      <x:c r="C829">
        <x:f t="shared" si="47"/>
        <x:v>347.79823047108033</x:v>
      </x:c>
      <x:c r="D829">
        <x:f t="shared" si="48"/>
        <x:v>536.20036896901183</x:v>
      </x:c>
      <x:c r="E829">
        <x:f t="shared" si="49"/>
        <x:v>472.62898986513858</x:v>
      </x:c>
    </x:row>
    <x:row r="830">
      <x:c r="A830">
        <x:f t="shared" si="45"/>
        <x:v>-0.20799999999999999</x:v>
      </x:c>
      <x:c r="B830">
        <x:f t="shared" si="46"/>
        <x:v>2670.1402141895642</x:v>
      </x:c>
      <x:c r="C830">
        <x:f t="shared" si="47"/>
        <x:v>338.4523662185664</x:v>
      </x:c>
      <x:c r="D830">
        <x:f t="shared" si="48"/>
        <x:v>512.3169245672517</x:v>
      </x:c>
      <x:c r="E830">
        <x:f t="shared" si="49"/>
        <x:v>448.49036893055194</x:v>
      </x:c>
    </x:row>
    <x:row r="831">
      <x:c r="A831">
        <x:f t="shared" si="45"/>
        <x:v>-0.2</x:v>
      </x:c>
      <x:c r="B831">
        <x:f t="shared" si="46"/>
        <x:v>2669.897439151252</x:v>
      </x:c>
      <x:c r="C831">
        <x:f t="shared" si="47"/>
        <x:v>330.81553538368979</x:v>
      </x:c>
      <x:c r="D831">
        <x:f t="shared" si="48"/>
        <x:v>490.86443759611723</x:v>
      </x:c>
      <x:c r="E831">
        <x:f t="shared" si="49"/>
        <x:v>426.82013131807196</x:v>
      </x:c>
    </x:row>
    <x:row r="832">
      <x:c r="A832">
        <x:f t="shared" si="45"/>
        <x:v>-0.192</x:v>
      </x:c>
      <x:c r="B832">
        <x:f t="shared" si="46"/>
        <x:v>2669.7518575562381</x:v>
      </x:c>
      <x:c r="C832">
        <x:f t="shared" si="47"/>
        <x:v>323.37933770340271</x:v>
      </x:c>
      <x:c r="D832">
        <x:f t="shared" si="48"/>
        <x:v>470.8262366207249</x:v>
      </x:c>
      <x:c r="E832">
        <x:f t="shared" si="49"/>
        <x:v>406.57271894217143</x:v>
      </x:c>
    </x:row>
    <x:row r="833">
      <x:c r="A833">
        <x:f t="shared" si="45"/>
        <x:v>-0.183</x:v>
      </x:c>
      <x:c r="B833">
        <x:f t="shared" si="46"/>
        <x:v>2669.6399802909527</x:v>
      </x:c>
      <x:c r="C833">
        <x:f t="shared" si="47"/>
        <x:v>314.94112454596194</x:v>
      </x:c>
      <x:c r="D833">
        <x:f t="shared" si="48"/>
        <x:v>449.38514116972078</x:v>
      </x:c>
      <x:c r="E833">
        <x:f t="shared" si="49"/>
        <x:v>384.90646772690855</x:v>
      </x:c>
    </x:row>
    <x:row r="834">
      <x:c r="A834">
        <x:f t="shared" si="45"/>
        <x:v>-0.17499999999999999</x:v>
      </x:c>
      <x:c r="B834">
        <x:f t="shared" si="46"/>
        <x:v>2669.6775428195497</x:v>
      </x:c>
      <x:c r="C834">
        <x:f t="shared" si="47"/>
        <x:v>307.48456938359294</x:v>
      </x:c>
      <x:c r="D834">
        <x:f t="shared" si="48"/>
        <x:v>430.30959564342669</x:v>
      </x:c>
      <x:c r="E834">
        <x:f t="shared" si="49"/>
        <x:v>365.63985668688503</x:v>
      </x:c>
    </x:row>
    <x:row r="835">
      <x:c r="A835">
        <x:f t="shared" si="45"/>
        <x:v>-0.16700000000000001</x:v>
      </x:c>
      <x:c r="B835">
        <x:f t="shared" si="46"/>
        <x:v>2669.5329806107666</x:v>
      </x:c>
      <x:c r="C835">
        <x:f t="shared" si="47"/>
        <x:v>300.77094466978451</x:v>
      </x:c>
      <x:c r="D835">
        <x:f t="shared" si="48"/>
        <x:v>413.13501587361156</x:v>
      </x:c>
      <x:c r="E835">
        <x:f t="shared" si="49"/>
        <x:v>348.28275064417738</x:v>
      </x:c>
    </x:row>
    <x:row r="836">
      <x:c r="A836">
        <x:f t="shared" si="45"/>
        <x:v>-0.158</x:v>
      </x:c>
      <x:c r="B836">
        <x:f t="shared" si="46"/>
        <x:v>2669.511245132921</x:v>
      </x:c>
      <x:c r="C836">
        <x:f t="shared" si="47"/>
        <x:v>294.23661277989663</x:v>
      </x:c>
      <x:c r="D836">
        <x:f t="shared" si="48"/>
        <x:v>394.10574765913475</x:v>
      </x:c>
      <x:c r="E836">
        <x:f t="shared" si="49"/>
        <x:v>329.0583474340097</x:v>
      </x:c>
    </x:row>
    <x:row r="837">
      <x:c r="A837">
        <x:f t="shared" si="45"/>
        <x:v>-0.15</x:v>
      </x:c>
      <x:c r="B837">
        <x:f t="shared" si="46"/>
        <x:v>2669.4295389835215</x:v>
      </x:c>
      <x:c r="C837">
        <x:f t="shared" si="47"/>
        <x:v>288.26432799028123</x:v>
      </x:c>
      <x:c r="D837">
        <x:f t="shared" si="48"/>
        <x:v>377.82373453094897</x:v>
      </x:c>
      <x:c r="E837">
        <x:f t="shared" si="49"/>
        <x:v>312.61195391971023</x:v>
      </x:c>
    </x:row>
    <x:row r="838">
      <x:c r="A838">
        <x:f t="shared" si="45"/>
        <x:v>-0.14199999999999999</x:v>
      </x:c>
      <x:c r="B838">
        <x:f t="shared" si="46"/>
        <x:v>2669.3804992497408</x:v>
      </x:c>
      <x:c r="C838">
        <x:f t="shared" si="47"/>
        <x:v>282.22696445345809</x:v>
      </x:c>
      <x:c r="D838">
        <x:f t="shared" si="48"/>
        <x:v>363.28651770825104</x:v>
      </x:c>
      <x:c r="E838">
        <x:f t="shared" si="49"/>
        <x:v>297.91889595173575</x:v>
      </x:c>
    </x:row>
    <x:row r="839">
      <x:c r="A839">
        <x:f t="shared" si="45"/>
        <x:v>-0.13300000000000001</x:v>
      </x:c>
      <x:c r="B839">
        <x:f t="shared" si="46"/>
        <x:v>2669.2987438838682</x:v>
      </x:c>
      <x:c r="C839">
        <x:f t="shared" si="47"/>
        <x:v>276.28378915801528</x:v>
      </x:c>
      <x:c r="D839">
        <x:f t="shared" si="48"/>
        <x:v>347.02160342794394</x:v>
      </x:c>
      <x:c r="E839">
        <x:f t="shared" si="49"/>
        <x:v>281.48886744430553</x:v>
      </x:c>
    </x:row>
    <x:row r="840">
      <x:c r="A840">
        <x:f t="shared" si="45"/>
        <x:v>-0.125</x:v>
      </x:c>
      <x:c r="B840">
        <x:f t="shared" si="46"/>
        <x:v>2669.218074935372</x:v>
      </x:c>
      <x:c r="C840">
        <x:f t="shared" si="47"/>
        <x:v>271.34832444874655</x:v>
      </x:c>
      <x:c r="D840">
        <x:f t="shared" si="48"/>
        <x:v>333.76794206181557</x:v>
      </x:c>
      <x:c r="E840">
        <x:f t="shared" si="49"/>
        <x:v>268.09751081967937</x:v>
      </x:c>
    </x:row>
    <x:row r="841">
      <x:c r="A841">
        <x:f t="shared" si="45"/>
        <x:v>-0.11700000000000001</x:v>
      </x:c>
      <x:c r="B841">
        <x:f t="shared" si="46"/>
        <x:v>2669.21282651006</x:v>
      </x:c>
      <x:c r="C841">
        <x:f t="shared" si="47"/>
        <x:v>266.44749315542441</x:v>
      </x:c>
      <x:c r="D841">
        <x:f t="shared" si="48"/>
        <x:v>321.74541917953098</x:v>
      </x:c>
      <x:c r="E841">
        <x:f t="shared" si="49"/>
        <x:v>255.9458319197341</x:v>
      </x:c>
    </x:row>
    <x:row r="842">
      <x:c r="A842">
        <x:f t="shared" si="45"/>
        <x:v>-0.108</x:v>
      </x:c>
      <x:c r="B842">
        <x:f t="shared" si="46"/>
        <x:v>2669.1536621213982</x:v>
      </x:c>
      <x:c r="C842">
        <x:f t="shared" si="47"/>
        <x:v>261.83320614424036</x:v>
      </x:c>
      <x:c r="D842">
        <x:f t="shared" si="48"/>
        <x:v>308.09338637329017</x:v>
      </x:c>
      <x:c r="E842">
        <x:f t="shared" si="49"/>
        <x:v>242.15870565493802</x:v>
      </x:c>
    </x:row>
    <x:row r="843">
      <x:c r="A843">
        <x:f t="shared" si="45"/>
        <x:v>-0.1</x:v>
      </x:c>
      <x:c r="B843">
        <x:f t="shared" si="46"/>
        <x:v>2669.1872191485263</x:v>
      </x:c>
      <x:c r="C843">
        <x:f t="shared" si="47"/>
        <x:v>258.05340113702442</x:v>
      </x:c>
      <x:c r="D843">
        <x:f t="shared" si="48"/>
        <x:v>297.79268995907279</x:v>
      </x:c>
      <x:c r="E843">
        <x:f t="shared" si="49"/>
        <x:v>231.74699910983864</x:v>
      </x:c>
    </x:row>
    <x:row r="844">
      <x:c r="A844">
        <x:f t="shared" si="45"/>
        <x:v>-9.1999999999999998E-2</x:v>
      </x:c>
      <x:c r="B844">
        <x:f t="shared" si="46"/>
        <x:v>2669.1819695313975</x:v>
      </x:c>
      <x:c r="C844">
        <x:f t="shared" si="47"/>
        <x:v>254.26353690986213</x:v>
      </x:c>
      <x:c r="D844">
        <x:f t="shared" si="48"/>
        <x:v>287.99444888229908</x:v>
      </x:c>
      <x:c r="E844">
        <x:f t="shared" si="49"/>
        <x:v>221.84628714302016</x:v>
      </x:c>
    </x:row>
    <x:row r="845">
      <x:c r="A845">
        <x:f t="shared" si="45"/>
        <x:v>-8.3000000000000004E-2</x:v>
      </x:c>
      <x:c r="B845">
        <x:f t="shared" si="46"/>
        <x:v>2669.1403160796563</x:v>
      </x:c>
      <x:c r="C845">
        <x:f t="shared" si="47"/>
        <x:v>250.22595087297077</x:v>
      </x:c>
      <x:c r="D845">
        <x:f t="shared" si="48"/>
        <x:v>277.34427520472127</x:v>
      </x:c>
      <x:c r="E845">
        <x:f t="shared" si="49"/>
        <x:v>211.09104077545487</x:v>
      </x:c>
    </x:row>
    <x:row r="846">
      <x:c r="A846">
        <x:f t="shared" si="45"/>
        <x:v>-7.4999999999999997E-2</x:v>
      </x:c>
      <x:c r="B846">
        <x:f t="shared" si="46"/>
        <x:v>2669.150465091966</x:v>
      </x:c>
      <x:c r="C846">
        <x:f t="shared" si="47"/>
        <x:v>247.30870990646252</x:v>
      </x:c>
      <x:c r="D846">
        <x:f t="shared" si="48"/>
        <x:v>269.68897743893416</x:v>
      </x:c>
      <x:c r="E846">
        <x:f t="shared" si="49"/>
        <x:v>203.35141800640167</x:v>
      </x:c>
    </x:row>
    <x:row r="847">
      <x:c r="A847">
        <x:f t="shared" si="45"/>
        <x:v>-6.7000000000000004E-2</x:v>
      </x:c>
      <x:c r="B847">
        <x:f t="shared" si="46"/>
        <x:v>2669.1164451494619</x:v>
      </x:c>
      <x:c r="C847">
        <x:f t="shared" si="47"/>
        <x:v>244.89455924676798</x:v>
      </x:c>
      <x:c r="D847">
        <x:f t="shared" si="48"/>
        <x:v>262.1373262830445</x:v>
      </x:c>
      <x:c r="E847">
        <x:f t="shared" si="49"/>
        <x:v>195.72398108808298</x:v>
      </x:c>
    </x:row>
    <x:row r="848">
      <x:c r="A848">
        <x:f t="shared" si="45"/>
        <x:v>-5.8000000000000003E-2</x:v>
      </x:c>
      <x:c r="B848">
        <x:f t="shared" si="46"/>
        <x:v>2669.0711271464738</x:v>
      </x:c>
      <x:c r="C848">
        <x:f t="shared" si="47"/>
        <x:v>242.50974664246002</x:v>
      </x:c>
      <x:c r="D848">
        <x:f t="shared" si="48"/>
        <x:v>254.90519878903751</x:v>
      </x:c>
      <x:c r="E848">
        <x:f t="shared" si="49"/>
        <x:v>188.41680167265642</x:v>
      </x:c>
    </x:row>
    <x:row r="849">
      <x:c r="A849">
        <x:f t="shared" si="45"/>
        <x:v>-0.05</x:v>
      </x:c>
      <x:c r="B849">
        <x:f t="shared" si="46"/>
        <x:v>2669.0309999552733</x:v>
      </x:c>
      <x:c r="C849">
        <x:f t="shared" si="47"/>
        <x:v>240.55860819468157</x:v>
      </x:c>
      <x:c r="D849">
        <x:f t="shared" si="48"/>
        <x:v>249.79768978087017</x:v>
      </x:c>
      <x:c r="E849">
        <x:f t="shared" si="49"/>
        <x:v>183.25165278883884</x:v>
      </x:c>
    </x:row>
    <x:row r="850">
      <x:c r="A850">
        <x:f t="shared" si="45"/>
        <x:v>-4.2000000000000003E-2</x:v>
      </x:c>
      <x:c r="B850">
        <x:f t="shared" si="46"/>
        <x:v>2668.8889151109515</x:v>
      </x:c>
      <x:c r="C850">
        <x:f t="shared" si="47"/>
        <x:v>238.60170190557463</x:v>
      </x:c>
      <x:c r="D850">
        <x:f t="shared" si="48"/>
        <x:v>244.83703512320048</x:v>
      </x:c>
      <x:c r="E850">
        <x:f t="shared" si="49"/>
        <x:v>178.24189749635596</x:v>
      </x:c>
    </x:row>
    <x:row r="851">
      <x:c r="A851">
        <x:f t="shared" si="45"/>
        <x:v>-3.3000000000000002E-2</x:v>
      </x:c>
      <x:c r="B851">
        <x:f t="shared" si="46"/>
        <x:v>2668.8599671350553</x:v>
      </x:c>
      <x:c r="C851">
        <x:f t="shared" si="47"/>
        <x:v>236.54055700599343</x:v>
      </x:c>
      <x:c r="D851">
        <x:f t="shared" si="48"/>
        <x:v>241.1070862491305</x:v>
      </x:c>
      <x:c r="E851">
        <x:f t="shared" si="49"/>
        <x:v>174.46691746943421</x:v>
      </x:c>
    </x:row>
    <x:row r="852">
      <x:c r="A852">
        <x:f t="shared" si="45"/>
        <x:v>-2.5000000000000001E-2</x:v>
      </x:c>
      <x:c r="B852">
        <x:f t="shared" si="46"/>
        <x:v>2668.7572944221138</x:v>
      </x:c>
      <x:c r="C852">
        <x:f t="shared" si="47"/>
        <x:v>235.34646846600202</x:v>
      </x:c>
      <x:c r="D852">
        <x:f t="shared" si="48"/>
        <x:v>238.49468035564297</x:v>
      </x:c>
      <x:c r="E852">
        <x:f t="shared" si="49"/>
        <x:v>171.82355682791237</x:v>
      </x:c>
    </x:row>
    <x:row r="853">
      <x:c r="A853">
        <x:f t="shared" si="45"/>
        <x:v>-1.7000000000000001E-2</x:v>
      </x:c>
      <x:c r="B853">
        <x:f t="shared" si="46"/>
        <x:v>2668.6246227078218</x:v>
      </x:c>
      <x:c r="C853">
        <x:f t="shared" si="47"/>
        <x:v>234.64317423280781</x:v>
      </x:c>
      <x:c r="D853">
        <x:f t="shared" si="48"/>
        <x:v>235.9173120128643</x:v>
      </x:c>
      <x:c r="E853">
        <x:f t="shared" si="49"/>
        <x:v>169.22377297793633</x:v>
      </x:c>
    </x:row>
    <x:row r="854">
      <x:c r="A854">
        <x:f t="shared" si="45"/>
        <x:v>-8.0000000000000002E-3</x:v>
      </x:c>
      <x:c r="B854">
        <x:f t="shared" si="46"/>
        <x:v>2668.6746994182126</x:v>
      </x:c>
      <x:c r="C854">
        <x:f t="shared" si="47"/>
        <x:v>234.10344532166638</x:v>
      </x:c>
      <x:c r="D854">
        <x:f t="shared" si="48"/>
        <x:v>234.34957585937047</x:v>
      </x:c>
      <x:c r="E854">
        <x:f t="shared" si="49"/>
        <x:v>167.64102644015861</x:v>
      </x:c>
    </x:row>
    <x:row r="855">
      <x:c r="A855">
        <x:f t="shared" si="45"/>
        <x:v>0</x:v>
      </x:c>
      <x:c r="B855">
        <x:f t="shared" si="46"/>
        <x:v>2668.5457719379128</x:v>
      </x:c>
      <x:c r="C855">
        <x:f t="shared" si="47"/>
        <x:v>233.52787699140268</x:v>
      </x:c>
      <x:c r="D855">
        <x:f t="shared" si="48"/>
        <x:v>233.52787699140268</x:v>
      </x:c>
      <x:c r="E855">
        <x:f t="shared" si="49"/>
        <x:v>166.81505795177227</x:v>
      </x:c>
    </x:row>
    <x:row r="856">
      <x:c r="A856">
        <x:f t="shared" si="45"/>
        <x:v>8.0000000000000002E-3</x:v>
      </x:c>
      <x:c r="B856">
        <x:f t="shared" si="46"/>
        <x:v>2668.4228325014228</x:v>
      </x:c>
      <x:c r="C856">
        <x:f t="shared" si="47"/>
        <x:v>233.03942030536456</x:v>
      </x:c>
      <x:c r="D856">
        <x:f t="shared" si="48"/>
        <x:v>233.45037452297623</x:v>
      </x:c>
      <x:c r="E856">
        <x:f t="shared" si="49"/>
        <x:v>166.74182510376431</x:v>
      </x:c>
    </x:row>
    <x:row r="857">
      <x:c r="A857">
        <x:f t="shared" si="45"/>
        <x:v>1.7000000000000001E-2</x:v>
      </x:c>
      <x:c r="B857">
        <x:f t="shared" si="46"/>
        <x:v>2668.2784457720195</x:v>
      </x:c>
      <x:c r="C857">
        <x:f t="shared" si="47"/>
        <x:v>233.69251190455986</x:v>
      </x:c>
      <x:c r="D857">
        <x:f t="shared" si="48"/>
        <x:v>235.19841567119786</x:v>
      </x:c>
      <x:c r="E857">
        <x:f t="shared" si="49"/>
        <x:v>168.50487663626993</x:v>
      </x:c>
    </x:row>
    <x:row r="858">
      <x:c r="A858">
        <x:f t="shared" si="45"/>
        <x:v>2.5000000000000001E-2</x:v>
      </x:c>
      <x:c r="B858">
        <x:f t="shared" si="46"/>
        <x:v>2668.2171240293146</x:v>
      </x:c>
      <x:c r="C858">
        <x:f t="shared" si="47"/>
        <x:v>235.07392198175725</x:v>
      </x:c>
      <x:c r="D858">
        <x:f t="shared" si="48"/>
        <x:v>237.0225960137918</x:v>
      </x:c>
      <x:c r="E858">
        <x:f t="shared" si="49"/>
        <x:v>170.3514724860612</x:v>
      </x:c>
    </x:row>
    <x:row r="859">
      <x:c r="A859">
        <x:f t="shared" si="45"/>
        <x:v>3.3000000000000002E-2</x:v>
      </x:c>
      <x:c r="B859">
        <x:f t="shared" si="46"/>
        <x:v>2668.1155856737228</x:v>
      </x:c>
      <x:c r="C859">
        <x:f t="shared" si="47"/>
        <x:v>236.07895498772078</x:v>
      </x:c>
      <x:c r="D859">
        <x:f t="shared" si="48"/>
        <x:v>240.09565006494091</x:v>
      </x:c>
      <x:c r="E859">
        <x:f t="shared" si="49"/>
        <x:v>173.45548128524464</x:v>
      </x:c>
    </x:row>
    <x:row r="860">
      <x:c r="A860">
        <x:f t="shared" si="45"/>
        <x:v>4.2000000000000003E-2</x:v>
      </x:c>
      <x:c r="B860">
        <x:f t="shared" si="46"/>
        <x:v>2668.10404084736</x:v>
      </x:c>
      <x:c r="C860">
        <x:f t="shared" si="47"/>
        <x:v>237.32784196765127</x:v>
      </x:c>
      <x:c r="D860">
        <x:f t="shared" si="48"/>
        <x:v>244.71146714319224</x:v>
      </x:c>
      <x:c r="E860">
        <x:f t="shared" si="49"/>
        <x:v>178.11632951634772</x:v>
      </x:c>
    </x:row>
    <x:row r="861">
      <x:c r="A861">
        <x:f t="shared" si="45"/>
        <x:v>0.05</x:v>
      </x:c>
      <x:c r="B861">
        <x:f t="shared" si="46"/>
        <x:v>2668.031622957878</x:v>
      </x:c>
      <x:c r="C861">
        <x:f t="shared" si="47"/>
        <x:v>239.08652386018932</x:v>
      </x:c>
      <x:c r="D861">
        <x:f t="shared" si="48"/>
        <x:v>249.14725446361194</x:v>
      </x:c>
      <x:c r="E861">
        <x:f t="shared" si="49"/>
        <x:v>182.60121747158061</x:v>
      </x:c>
    </x:row>
    <x:row r="862">
      <x:c r="A862">
        <x:f t="shared" si="45"/>
        <x:v>5.8000000000000003E-2</x:v>
      </x:c>
      <x:c r="B862">
        <x:f t="shared" si="46"/>
        <x:v>2667.9465338834552</x:v>
      </x:c>
      <x:c r="C862">
        <x:f t="shared" si="47"/>
        <x:v>241.24252251869183</x:v>
      </x:c>
      <x:c r="D862">
        <x:f t="shared" si="48"/>
        <x:v>255.21873989523931</x:v>
      </x:c>
      <x:c r="E862">
        <x:f t="shared" si="49"/>
        <x:v>188.73034277885816</x:v>
      </x:c>
    </x:row>
    <x:row r="863">
      <x:c r="A863" t="n">
        <x:f t="shared" ref="A863:A926" si="50">I130</x:f>
        <x:v>0.067</x:v>
      </x:c>
      <x:c r="B863" t="n">
        <x:f t="shared" ref="B863:B926" si="51">Y130</x:f>
        <x:v>2668.0413136983166</x:v>
      </x:c>
      <x:c r="C863" t="n">
        <x:f t="shared" ref="C863:C926" si="52">AA130</x:f>
        <x:v>243.91411166454145</x:v>
      </x:c>
      <x:c r="D863" t="n">
        <x:f t="shared" ref="D863:D926" si="53">AC130</x:f>
        <x:v>262.3743325123983</x:v>
      </x:c>
      <x:c r="E863" t="n">
        <x:f t="shared" ref="E863:E926" si="54">AE130</x:f>
        <x:v>195.9609873174368</x:v>
      </x:c>
    </x:row>
    <x:row r="864">
      <x:c r="A864">
        <x:f t="shared" si="50"/>
        <x:v>7.4999999999999997E-2</x:v>
      </x:c>
      <x:c r="B864">
        <x:f t="shared" si="51"/>
        <x:v>2668.1123513393559</x:v>
      </x:c>
      <x:c r="C864">
        <x:f t="shared" si="52"/>
        <x:v>247.11259334940169</x:v>
      </x:c>
      <x:c r="D864">
        <x:f t="shared" si="53"/>
        <x:v>269.49464398527886</x:v>
      </x:c>
      <x:c r="E864">
        <x:f t="shared" si="54"/>
        <x:v>203.15708455274637</x:v>
      </x:c>
    </x:row>
    <x:row r="865">
      <x:c r="A865">
        <x:f t="shared" si="50"/>
        <x:v>8.3000000000000004E-2</x:v>
      </x:c>
      <x:c r="B865">
        <x:f t="shared" si="51"/>
        <x:v>2668.0240443711618</x:v>
      </x:c>
      <x:c r="C865">
        <x:f t="shared" si="52"/>
        <x:v>250.26819786260651</x:v>
      </x:c>
      <x:c r="D865">
        <x:f t="shared" si="53"/>
        <x:v>278.00342597194327</x:v>
      </x:c>
      <x:c r="E865">
        <x:f t="shared" si="54"/>
        <x:v>211.7501915426769</x:v>
      </x:c>
    </x:row>
    <x:row r="866">
      <x:c r="A866">
        <x:f t="shared" si="50"/>
        <x:v>9.1999999999999998E-2</x:v>
      </x:c>
      <x:c r="B866">
        <x:f t="shared" si="51"/>
        <x:v>2668.1188396643256</x:v>
      </x:c>
      <x:c r="C866">
        <x:f t="shared" si="52"/>
        <x:v>253.68974248855739</x:v>
      </x:c>
      <x:c r="D866">
        <x:f t="shared" si="53"/>
        <x:v>287.86798453674362</x:v>
      </x:c>
      <x:c r="E866">
        <x:f t="shared" si="54"/>
        <x:v>221.71982279746464</x:v>
      </x:c>
    </x:row>
    <x:row r="867">
      <x:c r="A867">
        <x:f t="shared" si="50"/>
        <x:v>0.1</x:v>
      </x:c>
      <x:c r="B867">
        <x:f t="shared" si="51"/>
        <x:v>2668.3103378572691</x:v>
      </x:c>
      <x:c r="C867">
        <x:f t="shared" si="52"/>
        <x:v>257.40296582102707</x:v>
      </x:c>
      <x:c r="D867">
        <x:f t="shared" si="53"/>
        <x:v>297.55144670801428</x:v>
      </x:c>
      <x:c r="E867">
        <x:f t="shared" si="54"/>
        <x:v>231.50575585878019</x:v>
      </x:c>
    </x:row>
    <x:row r="868">
      <x:c r="A868">
        <x:f t="shared" si="50"/>
        <x:v>0.108</x:v>
      </x:c>
      <x:c r="B868">
        <x:f t="shared" si="51"/>
        <x:v>2668.3499734017573</x:v>
      </x:c>
      <x:c r="C868">
        <x:f t="shared" si="52"/>
        <x:v>261.65670987990978</x:v>
      </x:c>
      <x:c r="D868">
        <x:f t="shared" si="53"/>
        <x:v>308.68111860671877</x:v>
      </x:c>
      <x:c r="E868">
        <x:f t="shared" si="54"/>
        <x:v>242.74643788836661</x:v>
      </x:c>
    </x:row>
    <x:row r="869">
      <x:c r="A869">
        <x:f t="shared" si="50"/>
        <x:v>0.11700000000000001</x:v>
      </x:c>
      <x:c r="B869">
        <x:f t="shared" si="51"/>
        <x:v>2668.4165060223545</x:v>
      </x:c>
      <x:c r="C869">
        <x:f t="shared" si="52"/>
        <x:v>266.87097786523987</x:v>
      </x:c>
      <x:c r="D869">
        <x:f t="shared" si="53"/>
        <x:v>321.24889389520433</x:v>
      </x:c>
      <x:c r="E869">
        <x:f t="shared" si="54"/>
        <x:v>255.44930663540742</x:v>
      </x:c>
    </x:row>
    <x:row r="870">
      <x:c r="A870">
        <x:f t="shared" si="50"/>
        <x:v>0.125</x:v>
      </x:c>
      <x:c r="B870">
        <x:f t="shared" si="51"/>
        <x:v>2668.554777068895</x:v>
      </x:c>
      <x:c r="C870">
        <x:f t="shared" si="52"/>
        <x:v>271.48749960629391</x:v>
      </x:c>
      <x:c r="D870">
        <x:f t="shared" si="53"/>
        <x:v>333.96907863243558</x:v>
      </x:c>
      <x:c r="E870">
        <x:f t="shared" si="54"/>
        <x:v>268.29864739029938</x:v>
      </x:c>
    </x:row>
    <x:row r="871">
      <x:c r="A871">
        <x:f t="shared" si="50"/>
        <x:v>0.13300000000000001</x:v>
      </x:c>
      <x:c r="B871">
        <x:f t="shared" si="51"/>
        <x:v>2668.6191606348211</x:v>
      </x:c>
      <x:c r="C871">
        <x:f t="shared" si="52"/>
        <x:v>276.56459491862398</x:v>
      </x:c>
      <x:c r="D871">
        <x:f t="shared" si="53"/>
        <x:v>347.47422266834974</x:v>
      </x:c>
      <x:c r="E871">
        <x:f t="shared" si="54"/>
        <x:v>281.94148668471132</x:v>
      </x:c>
    </x:row>
    <x:row r="872">
      <x:c r="A872">
        <x:f t="shared" si="50"/>
        <x:v>0.14199999999999999</x:v>
      </x:c>
      <x:c r="B872">
        <x:f t="shared" si="51"/>
        <x:v>2668.9381304597596</x:v>
      </x:c>
      <x:c r="C872">
        <x:f t="shared" si="52"/>
        <x:v>282.45267503280394</x:v>
      </x:c>
      <x:c r="D872">
        <x:f t="shared" si="53"/>
        <x:v>363.00118997829571</x:v>
      </x:c>
      <x:c r="E872">
        <x:f t="shared" si="54"/>
        <x:v>297.63356822178037</x:v>
      </x:c>
    </x:row>
    <x:row r="873">
      <x:c r="A873">
        <x:f t="shared" si="50"/>
        <x:v>0.15</x:v>
      </x:c>
      <x:c r="B873">
        <x:f t="shared" si="51"/>
        <x:v>2668.9155192174899</x:v>
      </x:c>
      <x:c r="C873">
        <x:f t="shared" si="52"/>
        <x:v>288.06999454155164</x:v>
      </x:c>
      <x:c r="D873">
        <x:f t="shared" si="53"/>
        <x:v>378.40627895976388</x:v>
      </x:c>
      <x:c r="E873">
        <x:f t="shared" si="54"/>
        <x:v>313.19449834852514</x:v>
      </x:c>
    </x:row>
    <x:row r="874">
      <x:c r="A874">
        <x:f t="shared" si="50"/>
        <x:v>0.158</x:v>
      </x:c>
      <x:c r="B874">
        <x:f t="shared" si="51"/>
        <x:v>2669.0410756188267</x:v>
      </x:c>
      <x:c r="C874">
        <x:f t="shared" si="52"/>
        <x:v>294.08928666556795</x:v>
      </x:c>
      <x:c r="D874">
        <x:f t="shared" si="53"/>
        <x:v>393.96041198478542</x:v>
      </x:c>
      <x:c r="E874">
        <x:f t="shared" si="54"/>
        <x:v>328.91301175966038</x:v>
      </x:c>
    </x:row>
    <x:row r="875">
      <x:c r="A875">
        <x:f t="shared" si="50"/>
        <x:v>0.16700000000000001</x:v>
      </x:c>
      <x:c r="B875">
        <x:f t="shared" si="51"/>
        <x:v>2669.2914899172429</x:v>
      </x:c>
      <x:c r="C875">
        <x:f t="shared" si="52"/>
        <x:v>301.65407174238152</x:v>
      </x:c>
      <x:c r="D875">
        <x:f t="shared" si="53"/>
        <x:v>412.67306719892719</x:v>
      </x:c>
      <x:c r="E875">
        <x:f t="shared" si="54"/>
        <x:v>347.82080196949306</x:v>
      </x:c>
    </x:row>
    <x:row r="876">
      <x:c r="A876">
        <x:f t="shared" si="50"/>
        <x:v>0.17499999999999999</x:v>
      </x:c>
      <x:c r="B876">
        <x:f t="shared" si="51"/>
        <x:v>2669.2970622335815</x:v>
      </x:c>
      <x:c r="C876">
        <x:f t="shared" si="52"/>
        <x:v>308.3339924924266</x:v>
      </x:c>
      <x:c r="D876">
        <x:f t="shared" si="53"/>
        <x:v>430.47048810299287</x:v>
      </x:c>
      <x:c r="E876">
        <x:f t="shared" si="54"/>
        <x:v>365.80074914645121</x:v>
      </x:c>
    </x:row>
    <x:row r="877">
      <x:c r="A877">
        <x:f t="shared" si="50"/>
        <x:v>0.183</x:v>
      </x:c>
      <x:c r="B877">
        <x:f t="shared" si="51"/>
        <x:v>2669.4129477465203</x:v>
      </x:c>
      <x:c r="C877">
        <x:f t="shared" si="52"/>
        <x:v>314.94191553996393</x:v>
      </x:c>
      <x:c r="D877">
        <x:f t="shared" si="53"/>
        <x:v>448.65774247510933</x:v>
      </x:c>
      <x:c r="E877">
        <x:f t="shared" si="54"/>
        <x:v>384.17906903229709</x:v>
      </x:c>
    </x:row>
    <x:row r="878">
      <x:c r="A878">
        <x:f t="shared" si="50"/>
        <x:v>0.192</x:v>
      </x:c>
      <x:c r="B878">
        <x:f t="shared" si="51"/>
        <x:v>2669.607567389517</x:v>
      </x:c>
      <x:c r="C878">
        <x:f t="shared" si="52"/>
        <x:v>322.83349393173665</x:v>
      </x:c>
      <x:c r="D878">
        <x:f t="shared" si="53"/>
        <x:v>470.35834754862861</x:v>
      </x:c>
      <x:c r="E878">
        <x:f t="shared" si="54"/>
        <x:v>406.10482987007515</x:v>
      </x:c>
    </x:row>
    <x:row r="879">
      <x:c r="A879">
        <x:f t="shared" si="50"/>
        <x:v>0.2</x:v>
      </x:c>
      <x:c r="B879">
        <x:f t="shared" si="51"/>
        <x:v>2669.5329747634537</x:v>
      </x:c>
      <x:c r="C879">
        <x:f t="shared" si="52"/>
        <x:v>330.57429212342959</x:v>
      </x:c>
      <x:c r="D879">
        <x:f t="shared" si="53"/>
        <x:v>490.82527033564003</x:v>
      </x:c>
      <x:c r="E879">
        <x:f t="shared" si="54"/>
        <x:v>426.78096405759464</x:v>
      </x:c>
    </x:row>
    <x:row r="880">
      <x:c r="A880">
        <x:f t="shared" si="50"/>
        <x:v>0.20799999999999999</x:v>
      </x:c>
      <x:c r="B880">
        <x:f t="shared" si="51"/>
        <x:v>2669.7418428985843</x:v>
      </x:c>
      <x:c r="C880">
        <x:f t="shared" si="52"/>
        <x:v>339.00288066211834</x:v>
      </x:c>
      <x:c r="D880">
        <x:f t="shared" si="53"/>
        <x:v>511.52104458926755</x:v>
      </x:c>
      <x:c r="E880">
        <x:f t="shared" si="54"/>
        <x:v>447.69448895256767</x:v>
      </x:c>
    </x:row>
    <x:row r="881">
      <x:c r="A881">
        <x:f t="shared" si="50"/>
        <x:v>0.217</x:v>
      </x:c>
      <x:c r="B881">
        <x:f t="shared" si="51"/>
        <x:v>2669.6890589274435</x:v>
      </x:c>
      <x:c r="C881">
        <x:f t="shared" si="52"/>
        <x:v>348.18034109312947</x:v>
      </x:c>
      <x:c r="D881">
        <x:f t="shared" si="53"/>
        <x:v>536.6856283700555</x:v>
      </x:c>
      <x:c r="E881">
        <x:f t="shared" si="54"/>
        <x:v>473.11424926618224</x:v>
      </x:c>
    </x:row>
    <x:row r="882">
      <x:c r="A882">
        <x:f t="shared" si="50"/>
        <x:v>0.22500000000000001</x:v>
      </x:c>
      <x:c r="B882">
        <x:f t="shared" si="51"/>
        <x:v>2669.8633908840679</x:v>
      </x:c>
      <x:c r="C882">
        <x:f t="shared" si="52"/>
        <x:v>356.58736359705688</x:v>
      </x:c>
      <x:c r="D882">
        <x:f t="shared" si="53"/>
        <x:v>559.43789397154171</x:v>
      </x:c>
      <x:c r="E882">
        <x:f t="shared" si="54"/>
        <x:v>496.10241139579267</x:v>
      </x:c>
    </x:row>
    <x:row r="883">
      <x:c r="A883">
        <x:f t="shared" si="50"/>
        <x:v>0.23300000000000001</x:v>
      </x:c>
      <x:c r="B883">
        <x:f t="shared" si="51"/>
        <x:v>2669.8639965508737</x:v>
      </x:c>
      <x:c r="C883">
        <x:f t="shared" si="52"/>
        <x:v>365.32754339381029</x:v>
      </x:c>
      <x:c r="D883">
        <x:f t="shared" si="53"/>
        <x:v>582.85498270378582</x:v>
      </x:c>
      <x:c r="E883">
        <x:f t="shared" si="54"/>
        <x:v>519.76393589699796</x:v>
      </x:c>
    </x:row>
    <x:row r="884">
      <x:c r="A884">
        <x:f t="shared" si="50"/>
        <x:v>0.24199999999999999</x:v>
      </x:c>
      <x:c r="B884">
        <x:f t="shared" si="51"/>
        <x:v>2669.8958574019107</x:v>
      </x:c>
      <x:c r="C884">
        <x:f t="shared" si="52"/>
        <x:v>375.71361777908754</x:v>
      </x:c>
      <x:c r="D884">
        <x:f t="shared" si="53"/>
        <x:v>610.8989509460198</x:v>
      </x:c>
      <x:c r="E884">
        <x:f t="shared" si="54"/>
        <x:v>548.09310144062636</x:v>
      </x:c>
    </x:row>
    <x:row r="885">
      <x:c r="A885">
        <x:f t="shared" si="50"/>
        <x:v>0.25</x:v>
      </x:c>
      <x:c r="B885">
        <x:f t="shared" si="51"/>
        <x:v>2669.8779533297052</x:v>
      </x:c>
      <x:c r="C885">
        <x:f t="shared" si="52"/>
        <x:v>385.56727460839971</x:v>
      </x:c>
      <x:c r="D885">
        <x:f t="shared" si="53"/>
        <x:v>635.82445594909598</x:v>
      </x:c>
      <x:c r="E885">
        <x:f t="shared" si="54"/>
        <x:v>573.28118809944237</x:v>
      </x:c>
    </x:row>
    <x:row r="886">
      <x:c r="A886">
        <x:f t="shared" si="50"/>
        <x:v>0.25800000000000001</x:v>
      </x:c>
      <x:c r="B886">
        <x:f t="shared" si="51"/>
        <x:v>2670.0160994406192</x:v>
      </x:c>
      <x:c r="C886">
        <x:f t="shared" si="52"/>
        <x:v>395.86086394831472</x:v>
      </x:c>
      <x:c r="D886">
        <x:f t="shared" si="53"/>
        <x:v>661.95151068738699</x:v>
      </x:c>
      <x:c r="E886">
        <x:f t="shared" si="54"/>
        <x:v>599.67936373431053</x:v>
      </x:c>
    </x:row>
    <x:row r="887">
      <x:c r="A887">
        <x:f t="shared" si="50"/>
        <x:v>0.26700000000000002</x:v>
      </x:c>
      <x:c r="B887">
        <x:f t="shared" si="51"/>
        <x:v>2669.9938584403485</x:v>
      </x:c>
      <x:c r="C887">
        <x:f t="shared" si="52"/>
        <x:v>407.20518284516277</x:v>
      </x:c>
      <x:c r="D887">
        <x:f t="shared" si="53"/>
        <x:v>692.4932720409962</x:v>
      </x:c>
      <x:c r="E887">
        <x:f t="shared" si="54"/>
        <x:v>630.53634315788202</x:v>
      </x:c>
    </x:row>
    <x:row r="888">
      <x:c r="A888">
        <x:f t="shared" si="50"/>
        <x:v>0.27500000000000002</x:v>
      </x:c>
      <x:c r="B888">
        <x:f t="shared" si="51"/>
        <x:v>2670.0537663398518</x:v>
      </x:c>
      <x:c r="C888">
        <x:f t="shared" si="52"/>
        <x:v>417.17224369757116</x:v>
      </x:c>
      <x:c r="D888">
        <x:f t="shared" si="53"/>
        <x:v>719.98873427612637</x:v>
      </x:c>
      <x:c r="E888">
        <x:f t="shared" si="54"/>
        <x:v>658.32107217636792</x:v>
      </x:c>
    </x:row>
    <x:row r="889">
      <x:c r="A889">
        <x:f t="shared" si="50"/>
        <x:v>0.28299999999999997</x:v>
      </x:c>
      <x:c r="B889">
        <x:f t="shared" si="51"/>
        <x:v>2670.2131483374369</x:v>
      </x:c>
      <x:c r="C889">
        <x:f t="shared" si="52"/>
        <x:v>428.17126030241781</x:v>
      </x:c>
      <x:c r="D889">
        <x:f t="shared" si="53"/>
        <x:v>748.86127758557245</x:v>
      </x:c>
      <x:c r="E889">
        <x:f t="shared" si="54"/>
        <x:v>687.49142151000706</x:v>
      </x:c>
    </x:row>
    <x:row r="890">
      <x:c r="A890">
        <x:f t="shared" si="50"/>
        <x:v>0.29199999999999998</x:v>
      </x:c>
      <x:c r="B890">
        <x:f t="shared" si="51"/>
        <x:v>2670.3303197350824</x:v>
      </x:c>
      <x:c r="C890">
        <x:f t="shared" si="52"/>
        <x:v>441.15226021313657</x:v>
      </x:c>
      <x:c r="D890">
        <x:f t="shared" si="53"/>
        <x:v>782.04327296375436</x:v>
      </x:c>
      <x:c r="E890">
        <x:f t="shared" si="54"/>
        <x:v>721.0186557267192</x:v>
      </x:c>
    </x:row>
    <x:row r="891">
      <x:c r="A891">
        <x:f t="shared" si="50"/>
        <x:v>0.3</x:v>
      </x:c>
      <x:c r="B891">
        <x:f t="shared" si="51"/>
        <x:v>2670.444077775051</x:v>
      </x:c>
      <x:c r="C891">
        <x:f t="shared" si="52"/>
        <x:v>452.70768115682705</x:v>
      </x:c>
      <x:c r="D891">
        <x:f t="shared" si="53"/>
        <x:v>812.30782872011355</x:v>
      </x:c>
      <x:c r="E891">
        <x:f t="shared" si="54"/>
        <x:v>751.59916339404981</x:v>
      </x:c>
    </x:row>
    <x:row r="892">
      <x:c r="A892">
        <x:f t="shared" si="50"/>
        <x:v>0.308</x:v>
      </x:c>
      <x:c r="B892">
        <x:f t="shared" si="51"/>
        <x:v>2670.5153353694513</x:v>
      </x:c>
      <x:c r="C892">
        <x:f t="shared" si="52"/>
        <x:v>464.34221044971468</x:v>
      </x:c>
      <x:c r="D892">
        <x:f t="shared" si="53"/>
        <x:v>843.99023990953719</x:v>
      </x:c>
      <x:c r="E892">
        <x:f t="shared" si="54"/>
        <x:v>783.6060657352823</x:v>
      </x:c>
    </x:row>
    <x:row r="893">
      <x:c r="A893">
        <x:f t="shared" si="50"/>
        <x:v>0.317</x:v>
      </x:c>
      <x:c r="B893">
        <x:f t="shared" si="51"/>
        <x:v>2670.7374273408423</x:v>
      </x:c>
      <x:c r="C893">
        <x:f t="shared" si="52"/>
        <x:v>477.97385498477803</x:v>
      </x:c>
      <x:c r="D893">
        <x:f t="shared" si="53"/>
        <x:v>880.1287937053022</x:v>
      </x:c>
      <x:c r="E893">
        <x:f t="shared" si="54"/>
        <x:v>820.11987913814539</x:v>
      </x:c>
    </x:row>
    <x:row r="894">
      <x:c r="A894">
        <x:f t="shared" si="50"/>
        <x:v>0.32500000000000001</x:v>
      </x:c>
      <x:c r="B894">
        <x:f t="shared" si="51"/>
        <x:v>2670.7971033225708</x:v>
      </x:c>
      <x:c r="C894">
        <x:f t="shared" si="52"/>
        <x:v>490.48209351261062</x:v>
      </x:c>
      <x:c r="D894">
        <x:f t="shared" si="53"/>
        <x:v>913.15153955208098</x:v>
      </x:c>
      <x:c r="E894">
        <x:f t="shared" si="54"/>
        <x:v>853.48526202351161</x:v>
      </x:c>
    </x:row>
    <x:row r="895">
      <x:c r="A895">
        <x:f t="shared" si="50"/>
        <x:v>0.33300000000000002</x:v>
      </x:c>
      <x:c r="B895">
        <x:f t="shared" si="51"/>
        <x:v>2670.9787828596327</x:v>
      </x:c>
      <x:c r="C895">
        <x:f t="shared" si="52"/>
        <x:v>503.19758645294786</x:v>
      </x:c>
      <x:c r="D895">
        <x:f t="shared" si="53"/>
        <x:v>947.33527415572405</x:v>
      </x:c>
      <x:c r="E895">
        <x:f t="shared" si="54"/>
        <x:v>888.02017290657932</x:v>
      </x:c>
    </x:row>
    <x:row r="896">
      <x:c r="A896">
        <x:f t="shared" si="50"/>
        <x:v>0.34200000000000003</x:v>
      </x:c>
      <x:c r="B896">
        <x:f t="shared" si="51"/>
        <x:v>2671.2037863706319</x:v>
      </x:c>
      <x:c r="C896">
        <x:f t="shared" si="52"/>
        <x:v>518.04057996620304</x:v>
      </x:c>
      <x:c r="D896">
        <x:f t="shared" si="53"/>
        <x:v>986.21098946721315</x:v>
      </x:c>
      <x:c r="E896">
        <x:f t="shared" si="54"/>
        <x:v>927.30116859373413</x:v>
      </x:c>
    </x:row>
    <x:row r="897">
      <x:c r="A897">
        <x:f t="shared" si="50"/>
        <x:v>0.35</x:v>
      </x:c>
      <x:c r="B897">
        <x:f t="shared" si="51"/>
        <x:v>2671.2172587037949</x:v>
      </x:c>
      <x:c r="C897">
        <x:f t="shared" si="52"/>
        <x:v>531.60295221588262</x:v>
      </x:c>
      <x:c r="D897">
        <x:f t="shared" si="53"/>
        <x:v>1021.9898236507371</x:v>
      </x:c>
      <x:c r="E897">
        <x:f t="shared" si="54"/>
        <x:v>963.44932494346153</x:v>
      </x:c>
    </x:row>
    <x:row r="898">
      <x:c r="A898">
        <x:f t="shared" si="50"/>
        <x:v>0.35799999999999998</x:v>
      </x:c>
      <x:c r="B898">
        <x:f t="shared" si="51"/>
        <x:v>2671.3747102286848</x:v>
      </x:c>
      <x:c r="C898">
        <x:f t="shared" si="52"/>
        <x:v>545.28476038725898</x:v>
      </x:c>
      <x:c r="D898">
        <x:f t="shared" si="53"/>
        <x:v>1058.645815735003</x:v>
      </x:c>
      <x:c r="E898">
        <x:f t="shared" si="54"/>
        <x:v>1000.4831784347678</x:v>
      </x:c>
    </x:row>
    <x:row r="899">
      <x:c r="A899">
        <x:f t="shared" si="50"/>
        <x:v>0.36699999999999999</x:v>
      </x:c>
      <x:c r="B899">
        <x:f t="shared" si="51"/>
        <x:v>2671.6078983056891</x:v>
      </x:c>
      <x:c r="C899">
        <x:f t="shared" si="52"/>
        <x:v>560.98381466569595</x:v>
      </x:c>
      <x:c r="D899">
        <x:f t="shared" si="53"/>
        <x:v>1100.2228354690483</x:v>
      </x:c>
      <x:c r="E899">
        <x:f t="shared" si="54"/>
        <x:v>1042.4954993130464</x:v>
      </x:c>
    </x:row>
    <x:row r="900">
      <x:c r="A900">
        <x:f t="shared" si="50"/>
        <x:v>0.375</x:v>
      </x:c>
      <x:c r="B900">
        <x:f t="shared" si="51"/>
        <x:v>2671.7725952926621</x:v>
      </x:c>
      <x:c r="C900">
        <x:f t="shared" si="52"/>
        <x:v>575.25927171581282</x:v>
      </x:c>
      <x:c r="D900">
        <x:f t="shared" si="53"/>
        <x:v>1138.7605574322938</x:v>
      </x:c>
      <x:c r="E900">
        <x:f t="shared" si="54"/>
        <x:v>1081.4292285701115</x:v>
      </x:c>
    </x:row>
    <x:row r="901">
      <x:c r="A901">
        <x:f t="shared" si="50"/>
        <x:v>0.38300000000000001</x:v>
      </x:c>
      <x:c r="B901">
        <x:f t="shared" si="51"/>
        <x:v>2671.9036227962388</x:v>
      </x:c>
      <x:c r="C901">
        <x:f t="shared" si="52"/>
        <x:v>590.28560766568205</x:v>
      </x:c>
      <x:c r="D901">
        <x:f t="shared" si="53"/>
        <x:v>1177.7366521085348</x:v>
      </x:c>
      <x:c r="E901">
        <x:f t="shared" si="54"/>
        <x:v>1120.809869781009</x:v>
      </x:c>
    </x:row>
    <x:row r="902">
      <x:c r="A902">
        <x:f t="shared" si="50"/>
        <x:v>0.39200000000000002</x:v>
      </x:c>
      <x:c r="B902">
        <x:f t="shared" si="51"/>
        <x:v>2672.186431982876</x:v>
      </x:c>
      <x:c r="C902">
        <x:f t="shared" si="52"/>
        <x:v>607.50156153522198</x:v>
      </x:c>
      <x:c r="D902">
        <x:f t="shared" si="53"/>
        <x:v>1222.6057281367232</x:v>
      </x:c>
      <x:c r="E902">
        <x:f t="shared" si="54"/>
        <x:v>1166.1442677219984</x:v>
      </x:c>
    </x:row>
    <x:row r="903">
      <x:c r="A903">
        <x:f t="shared" si="50"/>
        <x:v>0.4</x:v>
      </x:c>
      <x:c r="B903">
        <x:f t="shared" si="51"/>
        <x:v>2672.2789126991943</x:v>
      </x:c>
      <x:c r="C903">
        <x:f t="shared" si="52"/>
        <x:v>622.9166520341081</x:v>
      </x:c>
      <x:c r="D903">
        <x:f t="shared" si="53"/>
        <x:v>1263.7436976342321</x:v>
      </x:c>
      <x:c r="E903">
        <x:f t="shared" si="54"/>
        <x:v>1207.7049296409427</x:v>
      </x:c>
    </x:row>
    <x:row r="904">
      <x:c r="A904">
        <x:f t="shared" si="50"/>
        <x:v>0.40799999999999997</x:v>
      </x:c>
      <x:c r="B904">
        <x:f t="shared" si="51"/>
        <x:v>2672.4226849537231</x:v>
      </x:c>
      <x:c r="C904">
        <x:f t="shared" si="52"/>
        <x:v>638.41432921013279</x:v>
      </x:c>
      <x:c r="D904">
        <x:f t="shared" si="53"/>
        <x:v>1304.993058303427</x:v>
      </x:c>
      <x:c r="E904">
        <x:f t="shared" si="54"/>
        <x:v>1249.3855219724098</x:v>
      </x:c>
    </x:row>
    <x:row r="905">
      <x:c r="A905">
        <x:f t="shared" si="50"/>
        <x:v>0.41699999999999998</x:v>
      </x:c>
      <x:c r="B905">
        <x:f t="shared" si="51"/>
        <x:v>2672.7507541412438</x:v>
      </x:c>
      <x:c r="C905">
        <x:f t="shared" si="52"/>
        <x:v>656.4778874083446</x:v>
      </x:c>
      <x:c r="D905">
        <x:f t="shared" si="53"/>
        <x:v>1352.9496387434049</x:v>
      </x:c>
      <x:c r="E905">
        <x:f t="shared" si="54"/>
        <x:v>1297.8374450937565</x:v>
      </x:c>
    </x:row>
    <x:row r="906">
      <x:c r="A906">
        <x:f t="shared" si="50"/>
        <x:v>0.42499999999999999</x:v>
      </x:c>
      <x:c r="B906">
        <x:f t="shared" si="51"/>
        <x:v>2672.8797701745452</x:v>
      </x:c>
      <x:c r="C906">
        <x:f t="shared" si="52"/>
        <x:v>672.95215824713694</x:v>
      </x:c>
      <x:c r="D906">
        <x:f t="shared" si="53"/>
        <x:v>1396.3473019036724</x:v>
      </x:c>
      <x:c r="E906">
        <x:f t="shared" si="54"/>
        <x:v>1341.6844858030752</x:v>
      </x:c>
    </x:row>
    <x:row r="907">
      <x:c r="A907">
        <x:f t="shared" si="50"/>
        <x:v>0.433</x:v>
      </x:c>
      <x:c r="B907">
        <x:f t="shared" si="51"/>
        <x:v>2673.023648727582</x:v>
      </x:c>
      <x:c r="C907">
        <x:f t="shared" si="52"/>
        <x:v>689.90927027372959</x:v>
      </x:c>
      <x:c r="D907">
        <x:f t="shared" si="53"/>
        <x:v>1440.15613079986</x:v>
      </x:c>
      <x:c r="E907">
        <x:f t="shared" si="54"/>
        <x:v>1385.951231489151</x:v>
      </x:c>
    </x:row>
    <x:row r="908">
      <x:c r="A908">
        <x:f t="shared" si="50"/>
        <x:v>0.442</x:v>
      </x:c>
      <x:c r="B908">
        <x:f t="shared" si="51"/>
        <x:v>2673.2031514414361</x:v>
      </x:c>
      <x:c r="C908">
        <x:f t="shared" si="52"/>
        <x:v>709.4713880484527</x:v>
      </x:c>
      <x:c r="D908">
        <x:f t="shared" si="53"/>
        <x:v>1491.0284044154114</x:v>
      </x:c>
      <x:c r="E908">
        <x:f t="shared" si="54"/>
        <x:v>1437.3488685546395</x:v>
      </x:c>
    </x:row>
    <x:row r="909">
      <x:c r="A909">
        <x:f t="shared" si="50"/>
        <x:v>0.45</x:v>
      </x:c>
      <x:c r="B909">
        <x:f t="shared" si="51"/>
        <x:v>2673.4865059902168</x:v>
      </x:c>
      <x:c r="C909">
        <x:f t="shared" si="52"/>
        <x:v>726.61604893984861</x:v>
      </x:c>
      <x:c r="D909">
        <x:f t="shared" si="53"/>
        <x:v>1536.7947165438725</x:v>
      </x:c>
      <x:c r="E909">
        <x:f t="shared" si="54"/>
        <x:v>1483.5912433597673</x:v>
      </x:c>
    </x:row>
    <x:row r="910">
      <x:c r="A910">
        <x:f t="shared" si="50"/>
        <x:v>0.45800000000000002</x:v>
      </x:c>
      <x:c r="B910">
        <x:f t="shared" si="51"/>
        <x:v>2673.8136935452526</x:v>
      </x:c>
      <x:c r="C910">
        <x:f t="shared" si="52"/>
        <x:v>743.92120409000484</x:v>
      </x:c>
      <x:c r="D910">
        <x:f t="shared" si="53"/>
        <x:v>1583.2195430205654</x:v>
      </x:c>
      <x:c r="E910">
        <x:f t="shared" si="54"/>
        <x:v>1530.5006717539641</x:v>
      </x:c>
    </x:row>
    <x:row r="911">
      <x:c r="A911">
        <x:f t="shared" si="50"/>
        <x:v>0.46700000000000003</x:v>
      </x:c>
      <x:c r="B911">
        <x:f t="shared" si="51"/>
        <x:v>2674.0089909749609</x:v>
      </x:c>
      <x:c r="C911">
        <x:f t="shared" si="52"/>
        <x:v>764.47980667523132</x:v>
      </x:c>
      <x:c r="D911">
        <x:f t="shared" si="53"/>
        <x:v>1637.3411182670352</x:v>
      </x:c>
      <x:c r="E911">
        <x:f t="shared" si="54"/>
        <x:v>1585.1776312189386</x:v>
      </x:c>
    </x:row>
    <x:row r="912">
      <x:c r="A912">
        <x:f t="shared" si="50"/>
        <x:v>0.47499999999999998</x:v>
      </x:c>
      <x:c r="B912">
        <x:f t="shared" si="51"/>
        <x:v>2674.1751651503191</x:v>
      </x:c>
      <x:c r="C912">
        <x:f t="shared" si="52"/>
        <x:v>783.32681314868614</x:v>
      </x:c>
      <x:c r="D912">
        <x:f t="shared" si="53"/>
        <x:v>1685.5394953979162</x:v>
      </x:c>
      <x:c r="E912">
        <x:f t="shared" si="54"/>
        <x:v>1633.8787561541026</x:v>
      </x:c>
    </x:row>
    <x:row r="913">
      <x:c r="A913">
        <x:f t="shared" si="50"/>
        <x:v>0.48299999999999998</x:v>
      </x:c>
      <x:c r="B913">
        <x:f t="shared" si="51"/>
        <x:v>2674.4235115684287</x:v>
      </x:c>
      <x:c r="C913">
        <x:f t="shared" si="52"/>
        <x:v>801.84648320075621</x:v>
      </x:c>
      <x:c r="D913">
        <x:f t="shared" si="53"/>
        <x:v>1735.101566695354</x:v>
      </x:c>
      <x:c r="E913">
        <x:f t="shared" si="54"/>
        <x:v>1683.9521144966598</x:v>
      </x:c>
    </x:row>
    <x:row r="914">
      <x:c r="A914">
        <x:f t="shared" si="50"/>
        <x:v>0.49199999999999999</x:v>
      </x:c>
      <x:c r="B914">
        <x:f t="shared" si="51"/>
        <x:v>2674.8583207942811</x:v>
      </x:c>
      <x:c r="C914">
        <x:f t="shared" si="52"/>
        <x:v>822.96730769889598</x:v>
      </x:c>
      <x:c r="D914">
        <x:f t="shared" si="53"/>
        <x:v>1791.9512689962028</x:v>
      </x:c>
      <x:c r="E914">
        <x:f t="shared" si="54"/>
        <x:v>1741.3872217845812</x:v>
      </x:c>
    </x:row>
    <x:row r="915">
      <x:c r="A915">
        <x:f t="shared" si="50"/>
        <x:v>0.5</x:v>
      </x:c>
      <x:c r="B915">
        <x:f t="shared" si="51"/>
        <x:v>2675.1047945408004</x:v>
      </x:c>
      <x:c r="C915">
        <x:f t="shared" si="52"/>
        <x:v>842.2172398529525</x:v>
      </x:c>
      <x:c r="D915">
        <x:f t="shared" si="53"/>
        <x:v>1842.779486102344</x:v>
      </x:c>
      <x:c r="E915">
        <x:f t="shared" si="54"/>
        <x:v>1792.7448718226212</x:v>
      </x:c>
    </x:row>
    <x:row r="916">
      <x:c r="A916">
        <x:f t="shared" si="50"/>
        <x:v>0.50800000000000001</x:v>
      </x:c>
      <x:c r="B916">
        <x:f t="shared" si="51"/>
        <x:v>2675.2662006819191</x:v>
      </x:c>
      <x:c r="C916">
        <x:f t="shared" si="52"/>
        <x:v>861.79271477454358</x:v>
      </x:c>
      <x:c r="D916">
        <x:f t="shared" si="53"/>
        <x:v>1894.9471352963021</x:v>
      </x:c>
      <x:c r="E916">
        <x:f t="shared" si="54"/>
        <x:v>1845.4504931893146</x:v>
      </x:c>
    </x:row>
    <x:row r="917">
      <x:c r="A917">
        <x:f t="shared" si="50"/>
        <x:v>0.51700000000000002</x:v>
      </x:c>
      <x:c r="B917">
        <x:f t="shared" si="51"/>
        <x:v>2675.6070097095831</x:v>
      </x:c>
      <x:c r="C917">
        <x:f t="shared" si="52"/>
        <x:v>884.34748750000233</x:v>
      </x:c>
      <x:c r="D917">
        <x:f t="shared" si="53"/>
        <x:v>1954.2554299760664</x:v>
      </x:c>
      <x:c r="E917">
        <x:f t="shared" si="54"/>
        <x:v>1905.3742136247199</x:v>
      </x:c>
    </x:row>
    <x:row r="918">
      <x:c r="A918">
        <x:f t="shared" si="50"/>
        <x:v>0.52500000000000002</x:v>
      </x:c>
      <x:c r="B918">
        <x:f t="shared" si="51"/>
        <x:v>2675.7438987522555</x:v>
      </x:c>
      <x:c r="C918">
        <x:f t="shared" si="52"/>
        <x:v>904.89343483117568</x:v>
      </x:c>
      <x:c r="D918">
        <x:f t="shared" si="53"/>
        <x:v>2007.7962312536522</x:v>
      </x:c>
      <x:c r="E918">
        <x:f t="shared" si="54"/>
        <x:v>1959.4711329618194</x:v>
      </x:c>
    </x:row>
    <x:row r="919">
      <x:c r="A919">
        <x:f t="shared" si="50"/>
        <x:v>0.53300000000000003</x:v>
      </x:c>
      <x:c r="B919">
        <x:f t="shared" si="51"/>
        <x:v>2676.0368656583214</x:v>
      </x:c>
      <x:c r="C919">
        <x:f t="shared" si="52"/>
        <x:v>925.29611336663845</x:v>
      </x:c>
      <x:c r="D919">
        <x:f t="shared" si="53"/>
        <x:v>2062.4558981393743</x:v>
      </x:c>
      <x:c r="E919">
        <x:f t="shared" si="54"/>
        <x:v>2014.6954571478936</x:v>
      </x:c>
    </x:row>
    <x:row r="920">
      <x:c r="A920">
        <x:f t="shared" si="50"/>
        <x:v>0.54200000000000004</x:v>
      </x:c>
      <x:c r="B920">
        <x:f t="shared" si="51"/>
        <x:v>2676.2888769199035</x:v>
      </x:c>
      <x:c r="C920">
        <x:f t="shared" si="52"/>
        <x:v>948.54917388286458</x:v>
      </x:c>
      <x:c r="D920">
        <x:f t="shared" si="53"/>
        <x:v>2124.4276204023909</x:v>
      </x:c>
      <x:c r="E920">
        <x:f t="shared" si="54"/>
        <x:v>2077.3126259351188</x:v>
      </x:c>
    </x:row>
    <x:row r="921">
      <x:c r="A921">
        <x:f t="shared" si="50"/>
        <x:v>0.55000000000000004</x:v>
      </x:c>
      <x:c r="B921">
        <x:f t="shared" si="51"/>
        <x:v>2676.6090979579699</x:v>
      </x:c>
      <x:c r="C921">
        <x:f t="shared" si="52"/>
        <x:v>969.72400279150156</x:v>
      </x:c>
      <x:c r="D921">
        <x:f t="shared" si="53"/>
        <x:v>2180.7142495266362</x:v>
      </x:c>
      <x:c r="E921">
        <x:f t="shared" si="54"/>
        <x:v>2134.1820582464943</x:v>
      </x:c>
    </x:row>
    <x:row r="922">
      <x:c r="A922">
        <x:f t="shared" si="50"/>
        <x:v>0.55800000000000005</x:v>
      </x:c>
      <x:c r="B922">
        <x:f t="shared" si="51"/>
        <x:v>2676.7614368371142</x:v>
      </x:c>
      <x:c r="C922">
        <x:f t="shared" si="52"/>
        <x:v>991.30442967562442</x:v>
      </x:c>
      <x:c r="D922">
        <x:f t="shared" si="53"/>
        <x:v>2237.9762205627935</x:v>
      </x:c>
      <x:c r="E922">
        <x:f t="shared" si="54"/>
        <x:v>2192.0353717106186</x:v>
      </x:c>
    </x:row>
    <x:row r="923">
      <x:c r="A923">
        <x:f t="shared" si="50"/>
        <x:v>0.56699999999999995</x:v>
      </x:c>
      <x:c r="B923">
        <x:f t="shared" si="51"/>
        <x:v>2676.9678952459385</x:v>
      </x:c>
      <x:c r="C923">
        <x:f t="shared" si="52"/>
        <x:v>1016.1752855742253</x:v>
      </x:c>
      <x:c r="D923">
        <x:f t="shared" si="53"/>
        <x:v>2302.7493589619621</x:v>
      </x:c>
      <x:c r="E923">
        <x:f t="shared" si="54"/>
        <x:v>2257.4839774025636</x:v>
      </x:c>
    </x:row>
    <x:row r="924">
      <x:c r="A924">
        <x:f t="shared" si="50"/>
        <x:v>0.57499999999999996</x:v>
      </x:c>
      <x:c r="B924">
        <x:f t="shared" si="51"/>
        <x:v>2677.1867210166747</x:v>
      </x:c>
      <x:c r="C924">
        <x:f t="shared" si="52"/>
        <x:v>1038.4017236883185</x:v>
      </x:c>
      <x:c r="D924">
        <x:f t="shared" si="53"/>
        <x:v>2361.943478253394</x:v>
      </x:c>
      <x:c r="E924">
        <x:f t="shared" si="54"/>
        <x:v>2317.2875850087416</x:v>
      </x:c>
    </x:row>
    <x:row r="925">
      <x:c r="A925">
        <x:f t="shared" si="50"/>
        <x:v>0.58299999999999996</x:v>
      </x:c>
      <x:c r="B925">
        <x:f t="shared" si="51"/>
        <x:v>2677.3815092232917</x:v>
      </x:c>
      <x:c r="C925">
        <x:f t="shared" si="52"/>
        <x:v>1060.8081910527985</x:v>
      </x:c>
      <x:c r="D925">
        <x:f t="shared" si="53"/>
        <x:v>2421.619819894157</x:v>
      </x:c>
      <x:c r="E925">
        <x:f t="shared" si="54"/>
        <x:v>2377.5819542050881</x:v>
      </x:c>
    </x:row>
    <x:row r="926">
      <x:c r="A926">
        <x:f t="shared" si="50"/>
        <x:v>0.59199999999999997</x:v>
      </x:c>
      <x:c r="B926">
        <x:f t="shared" si="51"/>
        <x:v>2677.619339587693</x:v>
      </x:c>
      <x:c r="C926">
        <x:f t="shared" si="52"/>
        <x:v>1086.4391980001599</x:v>
      </x:c>
      <x:c r="D926">
        <x:f t="shared" si="53"/>
        <x:v>2489.3835360654489</x:v>
      </x:c>
      <x:c r="E926">
        <x:f t="shared" si="54"/>
        <x:v>2446.0511584377236</x:v>
      </x:c>
    </x:row>
    <x:row r="927">
      <x:c r="A927" t="n">
        <x:f t="shared" ref="A927:A975" si="55">I194</x:f>
        <x:v>0.6</x:v>
      </x:c>
      <x:c r="B927" t="n">
        <x:f t="shared" ref="B927:B975" si="56">Y194</x:f>
        <x:v>2677.816380981363</x:v>
      </x:c>
      <x:c r="C927" t="n">
        <x:f t="shared" ref="C927:C975" si="57">AA194</x:f>
        <x:v>1109.513437541667</x:v>
      </x:c>
      <x:c r="D927" t="n">
        <x:f t="shared" ref="D927:D975" si="58">AC194</x:f>
        <x:v>2551.1472763301194</x:v>
      </x:c>
      <x:c r="E927" t="n">
        <x:f t="shared" ref="E927:E975" si="59">AE194</x:f>
        <x:v>2508.451072144756</x:v>
      </x:c>
    </x:row>
    <x:row r="928">
      <x:c r="A928">
        <x:f t="shared" si="55"/>
        <x:v>0.60799999999999998</x:v>
      </x:c>
      <x:c r="B928">
        <x:f t="shared" si="56"/>
        <x:v>2678.077818920377</x:v>
      </x:c>
      <x:c r="C928">
        <x:f t="shared" si="57"/>
        <x:v>1133.2303407408722</x:v>
      </x:c>
      <x:c r="D928">
        <x:f t="shared" si="58"/>
        <x:v>2612.9574942317927</x:v>
      </x:c>
      <x:c r="E928">
        <x:f t="shared" si="59"/>
        <x:v>2570.9060027296282</x:v>
      </x:c>
    </x:row>
    <x:row r="929">
      <x:c r="A929">
        <x:f t="shared" si="55"/>
        <x:v>0.61699999999999999</x:v>
      </x:c>
      <x:c r="B929">
        <x:f t="shared" si="56"/>
        <x:v>2678.2572674085541</x:v>
      </x:c>
      <x:c r="C929">
        <x:f t="shared" si="57"/>
        <x:v>1160.4424143897661</x:v>
      </x:c>
      <x:c r="D929">
        <x:f t="shared" si="58"/>
        <x:v>2683.9185129860048</x:v>
      </x:c>
      <x:c r="E929">
        <x:f t="shared" si="59"/>
        <x:v>2642.6025303137526</x:v>
      </x:c>
    </x:row>
    <x:row r="930">
      <x:c r="A930">
        <x:f t="shared" si="55"/>
        <x:v>0.625</x:v>
      </x:c>
      <x:c r="B930">
        <x:f t="shared" si="56"/>
        <x:v>2678.5625068343511</x:v>
      </x:c>
      <x:c r="C930">
        <x:f t="shared" si="57"/>
        <x:v>1184.7688552263792</x:v>
      </x:c>
      <x:c r="D930">
        <x:f t="shared" si="58"/>
        <x:v>2748.1539582175906</x:v>
      </x:c>
      <x:c r="E930">
        <x:f t="shared" si="59"/>
        <x:v>2707.5008341153157</x:v>
      </x:c>
    </x:row>
    <x:row r="931">
      <x:c r="A931">
        <x:f t="shared" si="55"/>
        <x:v>0.63300000000000001</x:v>
      </x:c>
      <x:c r="B931">
        <x:f t="shared" si="56"/>
        <x:v>2678.7296092144975</x:v>
      </x:c>
      <x:c r="C931">
        <x:f t="shared" si="57"/>
        <x:v>1208.901125428142</x:v>
      </x:c>
      <x:c r="D931">
        <x:f t="shared" si="58"/>
        <x:v>2812.6430211949514</x:v>
      </x:c>
      <x:c r="E931">
        <x:f t="shared" si="59"/>
        <x:v>2772.6612949034916</x:v>
      </x:c>
    </x:row>
    <x:row r="932">
      <x:c r="A932">
        <x:f t="shared" si="55"/>
        <x:v>0.64200000000000002</x:v>
      </x:c>
      <x:c r="B932">
        <x:f t="shared" si="56"/>
        <x:v>2678.9468219985015</x:v>
      </x:c>
      <x:c r="C932">
        <x:f t="shared" si="57"/>
        <x:v>1236.4423753811409</x:v>
      </x:c>
      <x:c r="D932">
        <x:f t="shared" si="58"/>
        <x:v>2886.7454611946159</x:v>
      </x:c>
      <x:c r="E932">
        <x:f t="shared" si="59"/>
        <x:v>2847.5292645016361</x:v>
      </x:c>
    </x:row>
    <x:row r="933">
      <x:c r="A933">
        <x:f t="shared" si="55"/>
        <x:v>0.65</x:v>
      </x:c>
      <x:c r="B933">
        <x:f t="shared" si="56"/>
        <x:v>2679.2351279428963</x:v>
      </x:c>
      <x:c r="C933">
        <x:f t="shared" si="57"/>
        <x:v>1261.9553443495984</x:v>
      </x:c>
      <x:c r="D933">
        <x:f t="shared" si="58"/>
        <x:v>2953.4833326943167</x:v>
      </x:c>
      <x:c r="E933">
        <x:f t="shared" si="59"/>
        <x:v>2914.9566796989302</x:v>
      </x:c>
    </x:row>
    <x:row r="934">
      <x:c r="A934">
        <x:f t="shared" si="55"/>
        <x:v>0.65800000000000003</x:v>
      </x:c>
      <x:c r="B934">
        <x:f t="shared" si="56"/>
        <x:v>2679.5429217645637</x:v>
      </x:c>
      <x:c r="C934">
        <x:f t="shared" si="57"/>
        <x:v>1287.9071431225977</x:v>
      </x:c>
      <x:c r="D934">
        <x:f t="shared" si="58"/>
        <x:v>3020.5476721756841</x:v>
      </x:c>
      <x:c r="E934">
        <x:f t="shared" si="59"/>
        <x:v>2982.7191021187282</x:v>
      </x:c>
    </x:row>
    <x:row r="935">
      <x:c r="A935">
        <x:f t="shared" si="55"/>
        <x:v>0.66700000000000004</x:v>
      </x:c>
      <x:c r="B935">
        <x:f t="shared" si="56"/>
        <x:v>2679.9105799026788</x:v>
      </x:c>
      <x:c r="C935">
        <x:f t="shared" si="57"/>
        <x:v>1316.748844131012</x:v>
      </x:c>
      <x:c r="D935">
        <x:f t="shared" si="58"/>
        <x:v>3097.7527678159954</x:v>
      </x:c>
      <x:c r="E935">
        <x:f t="shared" si="59"/>
        <x:v>3060.7197481260864</x:v>
      </x:c>
    </x:row>
    <x:row r="936">
      <x:c r="A936">
        <x:f t="shared" si="55"/>
        <x:v>0.67500000000000004</x:v>
      </x:c>
      <x:c r="B936">
        <x:f t="shared" si="56"/>
        <x:v>2680.2698805373798</x:v>
      </x:c>
      <x:c r="C936">
        <x:f t="shared" si="57"/>
        <x:v>1342.781784912361</x:v>
      </x:c>
      <x:c r="D936">
        <x:f t="shared" si="58"/>
        <x:v>3166.7358346388191</x:v>
      </x:c>
      <x:c r="E936">
        <x:f t="shared" si="59"/>
        <x:v>3130.4190437741199</x:v>
      </x:c>
    </x:row>
    <x:row r="937">
      <x:c r="A937">
        <x:f t="shared" si="55"/>
        <x:v>0.68300000000000005</x:v>
      </x:c>
      <x:c r="B937">
        <x:f t="shared" si="56"/>
        <x:v>2680.6154974151013</x:v>
      </x:c>
      <x:c r="C937">
        <x:f t="shared" si="57"/>
        <x:v>1369.0331480409086</x:v>
      </x:c>
      <x:c r="D937">
        <x:f t="shared" si="58"/>
        <x:v>3236.5059270244437</x:v>
      </x:c>
      <x:c r="E937">
        <x:f t="shared" si="59"/>
        <x:v>3200.9139042257916</x:v>
      </x:c>
    </x:row>
    <x:row r="938">
      <x:c r="A938">
        <x:f t="shared" si="55"/>
        <x:v>0.69199999999999995</x:v>
      </x:c>
      <x:c r="B938">
        <x:f t="shared" si="56"/>
        <x:v>2681.0146298396603</x:v>
      </x:c>
      <x:c r="C938">
        <x:f t="shared" si="57"/>
        <x:v>1399.215260026979</x:v>
      </x:c>
      <x:c r="D938">
        <x:f t="shared" si="58"/>
        <x:v>3316.5188117920811</x:v>
      </x:c>
      <x:c r="E938">
        <x:f t="shared" si="59"/>
        <x:v>3281.7523601290445</x:v>
      </x:c>
    </x:row>
    <x:row r="939">
      <x:c r="A939">
        <x:f t="shared" si="55"/>
        <x:v>0.7</x:v>
      </x:c>
      <x:c r="B939">
        <x:f t="shared" si="56"/>
        <x:v>2681.3581731791746</x:v>
      </x:c>
      <x:c r="C939">
        <x:f t="shared" si="57"/>
        <x:v>1426.519680102296</x:v>
      </x:c>
      <x:c r="D939">
        <x:f t="shared" si="58"/>
        <x:v>3387.654474031865</x:v>
      </x:c>
      <x:c r="E939">
        <x:f t="shared" si="59"/>
        <x:v>3353.6309363216533</x:v>
      </x:c>
    </x:row>
    <x:row r="940">
      <x:c r="A940">
        <x:f t="shared" si="55"/>
        <x:v>0.70799999999999996</x:v>
      </x:c>
      <x:c r="B940">
        <x:f t="shared" si="56"/>
        <x:v>2681.7323374639054</x:v>
      </x:c>
      <x:c r="C940">
        <x:f t="shared" si="57"/>
        <x:v>1454.3031298706867</x:v>
      </x:c>
      <x:c r="D940">
        <x:f t="shared" si="58"/>
        <x:v>3460.2015967853608</x:v>
      </x:c>
      <x:c r="E940">
        <x:f t="shared" si="59"/>
        <x:v>3426.9295122688118</x:v>
      </x:c>
    </x:row>
    <x:row r="941">
      <x:c r="A941">
        <x:f t="shared" si="55"/>
        <x:v>0.71699999999999997</x:v>
      </x:c>
      <x:c r="B941">
        <x:f t="shared" si="56"/>
        <x:v>2682.021911892592</x:v>
      </x:c>
      <x:c r="C941">
        <x:f t="shared" si="57"/>
        <x:v>1485.195318540033</x:v>
      </x:c>
      <x:c r="D941">
        <x:f t="shared" si="58"/>
        <x:v>3542.8247059020114</x:v>
      </x:c>
      <x:c r="E941">
        <x:f t="shared" si="59"/>
        <x:v>3510.4082132896465</x:v>
      </x:c>
    </x:row>
    <x:row r="942">
      <x:c r="A942">
        <x:f t="shared" si="55"/>
        <x:v>0.72499999999999998</x:v>
      </x:c>
      <x:c r="B942">
        <x:f t="shared" si="56"/>
        <x:v>2682.4022174144784</x:v>
      </x:c>
      <x:c r="C942">
        <x:f t="shared" si="57"/>
        <x:v>1512.9108568074798</x:v>
      </x:c>
      <x:c r="D942">
        <x:f t="shared" si="58"/>
        <x:v>3616.803052164903</x:v>
      </x:c>
      <x:c r="E942">
        <x:f t="shared" si="59"/>
        <x:v>3585.1561586329776</x:v>
      </x:c>
    </x:row>
    <x:row r="943">
      <x:c r="A943">
        <x:f t="shared" si="55"/>
        <x:v>0.73299999999999998</x:v>
      </x:c>
      <x:c r="B943">
        <x:f t="shared" si="56"/>
        <x:v>2682.7748799157594</x:v>
      </x:c>
      <x:c r="C943">
        <x:f t="shared" si="57"/>
        <x:v>1541.4540654481948</x:v>
      </x:c>
      <x:c r="D943">
        <x:f t="shared" si="58"/>
        <x:v>3692.1830494024643</x:v>
      </x:c>
      <x:c r="E943">
        <x:f t="shared" si="59"/>
        <x:v>3661.3142941918177</x:v>
      </x:c>
    </x:row>
    <x:row r="944">
      <x:c r="A944">
        <x:f t="shared" si="55"/>
        <x:v>0.74199999999999999</x:v>
      </x:c>
      <x:c r="B944">
        <x:f t="shared" si="56"/>
        <x:v>2683.2285243627853</x:v>
      </x:c>
      <x:c r="C944">
        <x:f t="shared" si="57"/>
        <x:v>1574.1976338491966</x:v>
      </x:c>
      <x:c r="D944">
        <x:f t="shared" si="58"/>
        <x:v>3777.6203108286313</x:v>
      </x:c>
      <x:c r="E944">
        <x:f t="shared" si="59"/>
        <x:v>3747.6371682907366</x:v>
      </x:c>
    </x:row>
    <x:row r="945">
      <x:c r="A945">
        <x:f t="shared" si="55"/>
        <x:v>0.75</x:v>
      </x:c>
      <x:c r="B945">
        <x:f t="shared" si="56"/>
        <x:v>2683.5548091604642</x:v>
      </x:c>
      <x:c r="C945">
        <x:f t="shared" si="57"/>
        <x:v>1603.1443212159713</x:v>
      </x:c>
      <x:c r="D945">
        <x:f t="shared" si="58"/>
        <x:v>3854.3093981437132</x:v>
      </x:c>
      <x:c r="E945">
        <x:f t="shared" si="59"/>
        <x:v>3825.1225398138749</x:v>
      </x:c>
    </x:row>
    <x:row r="946">
      <x:c r="A946">
        <x:f t="shared" si="55"/>
        <x:v>0.75800000000000001</x:v>
      </x:c>
      <x:c r="B946">
        <x:f t="shared" si="56"/>
        <x:v>2683.8975540425167</x:v>
      </x:c>
      <x:c r="C946">
        <x:f t="shared" si="57"/>
        <x:v>1632.5427234407928</x:v>
      </x:c>
      <x:c r="D946">
        <x:f t="shared" si="58"/>
        <x:v>3932.4165893514773</x:v>
      </x:c>
      <x:c r="E946">
        <x:f t="shared" si="59"/>
        <x:v>3904.0345544705324</x:v>
      </x:c>
    </x:row>
    <x:row r="947">
      <x:c r="A947">
        <x:f t="shared" si="55"/>
        <x:v>0.76700000000000002</x:v>
      </x:c>
      <x:c r="B947">
        <x:f t="shared" si="56"/>
        <x:v>2684.2763942375609</x:v>
      </x:c>
      <x:c r="C947">
        <x:f t="shared" si="57"/>
        <x:v>1665.8157365634884</x:v>
      </x:c>
      <x:c r="D947">
        <x:f t="shared" si="58"/>
        <x:v>4020.5820211383834</x:v>
      </x:c>
      <x:c r="E947">
        <x:f t="shared" si="59"/>
        <x:v>3993.1156196987595</x:v>
      </x:c>
    </x:row>
    <x:row r="948">
      <x:c r="A948">
        <x:f t="shared" si="55"/>
        <x:v>0.77500000000000002</x:v>
      </x:c>
      <x:c r="B948">
        <x:f t="shared" si="56"/>
        <x:v>2684.622731679297</x:v>
      </x:c>
      <x:c r="C948">
        <x:f t="shared" si="57"/>
        <x:v>1695.9271546505779</x:v>
      </x:c>
      <x:c r="D948">
        <x:f t="shared" si="58"/>
        <x:v>4100.0862314704727</x:v>
      </x:c>
      <x:c r="E948">
        <x:f t="shared" si="59"/>
        <x:v>4073.4427993665199</x:v>
      </x:c>
    </x:row>
    <x:row r="949">
      <x:c r="A949">
        <x:f t="shared" si="55"/>
        <x:v>0.78300000000000003</x:v>
      </x:c>
      <x:c r="B949">
        <x:f t="shared" si="56"/>
        <x:v>2684.9589026777235</x:v>
      </x:c>
      <x:c r="C949">
        <x:f t="shared" si="57"/>
        <x:v>1726.1480175819888</x:v>
      </x:c>
      <x:c r="D949">
        <x:f t="shared" si="58"/>
        <x:v>4180.5724957116963</x:v>
      </x:c>
      <x:c r="E949">
        <x:f t="shared" si="59"/>
        <x:v>4154.7605721842538</x:v>
      </x:c>
    </x:row>
    <x:row r="950">
      <x:c r="A950">
        <x:f t="shared" si="55"/>
        <x:v>0.79200000000000004</x:v>
      </x:c>
      <x:c r="B950">
        <x:f t="shared" si="56"/>
        <x:v>2685.3018573956542</x:v>
      </x:c>
      <x:c r="C950">
        <x:f t="shared" si="57"/>
        <x:v>1760.8952378153272</x:v>
      </x:c>
      <x:c r="D950">
        <x:f t="shared" si="58"/>
        <x:v>4271.2581348630956</x:v>
      </x:c>
      <x:c r="E950">
        <x:f t="shared" si="59"/>
        <x:v>4246.39186554554</x:v>
      </x:c>
    </x:row>
    <x:row r="951">
      <x:c r="A951">
        <x:f t="shared" si="55"/>
        <x:v>0.8</x:v>
      </x:c>
      <x:c r="B951">
        <x:f t="shared" si="56"/>
        <x:v>2685.6517979163368</x:v>
      </x:c>
      <x:c r="C951">
        <x:f t="shared" si="57"/>
        <x:v>1792.1092244281049</x:v>
      </x:c>
      <x:c r="D951">
        <x:f t="shared" si="58"/>
        <x:v>4353.6239154244649</x:v>
      </x:c>
      <x:c r="E951">
        <x:f t="shared" si="59"/>
        <x:v>4329.6073005701974</x:v>
      </x:c>
    </x:row>
    <x:row r="952">
      <x:c r="A952">
        <x:f t="shared" si="55"/>
        <x:v>0.80800000000000005</x:v>
      </x:c>
      <x:c r="B952">
        <x:f t="shared" si="56"/>
        <x:v>2686.0128380585302</x:v>
      </x:c>
      <x:c r="C952">
        <x:f t="shared" si="57"/>
        <x:v>1823.4048538981949</x:v>
      </x:c>
      <x:c r="D952">
        <x:f t="shared" si="58"/>
        <x:v>4436.5284317048536</x:v>
      </x:c>
      <x:c r="E952">
        <x:f t="shared" si="59"/>
        <x:v>4413.3700105547132</x:v>
      </x:c>
    </x:row>
    <x:row r="953">
      <x:c r="A953">
        <x:f t="shared" si="55"/>
        <x:v>0.81699999999999995</x:v>
      </x:c>
      <x:c r="B953">
        <x:f t="shared" si="56"/>
        <x:v>2686.2620306147478</x:v>
      </x:c>
      <x:c r="C953">
        <x:f t="shared" si="57"/>
        <x:v>1858.7218553094999</x:v>
      </x:c>
      <x:c r="D953">
        <x:f t="shared" si="58"/>
        <x:v>4530.3282792832006</x:v>
      </x:c>
      <x:c r="E953">
        <x:f t="shared" si="59"/>
        <x:v>4508.1455331115139</x:v>
      </x:c>
    </x:row>
    <x:row r="954">
      <x:c r="A954">
        <x:f t="shared" si="55"/>
        <x:v>0.82499999999999996</x:v>
      </x:c>
      <x:c r="B954">
        <x:f t="shared" si="56"/>
        <x:v>2686.6904699144197</x:v>
      </x:c>
      <x:c r="C954">
        <x:f t="shared" si="57"/>
        <x:v>1890.6387614596908</x:v>
      </x:c>
      <x:c r="D954">
        <x:f t="shared" si="58"/>
        <x:v>4615.4294066950188</x:v>
      </x:c>
      <x:c r="E954">
        <x:f t="shared" si="59"/>
        <x:v>4594.1230001142367</x:v>
      </x:c>
    </x:row>
    <x:row r="955">
      <x:c r="A955">
        <x:f t="shared" si="55"/>
        <x:v>0.83299999999999996</x:v>
      </x:c>
      <x:c r="B955">
        <x:f t="shared" si="56"/>
        <x:v>2687.075837528585</x:v>
      </x:c>
      <x:c r="C955">
        <x:f t="shared" si="57"/>
        <x:v>1923.1125076645915</x:v>
      </x:c>
      <x:c r="D955">
        <x:f t="shared" si="58"/>
        <x:v>4700.4031122124379</x:v>
      </x:c>
      <x:c r="E955">
        <x:f t="shared" si="59"/>
        <x:v>4679.9815844633977</x:v>
      </x:c>
    </x:row>
    <x:row r="956">
      <x:c r="A956">
        <x:f t="shared" si="55"/>
        <x:v>0.84199999999999997</x:v>
      </x:c>
      <x:c r="B956">
        <x:f t="shared" si="56"/>
        <x:v>2687.5172186847417</x:v>
      </x:c>
      <x:c r="C956">
        <x:f t="shared" si="57"/>
        <x:v>1960.0763885223253</x:v>
      </x:c>
      <x:c r="D956">
        <x:f t="shared" si="58"/>
        <x:v>4797.5367354717901</x:v>
      </x:c>
      <x:c r="E956">
        <x:f t="shared" si="59"/>
        <x:v>4778.1209034697722</x:v>
      </x:c>
    </x:row>
    <x:row r="957">
      <x:c r="A957">
        <x:f t="shared" si="55"/>
        <x:v>0.85</x:v>
      </x:c>
      <x:c r="B957">
        <x:f t="shared" si="56"/>
        <x:v>2687.7158781777048</x:v>
      </x:c>
      <x:c r="C957">
        <x:f t="shared" si="57"/>
        <x:v>1992.8224473858181</x:v>
      </x:c>
      <x:c r="D957">
        <x:f t="shared" si="58"/>
        <x:v>4885.0168871785563</x:v>
      </x:c>
      <x:c r="E957">
        <x:f t="shared" si="59"/>
        <x:v>4866.5040798950586</x:v>
      </x:c>
    </x:row>
    <x:row r="958">
      <x:c r="A958">
        <x:f t="shared" si="55"/>
        <x:v>0.85799999999999998</x:v>
      </x:c>
      <x:c r="B958">
        <x:f t="shared" si="56"/>
        <x:v>2688.2272914906202</x:v>
      </x:c>
      <x:c r="C958">
        <x:f t="shared" si="57"/>
        <x:v>2025.9670355035455</x:v>
      </x:c>
      <x:c r="D958">
        <x:f t="shared" si="58"/>
        <x:v>4972.4418683291915</x:v>
      </x:c>
      <x:c r="E958">
        <x:f t="shared" si="59"/>
        <x:v>4954.8406250050512</x:v>
      </x:c>
    </x:row>
    <x:row r="959">
      <x:c r="A959">
        <x:f t="shared" si="55"/>
        <x:v>0.86699999999999999</x:v>
      </x:c>
      <x:c r="B959">
        <x:f t="shared" si="56"/>
        <x:v>2688.5106820417809</x:v>
      </x:c>
      <x:c r="C959">
        <x:f t="shared" si="57"/>
        <x:v>2063.5225689138215</x:v>
      </x:c>
      <x:c r="D959">
        <x:f t="shared" si="58"/>
        <x:v>5072.5799317173605</x:v>
      </x:c>
      <x:c r="E959">
        <x:f t="shared" si="59"/>
        <x:v>5056.0144049088103</x:v>
      </x:c>
    </x:row>
    <x:row r="960">
      <x:c r="A960">
        <x:f t="shared" si="55"/>
        <x:v>0.875</x:v>
      </x:c>
      <x:c r="B960">
        <x:f t="shared" si="56"/>
        <x:v>2688.8996096964388</x:v>
      </x:c>
      <x:c r="C960">
        <x:f t="shared" si="57"/>
        <x:v>2097.3953409322794</x:v>
      </x:c>
      <x:c r="D960">
        <x:f t="shared" si="58"/>
        <x:v>5162.2940643604143</x:v>
      </x:c>
      <x:c r="E960">
        <x:f t="shared" si="59"/>
        <x:v>5146.6582473980006</x:v>
      </x:c>
    </x:row>
    <x:row r="961">
      <x:c r="A961">
        <x:f t="shared" si="55"/>
        <x:v>0.88300000000000001</x:v>
      </x:c>
      <x:c r="B961">
        <x:f t="shared" si="56"/>
        <x:v>2689.4096505813941</x:v>
      </x:c>
      <x:c r="C961">
        <x:f t="shared" si="57"/>
        <x:v>2131.8969934042402</x:v>
      </x:c>
      <x:c r="D961">
        <x:f t="shared" si="58"/>
        <x:v>5252.466158272302</x:v>
      </x:c>
      <x:c r="E961">
        <x:f t="shared" si="59"/>
        <x:v>5237.7685903968631</x:v>
      </x:c>
    </x:row>
    <x:row r="962">
      <x:c r="A962">
        <x:f t="shared" si="55"/>
        <x:v>0.89200000000000002</x:v>
      </x:c>
      <x:c r="B962">
        <x:f t="shared" si="56"/>
        <x:v>2689.7775551001491</x:v>
      </x:c>
      <x:c r="C962">
        <x:f t="shared" si="57"/>
        <x:v>2170.9661833407722</x:v>
      </x:c>
      <x:c r="D962">
        <x:f t="shared" si="58"/>
        <x:v>5355.5487004070555</x:v>
      </x:c>
      <x:c r="E962">
        <x:f t="shared" si="59"/>
        <x:v>5341.9168698157728</x:v>
      </x:c>
    </x:row>
    <x:row r="963">
      <x:c r="A963">
        <x:f t="shared" si="55"/>
        <x:v>0.9</x:v>
      </x:c>
      <x:c r="B963">
        <x:f t="shared" si="56"/>
        <x:v>2690.180103448934</x:v>
      </x:c>
      <x:c r="C963">
        <x:f t="shared" si="57"/>
        <x:v>2205.507336392368</x:v>
      </x:c>
      <x:c r="D963">
        <x:f t="shared" si="58"/>
        <x:v>5447.708509483361</x:v>
      </x:c>
      <x:c r="E963">
        <x:f t="shared" si="59"/>
        <x:v>5435.0330738658304</x:v>
      </x:c>
    </x:row>
    <x:row r="964">
      <x:c r="A964">
        <x:f t="shared" si="55"/>
        <x:v>0.90800000000000003</x:v>
      </x:c>
      <x:c r="B964">
        <x:f t="shared" si="56"/>
        <x:v>2690.4336269311352</x:v>
      </x:c>
      <x:c r="C964">
        <x:f t="shared" si="57"/>
        <x:v>2240.2514311454929</x:v>
      </x:c>
      <x:c r="D964">
        <x:f t="shared" si="58"/>
        <x:v>5540.6835798491593</x:v>
      </x:c>
      <x:c r="E964">
        <x:f t="shared" si="59"/>
        <x:v>5528.973078446219</x:v>
      </x:c>
    </x:row>
    <x:row r="965">
      <x:c r="A965">
        <x:f t="shared" si="55"/>
        <x:v>0.91700000000000004</x:v>
      </x:c>
      <x:c r="B965">
        <x:f t="shared" si="56"/>
        <x:v>2690.9276507302575</x:v>
      </x:c>
      <x:c r="C965">
        <x:f t="shared" si="57"/>
        <x:v>2280.4144483255877</x:v>
      </x:c>
      <x:c r="D965">
        <x:f t="shared" si="58"/>
        <x:v>5646.9615366363732</x:v>
      </x:c>
      <x:c r="E965">
        <x:f t="shared" si="59"/>
        <x:v>5636.3467932861586</x:v>
      </x:c>
    </x:row>
    <x:row r="966">
      <x:c r="A966">
        <x:f t="shared" si="55"/>
        <x:v>0.92500000000000004</x:v>
      </x:c>
      <x:c r="B966">
        <x:f t="shared" si="56"/>
        <x:v>2691.3888413715872</x:v>
      </x:c>
      <x:c r="C966">
        <x:f t="shared" si="57"/>
        <x:v>2316.8487948622892</x:v>
      </x:c>
      <x:c r="D966">
        <x:f t="shared" si="58"/>
        <x:v>5741.5267452040116</x:v>
      </x:c>
      <x:c r="E966">
        <x:f t="shared" si="59"/>
        <x:v>5731.8950819551656</x:v>
      </x:c>
    </x:row>
    <x:row r="967">
      <x:c r="A967">
        <x:f t="shared" si="55"/>
        <x:v>0.93300000000000005</x:v>
      </x:c>
      <x:c r="B967">
        <x:f t="shared" si="56"/>
        <x:v>2691.6986261121306</x:v>
      </x:c>
      <x:c r="C967">
        <x:f t="shared" si="57"/>
        <x:v>2352.98151407561</x:v>
      </x:c>
      <x:c r="D967">
        <x:f t="shared" si="58"/>
        <x:v>5837.5354061440466</x:v>
      </x:c>
      <x:c r="E967">
        <x:f t="shared" si="59"/>
        <x:v>5828.8953622374065</x:v>
      </x:c>
    </x:row>
    <x:row r="968">
      <x:c r="A968">
        <x:f t="shared" si="55"/>
        <x:v>0.94199999999999995</x:v>
      </x:c>
      <x:c r="B968">
        <x:f t="shared" si="56"/>
        <x:v>2692.1773075299916</x:v>
      </x:c>
      <x:c r="C968">
        <x:f t="shared" si="57"/>
        <x:v>2393.9029324782355</x:v>
      </x:c>
      <x:c r="D968">
        <x:f t="shared" si="58"/>
        <x:v>5946.3583069671922</x:v>
      </x:c>
      <x:c r="E968">
        <x:f t="shared" si="59"/>
        <x:v>5938.8440418818445</x:v>
      </x:c>
    </x:row>
    <x:row r="969">
      <x:c r="A969">
        <x:f t="shared" si="55"/>
        <x:v>0.95</x:v>
      </x:c>
      <x:c r="B969">
        <x:f t="shared" si="56"/>
        <x:v>2692.4732471371608</x:v>
      </x:c>
      <x:c r="C969">
        <x:f t="shared" si="57"/>
        <x:v>2430.6174452908381</x:v>
      </x:c>
      <x:c r="D969">
        <x:f t="shared" si="58"/>
        <x:v>6043.4383091821073</x:v>
      </x:c>
      <x:c r="E969">
        <x:f t="shared" si="59"/>
        <x:v>6036.9338093257429</x:v>
      </x:c>
    </x:row>
    <x:row r="970">
      <x:c r="A970">
        <x:f t="shared" si="55"/>
        <x:v>0.95799999999999996</x:v>
      </x:c>
      <x:c r="B970">
        <x:f t="shared" si="56"/>
        <x:v>2692.8575699494995</x:v>
      </x:c>
      <x:c r="C970">
        <x:f t="shared" si="57"/>
        <x:v>2467.7068528864479</x:v>
      </x:c>
      <x:c r="D970">
        <x:f t="shared" si="58"/>
        <x:v>6142.1454666172249</x:v>
      </x:c>
      <x:c r="E970">
        <x:f t="shared" si="59"/>
        <x:v>6136.659271230682</x:v>
      </x:c>
    </x:row>
    <x:row r="971">
      <x:c r="A971">
        <x:f t="shared" si="55"/>
        <x:v>0.96699999999999997</x:v>
      </x:c>
      <x:c r="B971">
        <x:f t="shared" si="56"/>
        <x:v>2693.24758219057</x:v>
      </x:c>
      <x:c r="C971">
        <x:f t="shared" si="57"/>
        <x:v>2510.2037437880058</x:v>
      </x:c>
      <x:c r="D971">
        <x:f t="shared" si="58"/>
        <x:v>6253.2838479641896</x:v>
      </x:c>
      <x:c r="E971">
        <x:f t="shared" si="59"/>
        <x:v>6248.9534521675077</x:v>
      </x:c>
    </x:row>
    <x:row r="972">
      <x:c r="A972">
        <x:f t="shared" si="55"/>
        <x:v>0.97499999999999998</x:v>
      </x:c>
      <x:c r="B972">
        <x:f t="shared" si="56"/>
        <x:v>2693.6906778520884</x:v>
      </x:c>
      <x:c r="C972">
        <x:f t="shared" si="57"/>
        <x:v>2548.3058851808387</x:v>
      </x:c>
      <x:c r="D972">
        <x:f t="shared" si="58"/>
        <x:v>6353.0935741374824</x:v>
      </x:c>
      <x:c r="E972">
        <x:f t="shared" si="59"/>
        <x:v>6349.7996286974003</x:v>
      </x:c>
    </x:row>
    <x:row r="973">
      <x:c r="A973">
        <x:f t="shared" si="55"/>
        <x:v>0.98299999999999998</x:v>
      </x:c>
      <x:c r="B973">
        <x:f t="shared" si="56"/>
        <x:v>2694.0752882831848</x:v>
      </x:c>
      <x:c r="C973">
        <x:f t="shared" si="57"/>
        <x:v>2586.4616875610482</x:v>
      </x:c>
      <x:c r="D973">
        <x:f t="shared" si="58"/>
        <x:v>6454.2131231685853</x:v>
      </x:c>
      <x:c r="E973">
        <x:f t="shared" si="59"/>
        <x:v>6451.9641673259403</x:v>
      </x:c>
    </x:row>
    <x:row r="974">
      <x:c r="A974">
        <x:f t="shared" si="55"/>
        <x:v>0.99199999999999999</x:v>
      </x:c>
      <x:c r="B974">
        <x:f t="shared" si="56"/>
        <x:v>2694.6263803403031</x:v>
      </x:c>
      <x:c r="C974">
        <x:f t="shared" si="57"/>
        <x:v>2629.5885025696607</x:v>
      </x:c>
      <x:c r="D974">
        <x:f t="shared" si="58"/>
        <x:v>6568.2867749412108</x:v>
      </x:c>
      <x:c r="E974">
        <x:f t="shared" si="59"/>
        <x:v>6567.2236394569945</x:v>
      </x:c>
    </x:row>
    <x:row r="975">
      <x:c r="A975">
        <x:f t="shared" si="55"/>
        <x:v>1</x:v>
      </x:c>
      <x:c r="B975">
        <x:f t="shared" si="56"/>
        <x:v>2694.9851144626914</x:v>
      </x:c>
      <x:c r="C975">
        <x:f t="shared" si="57"/>
        <x:v>2668.3506217177705</x:v>
      </x:c>
      <x:c r="D975">
        <x:f t="shared" si="58"/>
        <x:v>6670.9703513931627</x:v>
      </x:c>
      <x:c r="E975">
        <x:f t="shared" si="59"/>
        <x:v>6670.9703513931627</x:v>
      </x:c>
    </x:row>
    <x:row r="980">
      <x:c r="A980" t="n">
        <x:f t="shared" ref="A980:A1043" si="60">I2</x:f>
        <x:v>-1</x:v>
      </x:c>
      <x:c r="B980" t="n">
        <x:f t="shared" ref="B980:B1043" si="61">AH2</x:f>
        <x:v>2738.7528797589603</x:v>
      </x:c>
      <x:c r="C980" t="n">
        <x:f t="shared" ref="C980:C1043" si="62">AJ2</x:f>
        <x:v>4006.5669904921833</x:v>
      </x:c>
      <x:c r="D980" t="n">
        <x:f t="shared" ref="D980:D1043" si="63">AL2</x:f>
        <x:v>9500.98992327336</x:v>
      </x:c>
      <x:c r="E980" t="n">
        <x:f t="shared" ref="E980:E1043" si="64">AN2</x:f>
        <x:v>9500.98992327336</x:v>
      </x:c>
    </x:row>
    <x:row r="981">
      <x:c r="A981">
        <x:f t="shared" si="60"/>
        <x:v>-0.99199999999999999</x:v>
      </x:c>
      <x:c r="B981">
        <x:f t="shared" si="61"/>
        <x:v>2737.7462241092339</x:v>
      </x:c>
      <x:c r="C981">
        <x:f t="shared" si="62"/>
        <x:v>3959.7846663670321</x:v>
      </x:c>
      <x:c r="D981">
        <x:f t="shared" si="63"/>
        <x:v>9376.9488060561434</x:v>
      </x:c>
      <x:c r="E981">
        <x:f t="shared" si="64"/>
        <x:v>9376.0545934952825</x:v>
      </x:c>
    </x:row>
    <x:row r="982">
      <x:c r="A982">
        <x:f t="shared" si="60"/>
        <x:v>-0.98299999999999998</x:v>
      </x:c>
      <x:c r="B982">
        <x:f t="shared" si="61"/>
        <x:v>2736.6230846331491</x:v>
      </x:c>
      <x:c r="C982">
        <x:f t="shared" si="62"/>
        <x:v>3907.5201435523309</x:v>
      </x:c>
      <x:c r="D982">
        <x:f t="shared" si="63"/>
        <x:v>9238.4874028396462</x:v>
      </x:c>
      <x:c r="E982">
        <x:f t="shared" si="64"/>
        <x:v>9236.6010042814323</x:v>
      </x:c>
    </x:row>
    <x:row r="983">
      <x:c r="A983">
        <x:f t="shared" si="60"/>
        <x:v>-0.97499999999999998</x:v>
      </x:c>
      <x:c r="B983">
        <x:f t="shared" si="61"/>
        <x:v>2735.6330546630293</x:v>
      </x:c>
      <x:c r="C983">
        <x:f t="shared" si="62"/>
        <x:v>3861.3869170271155</x:v>
      </x:c>
      <x:c r="D983">
        <x:f t="shared" si="63"/>
        <x:v>9116.3739007837139</x:v>
      </x:c>
      <x:c r="E983">
        <x:f t="shared" si="64"/>
        <x:v>9113.617881954191</x:v>
      </x:c>
    </x:row>
    <x:row r="984">
      <x:c r="A984">
        <x:f t="shared" si="60"/>
        <x:v>-0.96699999999999997</x:v>
      </x:c>
      <x:c r="B984">
        <x:f t="shared" si="61"/>
        <x:v>2734.6508580754062</x:v>
      </x:c>
      <x:c r="C984">
        <x:f t="shared" si="62"/>
        <x:v>3815.5579418876782</x:v>
      </x:c>
      <x:c r="D984">
        <x:f t="shared" si="63"/>
        <x:v>8995.1660445283178</x:v>
      </x:c>
      <x:c r="E984">
        <x:f t="shared" si="64"/>
        <x:v>8991.5520543354905</x:v>
      </x:c>
    </x:row>
    <x:row r="985">
      <x:c r="A985">
        <x:f t="shared" si="60"/>
        <x:v>-0.95799999999999996</x:v>
      </x:c>
      <x:c r="B985">
        <x:f t="shared" si="61"/>
        <x:v>2733.5552577832691</x:v>
      </x:c>
      <x:c r="C985">
        <x:f t="shared" si="62"/>
        <x:v>3764.3630333251954</x:v>
      </x:c>
      <x:c r="D985">
        <x:f t="shared" si="63"/>
        <x:v>8859.8885063548314</x:v>
      </x:c>
      <x:c r="E985">
        <x:f t="shared" si="64"/>
        <x:v>8855.3232842094876</x:v>
      </x:c>
    </x:row>
    <x:row r="986">
      <x:c r="A986">
        <x:f t="shared" si="60"/>
        <x:v>-0.95</x:v>
      </x:c>
      <x:c r="B986">
        <x:f t="shared" si="61"/>
        <x:v>2732.5897271659751</x:v>
      </x:c>
      <x:c r="C986">
        <x:f t="shared" si="62"/>
        <x:v>3719.1779432130656</x:v>
      </x:c>
      <x:c r="D986">
        <x:f t="shared" si="63"/>
        <x:v>8740.6018276314735</x:v>
      </x:c>
      <x:c r="E986">
        <x:f t="shared" si="64"/>
        <x:v>8735.2035534356819</x:v>
      </x:c>
    </x:row>
    <x:row r="987">
      <x:c r="A987">
        <x:f t="shared" si="60"/>
        <x:v>-0.94199999999999995</x:v>
      </x:c>
      <x:c r="B987">
        <x:f t="shared" si="61"/>
        <x:v>2731.6320487010912</x:v>
      </x:c>
      <x:c r="C987">
        <x:f t="shared" si="62"/>
        <x:v>3674.2945786544519</x:v>
      </x:c>
      <x:c r="D987">
        <x:f t="shared" si="63"/>
        <x:v>8622.2175923928862</x:v>
      </x:c>
      <x:c r="E987">
        <x:f t="shared" si="64"/>
        <x:v>8615.9980720706571</x:v>
      </x:c>
    </x:row>
    <x:row r="988">
      <x:c r="A988">
        <x:f t="shared" si="60"/>
        <x:v>-0.93300000000000005</x:v>
      </x:c>
      <x:c r="B988">
        <x:f t="shared" si="61"/>
        <x:v>2730.5640535799016</x:v>
      </x:c>
      <x:c r="C988">
        <x:f t="shared" si="62"/>
        <x:v>3624.1604034921179</x:v>
      </x:c>
      <x:c r="D988">
        <x:f t="shared" si="63"/>
        <x:v>8490.1126571758014</x:v>
      </x:c>
      <x:c r="E988">
        <x:f t="shared" si="64"/>
        <x:v>8482.9834109222265</x:v>
      </x:c>
    </x:row>
    <x:row r="989">
      <x:c r="A989">
        <x:f t="shared" si="60"/>
        <x:v>-0.92500000000000004</x:v>
      </x:c>
      <x:c r="B989">
        <x:f t="shared" si="61"/>
        <x:v>2729.6230805624396</x:v>
      </x:c>
      <x:c r="C989">
        <x:f t="shared" si="62"/>
        <x:v>3579.915397473851</x:v>
      </x:c>
      <x:c r="D989">
        <x:f t="shared" si="63"/>
        <x:v>8373.6424099258602</x:v>
      </x:c>
      <x:c r="E989">
        <x:f t="shared" si="64"/>
        <x:v>8365.7171770078276</x:v>
      </x:c>
    </x:row>
    <x:row r="990">
      <x:c r="A990">
        <x:f t="shared" si="60"/>
        <x:v>-0.91700000000000004</x:v>
      </x:c>
      <x:c r="B990">
        <x:f t="shared" si="61"/>
        <x:v>2728.6899780807412</x:v>
      </x:c>
      <x:c r="C990">
        <x:f t="shared" si="62"/>
        <x:v>3535.9694398561164</x:v>
      </x:c>
      <x:c r="D990">
        <x:f t="shared" si="63"/>
        <x:v>8258.0710351577345</x:v>
      </x:c>
      <x:c r="E990">
        <x:f t="shared" si="64"/>
        <x:v>8249.3617845544723</x:v>
      </x:c>
    </x:row>
    <x:row r="991">
      <x:c r="A991">
        <x:f t="shared" si="60"/>
        <x:v>-0.90800000000000003</x:v>
      </x:c>
      <x:c r="B991">
        <x:f t="shared" si="61"/>
        <x:v>2727.6496527585241</x:v>
      </x:c>
      <x:c r="C991">
        <x:f t="shared" si="62"/>
        <x:v>3486.8865852502836</x:v>
      </x:c>
      <x:c r="D991">
        <x:f t="shared" si="63"/>
        <x:v>8129.1261442908717</x:v>
      </x:c>
      <x:c r="E991">
        <x:f t="shared" si="64"/>
        <x:v>8119.5492469653982</x:v>
      </x:c>
    </x:row>
    <x:row r="992">
      <x:c r="A992">
        <x:f t="shared" si="60"/>
        <x:v>-0.9</x:v>
      </x:c>
      <x:c r="B992">
        <x:f t="shared" si="61"/>
        <x:v>2726.7332943721008</x:v>
      </x:c>
      <x:c r="C992">
        <x:f t="shared" si="62"/>
        <x:v>3443.5731304663896</x:v>
      </x:c>
      <x:c r="D992">
        <x:f t="shared" si="63"/>
        <x:v>8015.4607514084237</x:v>
      </x:c>
      <x:c r="E992">
        <x:f t="shared" si="64"/>
        <x:v>8005.1254484618212</x:v>
      </x:c>
    </x:row>
    <x:row r="993">
      <x:c r="A993">
        <x:f t="shared" si="60"/>
        <x:v>-0.89200000000000002</x:v>
      </x:c>
      <x:c r="B993">
        <x:f t="shared" si="61"/>
        <x:v>2725.8248245109639</x:v>
      </x:c>
      <x:c r="C993">
        <x:f t="shared" si="62"/>
        <x:v>3400.5558883978983</x:v>
      </x:c>
      <x:c r="D993">
        <x:f t="shared" si="63"/>
        <x:v>7902.6902595707297</x:v>
      </x:c>
      <x:c r="E993">
        <x:f t="shared" si="64"/>
        <x:v>7891.6086886825724</x:v>
      </x:c>
    </x:row>
    <x:row r="994">
      <x:c r="A994">
        <x:f t="shared" si="60"/>
        <x:v>-0.88300000000000001</x:v>
      </x:c>
      <x:c r="B994">
        <x:f t="shared" si="61"/>
        <x:v>2724.8122322311165</x:v>
      </x:c>
      <x:c r="C994">
        <x:f t="shared" si="62"/>
        <x:v>3352.5143841718163</x:v>
      </x:c>
      <x:c r="D994">
        <x:f t="shared" si="63"/>
        <x:v>7776.8914462931525</x:v>
      </x:c>
      <x:c r="E994">
        <x:f t="shared" si="64"/>
        <x:v>7764.9849009013669</x:v>
      </x:c>
    </x:row>
    <x:row r="995">
      <x:c r="A995">
        <x:f t="shared" si="60"/>
        <x:v>-0.875</x:v>
      </x:c>
      <x:c r="B995">
        <x:f t="shared" si="61"/>
        <x:v>2723.920544268542</x:v>
      </x:c>
      <x:c r="C995">
        <x:f t="shared" si="62"/>
        <x:v>3310.1234447175161</x:v>
      </x:c>
      <x:c r="D995">
        <x:f t="shared" si="63"/>
        <x:v>7666.0180432897014</x:v>
      </x:c>
      <x:c r="E995">
        <x:f t="shared" si="64"/>
        <x:v>7653.3912060529701</x:v>
      </x:c>
    </x:row>
    <x:row r="996">
      <x:c r="A996">
        <x:f t="shared" si="60"/>
        <x:v>-0.86699999999999999</x:v>
      </x:c>
      <x:c r="B996">
        <x:f t="shared" si="61"/>
        <x:v>2723.0367624197406</x:v>
      </x:c>
      <x:c r="C996">
        <x:f t="shared" si="62"/>
        <x:v>3268.0257165997627</x:v>
      </x:c>
      <x:c r="D996">
        <x:f t="shared" si="63"/>
        <x:v>7556.0351349179427</x:v>
      </x:c>
      <x:c r="E996">
        <x:f t="shared" si="64"/>
        <x:v>7542.700317284668</x:v>
      </x:c>
    </x:row>
    <x:row r="997">
      <x:c r="A997">
        <x:f t="shared" si="60"/>
        <x:v>-0.85799999999999998</x:v>
      </x:c>
      <x:c r="B997">
        <x:f t="shared" si="61"/>
        <x:v>2722.0519650158485</x:v>
      </x:c>
      <x:c r="C997">
        <x:f t="shared" si="62"/>
        <x:v>3221.0150100806709</x:v>
      </x:c>
      <x:c r="D997">
        <x:f t="shared" si="63"/>
        <x:v>7433.3669028529466</x:v>
      </x:c>
      <x:c r="E997">
        <x:f t="shared" si="64"/>
        <x:v>7419.2503937327101</x:v>
      </x:c>
    </x:row>
    <x:row r="998">
      <x:c r="A998">
        <x:f t="shared" si="60"/>
        <x:v>-0.85</x:v>
      </x:c>
      <x:c r="B998">
        <x:f t="shared" si="61"/>
        <x:v>2721.1850020092143</x:v>
      </x:c>
      <x:c r="C998">
        <x:f t="shared" si="62"/>
        <x:v>3179.5370247648771</x:v>
      </x:c>
      <x:c r="D998">
        <x:f t="shared" si="63"/>
        <x:v>7325.2712267935003</x:v>
      </x:c>
      <x:c r="E998">
        <x:f t="shared" si="64"/>
        <x:v>7310.4730873835651</x:v>
      </x:c>
    </x:row>
    <x:row r="999">
      <x:c r="A999">
        <x:f t="shared" si="60"/>
        <x:v>-0.84199999999999997</x:v>
      </x:c>
      <x:c r="B999">
        <x:f t="shared" si="61"/>
        <x:v>2720.3259622967576</x:v>
      </x:c>
      <x:c r="C999">
        <x:f t="shared" si="62"/>
        <x:v>3138.34907670858</x:v>
      </x:c>
      <x:c r="D999">
        <x:f t="shared" si="63"/>
        <x:v>7218.0611664589442</x:v>
      </x:c>
      <x:c r="E999">
        <x:f t="shared" si="64"/>
        <x:v>7202.5938862445973</x:v>
      </x:c>
    </x:row>
    <x:row r="1000">
      <x:c r="A1000">
        <x:f t="shared" si="60"/>
        <x:v>-0.83299999999999996</x:v>
      </x:c>
      <x:c r="B1000">
        <x:f t="shared" si="61"/>
        <x:v>2719.3690201677696</x:v>
      </x:c>
      <x:c r="C1000">
        <x:f t="shared" si="62"/>
        <x:v>3092.3580081209293</x:v>
      </x:c>
      <x:c r="D1000">
        <x:f t="shared" si="63"/>
        <x:v>7098.506357692575</x:v>
      </x:c>
      <x:c r="E1000">
        <x:f t="shared" si="64"/>
        <x:v>7082.3012947740126</x:v>
      </x:c>
    </x:row>
    <x:row r="1001">
      <x:c r="A1001">
        <x:f t="shared" si="60"/>
        <x:v>-0.82499999999999996</x:v>
      </x:c>
      <x:c r="B1001">
        <x:f t="shared" si="61"/>
        <x:v>2718.5268353664997</x:v>
      </x:c>
      <x:c r="C1001">
        <x:f t="shared" si="62"/>
        <x:v>3051.7828688525797</x:v>
      </x:c>
      <x:c r="D1001">
        <x:f t="shared" si="63"/>
        <x:v>6993.1726266478481</x:v>
      </x:c>
      <x:c r="E1001">
        <x:f t="shared" si="64"/>
        <x:v>6976.325155041407</x:v>
      </x:c>
    </x:row>
    <x:row r="1002">
      <x:c r="A1002">
        <x:f t="shared" si="60"/>
        <x:v>-0.81699999999999995</x:v>
      </x:c>
      <x:c r="B1002">
        <x:f t="shared" si="61"/>
        <x:v>2717.6925906248262</x:v>
      </x:c>
      <x:c r="C1002">
        <x:f t="shared" si="62"/>
        <x:v>3011.4944133564245</x:v>
      </x:c>
      <x:c r="D1002">
        <x:f t="shared" si="63"/>
        <x:v>6888.7191192634255</x:v>
      </x:c>
      <x:c r="E1002">
        <x:f t="shared" si="64"/>
        <x:v>6871.2419096860749</x:v>
      </x:c>
    </x:row>
    <x:row r="1003">
      <x:c r="A1003">
        <x:f t="shared" si="60"/>
        <x:v>-0.80800000000000005</x:v>
      </x:c>
      <x:c r="B1003">
        <x:f t="shared" si="61"/>
        <x:v>2716.7635627106388</x:v>
      </x:c>
      <x:c r="C1003">
        <x:f t="shared" si="62"/>
        <x:v>2966.5111922476426</x:v>
      </x:c>
      <x:c r="D1003">
        <x:f t="shared" si="63"/>
        <x:v>6772.2587713643579</x:v>
      </x:c>
      <x:c r="E1003">
        <x:f t="shared" si="64"/>
        <x:v>6754.0883248186901</x:v>
      </x:c>
    </x:row>
    <x:row r="1004">
      <x:c r="A1004">
        <x:f t="shared" si="60"/>
        <x:v>-0.8</x:v>
      </x:c>
      <x:c r="B1004">
        <x:f t="shared" si="61"/>
        <x:v>2715.9462080599938</x:v>
      </x:c>
      <x:c r="C1004">
        <x:f t="shared" si="62"/>
        <x:v>2926.8282235073743</x:v>
      </x:c>
      <x:c r="D1004">
        <x:f t="shared" si="63"/>
        <x:v>6669.6695538641015</x:v>
      </x:c>
      <x:c r="E1004">
        <x:f t="shared" si="64"/>
        <x:v>6650.8964888556302</x:v>
      </x:c>
    </x:row>
    <x:row r="1005">
      <x:c r="A1005">
        <x:f t="shared" si="60"/>
        <x:v>-0.79200000000000004</x:v>
      </x:c>
      <x:c r="B1005">
        <x:f t="shared" si="61"/>
        <x:v>2715.1368098124726</x:v>
      </x:c>
      <x:c r="C1005">
        <x:f t="shared" si="62"/>
        <x:v>2887.428399392069</x:v>
      </x:c>
      <x:c r="D1005">
        <x:f t="shared" si="63"/>
        <x:v>6567.9546108397826</x:v>
      </x:c>
      <x:c r="E1005">
        <x:f t="shared" si="64"/>
        <x:v>6548.5917811077279</x:v>
      </x:c>
    </x:row>
    <x:row r="1006">
      <x:c r="A1006">
        <x:f t="shared" si="60"/>
        <x:v>-0.78300000000000003</x:v>
      </x:c>
      <x:c r="B1006">
        <x:f t="shared" si="61"/>
        <x:v>2714.235753570058</x:v>
      </x:c>
      <x:c r="C1006">
        <x:f t="shared" si="62"/>
        <x:v>2843.4405826900111</x:v>
      </x:c>
      <x:c r="D1006">
        <x:f t="shared" si="63"/>
        <x:v>6454.5678022887669</x:v>
      </x:c>
      <x:c r="E1006">
        <x:f t="shared" si="64"/>
        <x:v>6434.5569245182351</x:v>
      </x:c>
    </x:row>
    <x:row r="1007">
      <x:c r="A1007">
        <x:f t="shared" si="60"/>
        <x:v>-0.77500000000000002</x:v>
      </x:c>
      <x:c r="B1007">
        <x:f t="shared" si="61"/>
        <x:v>2713.4432796899005</x:v>
      </x:c>
      <x:c r="C1007">
        <x:f t="shared" si="62"/>
        <x:v>2804.6385226625612</x:v>
      </x:c>
      <x:c r="D1007">
        <x:f t="shared" si="63"/>
        <x:v>6354.703876330992</x:v>
      </x:c>
      <x:c r="E1007">
        <x:f t="shared" si="64"/>
        <x:v>6334.130742726853</x:v>
      </x:c>
    </x:row>
    <x:row r="1008">
      <x:c r="A1008">
        <x:f t="shared" si="60"/>
        <x:v>-0.76700000000000002</x:v>
      </x:c>
      <x:c r="B1008">
        <x:f t="shared" si="61"/>
        <x:v>2712.6587781279418</x:v>
      </x:c>
      <x:c r="C1008">
        <x:f t="shared" si="62"/>
        <x:v>2766.1158768793084</x:v>
      </x:c>
      <x:c r="D1008">
        <x:f t="shared" si="63"/>
        <x:v>6255.7076711632635</x:v>
      </x:c>
      <x:c r="E1008">
        <x:f t="shared" si="64"/>
        <x:v>6234.5853184731659</x:v>
      </x:c>
    </x:row>
    <x:row r="1009">
      <x:c r="A1009">
        <x:f t="shared" si="60"/>
        <x:v>-0.75800000000000001</x:v>
      </x:c>
      <x:c r="B1009">
        <x:f t="shared" si="61"/>
        <x:v>2711.7857495077187</x:v>
      </x:c>
      <x:c r="C1009">
        <x:f t="shared" si="62"/>
        <x:v>2723.1103493336241</x:v>
      </x:c>
      <x:c r="D1009">
        <x:f t="shared" si="63"/>
        <x:v>6145.3713547660091</x:v>
      </x:c>
      <x:c r="E1009">
        <x:f t="shared" si="64"/>
        <x:v>6123.6467860475259</x:v>
      </x:c>
    </x:row>
    <x:row r="1010">
      <x:c r="A1010">
        <x:f t="shared" si="60"/>
        <x:v>-0.75</x:v>
      </x:c>
      <x:c r="B1010">
        <x:f t="shared" si="61"/>
        <x:v>2711.0182056718681</x:v>
      </x:c>
      <x:c r="C1010">
        <x:f t="shared" si="62"/>
        <x:v>2685.1773334232421</x:v>
      </x:c>
      <x:c r="D1010">
        <x:f t="shared" si="63"/>
        <x:v>6048.2115560449747</x:v>
      </x:c>
      <x:c r="E1010">
        <x:f t="shared" si="64"/>
        <x:v>6025.9656641770644</x:v>
      </x:c>
    </x:row>
    <x:row r="1011">
      <x:c r="A1011">
        <x:f t="shared" si="60"/>
        <x:v>-0.74199999999999999</x:v>
      </x:c>
      <x:c r="B1011">
        <x:f t="shared" si="61"/>
        <x:v>2710.2586496341951</x:v>
      </x:c>
      <x:c r="C1011">
        <x:f t="shared" si="62"/>
        <x:v>2647.519805513155</x:v>
      </x:c>
      <x:c r="D1011">
        <x:f t="shared" si="63"/>
        <x:v>5951.9122690476443</x:v>
      </x:c>
      <x:c r="E1011">
        <x:f t="shared" si="64"/>
        <x:v>5929.1582714862652</x:v>
      </x:c>
    </x:row>
    <x:row r="1012">
      <x:c r="A1012">
        <x:f t="shared" si="60"/>
        <x:v>-0.73299999999999998</x:v>
      </x:c>
      <x:c r="B1012">
        <x:f t="shared" si="61"/>
        <x:v>2709.4137030571701</x:v>
      </x:c>
      <x:c r="C1012">
        <x:f t="shared" si="62"/>
        <x:v>2605.4827634648645</x:v>
      </x:c>
      <x:c r="D1012">
        <x:f t="shared" si="63"/>
        <x:v>5844.6010930614657</x:v>
      </x:c>
      <x:c r="E1012">
        <x:f t="shared" si="64"/>
        <x:v>5821.2913463973637</x:v>
      </x:c>
    </x:row>
    <x:row r="1013">
      <x:c r="A1013">
        <x:f t="shared" si="60"/>
        <x:v>-0.72499999999999998</x:v>
      </x:c>
      <x:c r="B1013">
        <x:f t="shared" si="61"/>
        <x:v>2708.6711371730257</x:v>
      </x:c>
      <x:c r="C1013">
        <x:f t="shared" si="62"/>
        <x:v>2568.4063111009086</x:v>
      </x:c>
      <x:c r="D1013">
        <x:f t="shared" si="63"/>
        <x:v>5750.1221522344285</x:v>
      </x:c>
      <x:c r="E1013">
        <x:f t="shared" si="64"/>
        <x:v>5726.332575075653</x:v>
      </x:c>
    </x:row>
    <x:row r="1014">
      <x:c r="A1014">
        <x:f t="shared" si="60"/>
        <x:v>-0.71699999999999997</x:v>
      </x:c>
      <x:c r="B1014">
        <x:f t="shared" si="61"/>
        <x:v>2707.9365741255974</x:v>
      </x:c>
      <x:c r="C1014">
        <x:f t="shared" si="62"/>
        <x:v>2531.6012212817732</x:v>
      </x:c>
      <x:c r="D1014">
        <x:f t="shared" si="63"/>
        <x:v>5656.4958042939516</x:v>
      </x:c>
      <x:c r="E1014">
        <x:f t="shared" si="64"/>
        <x:v>5632.2397896392276</x:v>
      </x:c>
    </x:row>
    <x:row r="1015">
      <x:c r="A1015">
        <x:f t="shared" si="60"/>
        <x:v>-0.70799999999999996</x:v>
      </x:c>
      <x:c r="B1015">
        <x:f t="shared" si="61"/>
        <x:v>2707.1197624607562</x:v>
      </x:c>
      <x:c r="C1015">
        <x:f t="shared" si="62"/>
        <x:v>2490.5181609486822</x:v>
      </x:c>
      <x:c r="D1015">
        <x:f t="shared" si="63"/>
        <x:v>5552.1819212211358</x:v>
      </x:c>
      <x:c r="E1015">
        <x:f t="shared" si="64"/>
        <x:v>5527.4172410510082</x:v>
      </x:c>
    </x:row>
    <x:row r="1016">
      <x:c r="A1016">
        <x:f t="shared" si="60"/>
        <x:v>-0.7</x:v>
      </x:c>
      <x:c r="B1016">
        <x:f t="shared" si="61"/>
        <x:v>2706.4022210494791</x:v>
      </x:c>
      <x:c r="C1016">
        <x:f t="shared" si="62"/>
        <x:v>2454.2851668233561</x:v>
      </x:c>
      <x:c r="D1016">
        <x:f t="shared" si="63"/>
        <x:v>5460.3582902555545</x:v>
      </x:c>
      <x:c r="E1016">
        <x:f t="shared" si="64"/>
        <x:v>5435.1558124688245</x:v>
      </x:c>
    </x:row>
    <x:row r="1017">
      <x:c r="A1017">
        <x:f t="shared" si="60"/>
        <x:v>-0.69199999999999995</x:v>
      </x:c>
      <x:c r="B1017">
        <x:f t="shared" si="61"/>
        <x:v>2705.6926970657478</x:v>
      </x:c>
      <x:c r="C1017">
        <x:f t="shared" si="62"/>
        <x:v>2418.3192089337513</x:v>
      </x:c>
      <x:c r="D1017">
        <x:f t="shared" si="63"/>
        <x:v>5369.3785657395565</x:v>
      </x:c>
      <x:c r="E1017">
        <x:f t="shared" si="64"/>
        <x:v>5343.7518501523427</x:v>
      </x:c>
    </x:row>
    <x:row r="1018">
      <x:c r="A1018">
        <x:f t="shared" si="60"/>
        <x:v>-0.68300000000000005</x:v>
      </x:c>
      <x:c r="B1018">
        <x:f t="shared" si="61"/>
        <x:v>2704.9040716081277</x:v>
      </x:c>
      <x:c r="C1018">
        <x:f t="shared" si="62"/>
        <x:v>2378.1749207105045</x:v>
      </x:c>
      <x:c r="D1018">
        <x:f t="shared" si="63"/>
        <x:v>5268.0314290477454</x:v>
      </x:c>
      <x:c r="E1018">
        <x:f t="shared" si="64"/>
        <x:v>5241.943717406506</x:v>
      </x:c>
    </x:row>
    <x:row r="1019">
      <x:c r="A1019">
        <x:f t="shared" si="60"/>
        <x:v>-0.67500000000000004</x:v>
      </x:c>
      <x:c r="B1019">
        <x:f t="shared" si="61"/>
        <x:v>2704.2115997852675</x:v>
      </x:c>
      <x:c r="C1019">
        <x:f t="shared" si="62"/>
        <x:v>2342.7716518918514</x:v>
      </x:c>
      <x:c r="D1019">
        <x:f t="shared" si="63"/>
        <x:v>5178.835096993912</x:v>
      </x:c>
      <x:c r="E1019">
        <x:f t="shared" si="64"/>
        <x:v>5152.352129116699</x:v>
      </x:c>
    </x:row>
    <x:row r="1020">
      <x:c r="A1020">
        <x:f t="shared" si="60"/>
        <x:v>-0.66700000000000004</x:v>
      </x:c>
      <x:c r="B1020">
        <x:f t="shared" si="61"/>
        <x:v>2703.527159526966</x:v>
      </x:c>
      <x:c r="C1020">
        <x:f t="shared" si="62"/>
        <x:v>2307.6308927499517</x:v>
      </x:c>
      <x:c r="D1020">
        <x:f t="shared" si="63"/>
        <x:v>5090.4731562763036</x:v>
      </x:c>
      <x:c r="E1020">
        <x:f t="shared" si="64"/>
        <x:v>5063.6086456793191</x:v>
      </x:c>
    </x:row>
    <x:row r="1021">
      <x:c r="A1021">
        <x:f t="shared" si="60"/>
        <x:v>-0.65800000000000003</x:v>
      </x:c>
      <x:c r="B1021">
        <x:f t="shared" si="61"/>
        <x:v>2702.7667699761951</x:v>
      </x:c>
      <x:c r="C1021">
        <x:f t="shared" si="62"/>
        <x:v>2268.409463423141</x:v>
      </x:c>
      <x:c r="D1021">
        <x:f t="shared" si="63"/>
        <x:v>4992.0593057230481</x:v>
      </x:c>
      <x:c r="E1021">
        <x:f t="shared" si="64"/>
        <x:v>4964.782008157169</x:v>
      </x:c>
    </x:row>
    <x:row r="1022">
      <x:c r="A1022">
        <x:f t="shared" si="60"/>
        <x:v>-0.65</x:v>
      </x:c>
      <x:c r="B1022">
        <x:f t="shared" si="61"/>
        <x:v>2702.0994114328023</x:v>
      </x:c>
      <x:c r="C1022">
        <x:f t="shared" si="62"/>
        <x:v>2233.8215641775168</x:v>
      </x:c>
      <x:c r="D1022">
        <x:f t="shared" si="63"/>
        <x:v>4905.4596046667839</x:v>
      </x:c>
      <x:c r="E1022">
        <x:f t="shared" si="64"/>
        <x:v>4877.8300542852958</x:v>
      </x:c>
    </x:row>
    <x:row r="1023">
      <x:c r="A1023">
        <x:f t="shared" si="60"/>
        <x:v>-0.64200000000000002</x:v>
      </x:c>
      <x:c r="B1023">
        <x:f t="shared" si="61"/>
        <x:v>2701.4400981312092</x:v>
      </x:c>
      <x:c r="C1023">
        <x:f t="shared" si="62"/>
        <x:v>2199.4914513372773</x:v>
      </x:c>
      <x:c r="D1023">
        <x:f t="shared" si="63"/>
        <x:v>4819.6838871821446</x:v>
      </x:c>
      <x:c r="E1023">
        <x:f t="shared" si="64"/>
        <x:v>4791.715932694854</x:v>
      </x:c>
    </x:row>
    <x:row r="1024">
      <x:c r="A1024">
        <x:f t="shared" si="60"/>
        <x:v>-0.63300000000000001</x:v>
      </x:c>
      <x:c r="B1024">
        <x:f t="shared" si="61"/>
        <x:v>2700.7079925706203</x:v>
      </x:c>
      <x:c r="C1024">
        <x:f t="shared" si="62"/>
        <x:v>2161.1762766414804</x:v>
      </x:c>
      <x:c r="D1024">
        <x:f t="shared" si="63"/>
        <x:v>4724.1667239784019</x:v>
      </x:c>
      <x:c r="E1024">
        <x:f t="shared" si="64"/>
        <x:v>4695.834666007484</x:v>
      </x:c>
    </x:row>
    <x:row r="1025">
      <x:c r="A1025">
        <x:f t="shared" si="60"/>
        <x:v>-0.625</x:v>
      </x:c>
      <x:c r="B1025">
        <x:f t="shared" si="61"/>
        <x:v>2700.0657895548352</x:v>
      </x:c>
      <x:c r="C1025">
        <x:f t="shared" si="62"/>
        <x:v>2127.3887833117165</x:v>
      </x:c>
      <x:c r="D1025">
        <x:f t="shared" si="63"/>
        <x:v>4640.1301264745007</x:v>
      </x:c>
      <x:c r="E1025">
        <x:f t="shared" si="64"/>
        <x:v>4611.4892166235932</x:v>
      </x:c>
    </x:row>
    <x:row r="1026">
      <x:c r="A1026">
        <x:f t="shared" si="60"/>
        <x:v>-0.61699999999999999</x:v>
      </x:c>
      <x:c r="B1026">
        <x:f t="shared" si="61"/>
        <x:v>2699.43164499259</x:v>
      </x:c>
      <x:c r="C1026">
        <x:f t="shared" si="62"/>
        <x:v>2093.8541637603007</x:v>
      </x:c>
      <x:c r="D1026">
        <x:f t="shared" si="63"/>
        <x:v>4556.9061458124115</x:v>
      </x:c>
      <x:c r="E1026">
        <x:f t="shared" si="64"/>
        <x:v>4527.9703428921011</x:v>
      </x:c>
    </x:row>
    <x:row r="1027">
      <x:c r="A1027">
        <x:f t="shared" si="60"/>
        <x:v>-0.60799999999999998</x:v>
      </x:c>
      <x:c r="B1027">
        <x:f t="shared" si="61"/>
        <x:v>2698.7278698689106</x:v>
      </x:c>
      <x:c r="C1027">
        <x:f t="shared" si="62"/>
        <x:v>2056.4279743959351</x:v>
      </x:c>
      <x:c r="D1027">
        <x:f t="shared" si="63"/>
        <x:v>4464.2456995999191</x:v>
      </x:c>
      <x:c r="E1027">
        <x:f t="shared" si="64"/>
        <x:v>4434.9948626697533</x:v>
      </x:c>
    </x:row>
    <x:row r="1028">
      <x:c r="A1028">
        <x:f t="shared" si="60"/>
        <x:v>-0.6</x:v>
      </x:c>
      <x:c r="B1028">
        <x:f t="shared" si="61"/>
        <x:v>2698.1108631681168</x:v>
      </x:c>
      <x:c r="C1028">
        <x:f t="shared" si="62"/>
        <x:v>2023.4253433638573</x:v>
      </x:c>
      <x:c r="D1028">
        <x:f t="shared" si="63"/>
        <x:v>4382.7356096105759</x:v>
      </x:c>
      <x:c r="E1028">
        <x:f t="shared" si="64"/>
        <x:v>4353.2196326758594</x:v>
      </x:c>
    </x:row>
    <x:row r="1029">
      <x:c r="A1029">
        <x:f t="shared" si="60"/>
        <x:v>-0.59199999999999997</x:v>
      </x:c>
      <x:c r="B1029">
        <x:f t="shared" si="61"/>
        <x:v>2697.5019276614603</x:v>
      </x:c>
      <x:c r="C1029">
        <x:f t="shared" si="62"/>
        <x:v>1990.6704964522148</x:v>
      </x:c>
      <x:c r="D1029">
        <x:f t="shared" si="63"/>
        <x:v>4302.025742951585</x:v>
      </x:c>
      <x:c r="E1029">
        <x:f t="shared" si="64"/>
        <x:v>4272.2586618025425</x:v>
      </x:c>
    </x:row>
    <x:row r="1030">
      <x:c r="A1030">
        <x:f t="shared" si="60"/>
        <x:v>-0.58299999999999996</x:v>
      </x:c>
      <x:c r="B1030">
        <x:f t="shared" si="61"/>
        <x:v>2696.8265277651735</x:v>
      </x:c>
      <x:c r="C1030">
        <x:f t="shared" si="62"/>
        <x:v>1954.1154016181265</x:v>
      </x:c>
      <x:c r="D1030">
        <x:f t="shared" si="63"/>
        <x:v>4212.1784335476086</x:v>
      </x:c>
      <x:c r="E1030">
        <x:f t="shared" si="64"/>
        <x:v>4182.1456571735444</x:v>
      </x:c>
    </x:row>
    <x:row r="1031">
      <x:c r="A1031">
        <x:f t="shared" si="60"/>
        <x:v>-0.57499999999999996</x:v>
      </x:c>
      <x:c r="B1031">
        <x:f t="shared" si="61"/>
        <x:v>2696.2347566886478</x:v>
      </x:c>
      <x:c r="C1031">
        <x:f t="shared" si="62"/>
        <x:v>1921.8815542974669</x:v>
      </x:c>
      <x:c r="D1031">
        <x:f t="shared" si="63"/>
        <x:v>4133.1549738663607</x:v>
      </x:c>
      <x:c r="E1031">
        <x:f t="shared" si="64"/>
        <x:v>4102.9009668625113</x:v>
      </x:c>
    </x:row>
    <x:row r="1032">
      <x:c r="A1032">
        <x:f t="shared" si="60"/>
        <x:v>-0.56699999999999995</x:v>
      </x:c>
      <x:c r="B1032">
        <x:f t="shared" si="61"/>
        <x:v>2695.6510690703108</x:v>
      </x:c>
      <x:c r="C1032">
        <x:f t="shared" si="62"/>
        <x:v>1889.8902432096763</x:v>
      </x:c>
      <x:c r="D1032">
        <x:f t="shared" si="63"/>
        <x:v>4054.9182491071806</x:v>
      </x:c>
      <x:c r="E1032">
        <x:f t="shared" si="64"/>
        <x:v>4024.4570813468608</x:v>
      </x:c>
    </x:row>
    <x:row r="1033">
      <x:c r="A1033">
        <x:f t="shared" si="60"/>
        <x:v>-0.55800000000000005</x:v>
      </x:c>
      <x:c r="B1033">
        <x:f t="shared" si="61"/>
        <x:v>2695.0040875164605</x:v>
      </x:c>
      <x:c r="C1033">
        <x:f t="shared" si="62"/>
        <x:v>1854.1877969704217</x:v>
      </x:c>
      <x:c r="D1033">
        <x:f t="shared" si="63"/>
        <x:v>3967.8366472645534</x:v>
      </x:c>
      <x:c r="E1033">
        <x:f t="shared" si="64"/>
        <x:v>3937.1592412789855</x:v>
      </x:c>
    </x:row>
    <x:row r="1034">
      <x:c r="A1034">
        <x:f t="shared" si="60"/>
        <x:v>-0.55000000000000004</x:v>
      </x:c>
      <x:c r="B1034">
        <x:f t="shared" si="61"/>
        <x:v>2694.4375898786375</x:v>
      </x:c>
      <x:c r="C1034">
        <x:f t="shared" si="62"/>
        <x:v>1822.7061870307282</x:v>
      </x:c>
      <x:c r="D1034">
        <x:f t="shared" si="63"/>
        <x:v>3891.256447672386</x:v>
      </x:c>
      <x:c r="E1034">
        <x:f t="shared" si="64"/>
        <x:v>3860.4017717773222</x:v>
      </x:c>
    </x:row>
    <x:row r="1035">
      <x:c r="A1035">
        <x:f t="shared" si="60"/>
        <x:v>-0.54200000000000004</x:v>
      </x:c>
      <x:c r="B1035">
        <x:f t="shared" si="61"/>
        <x:v>2693.8791874812646</x:v>
      </x:c>
      <x:c r="C1035">
        <x:f t="shared" si="62"/>
        <x:v>1791.4617344869769</x:v>
      </x:c>
      <x:c r="D1035">
        <x:f t="shared" si="63"/>
        <x:v>3815.4483329742607</x:v>
      </x:c>
      <x:c r="E1035">
        <x:f t="shared" si="64"/>
        <x:v>3784.4304363200208</x:v>
      </x:c>
    </x:row>
    <x:row r="1036">
      <x:c r="A1036">
        <x:f t="shared" si="60"/>
        <x:v>-0.53300000000000003</x:v>
      </x:c>
      <x:c r="B1036">
        <x:f t="shared" si="61"/>
        <x:v>2693.2606656910839</x:v>
      </x:c>
      <x:c r="C1036">
        <x:f t="shared" si="62"/>
        <x:v>1756.5930320423254</x:v>
      </x:c>
      <x:c r="D1036">
        <x:f t="shared" si="63"/>
        <x:v>3731.0809261239974</x:v>
      </x:c>
      <x:c r="E1036">
        <x:f t="shared" si="64"/>
        <x:v>3699.8961734258551</x:v>
      </x:c>
    </x:row>
    <x:row r="1037">
      <x:c r="A1037">
        <x:f t="shared" si="60"/>
        <x:v>-0.52500000000000002</x:v>
      </x:c>
      <x:c r="B1037">
        <x:f t="shared" si="61"/>
        <x:v>2692.7194777953123</x:v>
      </x:c>
      <x:c r="C1037">
        <x:f t="shared" si="62"/>
        <x:v>1725.8467418024873</x:v>
      </x:c>
      <x:c r="D1037">
        <x:f t="shared" si="63"/>
        <x:v>3656.8969182108149</x:v>
      </x:c>
      <x:c r="E1037">
        <x:f t="shared" si="64"/>
        <x:v>3625.5787216297722</x:v>
      </x:c>
    </x:row>
    <x:row r="1038">
      <x:c r="A1038">
        <x:f t="shared" si="60"/>
        <x:v>-0.51700000000000002</x:v>
      </x:c>
      <x:c r="B1038">
        <x:f t="shared" si="61"/>
        <x:v>2692.1863964353583</x:v>
      </x:c>
      <x:c r="C1038">
        <x:f t="shared" si="62"/>
        <x:v>1695.3321376263839</x:v>
      </x:c>
      <x:c r="D1038">
        <x:f t="shared" si="63"/>
        <x:v>3583.4691205577215</x:v>
      </x:c>
      <x:c r="E1038">
        <x:f t="shared" si="64"/>
        <x:v>3552.0314391676843</x:v>
      </x:c>
    </x:row>
    <x:row r="1039">
      <x:c r="A1039">
        <x:f t="shared" si="60"/>
        <x:v>-0.50800000000000001</x:v>
      </x:c>
      <x:c r="B1039">
        <x:f t="shared" si="61"/>
        <x:v>2691.5963741184592</x:v>
      </x:c>
      <x:c r="C1039">
        <x:f t="shared" si="62"/>
        <x:v>1661.27795099574</x:v>
      </x:c>
      <x:c r="D1039">
        <x:f t="shared" si="63"/>
        <x:v>3501.760091807711</x:v>
      </x:c>
      <x:c r="E1039">
        <x:f t="shared" si="64"/>
        <x:v>3470.2046174700768</x:v>
      </x:c>
    </x:row>
    <x:row r="1040">
      <x:c r="A1040">
        <x:f t="shared" si="60"/>
        <x:v>-0.5</x:v>
      </x:c>
      <x:c r="B1040">
        <x:f t="shared" si="61"/>
        <x:v>2691.0805307414003</x:v>
      </x:c>
      <x:c r="C1040">
        <x:f t="shared" si="62"/>
        <x:v>1631.2498263703887</x:v>
      </x:c>
      <x:c r="D1040">
        <x:f t="shared" si="63"/>
        <x:v>3429.9213186632924</x:v>
      </x:c>
      <x:c r="E1040">
        <x:f t="shared" si="64"/>
        <x:v>3398.275856941299</x:v>
      </x:c>
    </x:row>
    <x:row r="1041">
      <x:c r="A1041">
        <x:f t="shared" si="60"/>
        <x:v>-0.49199999999999999</x:v>
      </x:c>
      <x:c r="B1041">
        <x:f t="shared" si="61"/>
        <x:v>2690.5728047037751</x:v>
      </x:c>
      <x:c r="C1041">
        <x:f t="shared" si="62"/>
        <x:v>1601.4478772869256</x:v>
      </x:c>
      <x:c r="D1041">
        <x:f t="shared" si="63"/>
        <x:v>3358.8216005216295</x:v>
      </x:c>
      <x:c r="E1041">
        <x:f t="shared" si="64"/>
        <x:v>3327.0999332019856</x:v>
      </x:c>
    </x:row>
    <x:row r="1042">
      <x:c r="A1042">
        <x:f t="shared" si="60"/>
        <x:v>-0.48299999999999998</x:v>
      </x:c>
      <x:c r="B1042">
        <x:f t="shared" si="61"/>
        <x:v>2690.0113198410036</x:v>
      </x:c>
      <x:c r="C1042">
        <x:f t="shared" si="62"/>
        <x:v>1568.1888433957399</x:v>
      </x:c>
      <x:c r="D1042">
        <x:f t="shared" si="63"/>
        <x:v>3279.710632319749</x:v>
      </x:c>
      <x:c r="E1042">
        <x:f t="shared" si="64"/>
        <x:v>3247.9196088934864</x:v>
      </x:c>
    </x:row>
    <x:row r="1043">
      <x:c r="A1043">
        <x:f t="shared" si="60"/>
        <x:v>-0.47499999999999998</x:v>
      </x:c>
      <x:c r="B1043">
        <x:f t="shared" si="61"/>
        <x:v>2689.520854217586</x:v>
      </x:c>
      <x:c r="C1043">
        <x:f t="shared" si="62"/>
        <x:v>1538.8616802693725</x:v>
      </x:c>
      <x:c r="D1043">
        <x:f t="shared" si="63"/>
        <x:v>3210.1620844044405</x:v>
      </x:c>
      <x:c r="E1043">
        <x:f t="shared" si="64"/>
        <x:v>3178.3238656808849</x:v>
      </x:c>
    </x:row>
    <x:row r="1044">
      <x:c r="A1044" t="n">
        <x:f t="shared" ref="A1044:A1107" si="65">I66</x:f>
        <x:v>-0.467</x:v>
      </x:c>
      <x:c r="B1044" t="n">
        <x:f t="shared" ref="B1044:B1107" si="66">AH66</x:f>
        <x:v>2689.038516240782</x:v>
      </x:c>
      <x:c r="C1044" t="n">
        <x:f t="shared" ref="C1044:C1107" si="67">AJ66</x:f>
        <x:v>1509.7552162254726</x:v>
      </x:c>
      <x:c r="D1044" t="n">
        <x:f t="shared" ref="D1044:D1107" si="68">AL66</x:f>
        <x:v>3141.3341110240226</x:v>
      </x:c>
      <x:c r="E1044" t="n">
        <x:f t="shared" ref="E1044:E1107" si="69">AN66</x:f>
        <x:v>3109.462192200807</x:v>
      </x:c>
    </x:row>
    <x:row r="1045">
      <x:c r="A1045">
        <x:f t="shared" si="65"/>
        <x:v>-0.45800000000000002</x:v>
      </x:c>
      <x:c r="B1045">
        <x:f t="shared" si="66"/>
        <x:v>2688.505605067754</x:v>
      </x:c>
      <x:c r="C1045">
        <x:f t="shared" si="67"/>
        <x:v>1477.272095393459</x:v>
      </x:c>
      <x:c r="D1045">
        <x:f t="shared" si="68"/>
        <x:v>3064.7562292393345</x:v>
      </x:c>
      <x:c r="E1045">
        <x:f t="shared" si="69"/>
        <x:v>3032.8623798858607</x:v>
      </x:c>
    </x:row>
    <x:row r="1046">
      <x:c r="A1046">
        <x:f t="shared" si="65"/>
        <x:v>-0.45</x:v>
      </x:c>
      <x:c r="B1046">
        <x:f t="shared" si="66"/>
        <x:v>2688.0405488767533</x:v>
      </x:c>
      <x:c r="C1046">
        <x:f t="shared" si="67"/>
        <x:v>1448.628895361848</x:v>
      </x:c>
      <x:c r="D1046">
        <x:f t="shared" si="68"/>
        <x:v>2997.4387220817075</x:v>
      </x:c>
      <x:c r="E1046">
        <x:f t="shared" si="69"/>
        <x:v>2965.5394356653028</x:v>
      </x:c>
    </x:row>
    <x:row r="1047">
      <x:c r="A1047">
        <x:f t="shared" si="65"/>
        <x:v>-0.442</x:v>
      </x:c>
      <x:c r="B1047">
        <x:f t="shared" si="66"/>
        <x:v>2687.5836301386457</x:v>
      </x:c>
      <x:c r="C1047">
        <x:f t="shared" si="67"/>
        <x:v>1420.2010523856848</x:v>
      </x:c>
      <x:c r="D1047">
        <x:f t="shared" si="68"/>
        <x:v>2930.8219568286472</x:v>
      </x:c>
      <x:c r="E1047">
        <x:f t="shared" si="69"/>
        <x:v>2898.930305024403</x:v>
      </x:c>
    </x:row>
    <x:row r="1048">
      <x:c r="A1048">
        <x:f t="shared" si="65"/>
        <x:v>-0.433</x:v>
      </x:c>
      <x:c r="B1048">
        <x:f t="shared" si="66"/>
        <x:v>2687.0793271300054</x:v>
      </x:c>
      <x:c r="C1048">
        <x:f t="shared" si="67"/>
        <x:v>1388.4750825653464</x:v>
      </x:c>
      <x:c r="D1048">
        <x:f t="shared" si="68"/>
        <x:v>2856.707437171217</x:v>
      </x:c>
      <x:c r="E1048">
        <x:f t="shared" si="69"/>
        <x:v>2824.8397867428093</x:v>
      </x:c>
    </x:row>
    <x:row r="1049">
      <x:c r="A1049">
        <x:f t="shared" si="65"/>
        <x:v>-0.42499999999999999</x:v>
      </x:c>
      <x:c r="B1049">
        <x:f t="shared" si="66"/>
        <x:v>2686.6397104802963</x:v>
      </x:c>
      <x:c r="C1049">
        <x:f t="shared" si="67"/>
        <x:v>1360.4994034490926</x:v>
      </x:c>
      <x:c r="D1049">
        <x:f t="shared" si="68"/>
        <x:v>2791.5575527526471</x:v>
      </x:c>
      <x:c r="E1049">
        <x:f t="shared" si="69"/>
        <x:v>2759.7247264813568</x:v>
      </x:c>
    </x:row>
    <x:row r="1050">
      <x:c r="A1050">
        <x:f t="shared" si="65"/>
        <x:v>-0.41699999999999998</x:v>
      </x:c>
      <x:c r="B1050">
        <x:f t="shared" si="66"/>
        <x:v>2686.2082405845767</x:v>
      </x:c>
      <x:c r="C1050">
        <x:f t="shared" si="67"/>
        <x:v>1332.7340115462373</x:v>
      </x:c>
      <x:c r="D1050">
        <x:f t="shared" si="68"/>
        <x:v>2727.0872248769224</x:v>
      </x:c>
      <x:c r="E1050">
        <x:f t="shared" si="69"/>
        <x:v>2695.3016989076077</x:v>
      </x:c>
    </x:row>
    <x:row r="1051">
      <x:c r="A1051">
        <x:f t="shared" si="65"/>
        <x:v>-0.40799999999999997</x:v>
      </x:c>
      <x:c r="B1051">
        <x:f t="shared" si="66"/>
        <x:v>2685.7325784389564</x:v>
      </x:c>
      <x:c r="C1051">
        <x:f t="shared" si="67"/>
        <x:v>1301.7473946103885</x:v>
      </x:c>
      <x:c r="D1051">
        <x:f t="shared" si="68"/>
        <x:v>2655.3615925812765</x:v>
      </x:c>
      <x:c r="E1051">
        <x:f t="shared" si="69"/>
        <x:v>2623.643900129246</x:v>
      </x:c>
    </x:row>
    <x:row r="1052">
      <x:c r="A1052">
        <x:f t="shared" si="65"/>
        <x:v>-0.4</x:v>
      </x:c>
      <x:c r="B1052">
        <x:f t="shared" si="66"/>
        <x:v>2685.318429856306</x:v>
      </x:c>
      <x:c r="C1052">
        <x:f t="shared" si="67"/>
        <x:v>1274.4238323326915</x:v>
      </x:c>
      <x:c r="D1052">
        <x:f t="shared" si="68"/>
        <x:v>2592.3117154336151</x:v>
      </x:c>
      <x:c r="E1052">
        <x:f t="shared" si="69"/>
        <x:v>2560.6670284536167</x:v>
      </x:c>
    </x:row>
    <x:row r="1053">
      <x:c r="A1053">
        <x:f t="shared" si="65"/>
        <x:v>-0.39200000000000002</x:v>
      </x:c>
      <x:c r="B1053">
        <x:f t="shared" si="66"/>
        <x:v>2684.9124368195003</x:v>
      </x:c>
      <x:c r="C1053">
        <x:f t="shared" si="67"/>
        <x:v>1247.305949695761</x:v>
      </x:c>
      <x:c r="D1053">
        <x:f t="shared" si="68"/>
        <x:v>2529.9188951271449</x:v>
      </x:c>
      <x:c r="E1053">
        <x:f t="shared" si="69"/>
        <x:v>2498.3588768603126</x:v>
      </x:c>
    </x:row>
    <x:row r="1054">
      <x:c r="A1054">
        <x:f t="shared" si="65"/>
        <x:v>-0.38300000000000001</x:v>
      </x:c>
      <x:c r="B1054">
        <x:f t="shared" si="66"/>
        <x:v>2684.4654464452342</x:v>
      </x:c>
      <x:c r="C1054">
        <x:f t="shared" si="67"/>
        <x:v>1217.0425226665805</x:v>
      </x:c>
      <x:c r="D1054">
        <x:f t="shared" si="68"/>
        <x:v>2460.5030623996822</x:v>
      </x:c>
      <x:c r="E1054">
        <x:f t="shared" si="69"/>
        <x:v>2429.0518438601966</x:v>
      </x:c>
    </x:row>
    <x:row r="1055">
      <x:c r="A1055">
        <x:f t="shared" si="65"/>
        <x:v>-0.375</x:v>
      </x:c>
      <x:c r="B1055">
        <x:f t="shared" si="66"/>
        <x:v>2684.0767928598584</x:v>
      </x:c>
      <x:c r="C1055">
        <x:f t="shared" si="67"/>
        <x:v>1190.3573781400514</x:v>
      </x:c>
      <x:c r="D1055">
        <x:f t="shared" si="68"/>
        <x:v>2399.4815554213374</x:v>
      </x:c>
      <x:c r="E1055">
        <x:f t="shared" si="69"/>
        <x:v>2368.1387047809635</x:v>
      </x:c>
    </x:row>
    <x:row r="1056">
      <x:c r="A1056">
        <x:f t="shared" si="65"/>
        <x:v>-0.36699999999999999</x:v>
      </x:c>
      <x:c r="B1056">
        <x:f t="shared" si="66"/>
        <x:v>2683.6963030990701</x:v>
      </x:c>
      <x:c r="C1056">
        <x:f t="shared" si="67"/>
        <x:v>1163.8740325347778</x:v>
      </x:c>
      <x:c r="D1056">
        <x:f t="shared" si="68"/>
        <x:v>2339.0933871403463</x:v>
      </x:c>
      <x:c r="E1056">
        <x:f t="shared" si="69"/>
        <x:v>2307.869477325939</x:v>
      </x:c>
    </x:row>
    <x:row r="1057">
      <x:c r="A1057">
        <x:f t="shared" si="65"/>
        <x:v>-0.35799999999999998</x:v>
      </x:c>
      <x:c r="B1057">
        <x:f t="shared" si="66"/>
        <x:v>2683.2780136005345</x:v>
      </x:c>
      <x:c r="C1057">
        <x:f t="shared" si="67"/>
        <x:v>1134.3202022333339</x:v>
      </x:c>
      <x:c r="D1057">
        <x:f t="shared" si="68"/>
        <x:v>2271.9039940577863</x:v>
      </x:c>
      <x:c r="E1057">
        <x:f t="shared" si="69"/>
        <x:v>2240.8260060943512</x:v>
      </x:c>
    </x:row>
    <x:row r="1058">
      <x:c r="A1058">
        <x:f t="shared" si="65"/>
        <x:v>-0.35</x:v>
      </x:c>
      <x:c r="B1058">
        <x:f t="shared" si="66"/>
        <x:v>2682.9148803352541</x:v>
      </x:c>
      <x:c r="C1058">
        <x:f t="shared" si="67"/>
        <x:v>1108.2624133501783</x:v>
      </x:c>
      <x:c r="D1058">
        <x:f t="shared" si="68"/>
        <x:v>2212.8355811384035</x:v>
      </x:c>
      <x:c r="E1058">
        <x:f t="shared" si="69"/>
        <x:v>2181.8975570992638</x:v>
      </x:c>
    </x:row>
    <x:row r="1059">
      <x:c r="A1059">
        <x:f t="shared" si="65"/>
        <x:v>-0.34200000000000003</x:v>
      </x:c>
      <x:c r="B1059">
        <x:f t="shared" si="66"/>
        <x:v>2682.5599186564959</x:v>
      </x:c>
      <x:c r="C1059">
        <x:f t="shared" si="67"/>
        <x:v>1082.4036420950645</x:v>
      </x:c>
      <x:c r="D1059">
        <x:f t="shared" si="68"/>
        <x:v>2154.3757519290621</x:v>
      </x:c>
      <x:c r="E1059">
        <x:f t="shared" si="69"/>
        <x:v>2123.5868153942761</x:v>
      </x:c>
    </x:row>
    <x:row r="1060">
      <x:c r="A1060">
        <x:f t="shared" si="65"/>
        <x:v>-0.33300000000000002</x:v>
      </x:c>
      <x:c r="B1060">
        <x:f t="shared" si="66"/>
        <x:v>2682.1703573214322</x:v>
      </x:c>
      <x:c r="C1060">
        <x:f t="shared" si="67"/>
        <x:v>1053.5497018470367</x:v>
      </x:c>
      <x:c r="D1060">
        <x:f t="shared" si="68"/>
        <x:v>2089.3258107719435</x:v>
      </x:c>
      <x:c r="E1060">
        <x:f t="shared" si="69"/>
        <x:v>2058.7148075309083</x:v>
      </x:c>
    </x:row>
    <x:row r="1061">
      <x:c r="A1061">
        <x:f t="shared" si="65"/>
        <x:v>-0.32500000000000001</x:v>
      </x:c>
      <x:c r="B1061">
        <x:f t="shared" si="66"/>
        <x:v>2681.8327680804646</x:v>
      </x:c>
      <x:c r="C1061">
        <x:f t="shared" si="67"/>
        <x:v>1028.1121624339564</x:v>
      </x:c>
      <x:c r="D1061">
        <x:f t="shared" si="68"/>
        <x:v>2032.1322695231349</x:v>
      </x:c>
      <x:c r="E1061">
        <x:f t="shared" si="69"/>
        <x:v>2001.6878257232431</x:v>
      </x:c>
    </x:row>
    <x:row r="1062">
      <x:c r="A1062">
        <x:f t="shared" si="65"/>
        <x:v>-0.317</x:v>
      </x:c>
      <x:c r="B1062">
        <x:f t="shared" si="66"/>
        <x:v>2681.5033576678143</x:v>
      </x:c>
      <x:c r="C1062">
        <x:f t="shared" si="67"/>
        <x:v>1002.8724909144175</x:v>
      </x:c>
      <x:c r="D1062">
        <x:f t="shared" si="68"/>
        <x:v>1975.5218318440923</x:v>
      </x:c>
      <x:c r="E1062">
        <x:f t="shared" si="69"/>
        <x:v>1945.2511482815198</x:v>
      </x:c>
    </x:row>
    <x:row r="1063">
      <x:c r="A1063">
        <x:f t="shared" si="65"/>
        <x:v>-0.308</x:v>
      </x:c>
      <x:c r="B1063">
        <x:f t="shared" si="66"/>
        <x:v>2681.1425499551765</x:v>
      </x:c>
      <x:c r="C1063">
        <x:f t="shared" si="67"/>
        <x:v>974.71450211271815</x:v>
      </x:c>
      <x:c r="D1063">
        <x:f t="shared" si="68"/>
        <x:v>1912.5218325119242</x:v>
      </x:c>
      <x:c r="E1063">
        <x:f t="shared" si="69"/>
        <x:v>1882.4543117385992</x:v>
      </x:c>
    </x:row>
    <x:row r="1064">
      <x:c r="A1064">
        <x:f t="shared" si="65"/>
        <x:v>-0.3</x:v>
      </x:c>
      <x:c r="B1064">
        <x:f t="shared" si="66"/>
        <x:v>2680.8305268137187</x:v>
      </x:c>
      <x:c r="C1064">
        <x:f t="shared" si="67"/>
        <x:v>949.89595685143365</x:v>
      </x:c>
      <x:c r="D1064">
        <x:f t="shared" si="68"/>
        <x:v>1857.1231620816707</x:v>
      </x:c>
      <x:c r="E1064">
        <x:f t="shared" si="69"/>
        <x:v>1827.2421550832848</x:v>
      </x:c>
    </x:row>
    <x:row r="1065">
      <x:c r="A1065">
        <x:f t="shared" si="65"/>
        <x:v>-0.29199999999999998</x:v>
      </x:c>
      <x:c r="B1065">
        <x:f t="shared" si="66"/>
        <x:v>2680.526689218967</x:v>
      </x:c>
      <x:c r="C1065">
        <x:f t="shared" si="67"/>
        <x:v>925.27653395464438</x:v>
      </x:c>
      <x:c r="D1065">
        <x:f t="shared" si="68"/>
        <x:v>1802.2819043727304</x:v>
      </x:c>
      <x:c r="E1065">
        <x:f t="shared" si="69"/>
        <x:v>1772.5920499108024</x:v>
      </x:c>
    </x:row>
    <x:row r="1066">
      <x:c r="A1066">
        <x:f t="shared" si="65"/>
        <x:v>-0.28299999999999997</x:v>
      </x:c>
      <x:c r="B1066">
        <x:f t="shared" si="66"/>
        <x:v>2680.1946587476814</x:v>
      </x:c>
      <x:c r="C1066">
        <x:f t="shared" si="67"/>
        <x:v>897.81905962626126</x:v>
      </x:c>
      <x:c r="D1066">
        <x:f t="shared" si="68"/>
        <x:v>1741.2416393615815</x:v>
      </x:c>
      <x:c r="E1066">
        <x:f t="shared" si="69"/>
        <x:v>1711.7711368171172</x:v>
      </x:c>
    </x:row>
    <x:row r="1067">
      <x:c r="A1067">
        <x:f t="shared" si="65"/>
        <x:v>-0.27500000000000002</x:v>
      </x:c>
      <x:c r="B1067">
        <x:f t="shared" si="66"/>
        <x:v>2679.9082221420913</x:v>
      </x:c>
      <x:c r="C1067">
        <x:f t="shared" si="67"/>
        <x:v>873.62687375191115</x:v>
      </x:c>
      <x:c r="D1067">
        <x:f t="shared" si="68"/>
        <x:v>1687.5579776583929</x:v>
      </x:c>
      <x:c r="E1067">
        <x:f t="shared" si="69"/>
        <x:v>1658.2850643618456</x:v>
      </x:c>
    </x:row>
    <x:row r="1068">
      <x:c r="A1068">
        <x:f t="shared" si="65"/>
        <x:v>-0.26700000000000002</x:v>
      </x:c>
      <x:c r="B1068">
        <x:f t="shared" si="66"/>
        <x:v>2679.6299772752322</x:v>
      </x:c>
      <x:c r="C1068">
        <x:f t="shared" si="67"/>
        <x:v>849.63861157700319</x:v>
      </x:c>
      <x:c r="D1068">
        <x:f t="shared" si="68"/>
        <x:v>1634.406668398929</x:v>
      </x:c>
      <x:c r="E1068">
        <x:f t="shared" si="69"/>
        <x:v>1605.3325327342354</x:v>
      </x:c>
    </x:row>
    <x:row r="1069">
      <x:c r="A1069">
        <x:f t="shared" si="65"/>
        <x:v>-0.25800000000000001</x:v>
      </x:c>
      <x:c r="B1069">
        <x:f t="shared" si="66"/>
        <x:v>2679.3267458137466</x:v>
      </x:c>
      <x:c r="C1069">
        <x:f t="shared" si="67"/>
        <x:v>822.89876155971092</x:v>
      </x:c>
      <x:c r="D1069">
        <x:f t="shared" si="68"/>
        <x:v>1575.2382195812656</x:v>
      </x:c>
      <x:c r="E1069">
        <x:f t="shared" si="69"/>
        <x:v>1546.3874430517001</x:v>
      </x:c>
    </x:row>
    <x:row r="1070">
      <x:c r="A1070">
        <x:f t="shared" si="65"/>
        <x:v>-0.25</x:v>
      </x:c>
      <x:c r="B1070">
        <x:f t="shared" si="66"/>
        <x:v>2679.0659145324939</x:v>
      </x:c>
      <x:c r="C1070">
        <x:f t="shared" si="67"/>
        <x:v>799.35304652578816</x:v>
      </x:c>
      <x:c r="D1070">
        <x:f t="shared" si="68"/>
        <x:v>1523.1929864371127</x:v>
      </x:c>
      <x:c r="E1070">
        <x:f t="shared" si="69"/>
        <x:v>1494.538848738704</x:v>
      </x:c>
    </x:row>
    <x:row r="1071">
      <x:c r="A1071">
        <x:f t="shared" si="65"/>
        <x:v>-0.24199999999999999</x:v>
      </x:c>
      <x:c r="B1071">
        <x:f t="shared" si="66"/>
        <x:v>2678.8132806528729</x:v>
      </x:c>
      <x:c r="C1071">
        <x:f t="shared" si="67"/>
        <x:v>776.02132681113301</x:v>
      </x:c>
      <x:c r="D1071">
        <x:f t="shared" si="68"/>
        <x:v>1471.657065923119</x:v>
      </x:c>
      <x:c r="E1071">
        <x:f t="shared" si="69"/>
        <x:v>1443.1960281662846</x:v>
      </x:c>
    </x:row>
    <x:row r="1072">
      <x:c r="A1072">
        <x:f t="shared" si="65"/>
        <x:v>-0.23300000000000001</x:v>
      </x:c>
      <x:c r="B1072">
        <x:f t="shared" si="66"/>
        <x:v>2678.53886810944</x:v>
      </x:c>
      <x:c r="C1072">
        <x:f t="shared" si="67"/>
        <x:v>750.03486285335612</x:v>
      </x:c>
      <x:c r="D1072">
        <x:f t="shared" si="68"/>
        <x:v>1414.2797453815531</x:v>
      </x:c>
      <x:c r="E1072">
        <x:f t="shared" si="69"/>
        <x:v>1386.0293710733336</x:v>
      </x:c>
    </x:row>
    <x:row r="1073">
      <x:c r="A1073">
        <x:f t="shared" si="65"/>
        <x:v>-0.22500000000000001</x:v>
      </x:c>
      <x:c r="B1073">
        <x:f t="shared" si="66"/>
        <x:v>2678.3036592847507</x:v>
      </x:c>
      <x:c r="C1073">
        <x:f t="shared" si="67"/>
        <x:v>727.17474536725172</x:v>
      </x:c>
      <x:c r="D1073">
        <x:f t="shared" si="68"/>
        <x:v>1363.8048794660731</x:v>
      </x:c>
      <x:c r="E1073">
        <x:f t="shared" si="69"/>
        <x:v>1335.7335814317601</x:v>
      </x:c>
    </x:row>
    <x:row r="1074">
      <x:c r="A1074">
        <x:f t="shared" si="65"/>
        <x:v>-0.217</x:v>
      </x:c>
      <x:c r="B1074">
        <x:f t="shared" si="66"/>
        <x:v>2678.0766529929315</x:v>
      </x:c>
      <x:c r="C1074">
        <x:f t="shared" si="67"/>
        <x:v>704.54661686923862</x:v>
      </x:c>
      <x:c r="D1074">
        <x:f t="shared" si="68"/>
        <x:v>1313.820661862484</x:v>
      </x:c>
      <x:c r="E1074">
        <x:f t="shared" si="69"/>
        <x:v>1285.9182668026356</x:v>
      </x:c>
    </x:row>
    <x:row r="1075">
      <x:c r="A1075">
        <x:f t="shared" si="65"/>
        <x:v>-0.20799999999999999</x:v>
      </x:c>
      <x:c r="B1075">
        <x:f t="shared" si="66"/>
        <x:v>2677.8310774067595</x:v>
      </x:c>
      <x:c r="C1075">
        <x:f t="shared" si="67"/>
        <x:v>679.37735188566262</x:v>
      </x:c>
      <x:c r="D1075">
        <x:f t="shared" si="68"/>
        <x:v>1258.1693986938863</x:v>
      </x:c>
      <x:c r="E1075">
        <x:f t="shared" si="69"/>
        <x:v>1230.4415066288307</x:v>
      </x:c>
    </x:row>
    <x:row r="1076">
      <x:c r="A1076">
        <x:f t="shared" si="65"/>
        <x:v>-0.2</x:v>
      </x:c>
      <x:c r="B1076">
        <x:f t="shared" si="66"/>
        <x:v>2677.6215065069619</x:v>
      </x:c>
      <x:c r="C1076">
        <x:f t="shared" si="67"/>
        <x:v>657.27068851642468</x:v>
      </x:c>
      <x:c r="D1076">
        <x:f t="shared" si="68"/>
        <x:v>1209.2143519498034</x:v>
      </x:c>
      <x:c r="E1076">
        <x:f t="shared" si="69"/>
        <x:v>1181.6244054437507</x:v>
      </x:c>
    </x:row>
    <x:row r="1077">
      <x:c r="A1077">
        <x:f t="shared" si="65"/>
        <x:v>-0.192</x:v>
      </x:c>
      <x:c r="B1077">
        <x:f t="shared" si="66"/>
        <x:v>2677.4201427373237</x:v>
      </x:c>
      <x:c r="C1077">
        <x:f t="shared" si="67"/>
        <x:v>635.42608587189397</x:v>
      </x:c>
      <x:c r="D1077">
        <x:f t="shared" si="68"/>
        <x:v>1160.7398106982935</x:v>
      </x:c>
      <x:c r="E1077">
        <x:f t="shared" si="69"/>
        <x:v>1133.2680310356866</x:v>
      </x:c>
    </x:row>
    <x:row r="1078">
      <x:c r="A1078">
        <x:f t="shared" si="65"/>
        <x:v>-0.183</x:v>
      </x:c>
      <x:c r="B1078">
        <x:f t="shared" si="66"/>
        <x:v>2677.2034202705154</x:v>
      </x:c>
      <x:c r="C1078">
        <x:f t="shared" si="67"/>
        <x:v>611.18062071366592</x:v>
      </x:c>
      <x:c r="D1078">
        <x:f t="shared" si="68"/>
        <x:v>1106.7799512839299</x:v>
      </x:c>
      <x:c r="E1078">
        <x:f t="shared" si="69"/>
        <x:v>1079.4124988914414</x:v>
      </x:c>
    </x:row>
    <x:row r="1079">
      <x:c r="A1079">
        <x:f t="shared" si="65"/>
        <x:v>-0.17499999999999999</x:v>
      </x:c>
      <x:c r="B1079">
        <x:f t="shared" si="66"/>
        <x:v>2677.019501093122</x:v>
      </x:c>
      <x:c r="C1079">
        <x:f t="shared" si="67"/>
        <x:v>589.93930874913281</x:v>
      </x:c>
      <x:c r="D1079">
        <x:f t="shared" si="68"/>
        <x:v>1059.3278163208254</x:v>
      </x:c>
      <x:c r="E1079">
        <x:f t="shared" si="69"/>
        <x:v>1032.0225937697833</x:v>
      </x:c>
    </x:row>
    <x:row r="1080">
      <x:c r="A1080">
        <x:f t="shared" si="65"/>
        <x:v>-0.16700000000000001</x:v>
      </x:c>
      <x:c r="B1080">
        <x:f t="shared" si="66"/>
        <x:v>2676.843793107199</x:v>
      </x:c>
      <x:c r="C1080">
        <x:f t="shared" si="67"/>
        <x:v>569.00880810029753</x:v>
      </x:c>
      <x:c r="D1080">
        <x:f t="shared" si="68"/>
        <x:v>1012.362240937457</x:v>
      </x:c>
      <x:c r="E1080">
        <x:f t="shared" si="69"/>
        <x:v>985.08502580385175</x:v>
      </x:c>
    </x:row>
    <x:row r="1081">
      <x:c r="A1081">
        <x:f t="shared" si="65"/>
        <x:v>-0.158</x:v>
      </x:c>
      <x:c r="B1081">
        <x:f t="shared" si="66"/>
        <x:v>2676.6559380375311</x:v>
      </x:c>
      <x:c r="C1081">
        <x:f t="shared" si="67"/>
        <x:v>545.85993350873184</x:v>
      </x:c>
      <x:c r="D1081">
        <x:f t="shared" si="68"/>
        <x:v>960.11703342820601</x:v>
      </x:c>
      <x:c r="E1081">
        <x:f t="shared" si="69"/>
        <x:v>932.82274514534868</x:v>
      </x:c>
    </x:row>
    <x:row r="1082">
      <x:c r="A1082">
        <x:f t="shared" si="65"/>
        <x:v>-0.15</x:v>
      </x:c>
      <x:c r="B1082">
        <x:f t="shared" si="66"/>
        <x:v>2676.4976827030932</x:v>
      </x:c>
      <x:c r="C1082">
        <x:f t="shared" si="67"/>
        <x:v>525.66427144455326</x:v>
      </x:c>
      <x:c r="D1082">
        <x:f t="shared" si="68"/>
        <x:v>914.21509447541018</x:v>
      </x:c>
      <x:c r="E1082">
        <x:f t="shared" si="69"/>
        <x:v>886.85449472026994</x:v>
      </x:c>
    </x:row>
    <x:row r="1083">
      <x:c r="A1083">
        <x:f t="shared" si="65"/>
        <x:v>-0.14199999999999999</x:v>
      </x:c>
      <x:c r="B1083">
        <x:f t="shared" si="66"/>
        <x:v>2676.3476420836173</x:v>
      </x:c>
      <x:c r="C1083">
        <x:f t="shared" si="67"/>
        <x:v>505.85734229616077</x:v>
      </x:c>
      <x:c r="D1083">
        <x:f t="shared" si="68"/>
        <x:v>868.83708028220633</x:v>
      </x:c>
      <x:c r="E1083">
        <x:f t="shared" si="69"/>
        <x:v>841.35327888293671</x:v>
      </x:c>
    </x:row>
    <x:row r="1084">
      <x:c r="A1084">
        <x:f t="shared" si="65"/>
        <x:v>-0.13300000000000001</x:v>
      </x:c>
      <x:c r="B1084">
        <x:f t="shared" si="66"/>
        <x:v>2676.1886667981512</x:v>
      </x:c>
      <x:c r="C1084">
        <x:f t="shared" si="67"/>
        <x:v>484.08118424505756</x:v>
      </x:c>
      <x:c r="D1084">
        <x:f t="shared" si="68"/>
        <x:v>818.44200766992435</x:v>
      </x:c>
      <x:c r="E1084">
        <x:f t="shared" si="69"/>
        <x:v>790.73922174294944</x:v>
      </x:c>
    </x:row>
    <x:row r="1085">
      <x:c r="A1085">
        <x:f t="shared" si="65"/>
        <x:v>-0.125</x:v>
      </x:c>
      <x:c r="B1085">
        <x:f t="shared" si="66"/>
        <x:v>2676.0560857448104</x:v>
      </x:c>
      <x:c r="C1085">
        <x:f t="shared" si="67"/>
        <x:v>465.21831918360385</x:v>
      </x:c>
      <x:c r="D1085">
        <x:f t="shared" si="68"/>
        <x:v>774.26357736360831</x:v>
      </x:c>
      <x:c r="E1085">
        <x:f t="shared" si="69"/>
        <x:v>746.28169026439843</x:v>
      </x:c>
    </x:row>
    <x:row r="1086">
      <x:c r="A1086">
        <x:f t="shared" si="65"/>
        <x:v>-0.11700000000000001</x:v>
      </x:c>
      <x:c r="B1086">
        <x:f t="shared" si="66"/>
        <x:v>2675.93172239053</x:v>
      </x:c>
      <x:c r="C1086">
        <x:f t="shared" si="67"/>
        <x:v>446.86749403358624</x:v>
      </x:c>
      <x:c r="D1086">
        <x:f t="shared" si="68"/>
        <x:v>730.70973255620993</x:v>
      </x:c>
      <x:c r="E1086">
        <x:f t="shared" si="69"/>
        <x:v>702.35477860817696</x:v>
      </x:c>
    </x:row>
    <x:row r="1087">
      <x:c r="A1087">
        <x:f t="shared" si="65"/>
        <x:v>-0.108</x:v>
      </x:c>
      <x:c r="B1087">
        <x:f t="shared" si="66"/>
        <x:v>2675.801637380072</x:v>
      </x:c>
      <x:c r="C1087">
        <x:f t="shared" si="67"/>
        <x:v>426.90066876687405</x:v>
      </x:c>
      <x:c r="D1087">
        <x:f t="shared" si="68"/>
        <x:v>682.52802138756863</x:v>
      </x:c>
      <x:c r="E1087">
        <x:f t="shared" si="69"/>
        <x:v>653.62041243254544</x:v>
      </x:c>
    </x:row>
    <x:row r="1088">
      <x:c r="A1088">
        <x:f t="shared" si="65"/>
        <x:v>-0.1</x:v>
      </x:c>
      <x:c r="B1088">
        <x:f t="shared" si="66"/>
        <x:v>2675.6947393589066</x:v>
      </x:c>
      <x:c r="C1088">
        <x:f t="shared" si="67"/>
        <x:v>409.82236463418178</x:v>
      </x:c>
      <x:c r="D1088">
        <x:f t="shared" si="68"/>
        <x:v>640.5073835750494</x:v>
      </x:c>
      <x:c r="E1088">
        <x:f t="shared" si="69"/>
        <x:v>610.9686237412925</x:v>
      </x:c>
    </x:row>
    <x:row r="1089">
      <x:c r="A1089">
        <x:f t="shared" si="65"/>
        <x:v>-9.1999999999999998E-2</x:v>
      </x:c>
      <x:c r="B1089">
        <x:f t="shared" si="66"/>
        <x:v>2675.5960614801529</x:v>
      </x:c>
      <x:c r="C1089">
        <x:f t="shared" si="67"/>
        <x:v>393.44746490213646</x:v>
      </x:c>
      <x:c r="D1089">
        <x:f t="shared" si="68"/>
        <x:v>599.34841039901539</x:v>
      </x:c>
      <x:c r="E1089">
        <x:f t="shared" si="69"/>
        <x:v>569.02276868174431</x:v>
      </x:c>
    </x:row>
    <x:row r="1090">
      <x:c r="A1090">
        <x:f t="shared" si="65"/>
        <x:v>-8.3000000000000004E-2</x:v>
      </x:c>
      <x:c r="B1090">
        <x:f t="shared" si="66"/>
        <x:v>2675.4948753344852</x:v>
      </x:c>
      <x:c r="C1090">
        <x:f t="shared" si="67"/>
        <x:v>375.96606957909472</x:v>
      </x:c>
      <x:c r="D1090">
        <x:f t="shared" si="68"/>
        <x:v>554.23623167510391</x:v>
      </x:c>
      <x:c r="E1090">
        <x:f t="shared" si="69"/>
        <x:v>522.8056693168993</x:v>
      </x:c>
    </x:row>
    <x:row r="1091">
      <x:c r="A1091">
        <x:f t="shared" si="65"/>
        <x:v>-7.4999999999999997E-2</x:v>
      </x:c>
      <x:c r="B1091">
        <x:f t="shared" si="66"/>
        <x:v>2675.4136674055262</x:v>
      </x:c>
      <x:c r="C1091">
        <x:f t="shared" si="67"/>
        <x:v>361.36283308427818</x:v>
      </x:c>
      <x:c r="D1091">
        <x:f t="shared" si="68"/>
        <x:v>515.38593594731606</x:v>
      </x:c>
      <x:c r="E1091">
        <x:f t="shared" si="69"/>
        <x:v>482.74430884328382</x:v>
      </x:c>
    </x:row>
    <x:row r="1092">
      <x:c r="A1092">
        <x:f t="shared" si="65"/>
        <x:v>-6.7000000000000004E-2</x:v>
      </x:c>
      <x:c r="B1092">
        <x:f t="shared" si="66"/>
        <x:v>2675.3406815205371</x:v>
      </x:c>
      <x:c r="C1092">
        <x:f t="shared" si="67"/>
        <x:v>347.74512770791858</x:v>
      </x:c>
      <x:c r="D1092">
        <x:f t="shared" si="68"/>
        <x:v>477.94862974966588</x:v>
      </x:c>
      <x:c r="E1092">
        <x:f t="shared" si="69"/>
        <x:v>443.8466445893456</x:v>
      </x:c>
    </x:row>
    <x:row r="1093">
      <x:c r="A1093">
        <x:f t="shared" si="65"/>
        <x:v>-5.8000000000000003E-2</x:v>
      </x:c>
      <x:c r="B1093">
        <x:f t="shared" si="66"/>
        <x:v>2675.2684009246454</x:v>
      </x:c>
      <x:c r="C1093">
        <x:f t="shared" si="67"/>
        <x:v>333.7408733876195</x:v>
      </x:c>
      <x:c r="D1093">
        <x:f t="shared" si="68"/>
        <x:v>437.89929731903487</x:v>
      </x:c>
      <x:c r="E1093">
        <x:f t="shared" si="69"/>
        <x:v>401.81820551497754</x:v>
      </x:c>
    </x:row>
    <x:row r="1094">
      <x:c r="A1094">
        <x:f t="shared" si="65"/>
        <x:v>-0.05</x:v>
      </x:c>
      <x:c r="B1094">
        <x:f t="shared" si="66"/>
        <x:v>2675.2128884537788</x:v>
      </x:c>
      <x:c r="C1094">
        <x:f t="shared" si="67"/>
        <x:v>322.5932252064959</x:v>
      </x:c>
      <x:c r="D1094">
        <x:f t="shared" si="68"/>
        <x:v>404.58204465567519</x:v>
      </x:c>
      <x:c r="E1094">
        <x:f t="shared" si="69"/>
        <x:v>366.42028097133147</x:v>
      </x:c>
    </x:row>
    <x:row r="1095">
      <x:c r="A1095">
        <x:f t="shared" si="65"/>
        <x:v>-4.2000000000000003E-2</x:v>
      </x:c>
      <x:c r="B1095">
        <x:f t="shared" si="66"/>
        <x:v>2675.1655993857221</x:v>
      </x:c>
      <x:c r="C1095">
        <x:f t="shared" si="67"/>
        <x:v>312.79808444872799</x:v>
      </x:c>
      <x:c r="D1095">
        <x:f t="shared" si="68"/>
        <x:v>373.95808704286753</x:v>
      </x:c>
      <x:c r="E1095">
        <x:f t="shared" si="69"/>
        <x:v>333.41947696346216</x:v>
      </x:c>
    </x:row>
    <x:row r="1096">
      <x:c r="A1096">
        <x:f t="shared" si="65"/>
        <x:v>-3.3000000000000002E-2</x:v>
      </x:c>
      <x:c r="B1096">
        <x:f t="shared" si="66"/>
        <x:v>2675.1222291167342</x:v>
      </x:c>
      <x:c r="C1096">
        <x:f t="shared" si="67"/>
        <x:v>303.54886988121996</x:v>
      </x:c>
      <x:c r="D1096">
        <x:f t="shared" si="68"/>
        <x:v>343.5612623013572</x:v>
      </x:c>
      <x:c r="E1096">
        <x:f t="shared" si="69"/>
        <x:v>300.07341715264386</x:v>
      </x:c>
    </x:row>
    <x:row r="1097">
      <x:c r="A1097">
        <x:f t="shared" si="65"/>
        <x:v>-2.5000000000000001E-2</x:v>
      </x:c>
      <x:c r="B1097">
        <x:f t="shared" si="66"/>
        <x:v>2675.0924157732229</x:v>
      </x:c>
      <x:c r="C1097">
        <x:f t="shared" si="67"/>
        <x:v>297.03061836832649</x:v>
      </x:c>
      <x:c r="D1097">
        <x:f t="shared" si="68"/>
        <x:v>321.04928767386309</x:v>
      </x:c>
      <x:c r="E1097">
        <x:f t="shared" si="69"/>
        <x:v>274.87151736535009</x:v>
      </x:c>
    </x:row>
    <x:row r="1098">
      <x:c r="A1098">
        <x:f t="shared" si="65"/>
        <x:v>-1.7000000000000001E-2</x:v>
      </x:c>
      <x:c r="B1098">
        <x:f t="shared" si="66"/>
        <x:v>2675.0708266480583</x:v>
      </x:c>
      <x:c r="C1098">
        <x:f t="shared" si="67"/>
        <x:v>292.22322937692019</x:v>
      </x:c>
      <x:c r="D1098">
        <x:f t="shared" si="68"/>
        <x:v>303.73346224026676</x:v>
      </x:c>
      <x:c r="E1098">
        <x:f t="shared" si="69"/>
        <x:v>255.10349072494134</x:v>
      </x:c>
    </x:row>
    <x:row r="1099">
      <x:c r="A1099">
        <x:f t="shared" si="65"/>
        <x:v>-8.0000000000000002E-3</x:v>
      </x:c>
      <x:c r="B1099">
        <x:f t="shared" si="66"/>
        <x:v>2675.0563695731153</x:v>
      </x:c>
      <x:c r="C1099">
        <x:f t="shared" si="67"/>
        <x:v>288.96093772220826</x:v>
      </x:c>
      <x:c r="D1099">
        <x:f t="shared" si="68"/>
        <x:v>291.57635730626026</x:v>
      </x:c>
      <x:c r="E1099">
        <x:f t="shared" si="69"/>
        <x:v>240.97664531965657</x:v>
      </x:c>
    </x:row>
    <x:row r="1100">
      <x:c r="A1100">
        <x:f t="shared" si="65"/>
        <x:v>0</x:v>
      </x:c>
      <x:c r="B1100">
        <x:f t="shared" si="66"/>
        <x:v>2675.0522573279914</x:v>
      </x:c>
      <x:c r="C1100">
        <x:f t="shared" si="67"/>
        <x:v>288.02648974651419</x:v>
      </x:c>
      <x:c r="D1100">
        <x:f t="shared" si="68"/>
        <x:v>288.02648974651419</x:v>
      </x:c>
      <x:c r="E1100">
        <x:f t="shared" si="69"/>
        <x:v>236.80676373491008</x:v>
      </x:c>
    </x:row>
    <x:row r="1101">
      <x:c r="A1101">
        <x:f t="shared" si="65"/>
        <x:v>8.0000000000000002E-3</x:v>
      </x:c>
      <x:c r="B1101">
        <x:f t="shared" si="66"/>
        <x:v>2675.0563695731153</x:v>
      </x:c>
      <x:c r="C1101">
        <x:f t="shared" si="67"/>
        <x:v>288.96093772220826</x:v>
      </x:c>
      <x:c r="D1101">
        <x:f t="shared" si="68"/>
        <x:v>291.57635730626026</x:v>
      </x:c>
      <x:c r="E1101">
        <x:f t="shared" si="69"/>
        <x:v>240.97664531965657</x:v>
      </x:c>
    </x:row>
    <x:row r="1102">
      <x:c r="A1102">
        <x:f t="shared" si="65"/>
        <x:v>1.7000000000000001E-2</x:v>
      </x:c>
      <x:c r="B1102">
        <x:f t="shared" si="66"/>
        <x:v>2675.0708266480583</x:v>
      </x:c>
      <x:c r="C1102">
        <x:f t="shared" si="67"/>
        <x:v>292.22322937692019</x:v>
      </x:c>
      <x:c r="D1102">
        <x:f t="shared" si="68"/>
        <x:v>303.73346224026676</x:v>
      </x:c>
      <x:c r="E1102">
        <x:f t="shared" si="69"/>
        <x:v>255.10349072494134</x:v>
      </x:c>
    </x:row>
    <x:row r="1103">
      <x:c r="A1103">
        <x:f t="shared" si="65"/>
        <x:v>2.5000000000000001E-2</x:v>
      </x:c>
      <x:c r="B1103">
        <x:f t="shared" si="66"/>
        <x:v>2675.0924157732229</x:v>
      </x:c>
      <x:c r="C1103">
        <x:f t="shared" si="67"/>
        <x:v>297.03061836832649</x:v>
      </x:c>
      <x:c r="D1103">
        <x:f t="shared" si="68"/>
        <x:v>321.04928767386309</x:v>
      </x:c>
      <x:c r="E1103">
        <x:f t="shared" si="69"/>
        <x:v>274.87151736535009</x:v>
      </x:c>
    </x:row>
    <x:row r="1104">
      <x:c r="A1104">
        <x:f t="shared" si="65"/>
        <x:v>3.3000000000000002E-2</x:v>
      </x:c>
      <x:c r="B1104">
        <x:f t="shared" si="66"/>
        <x:v>2675.1222291167342</x:v>
      </x:c>
      <x:c r="C1104">
        <x:f t="shared" si="67"/>
        <x:v>303.54886988121996</x:v>
      </x:c>
      <x:c r="D1104">
        <x:f t="shared" si="68"/>
        <x:v>343.5612623013572</x:v>
      </x:c>
      <x:c r="E1104">
        <x:f t="shared" si="69"/>
        <x:v>300.07341715264386</x:v>
      </x:c>
    </x:row>
    <x:row r="1105">
      <x:c r="A1105">
        <x:f t="shared" si="65"/>
        <x:v>4.2000000000000003E-2</x:v>
      </x:c>
      <x:c r="B1105">
        <x:f t="shared" si="66"/>
        <x:v>2675.1655993857221</x:v>
      </x:c>
      <x:c r="C1105">
        <x:f t="shared" si="67"/>
        <x:v>312.79808444872799</x:v>
      </x:c>
      <x:c r="D1105">
        <x:f t="shared" si="68"/>
        <x:v>373.95808704286753</x:v>
      </x:c>
      <x:c r="E1105">
        <x:f t="shared" si="69"/>
        <x:v>333.41947696346216</x:v>
      </x:c>
    </x:row>
    <x:row r="1106">
      <x:c r="A1106">
        <x:f t="shared" si="65"/>
        <x:v>0.05</x:v>
      </x:c>
      <x:c r="B1106">
        <x:f t="shared" si="66"/>
        <x:v>2675.2128884537788</x:v>
      </x:c>
      <x:c r="C1106">
        <x:f t="shared" si="67"/>
        <x:v>322.5932252064959</x:v>
      </x:c>
      <x:c r="D1106">
        <x:f t="shared" si="68"/>
        <x:v>404.58204465567519</x:v>
      </x:c>
      <x:c r="E1106">
        <x:f t="shared" si="69"/>
        <x:v>366.42028097133147</x:v>
      </x:c>
    </x:row>
    <x:row r="1107">
      <x:c r="A1107">
        <x:f t="shared" si="65"/>
        <x:v>5.8000000000000003E-2</x:v>
      </x:c>
      <x:c r="B1107">
        <x:f t="shared" si="66"/>
        <x:v>2675.2684009246454</x:v>
      </x:c>
      <x:c r="C1107">
        <x:f t="shared" si="67"/>
        <x:v>333.7408733876195</x:v>
      </x:c>
      <x:c r="D1107">
        <x:f t="shared" si="68"/>
        <x:v>437.89929731903487</x:v>
      </x:c>
      <x:c r="E1107">
        <x:f t="shared" si="69"/>
        <x:v>401.81820551497754</x:v>
      </x:c>
    </x:row>
    <x:row r="1108">
      <x:c r="A1108" t="n">
        <x:f t="shared" ref="A1108:A1171" si="70">I130</x:f>
        <x:v>0.067</x:v>
      </x:c>
      <x:c r="B1108" t="n">
        <x:f t="shared" ref="B1108:B1171" si="71">AH130</x:f>
        <x:v>2675.340681520537</x:v>
      </x:c>
      <x:c r="C1108" t="n">
        <x:f t="shared" ref="C1108:C1171" si="72">AJ130</x:f>
        <x:v>347.7451277079186</x:v>
      </x:c>
      <x:c r="D1108" t="n">
        <x:f t="shared" ref="D1108:D1171" si="73">AL130</x:f>
        <x:v>477.9486297496659</x:v>
      </x:c>
      <x:c r="E1108" t="n">
        <x:f t="shared" ref="E1108:E1171" si="74">AN130</x:f>
        <x:v>443.8466445893456</x:v>
      </x:c>
    </x:row>
    <x:row r="1109">
      <x:c r="A1109">
        <x:f t="shared" si="70"/>
        <x:v>7.4999999999999997E-2</x:v>
      </x:c>
      <x:c r="B1109">
        <x:f t="shared" si="71"/>
        <x:v>2675.4136674055262</x:v>
      </x:c>
      <x:c r="C1109">
        <x:f t="shared" si="72"/>
        <x:v>361.36283308427818</x:v>
      </x:c>
      <x:c r="D1109">
        <x:f t="shared" si="73"/>
        <x:v>515.38593594731606</x:v>
      </x:c>
      <x:c r="E1109">
        <x:f t="shared" si="74"/>
        <x:v>482.74430884328382</x:v>
      </x:c>
    </x:row>
    <x:row r="1110">
      <x:c r="A1110">
        <x:f t="shared" si="70"/>
        <x:v>8.3000000000000004E-2</x:v>
      </x:c>
      <x:c r="B1110">
        <x:f t="shared" si="71"/>
        <x:v>2675.4948753344852</x:v>
      </x:c>
      <x:c r="C1110">
        <x:f t="shared" si="72"/>
        <x:v>375.96606957909472</x:v>
      </x:c>
      <x:c r="D1110">
        <x:f t="shared" si="73"/>
        <x:v>554.23623167510391</x:v>
      </x:c>
      <x:c r="E1110">
        <x:f t="shared" si="74"/>
        <x:v>522.8056693168993</x:v>
      </x:c>
    </x:row>
    <x:row r="1111">
      <x:c r="A1111">
        <x:f t="shared" si="70"/>
        <x:v>9.1999999999999998E-2</x:v>
      </x:c>
      <x:c r="B1111">
        <x:f t="shared" si="71"/>
        <x:v>2675.5960614801529</x:v>
      </x:c>
      <x:c r="C1111">
        <x:f t="shared" si="72"/>
        <x:v>393.44746490213646</x:v>
      </x:c>
      <x:c r="D1111">
        <x:f t="shared" si="73"/>
        <x:v>599.34841039901539</x:v>
      </x:c>
      <x:c r="E1111">
        <x:f t="shared" si="74"/>
        <x:v>569.02276868174431</x:v>
      </x:c>
    </x:row>
    <x:row r="1112">
      <x:c r="A1112">
        <x:f t="shared" si="70"/>
        <x:v>0.1</x:v>
      </x:c>
      <x:c r="B1112">
        <x:f t="shared" si="71"/>
        <x:v>2675.6947393589066</x:v>
      </x:c>
      <x:c r="C1112">
        <x:f t="shared" si="72"/>
        <x:v>409.82236463418178</x:v>
      </x:c>
      <x:c r="D1112">
        <x:f t="shared" si="73"/>
        <x:v>640.5073835750494</x:v>
      </x:c>
      <x:c r="E1112">
        <x:f t="shared" si="74"/>
        <x:v>610.9686237412925</x:v>
      </x:c>
    </x:row>
    <x:row r="1113">
      <x:c r="A1113">
        <x:f t="shared" si="70"/>
        <x:v>0.108</x:v>
      </x:c>
      <x:c r="B1113">
        <x:f t="shared" si="71"/>
        <x:v>2675.801637380072</x:v>
      </x:c>
      <x:c r="C1113">
        <x:f t="shared" si="72"/>
        <x:v>426.90066876687405</x:v>
      </x:c>
      <x:c r="D1113">
        <x:f t="shared" si="73"/>
        <x:v>682.52802138756863</x:v>
      </x:c>
      <x:c r="E1113">
        <x:f t="shared" si="74"/>
        <x:v>653.62041243254544</x:v>
      </x:c>
    </x:row>
    <x:row r="1114">
      <x:c r="A1114">
        <x:f t="shared" si="70"/>
        <x:v>0.11700000000000001</x:v>
      </x:c>
      <x:c r="B1114">
        <x:f t="shared" si="71"/>
        <x:v>2675.93172239053</x:v>
      </x:c>
      <x:c r="C1114">
        <x:f t="shared" si="72"/>
        <x:v>446.86749403358624</x:v>
      </x:c>
      <x:c r="D1114">
        <x:f t="shared" si="73"/>
        <x:v>730.70973255620993</x:v>
      </x:c>
      <x:c r="E1114">
        <x:f t="shared" si="74"/>
        <x:v>702.35477860817696</x:v>
      </x:c>
    </x:row>
    <x:row r="1115">
      <x:c r="A1115">
        <x:f t="shared" si="70"/>
        <x:v>0.125</x:v>
      </x:c>
      <x:c r="B1115">
        <x:f t="shared" si="71"/>
        <x:v>2676.0560857448104</x:v>
      </x:c>
      <x:c r="C1115">
        <x:f t="shared" si="72"/>
        <x:v>465.21831918360385</x:v>
      </x:c>
      <x:c r="D1115">
        <x:f t="shared" si="73"/>
        <x:v>774.26357736360831</x:v>
      </x:c>
      <x:c r="E1115">
        <x:f t="shared" si="74"/>
        <x:v>746.28169026439843</x:v>
      </x:c>
    </x:row>
    <x:row r="1116">
      <x:c r="A1116">
        <x:f t="shared" si="70"/>
        <x:v>0.13300000000000001</x:v>
      </x:c>
      <x:c r="B1116">
        <x:f t="shared" si="71"/>
        <x:v>2676.1886667981512</x:v>
      </x:c>
      <x:c r="C1116">
        <x:f t="shared" si="72"/>
        <x:v>484.08118424505756</x:v>
      </x:c>
      <x:c r="D1116">
        <x:f t="shared" si="73"/>
        <x:v>818.44200766992435</x:v>
      </x:c>
      <x:c r="E1116">
        <x:f t="shared" si="74"/>
        <x:v>790.73922174294944</x:v>
      </x:c>
    </x:row>
    <x:row r="1117">
      <x:c r="A1117">
        <x:f t="shared" si="70"/>
        <x:v>0.14199999999999999</x:v>
      </x:c>
      <x:c r="B1117">
        <x:f t="shared" si="71"/>
        <x:v>2676.3476420836173</x:v>
      </x:c>
      <x:c r="C1117">
        <x:f t="shared" si="72"/>
        <x:v>505.85734229616077</x:v>
      </x:c>
      <x:c r="D1117">
        <x:f t="shared" si="73"/>
        <x:v>868.83708028218246</x:v>
      </x:c>
      <x:c r="E1117">
        <x:f t="shared" si="74"/>
        <x:v>841.35327888296126</x:v>
      </x:c>
    </x:row>
    <x:row r="1118">
      <x:c r="A1118">
        <x:f t="shared" si="70"/>
        <x:v>0.15</x:v>
      </x:c>
      <x:c r="B1118">
        <x:f t="shared" si="71"/>
        <x:v>2676.4976827030932</x:v>
      </x:c>
      <x:c r="C1118">
        <x:f t="shared" si="72"/>
        <x:v>525.66427144455326</x:v>
      </x:c>
      <x:c r="D1118">
        <x:f t="shared" si="73"/>
        <x:v>914.21509447536471</x:v>
      </x:c>
      <x:c r="E1118">
        <x:f t="shared" si="74"/>
        <x:v>886.85449472026994</x:v>
      </x:c>
    </x:row>
    <x:row r="1119">
      <x:c r="A1119">
        <x:f t="shared" si="70"/>
        <x:v>0.158</x:v>
      </x:c>
      <x:c r="B1119">
        <x:f t="shared" si="71"/>
        <x:v>2676.6559380375311</x:v>
      </x:c>
      <x:c r="C1119">
        <x:f t="shared" si="72"/>
        <x:v>545.85993350873184</x:v>
      </x:c>
      <x:c r="D1119">
        <x:f t="shared" si="73"/>
        <x:v>960.11703342820601</x:v>
      </x:c>
      <x:c r="E1119">
        <x:f t="shared" si="74"/>
        <x:v>932.82274514534868</x:v>
      </x:c>
    </x:row>
    <x:row r="1120">
      <x:c r="A1120">
        <x:f t="shared" si="70"/>
        <x:v>0.16700000000000001</x:v>
      </x:c>
      <x:c r="B1120">
        <x:f t="shared" si="71"/>
        <x:v>2676.843793107199</x:v>
      </x:c>
      <x:c r="C1120">
        <x:f t="shared" si="72"/>
        <x:v>569.00880810029753</x:v>
      </x:c>
      <x:c r="D1120">
        <x:f t="shared" si="73"/>
        <x:v>1012.362240937457</x:v>
      </x:c>
      <x:c r="E1120">
        <x:f t="shared" si="74"/>
        <x:v>985.08502580385175</x:v>
      </x:c>
    </x:row>
    <x:row r="1121">
      <x:c r="A1121">
        <x:f t="shared" si="70"/>
        <x:v>0.17499999999999999</x:v>
      </x:c>
      <x:c r="B1121">
        <x:f t="shared" si="71"/>
        <x:v>2677.019501093122</x:v>
      </x:c>
      <x:c r="C1121">
        <x:f t="shared" si="72"/>
        <x:v>589.93930874913281</x:v>
      </x:c>
      <x:c r="D1121">
        <x:f t="shared" si="73"/>
        <x:v>1059.3278163208254</x:v>
      </x:c>
      <x:c r="E1121">
        <x:f t="shared" si="74"/>
        <x:v>1032.0225937697833</x:v>
      </x:c>
    </x:row>
    <x:row r="1122">
      <x:c r="A1122">
        <x:f t="shared" si="70"/>
        <x:v>0.183</x:v>
      </x:c>
      <x:c r="B1122">
        <x:f t="shared" si="71"/>
        <x:v>2677.2034202705154</x:v>
      </x:c>
      <x:c r="C1122">
        <x:f t="shared" si="72"/>
        <x:v>611.18062071366592</x:v>
      </x:c>
      <x:c r="D1122">
        <x:f t="shared" si="73"/>
        <x:v>1106.7799512839299</x:v>
      </x:c>
      <x:c r="E1122">
        <x:f t="shared" si="74"/>
        <x:v>1079.4124988914414</x:v>
      </x:c>
    </x:row>
    <x:row r="1123">
      <x:c r="A1123">
        <x:f t="shared" si="70"/>
        <x:v>0.192</x:v>
      </x:c>
      <x:c r="B1123">
        <x:f t="shared" si="71"/>
        <x:v>2677.4201427373237</x:v>
      </x:c>
      <x:c r="C1123">
        <x:f t="shared" si="72"/>
        <x:v>635.42608587189397</x:v>
      </x:c>
      <x:c r="D1123">
        <x:f t="shared" si="73"/>
        <x:v>1160.7398106982935</x:v>
      </x:c>
      <x:c r="E1123">
        <x:f t="shared" si="74"/>
        <x:v>1133.2680310356866</x:v>
      </x:c>
    </x:row>
    <x:row r="1124">
      <x:c r="A1124">
        <x:f t="shared" si="70"/>
        <x:v>0.2</x:v>
      </x:c>
      <x:c r="B1124">
        <x:f t="shared" si="71"/>
        <x:v>2677.6215065069619</x:v>
      </x:c>
      <x:c r="C1124">
        <x:f t="shared" si="72"/>
        <x:v>657.27068851642468</x:v>
      </x:c>
      <x:c r="D1124">
        <x:f t="shared" si="73"/>
        <x:v>1209.2143519498034</x:v>
      </x:c>
      <x:c r="E1124">
        <x:f t="shared" si="74"/>
        <x:v>1181.6244054437507</x:v>
      </x:c>
    </x:row>
    <x:row r="1125">
      <x:c r="A1125">
        <x:f t="shared" si="70"/>
        <x:v>0.20799999999999999</x:v>
      </x:c>
      <x:c r="B1125">
        <x:f t="shared" si="71"/>
        <x:v>2677.8310774067595</x:v>
      </x:c>
      <x:c r="C1125">
        <x:f t="shared" si="72"/>
        <x:v>679.37735188566262</x:v>
      </x:c>
      <x:c r="D1125">
        <x:f t="shared" si="73"/>
        <x:v>1258.1693986938863</x:v>
      </x:c>
      <x:c r="E1125">
        <x:f t="shared" si="74"/>
        <x:v>1230.4415066288307</x:v>
      </x:c>
    </x:row>
    <x:row r="1126">
      <x:c r="A1126">
        <x:f t="shared" si="70"/>
        <x:v>0.217</x:v>
      </x:c>
      <x:c r="B1126">
        <x:f t="shared" si="71"/>
        <x:v>2678.0766529929315</x:v>
      </x:c>
      <x:c r="C1126">
        <x:f t="shared" si="72"/>
        <x:v>704.54661686923862</x:v>
      </x:c>
      <x:c r="D1126">
        <x:f t="shared" si="73"/>
        <x:v>1313.820661862484</x:v>
      </x:c>
      <x:c r="E1126">
        <x:f t="shared" si="74"/>
        <x:v>1285.9182668026356</x:v>
      </x:c>
    </x:row>
    <x:row r="1127">
      <x:c r="A1127">
        <x:f t="shared" si="70"/>
        <x:v>0.22500000000000001</x:v>
      </x:c>
      <x:c r="B1127">
        <x:f t="shared" si="71"/>
        <x:v>2678.3036592847507</x:v>
      </x:c>
      <x:c r="C1127">
        <x:f t="shared" si="72"/>
        <x:v>727.17474536725172</x:v>
      </x:c>
      <x:c r="D1127">
        <x:f t="shared" si="73"/>
        <x:v>1363.8048794660731</x:v>
      </x:c>
      <x:c r="E1127">
        <x:f t="shared" si="74"/>
        <x:v>1335.7335814317601</x:v>
      </x:c>
    </x:row>
    <x:row r="1128">
      <x:c r="A1128">
        <x:f t="shared" si="70"/>
        <x:v>0.23300000000000001</x:v>
      </x:c>
      <x:c r="B1128">
        <x:f t="shared" si="71"/>
        <x:v>2678.53886810944</x:v>
      </x:c>
      <x:c r="C1128">
        <x:f t="shared" si="72"/>
        <x:v>750.03486285335612</x:v>
      </x:c>
      <x:c r="D1128">
        <x:f t="shared" si="73"/>
        <x:v>1414.2797453815531</x:v>
      </x:c>
      <x:c r="E1128">
        <x:f t="shared" si="74"/>
        <x:v>1386.0293710733336</x:v>
      </x:c>
    </x:row>
    <x:row r="1129">
      <x:c r="A1129">
        <x:f t="shared" si="70"/>
        <x:v>0.24199999999999999</x:v>
      </x:c>
      <x:c r="B1129">
        <x:f t="shared" si="71"/>
        <x:v>2678.8132806528729</x:v>
      </x:c>
      <x:c r="C1129">
        <x:f t="shared" si="72"/>
        <x:v>776.02132681113301</x:v>
      </x:c>
      <x:c r="D1129">
        <x:f t="shared" si="73"/>
        <x:v>1471.657065923119</x:v>
      </x:c>
      <x:c r="E1129">
        <x:f t="shared" si="74"/>
        <x:v>1443.1960281662846</x:v>
      </x:c>
    </x:row>
    <x:row r="1130">
      <x:c r="A1130">
        <x:f t="shared" si="70"/>
        <x:v>0.25</x:v>
      </x:c>
      <x:c r="B1130">
        <x:f t="shared" si="71"/>
        <x:v>2679.0659145324939</x:v>
      </x:c>
      <x:c r="C1130">
        <x:f t="shared" si="72"/>
        <x:v>799.35304652578816</x:v>
      </x:c>
      <x:c r="D1130">
        <x:f t="shared" si="73"/>
        <x:v>1523.1929864371127</x:v>
      </x:c>
      <x:c r="E1130">
        <x:f t="shared" si="74"/>
        <x:v>1494.538848738704</x:v>
      </x:c>
    </x:row>
    <x:row r="1131">
      <x:c r="A1131">
        <x:f t="shared" si="70"/>
        <x:v>0.25800000000000001</x:v>
      </x:c>
      <x:c r="B1131">
        <x:f t="shared" si="71"/>
        <x:v>2679.3267458137466</x:v>
      </x:c>
      <x:c r="C1131">
        <x:f t="shared" si="72"/>
        <x:v>822.89876155971092</x:v>
      </x:c>
      <x:c r="D1131">
        <x:f t="shared" si="73"/>
        <x:v>1575.2382195812656</x:v>
      </x:c>
      <x:c r="E1131">
        <x:f t="shared" si="74"/>
        <x:v>1546.3874430517001</x:v>
      </x:c>
    </x:row>
    <x:row r="1132">
      <x:c r="A1132">
        <x:f t="shared" si="70"/>
        <x:v>0.26700000000000002</x:v>
      </x:c>
      <x:c r="B1132">
        <x:f t="shared" si="71"/>
        <x:v>2679.6299772752322</x:v>
      </x:c>
      <x:c r="C1132">
        <x:f t="shared" si="72"/>
        <x:v>849.63861157700319</x:v>
      </x:c>
      <x:c r="D1132">
        <x:f t="shared" si="73"/>
        <x:v>1634.406668398929</x:v>
      </x:c>
      <x:c r="E1132">
        <x:f t="shared" si="74"/>
        <x:v>1605.3325327342354</x:v>
      </x:c>
    </x:row>
    <x:row r="1133">
      <x:c r="A1133">
        <x:f t="shared" si="70"/>
        <x:v>0.27500000000000002</x:v>
      </x:c>
      <x:c r="B1133">
        <x:f t="shared" si="71"/>
        <x:v>2679.9082221420913</x:v>
      </x:c>
      <x:c r="C1133">
        <x:f t="shared" si="72"/>
        <x:v>873.6268737519348</x:v>
      </x:c>
      <x:c r="D1133">
        <x:f t="shared" si="73"/>
        <x:v>1687.5579776583929</x:v>
      </x:c>
      <x:c r="E1133">
        <x:f t="shared" si="74"/>
        <x:v>1658.2850643618456</x:v>
      </x:c>
    </x:row>
    <x:row r="1134">
      <x:c r="A1134">
        <x:f t="shared" si="70"/>
        <x:v>0.28299999999999997</x:v>
      </x:c>
      <x:c r="B1134">
        <x:f t="shared" si="71"/>
        <x:v>2680.1946587476814</x:v>
      </x:c>
      <x:c r="C1134">
        <x:f t="shared" si="72"/>
        <x:v>897.81905962626126</x:v>
      </x:c>
      <x:c r="D1134">
        <x:f t="shared" si="73"/>
        <x:v>1741.2416393615815</x:v>
      </x:c>
      <x:c r="E1134">
        <x:f t="shared" si="74"/>
        <x:v>1711.7711368171172</x:v>
      </x:c>
    </x:row>
    <x:row r="1135">
      <x:c r="A1135">
        <x:f t="shared" si="70"/>
        <x:v>0.29199999999999998</x:v>
      </x:c>
      <x:c r="B1135">
        <x:f t="shared" si="71"/>
        <x:v>2680.526689218967</x:v>
      </x:c>
      <x:c r="C1135">
        <x:f t="shared" si="72"/>
        <x:v>925.27653395464438</x:v>
      </x:c>
      <x:c r="D1135">
        <x:f t="shared" si="73"/>
        <x:v>1802.2819043727418</x:v>
      </x:c>
      <x:c r="E1135">
        <x:f t="shared" si="74"/>
        <x:v>1772.5920499108024</x:v>
      </x:c>
    </x:row>
    <x:row r="1136">
      <x:c r="A1136">
        <x:f t="shared" si="70"/>
        <x:v>0.3</x:v>
      </x:c>
      <x:c r="B1136">
        <x:f t="shared" si="71"/>
        <x:v>2680.8305268137187</x:v>
      </x:c>
      <x:c r="C1136">
        <x:f t="shared" si="72"/>
        <x:v>949.89595685143365</x:v>
      </x:c>
      <x:c r="D1136">
        <x:f t="shared" si="73"/>
        <x:v>1857.1231620816707</x:v>
      </x:c>
      <x:c r="E1136">
        <x:f t="shared" si="74"/>
        <x:v>1827.2421550832848</x:v>
      </x:c>
    </x:row>
    <x:row r="1137">
      <x:c r="A1137">
        <x:f t="shared" si="70"/>
        <x:v>0.308</x:v>
      </x:c>
      <x:c r="B1137">
        <x:f t="shared" si="71"/>
        <x:v>2681.1425499551765</x:v>
      </x:c>
      <x:c r="C1137">
        <x:f t="shared" si="72"/>
        <x:v>974.71450211271815</x:v>
      </x:c>
      <x:c r="D1137">
        <x:f t="shared" si="73"/>
        <x:v>1912.5218325119242</x:v>
      </x:c>
      <x:c r="E1137">
        <x:f t="shared" si="74"/>
        <x:v>1882.4543117385992</x:v>
      </x:c>
    </x:row>
    <x:row r="1138">
      <x:c r="A1138">
        <x:f t="shared" si="70"/>
        <x:v>0.317</x:v>
      </x:c>
      <x:c r="B1138">
        <x:f t="shared" si="71"/>
        <x:v>2681.5033576678143</x:v>
      </x:c>
      <x:c r="C1138">
        <x:f t="shared" si="72"/>
        <x:v>1002.8724909144175</x:v>
      </x:c>
      <x:c r="D1138">
        <x:f t="shared" si="73"/>
        <x:v>1975.5218318440923</x:v>
      </x:c>
      <x:c r="E1138">
        <x:f t="shared" si="74"/>
        <x:v>1945.2511482815198</x:v>
      </x:c>
    </x:row>
    <x:row r="1139">
      <x:c r="A1139">
        <x:f t="shared" si="70"/>
        <x:v>0.32500000000000001</x:v>
      </x:c>
      <x:c r="B1139">
        <x:f t="shared" si="71"/>
        <x:v>2681.8327680804646</x:v>
      </x:c>
      <x:c r="C1139">
        <x:f t="shared" si="72"/>
        <x:v>1028.1121624339564</x:v>
      </x:c>
      <x:c r="D1139">
        <x:f t="shared" si="73"/>
        <x:v>2032.1322695231349</x:v>
      </x:c>
      <x:c r="E1139">
        <x:f t="shared" si="74"/>
        <x:v>2001.6878257232431</x:v>
      </x:c>
    </x:row>
    <x:row r="1140">
      <x:c r="A1140">
        <x:f t="shared" si="70"/>
        <x:v>0.33300000000000002</x:v>
      </x:c>
      <x:c r="B1140">
        <x:f t="shared" si="71"/>
        <x:v>2682.1703573214322</x:v>
      </x:c>
      <x:c r="C1140">
        <x:f t="shared" si="72"/>
        <x:v>1053.5497018470367</x:v>
      </x:c>
      <x:c r="D1140">
        <x:f t="shared" si="73"/>
        <x:v>2089.3258107719435</x:v>
      </x:c>
      <x:c r="E1140">
        <x:f t="shared" si="74"/>
        <x:v>2058.7148075309083</x:v>
      </x:c>
    </x:row>
    <x:row r="1141">
      <x:c r="A1141">
        <x:f t="shared" si="70"/>
        <x:v>0.34200000000000003</x:v>
      </x:c>
      <x:c r="B1141">
        <x:f t="shared" si="71"/>
        <x:v>2682.5599186564959</x:v>
      </x:c>
      <x:c r="C1141">
        <x:f t="shared" si="72"/>
        <x:v>1082.4036420950645</x:v>
      </x:c>
      <x:c r="D1141">
        <x:f t="shared" si="73"/>
        <x:v>2154.3757519290621</x:v>
      </x:c>
      <x:c r="E1141">
        <x:f t="shared" si="74"/>
        <x:v>2123.5868153942665</x:v>
      </x:c>
    </x:row>
    <x:row r="1142">
      <x:c r="A1142">
        <x:f t="shared" si="70"/>
        <x:v>0.35</x:v>
      </x:c>
      <x:c r="B1142">
        <x:f t="shared" si="71"/>
        <x:v>2682.9148803352541</x:v>
      </x:c>
      <x:c r="C1142">
        <x:f t="shared" si="72"/>
        <x:v>1108.2624133501783</x:v>
      </x:c>
      <x:c r="D1142">
        <x:f t="shared" si="73"/>
        <x:v>2212.8355811384035</x:v>
      </x:c>
      <x:c r="E1142">
        <x:f t="shared" si="74"/>
        <x:v>2181.8975570992638</x:v>
      </x:c>
    </x:row>
    <x:row r="1143">
      <x:c r="A1143">
        <x:f t="shared" si="70"/>
        <x:v>0.35799999999999998</x:v>
      </x:c>
      <x:c r="B1143">
        <x:f t="shared" si="71"/>
        <x:v>2683.2780136005345</x:v>
      </x:c>
      <x:c r="C1143">
        <x:f t="shared" si="72"/>
        <x:v>1134.3202022333339</x:v>
      </x:c>
      <x:c r="D1143">
        <x:f t="shared" si="73"/>
        <x:v>2271.9039940577863</x:v>
      </x:c>
      <x:c r="E1143">
        <x:f t="shared" si="74"/>
        <x:v>2240.8260060943512</x:v>
      </x:c>
    </x:row>
    <x:row r="1144">
      <x:c r="A1144">
        <x:f t="shared" si="70"/>
        <x:v>0.36699999999999999</x:v>
      </x:c>
      <x:c r="B1144">
        <x:f t="shared" si="71"/>
        <x:v>2683.6963030990701</x:v>
      </x:c>
      <x:c r="C1144">
        <x:f t="shared" si="72"/>
        <x:v>1163.8740325347601</x:v>
      </x:c>
      <x:c r="D1144">
        <x:f t="shared" si="73"/>
        <x:v>2339.0933871403463</x:v>
      </x:c>
      <x:c r="E1144">
        <x:f t="shared" si="74"/>
        <x:v>2307.8694773259299</x:v>
      </x:c>
    </x:row>
    <x:row r="1145">
      <x:c r="A1145">
        <x:f t="shared" si="70"/>
        <x:v>0.375</x:v>
      </x:c>
      <x:c r="B1145">
        <x:f t="shared" si="71"/>
        <x:v>2684.0767928598584</x:v>
      </x:c>
      <x:c r="C1145">
        <x:f t="shared" si="72"/>
        <x:v>1190.3573781400514</x:v>
      </x:c>
      <x:c r="D1145">
        <x:f t="shared" si="73"/>
        <x:v>2399.4815554213374</x:v>
      </x:c>
      <x:c r="E1145">
        <x:f t="shared" si="74"/>
        <x:v>2368.1387047809635</x:v>
      </x:c>
    </x:row>
    <x:row r="1146">
      <x:c r="A1146">
        <x:f t="shared" si="70"/>
        <x:v>0.38300000000000001</x:v>
      </x:c>
      <x:c r="B1146">
        <x:f t="shared" si="71"/>
        <x:v>2684.4654464452342</x:v>
      </x:c>
      <x:c r="C1146">
        <x:f t="shared" si="72"/>
        <x:v>1217.0425226665805</x:v>
      </x:c>
      <x:c r="D1146">
        <x:f t="shared" si="73"/>
        <x:v>2460.5030623996822</x:v>
      </x:c>
      <x:c r="E1146">
        <x:f t="shared" si="74"/>
        <x:v>2429.0518438601889</x:v>
      </x:c>
    </x:row>
    <x:row r="1147">
      <x:c r="A1147">
        <x:f t="shared" si="70"/>
        <x:v>0.39200000000000002</x:v>
      </x:c>
      <x:c r="B1147">
        <x:f t="shared" si="71"/>
        <x:v>2684.9124368195003</x:v>
      </x:c>
      <x:c r="C1147">
        <x:f t="shared" si="72"/>
        <x:v>1247.305949695761</x:v>
      </x:c>
      <x:c r="D1147">
        <x:f t="shared" si="73"/>
        <x:v>2529.9188951271449</x:v>
      </x:c>
      <x:c r="E1147">
        <x:f t="shared" si="74"/>
        <x:v>2498.3588768603126</x:v>
      </x:c>
    </x:row>
    <x:row r="1148">
      <x:c r="A1148">
        <x:f t="shared" si="70"/>
        <x:v>0.4</x:v>
      </x:c>
      <x:c r="B1148">
        <x:f t="shared" si="71"/>
        <x:v>2685.318429856306</x:v>
      </x:c>
      <x:c r="C1148">
        <x:f t="shared" si="72"/>
        <x:v>1274.4238323326915</x:v>
      </x:c>
      <x:c r="D1148">
        <x:f t="shared" si="73"/>
        <x:v>2592.3117154336151</x:v>
      </x:c>
      <x:c r="E1148">
        <x:f t="shared" si="74"/>
        <x:v>2560.6670284536167</x:v>
      </x:c>
    </x:row>
    <x:row r="1149">
      <x:c r="A1149">
        <x:f t="shared" si="70"/>
        <x:v>0.40799999999999997</x:v>
      </x:c>
      <x:c r="B1149">
        <x:f t="shared" si="71"/>
        <x:v>2685.7325784389564</x:v>
      </x:c>
      <x:c r="C1149">
        <x:f t="shared" si="72"/>
        <x:v>1301.7473946103885</x:v>
      </x:c>
      <x:c r="D1149">
        <x:f t="shared" si="73"/>
        <x:v>2655.3615925812765</x:v>
      </x:c>
      <x:c r="E1149">
        <x:f t="shared" si="74"/>
        <x:v>2623.6439001292542</x:v>
      </x:c>
    </x:row>
    <x:row r="1150">
      <x:c r="A1150">
        <x:f t="shared" si="70"/>
        <x:v>0.41699999999999998</x:v>
      </x:c>
      <x:c r="B1150">
        <x:f t="shared" si="71"/>
        <x:v>2686.2082405845767</x:v>
      </x:c>
      <x:c r="C1150">
        <x:f t="shared" si="72"/>
        <x:v>1332.7340115462373</x:v>
      </x:c>
      <x:c r="D1150">
        <x:f t="shared" si="73"/>
        <x:v>2727.0872248769224</x:v>
      </x:c>
      <x:c r="E1150">
        <x:f t="shared" si="74"/>
        <x:v>2695.3016989076004</x:v>
      </x:c>
    </x:row>
    <x:row r="1151">
      <x:c r="A1151">
        <x:f t="shared" si="70"/>
        <x:v>0.42499999999999999</x:v>
      </x:c>
      <x:c r="B1151">
        <x:f t="shared" si="71"/>
        <x:v>2686.6397104802963</x:v>
      </x:c>
      <x:c r="C1151">
        <x:f t="shared" si="72"/>
        <x:v>1360.4994034490926</x:v>
      </x:c>
      <x:c r="D1151">
        <x:f t="shared" si="73"/>
        <x:v>2791.5575527526471</x:v>
      </x:c>
      <x:c r="E1151">
        <x:f t="shared" si="74"/>
        <x:v>2759.7247264813568</x:v>
      </x:c>
    </x:row>
    <x:row r="1152">
      <x:c r="A1152">
        <x:f t="shared" si="70"/>
        <x:v>0.433</x:v>
      </x:c>
      <x:c r="B1152">
        <x:f t="shared" si="71"/>
        <x:v>2687.0793271300054</x:v>
      </x:c>
      <x:c r="C1152">
        <x:f t="shared" si="72"/>
        <x:v>1388.4750825653464</x:v>
      </x:c>
      <x:c r="D1152">
        <x:f t="shared" si="73"/>
        <x:v>2856.707437171217</x:v>
      </x:c>
      <x:c r="E1152">
        <x:f t="shared" si="74"/>
        <x:v>2824.8397867428093</x:v>
      </x:c>
    </x:row>
    <x:row r="1153">
      <x:c r="A1153">
        <x:f t="shared" si="70"/>
        <x:v>0.442</x:v>
      </x:c>
      <x:c r="B1153">
        <x:f t="shared" si="71"/>
        <x:v>2687.5836301386457</x:v>
      </x:c>
      <x:c r="C1153">
        <x:f t="shared" si="72"/>
        <x:v>1420.2010523856848</x:v>
      </x:c>
      <x:c r="D1153">
        <x:f t="shared" si="73"/>
        <x:v>2930.8219568286472</x:v>
      </x:c>
      <x:c r="E1153">
        <x:f t="shared" si="74"/>
        <x:v>2898.9303050244098</x:v>
      </x:c>
    </x:row>
    <x:row r="1154">
      <x:c r="A1154">
        <x:f t="shared" si="70"/>
        <x:v>0.45</x:v>
      </x:c>
      <x:c r="B1154">
        <x:f t="shared" si="71"/>
        <x:v>2688.0405488767533</x:v>
      </x:c>
      <x:c r="C1154">
        <x:f t="shared" si="72"/>
        <x:v>1448.6288953618625</x:v>
      </x:c>
      <x:c r="D1154">
        <x:f t="shared" si="73"/>
        <x:v>2997.4387220817075</x:v>
      </x:c>
      <x:c r="E1154">
        <x:f t="shared" si="74"/>
        <x:v>2965.5394356653028</x:v>
      </x:c>
    </x:row>
    <x:row r="1155">
      <x:c r="A1155">
        <x:f t="shared" si="70"/>
        <x:v>0.45800000000000002</x:v>
      </x:c>
      <x:c r="B1155">
        <x:f t="shared" si="71"/>
        <x:v>2688.505605067754</x:v>
      </x:c>
      <x:c r="C1155">
        <x:f t="shared" si="72"/>
        <x:v>1477.272095393459</x:v>
      </x:c>
      <x:c r="D1155">
        <x:f t="shared" si="73"/>
        <x:v>3064.7562292393281</x:v>
      </x:c>
      <x:c r="E1155">
        <x:f t="shared" si="74"/>
        <x:v>3032.8623798858607</x:v>
      </x:c>
    </x:row>
    <x:row r="1156">
      <x:c r="A1156">
        <x:f t="shared" si="70"/>
        <x:v>0.46700000000000003</x:v>
      </x:c>
      <x:c r="B1156">
        <x:f t="shared" si="71"/>
        <x:v>2689.038516240782</x:v>
      </x:c>
      <x:c r="C1156">
        <x:f t="shared" si="72"/>
        <x:v>1509.7552162254726</x:v>
      </x:c>
      <x:c r="D1156">
        <x:f t="shared" si="73"/>
        <x:v>3141.3341110240226</x:v>
      </x:c>
      <x:c r="E1156">
        <x:f t="shared" si="74"/>
        <x:v>3109.4621922008068</x:v>
      </x:c>
    </x:row>
    <x:row r="1157">
      <x:c r="A1157">
        <x:f t="shared" si="70"/>
        <x:v>0.47499999999999998</x:v>
      </x:c>
      <x:c r="B1157">
        <x:f t="shared" si="71"/>
        <x:v>2689.520854217586</x:v>
      </x:c>
      <x:c r="C1157">
        <x:f t="shared" si="72"/>
        <x:v>1538.8616802693725</x:v>
      </x:c>
      <x:c r="D1157">
        <x:f t="shared" si="73"/>
        <x:v>3210.1620844044405</x:v>
      </x:c>
      <x:c r="E1157">
        <x:f t="shared" si="74"/>
        <x:v>3178.3238656808849</x:v>
      </x:c>
    </x:row>
    <x:row r="1158">
      <x:c r="A1158">
        <x:f t="shared" si="70"/>
        <x:v>0.48299999999999998</x:v>
      </x:c>
      <x:c r="B1158">
        <x:f t="shared" si="71"/>
        <x:v>2690.0113198410036</x:v>
      </x:c>
      <x:c r="C1158">
        <x:f t="shared" si="72"/>
        <x:v>1568.1888433957661</x:v>
      </x:c>
      <x:c r="D1158">
        <x:f t="shared" si="73"/>
        <x:v>3279.710632319749</x:v>
      </x:c>
      <x:c r="E1158">
        <x:f t="shared" si="74"/>
        <x:v>3247.91960889348</x:v>
      </x:c>
    </x:row>
    <x:row r="1159">
      <x:c r="A1159">
        <x:f t="shared" si="70"/>
        <x:v>0.49199999999999999</x:v>
      </x:c>
      <x:c r="B1159">
        <x:f t="shared" si="71"/>
        <x:v>2690.5728047037751</x:v>
      </x:c>
      <x:c r="C1159">
        <x:f t="shared" si="72"/>
        <x:v>1601.4478772869256</x:v>
      </x:c>
      <x:c r="D1159">
        <x:f t="shared" si="73"/>
        <x:v>3358.8216005216295</x:v>
      </x:c>
      <x:c r="E1159">
        <x:f t="shared" si="74"/>
        <x:v>3327.0999332019915</x:v>
      </x:c>
    </x:row>
    <x:row r="1160">
      <x:c r="A1160">
        <x:f t="shared" si="70"/>
        <x:v>0.5</x:v>
      </x:c>
      <x:c r="B1160">
        <x:f t="shared" si="71"/>
        <x:v>2691.0805307414003</x:v>
      </x:c>
      <x:c r="C1160">
        <x:f t="shared" si="72"/>
        <x:v>1631.2498263703887</x:v>
      </x:c>
      <x:c r="D1160">
        <x:f t="shared" si="73"/>
        <x:v>3429.9213186632924</x:v>
      </x:c>
      <x:c r="E1160">
        <x:f t="shared" si="74"/>
        <x:v>3398.275856941299</x:v>
      </x:c>
    </x:row>
    <x:row r="1161">
      <x:c r="A1161">
        <x:f t="shared" si="70"/>
        <x:v>0.50800000000000001</x:v>
      </x:c>
      <x:c r="B1161">
        <x:f t="shared" si="71"/>
        <x:v>2691.5963741184592</x:v>
      </x:c>
      <x:c r="C1161">
        <x:f t="shared" si="72"/>
        <x:v>1661.27795099574</x:v>
      </x:c>
      <x:c r="D1161">
        <x:f t="shared" si="73"/>
        <x:v>3501.760091807711</x:v>
      </x:c>
      <x:c r="E1161">
        <x:f t="shared" si="74"/>
        <x:v>3470.2046174700704</x:v>
      </x:c>
    </x:row>
    <x:row r="1162">
      <x:c r="A1162">
        <x:f t="shared" si="70"/>
        <x:v>0.51700000000000002</x:v>
      </x:c>
      <x:c r="B1162">
        <x:f t="shared" si="71"/>
        <x:v>2692.1863964353583</x:v>
      </x:c>
      <x:c r="C1162">
        <x:f t="shared" si="72"/>
        <x:v>1695.3321376263839</x:v>
      </x:c>
      <x:c r="D1162">
        <x:f t="shared" si="73"/>
        <x:v>3583.4691205577215</x:v>
      </x:c>
      <x:c r="E1162">
        <x:f t="shared" si="74"/>
        <x:v>3552.0314391676843</x:v>
      </x:c>
    </x:row>
    <x:row r="1163">
      <x:c r="A1163">
        <x:f t="shared" si="70"/>
        <x:v>0.52500000000000002</x:v>
      </x:c>
      <x:c r="B1163">
        <x:f t="shared" si="71"/>
        <x:v>2692.7194777953123</x:v>
      </x:c>
      <x:c r="C1163">
        <x:f t="shared" si="72"/>
        <x:v>1725.8467418024873</x:v>
      </x:c>
      <x:c r="D1163">
        <x:f t="shared" si="73"/>
        <x:v>3656.8969182108149</x:v>
      </x:c>
      <x:c r="E1163">
        <x:f t="shared" si="74"/>
        <x:v>3625.5787216297722</x:v>
      </x:c>
    </x:row>
    <x:row r="1164">
      <x:c r="A1164">
        <x:f t="shared" si="70"/>
        <x:v>0.53300000000000003</x:v>
      </x:c>
      <x:c r="B1164">
        <x:f t="shared" si="71"/>
        <x:v>2693.2606656910839</x:v>
      </x:c>
      <x:c r="C1164">
        <x:f t="shared" si="72"/>
        <x:v>1756.5930320423138</x:v>
      </x:c>
      <x:c r="D1164">
        <x:f t="shared" si="73"/>
        <x:v>3731.0809261239924</x:v>
      </x:c>
      <x:c r="E1164">
        <x:f t="shared" si="74"/>
        <x:v>3699.896173425861</x:v>
      </x:c>
    </x:row>
    <x:row r="1165">
      <x:c r="A1165">
        <x:f t="shared" si="70"/>
        <x:v>0.54200000000000004</x:v>
      </x:c>
      <x:c r="B1165">
        <x:f t="shared" si="71"/>
        <x:v>2693.8791874812646</x:v>
      </x:c>
      <x:c r="C1165">
        <x:f t="shared" si="72"/>
        <x:v>1791.4617344869769</x:v>
      </x:c>
      <x:c r="D1165">
        <x:f t="shared" si="73"/>
        <x:v>3815.4483329742607</x:v>
      </x:c>
      <x:c r="E1165">
        <x:f t="shared" si="74"/>
        <x:v>3784.4304363200208</x:v>
      </x:c>
    </x:row>
    <x:row r="1166">
      <x:c r="A1166">
        <x:f t="shared" si="70"/>
        <x:v>0.55000000000000004</x:v>
      </x:c>
      <x:c r="B1166">
        <x:f t="shared" si="71"/>
        <x:v>2694.4375898786375</x:v>
      </x:c>
      <x:c r="C1166">
        <x:f t="shared" si="72"/>
        <x:v>1822.7061870307282</x:v>
      </x:c>
      <x:c r="D1166">
        <x:f t="shared" si="73"/>
        <x:v>3891.256447672386</x:v>
      </x:c>
      <x:c r="E1166">
        <x:f t="shared" si="74"/>
        <x:v>3860.4017717773222</x:v>
      </x:c>
    </x:row>
    <x:row r="1167">
      <x:c r="A1167">
        <x:f t="shared" si="70"/>
        <x:v>0.55800000000000005</x:v>
      </x:c>
      <x:c r="B1167">
        <x:f t="shared" si="71"/>
        <x:v>2695.0040875164605</x:v>
      </x:c>
      <x:c r="C1167">
        <x:f t="shared" si="72"/>
        <x:v>1854.1877969704217</x:v>
      </x:c>
      <x:c r="D1167">
        <x:f t="shared" si="73"/>
        <x:v>3967.8366472645534</x:v>
      </x:c>
      <x:c r="E1167">
        <x:f t="shared" si="74"/>
        <x:v>3937.159241278996</x:v>
      </x:c>
    </x:row>
    <x:row r="1168">
      <x:c r="A1168">
        <x:f t="shared" si="70"/>
        <x:v>0.56699999999999995</x:v>
      </x:c>
      <x:c r="B1168">
        <x:f t="shared" si="71"/>
        <x:v>2695.6510690703108</x:v>
      </x:c>
      <x:c r="C1168">
        <x:f t="shared" si="72"/>
        <x:v>1889.8902432096763</x:v>
      </x:c>
      <x:c r="D1168">
        <x:f t="shared" si="73"/>
        <x:v>4054.9182491071751</x:v>
      </x:c>
      <x:c r="E1168">
        <x:f t="shared" si="74"/>
        <x:v>4024.4570813468608</x:v>
      </x:c>
    </x:row>
    <x:row r="1169">
      <x:c r="A1169">
        <x:f t="shared" si="70"/>
        <x:v>0.57499999999999996</x:v>
      </x:c>
      <x:c r="B1169">
        <x:f t="shared" si="71"/>
        <x:v>2696.2347566886478</x:v>
      </x:c>
      <x:c r="C1169">
        <x:f t="shared" si="72"/>
        <x:v>1921.8815542974669</x:v>
      </x:c>
      <x:c r="D1169">
        <x:f t="shared" si="73"/>
        <x:v>4133.1549738663607</x:v>
      </x:c>
      <x:c r="E1169">
        <x:f t="shared" si="74"/>
        <x:v>4102.9009668625113</x:v>
      </x:c>
    </x:row>
    <x:row r="1170">
      <x:c r="A1170">
        <x:f t="shared" si="70"/>
        <x:v>0.58299999999999996</x:v>
      </x:c>
      <x:c r="B1170">
        <x:f t="shared" si="71"/>
        <x:v>2696.8265277651735</x:v>
      </x:c>
      <x:c r="C1170">
        <x:f t="shared" si="72"/>
        <x:v>1954.1154016181265</x:v>
      </x:c>
      <x:c r="D1170">
        <x:f t="shared" si="73"/>
        <x:v>4212.1784335476086</x:v>
      </x:c>
      <x:c r="E1170">
        <x:f t="shared" si="74"/>
        <x:v>4182.1456571735444</x:v>
      </x:c>
    </x:row>
    <x:row r="1171">
      <x:c r="A1171">
        <x:f t="shared" si="70"/>
        <x:v>0.59199999999999997</x:v>
      </x:c>
      <x:c r="B1171">
        <x:f t="shared" si="71"/>
        <x:v>2697.5019276614603</x:v>
      </x:c>
      <x:c r="C1171">
        <x:f t="shared" si="72"/>
        <x:v>1990.6704964522148</x:v>
      </x:c>
      <x:c r="D1171">
        <x:f t="shared" si="73"/>
        <x:v>4302.0257429515896</x:v>
      </x:c>
      <x:c r="E1171">
        <x:f t="shared" si="74"/>
        <x:v>4272.258661802538</x:v>
      </x:c>
    </x:row>
    <x:row r="1172">
      <x:c r="A1172" t="n">
        <x:f t="shared" ref="A1172:A1220" si="75">I194</x:f>
        <x:v>0.6</x:v>
      </x:c>
      <x:c r="B1172" t="n">
        <x:f t="shared" ref="B1172:B1220" si="76">AH194</x:f>
        <x:v>2698.110863168117</x:v>
      </x:c>
      <x:c r="C1172" t="n">
        <x:f t="shared" ref="C1172:C1220" si="77">AJ194</x:f>
        <x:v>2023.4253433638573</x:v>
      </x:c>
      <x:c r="D1172" t="n">
        <x:f t="shared" ref="D1172:D1220" si="78">AL194</x:f>
        <x:v>4382.735609610576</x:v>
      </x:c>
      <x:c r="E1172" t="n">
        <x:f t="shared" ref="E1172:E1220" si="79">AN194</x:f>
        <x:v>4353.219632675859</x:v>
      </x:c>
    </x:row>
    <x:row r="1173">
      <x:c r="A1173">
        <x:f t="shared" si="75"/>
        <x:v>0.60799999999999998</x:v>
      </x:c>
      <x:c r="B1173">
        <x:f t="shared" si="76"/>
        <x:v>2698.7278698689106</x:v>
      </x:c>
      <x:c r="C1173">
        <x:f t="shared" si="77"/>
        <x:v>2056.4279743959246</x:v>
      </x:c>
      <x:c r="D1173">
        <x:f t="shared" si="78"/>
        <x:v>4464.2456995999191</x:v>
      </x:c>
      <x:c r="E1173">
        <x:f t="shared" si="79"/>
        <x:v>4434.9948626697578</x:v>
      </x:c>
    </x:row>
    <x:row r="1174">
      <x:c r="A1174">
        <x:f t="shared" si="75"/>
        <x:v>0.61699999999999999</x:v>
      </x:c>
      <x:c r="B1174">
        <x:f t="shared" si="76"/>
        <x:v>2699.43164499259</x:v>
      </x:c>
      <x:c r="C1174">
        <x:f t="shared" si="77"/>
        <x:v>2093.8541637602912</x:v>
      </x:c>
      <x:c r="D1174">
        <x:f t="shared" si="78"/>
        <x:v>4556.9061458124152</x:v>
      </x:c>
      <x:c r="E1174">
        <x:f t="shared" si="79"/>
        <x:v>4527.9703428920966</x:v>
      </x:c>
    </x:row>
    <x:row r="1175">
      <x:c r="A1175">
        <x:f t="shared" si="75"/>
        <x:v>0.625</x:v>
      </x:c>
      <x:c r="B1175">
        <x:f t="shared" si="76"/>
        <x:v>2700.0657895548352</x:v>
      </x:c>
      <x:c r="C1175">
        <x:f t="shared" si="77"/>
        <x:v>2127.3887833117165</x:v>
      </x:c>
      <x:c r="D1175">
        <x:f t="shared" si="78"/>
        <x:v>4640.1301264745007</x:v>
      </x:c>
      <x:c r="E1175">
        <x:f t="shared" si="79"/>
        <x:v>4611.4892166235932</x:v>
      </x:c>
    </x:row>
    <x:row r="1176">
      <x:c r="A1176">
        <x:f t="shared" si="75"/>
        <x:v>0.63300000000000001</x:v>
      </x:c>
      <x:c r="B1176">
        <x:f t="shared" si="76"/>
        <x:v>2700.7079925706203</x:v>
      </x:c>
      <x:c r="C1176">
        <x:f t="shared" si="77"/>
        <x:v>2161.1762766414804</x:v>
      </x:c>
      <x:c r="D1176">
        <x:f t="shared" si="78"/>
        <x:v>4724.1667239784065</x:v>
      </x:c>
      <x:c r="E1176">
        <x:f t="shared" si="79"/>
        <x:v>4695.8346660074885</x:v>
      </x:c>
    </x:row>
    <x:row r="1177">
      <x:c r="A1177">
        <x:f t="shared" si="75"/>
        <x:v>0.64200000000000002</x:v>
      </x:c>
      <x:c r="B1177">
        <x:f t="shared" si="76"/>
        <x:v>2701.4400981312092</x:v>
      </x:c>
      <x:c r="C1177">
        <x:f t="shared" si="77"/>
        <x:v>2199.4914513372773</x:v>
      </x:c>
      <x:c r="D1177">
        <x:f t="shared" si="78"/>
        <x:v>4819.6838871821474</x:v>
      </x:c>
      <x:c r="E1177">
        <x:f t="shared" si="79"/>
        <x:v>4791.715932694854</x:v>
      </x:c>
    </x:row>
    <x:row r="1178">
      <x:c r="A1178">
        <x:f t="shared" si="75"/>
        <x:v>0.65</x:v>
      </x:c>
      <x:c r="B1178">
        <x:f t="shared" si="76"/>
        <x:v>2702.0994114328023</x:v>
      </x:c>
      <x:c r="C1178">
        <x:f t="shared" si="77"/>
        <x:v>2233.8215641775168</x:v>
      </x:c>
      <x:c r="D1178">
        <x:f t="shared" si="78"/>
        <x:v>4905.4596046667839</x:v>
      </x:c>
      <x:c r="E1178">
        <x:f t="shared" si="79"/>
        <x:v>4877.8300542852958</x:v>
      </x:c>
    </x:row>
    <x:row r="1179">
      <x:c r="A1179">
        <x:f t="shared" si="75"/>
        <x:v>0.65800000000000003</x:v>
      </x:c>
      <x:c r="B1179">
        <x:f t="shared" si="76"/>
        <x:v>2702.7667699761951</x:v>
      </x:c>
      <x:c r="C1179">
        <x:f t="shared" si="77"/>
        <x:v>2268.4094634231324</x:v>
      </x:c>
      <x:c r="D1179">
        <x:f t="shared" si="78"/>
        <x:v>4992.0593057230435</x:v>
      </x:c>
      <x:c r="E1179">
        <x:f t="shared" si="79"/>
        <x:v>4964.7820081571645</x:v>
      </x:c>
    </x:row>
    <x:row r="1180">
      <x:c r="A1180">
        <x:f t="shared" si="75"/>
        <x:v>0.66700000000000004</x:v>
      </x:c>
      <x:c r="B1180">
        <x:f t="shared" si="76"/>
        <x:v>2703.527159526966</x:v>
      </x:c>
      <x:c r="C1180">
        <x:f t="shared" si="77"/>
        <x:v>2307.6308927499517</x:v>
      </x:c>
      <x:c r="D1180">
        <x:f t="shared" si="78"/>
        <x:v>5090.4731562763036</x:v>
      </x:c>
      <x:c r="E1180">
        <x:f t="shared" si="79"/>
        <x:v>5063.6086456793228</x:v>
      </x:c>
    </x:row>
    <x:row r="1181">
      <x:c r="A1181">
        <x:f t="shared" si="75"/>
        <x:v>0.67500000000000004</x:v>
      </x:c>
      <x:c r="B1181">
        <x:f t="shared" si="76"/>
        <x:v>2704.2115997852675</x:v>
      </x:c>
      <x:c r="C1181">
        <x:f t="shared" si="77"/>
        <x:v>2342.7716518918514</x:v>
      </x:c>
      <x:c r="D1181">
        <x:f t="shared" si="78"/>
        <x:v>5178.835096993912</x:v>
      </x:c>
      <x:c r="E1181">
        <x:f t="shared" si="79"/>
        <x:v>5152.352129116699</x:v>
      </x:c>
    </x:row>
    <x:row r="1182">
      <x:c r="A1182">
        <x:f t="shared" si="75"/>
        <x:v>0.68300000000000005</x:v>
      </x:c>
      <x:c r="B1182">
        <x:f t="shared" si="76"/>
        <x:v>2704.9040716081277</x:v>
      </x:c>
      <x:c r="C1182">
        <x:f t="shared" si="77"/>
        <x:v>2378.1749207105045</x:v>
      </x:c>
      <x:c r="D1182">
        <x:f t="shared" si="78"/>
        <x:v>5268.0314290477454</x:v>
      </x:c>
      <x:c r="E1182">
        <x:f t="shared" si="79"/>
        <x:v>5241.943717406506</x:v>
      </x:c>
    </x:row>
    <x:row r="1183">
      <x:c r="A1183">
        <x:f t="shared" si="75"/>
        <x:v>0.69199999999999995</x:v>
      </x:c>
      <x:c r="B1183">
        <x:f t="shared" si="76"/>
        <x:v>2705.6926970657478</x:v>
      </x:c>
      <x:c r="C1183">
        <x:f t="shared" si="77"/>
        <x:v>2418.3192089337513</x:v>
      </x:c>
      <x:c r="D1183">
        <x:f t="shared" si="78"/>
        <x:v>5369.3785657395565</x:v>
      </x:c>
      <x:c r="E1183">
        <x:f t="shared" si="79"/>
        <x:v>5343.7518501523427</x:v>
      </x:c>
    </x:row>
    <x:row r="1184">
      <x:c r="A1184">
        <x:f t="shared" si="75"/>
        <x:v>0.7</x:v>
      </x:c>
      <x:c r="B1184">
        <x:f t="shared" si="76"/>
        <x:v>2706.4022210494791</x:v>
      </x:c>
      <x:c r="C1184">
        <x:f t="shared" si="77"/>
        <x:v>2454.2851668233561</x:v>
      </x:c>
      <x:c r="D1184">
        <x:f t="shared" si="78"/>
        <x:v>5460.3582902555545</x:v>
      </x:c>
      <x:c r="E1184">
        <x:f t="shared" si="79"/>
        <x:v>5435.1558124688245</x:v>
      </x:c>
    </x:row>
    <x:row r="1185">
      <x:c r="A1185">
        <x:f t="shared" si="75"/>
        <x:v>0.70799999999999996</x:v>
      </x:c>
      <x:c r="B1185">
        <x:f t="shared" si="76"/>
        <x:v>2707.1197624607562</x:v>
      </x:c>
      <x:c r="C1185">
        <x:f t="shared" si="77"/>
        <x:v>2490.5181609486822</x:v>
      </x:c>
      <x:c r="D1185">
        <x:f t="shared" si="78"/>
        <x:v>5552.1819212211276</x:v>
      </x:c>
      <x:c r="E1185">
        <x:f t="shared" si="79"/>
        <x:v>5527.4172410510055</x:v>
      </x:c>
    </x:row>
    <x:row r="1186">
      <x:c r="A1186">
        <x:f t="shared" si="75"/>
        <x:v>0.71699999999999997</x:v>
      </x:c>
      <x:c r="B1186">
        <x:f t="shared" si="76"/>
        <x:v>2707.9365741255974</x:v>
      </x:c>
      <x:c r="C1186">
        <x:f t="shared" si="77"/>
        <x:v>2531.6012212817732</x:v>
      </x:c>
      <x:c r="D1186">
        <x:f t="shared" si="78"/>
        <x:v>5656.4958042939516</x:v>
      </x:c>
      <x:c r="E1186">
        <x:f t="shared" si="79"/>
        <x:v>5632.2397896392322</x:v>
      </x:c>
    </x:row>
    <x:row r="1187">
      <x:c r="A1187">
        <x:f t="shared" si="75"/>
        <x:v>0.72499999999999998</x:v>
      </x:c>
      <x:c r="B1187">
        <x:f t="shared" si="76"/>
        <x:v>2708.6711371730257</x:v>
      </x:c>
      <x:c r="C1187">
        <x:f t="shared" si="77"/>
        <x:v>2568.4063111009086</x:v>
      </x:c>
      <x:c r="D1187">
        <x:f t="shared" si="78"/>
        <x:v>5750.1221522344285</x:v>
      </x:c>
      <x:c r="E1187">
        <x:f t="shared" si="79"/>
        <x:v>5726.332575075653</x:v>
      </x:c>
    </x:row>
    <x:row r="1188">
      <x:c r="A1188">
        <x:f t="shared" si="75"/>
        <x:v>0.73299999999999998</x:v>
      </x:c>
      <x:c r="B1188">
        <x:f t="shared" si="76"/>
        <x:v>2709.4137030571701</x:v>
      </x:c>
      <x:c r="C1188">
        <x:f t="shared" si="77"/>
        <x:v>2605.4827634648645</x:v>
      </x:c>
      <x:c r="D1188">
        <x:f t="shared" si="78"/>
        <x:v>5844.6010930614657</x:v>
      </x:c>
      <x:c r="E1188">
        <x:f t="shared" si="79"/>
        <x:v>5821.2913463973637</x:v>
      </x:c>
    </x:row>
    <x:row r="1189">
      <x:c r="A1189">
        <x:f t="shared" si="75"/>
        <x:v>0.74199999999999999</x:v>
      </x:c>
      <x:c r="B1189">
        <x:f t="shared" si="76"/>
        <x:v>2710.2586496341951</x:v>
      </x:c>
      <x:c r="C1189">
        <x:f t="shared" si="77"/>
        <x:v>2647.519805513155</x:v>
      </x:c>
      <x:c r="D1189">
        <x:f t="shared" si="78"/>
        <x:v>5951.9122690476443</x:v>
      </x:c>
      <x:c r="E1189">
        <x:f t="shared" si="79"/>
        <x:v>5929.1582714862625</x:v>
      </x:c>
    </x:row>
    <x:row r="1190">
      <x:c r="A1190">
        <x:f t="shared" si="75"/>
        <x:v>0.75</x:v>
      </x:c>
      <x:c r="B1190">
        <x:f t="shared" si="76"/>
        <x:v>2711.0182056718681</x:v>
      </x:c>
      <x:c r="C1190">
        <x:f t="shared" si="77"/>
        <x:v>2685.1773334232421</x:v>
      </x:c>
      <x:c r="D1190">
        <x:f t="shared" si="78"/>
        <x:v>6048.2115560449747</x:v>
      </x:c>
      <x:c r="E1190">
        <x:f t="shared" si="79"/>
        <x:v>6025.9656641770644</x:v>
      </x:c>
    </x:row>
    <x:row r="1191">
      <x:c r="A1191">
        <x:f t="shared" si="75"/>
        <x:v>0.75800000000000001</x:v>
      </x:c>
      <x:c r="B1191">
        <x:f t="shared" si="76"/>
        <x:v>2711.7857495077187</x:v>
      </x:c>
      <x:c r="C1191">
        <x:f t="shared" si="77"/>
        <x:v>2723.1103493336241</x:v>
      </x:c>
      <x:c r="D1191">
        <x:f t="shared" si="78"/>
        <x:v>6145.3713547660127</x:v>
      </x:c>
      <x:c r="E1191">
        <x:f t="shared" si="79"/>
        <x:v>6123.6467860475295</x:v>
      </x:c>
    </x:row>
    <x:row r="1192">
      <x:c r="A1192">
        <x:f t="shared" si="75"/>
        <x:v>0.76700000000000002</x:v>
      </x:c>
      <x:c r="B1192">
        <x:f t="shared" si="76"/>
        <x:v>2712.6587781279418</x:v>
      </x:c>
      <x:c r="C1192">
        <x:f t="shared" si="77"/>
        <x:v>2766.1158768793084</x:v>
      </x:c>
      <x:c r="D1192">
        <x:f t="shared" si="78"/>
        <x:v>6255.7076711632635</x:v>
      </x:c>
      <x:c r="E1192">
        <x:f t="shared" si="79"/>
        <x:v>6234.5853184731659</x:v>
      </x:c>
    </x:row>
    <x:row r="1193">
      <x:c r="A1193">
        <x:f t="shared" si="75"/>
        <x:v>0.77500000000000002</x:v>
      </x:c>
      <x:c r="B1193">
        <x:f t="shared" si="76"/>
        <x:v>2713.4432796899005</x:v>
      </x:c>
      <x:c r="C1193">
        <x:f t="shared" si="77"/>
        <x:v>2804.6385226625612</x:v>
      </x:c>
      <x:c r="D1193">
        <x:f t="shared" si="78"/>
        <x:v>6354.703876330992</x:v>
      </x:c>
      <x:c r="E1193">
        <x:f t="shared" si="79"/>
        <x:v>6334.130742726853</x:v>
      </x:c>
    </x:row>
    <x:row r="1194">
      <x:c r="A1194">
        <x:f t="shared" si="75"/>
        <x:v>0.78300000000000003</x:v>
      </x:c>
      <x:c r="B1194">
        <x:f t="shared" si="76"/>
        <x:v>2714.235753570058</x:v>
      </x:c>
      <x:c r="C1194">
        <x:f t="shared" si="77"/>
        <x:v>2843.4405826900188</x:v>
      </x:c>
      <x:c r="D1194">
        <x:f t="shared" si="78"/>
        <x:v>6454.5678022887641</x:v>
      </x:c>
      <x:c r="E1194">
        <x:f t="shared" si="79"/>
        <x:v>6434.5569245182351</x:v>
      </x:c>
    </x:row>
    <x:row r="1195">
      <x:c r="A1195">
        <x:f t="shared" si="75"/>
        <x:v>0.79200000000000004</x:v>
      </x:c>
      <x:c r="B1195">
        <x:f t="shared" si="76"/>
        <x:v>2715.1368098124726</x:v>
      </x:c>
      <x:c r="C1195">
        <x:f t="shared" si="77"/>
        <x:v>2887.428399392069</x:v>
      </x:c>
      <x:c r="D1195">
        <x:f t="shared" si="78"/>
        <x:v>6567.9546108397826</x:v>
      </x:c>
      <x:c r="E1195">
        <x:f t="shared" si="79"/>
        <x:v>6548.5917811077343</x:v>
      </x:c>
    </x:row>
    <x:row r="1196">
      <x:c r="A1196">
        <x:f t="shared" si="75"/>
        <x:v>0.8</x:v>
      </x:c>
      <x:c r="B1196">
        <x:f t="shared" si="76"/>
        <x:v>2715.9462080599938</x:v>
      </x:c>
      <x:c r="C1196">
        <x:f t="shared" si="77"/>
        <x:v>2926.8282235073743</x:v>
      </x:c>
      <x:c r="D1196">
        <x:f t="shared" si="78"/>
        <x:v>6669.6695538641015</x:v>
      </x:c>
      <x:c r="E1196">
        <x:f t="shared" si="79"/>
        <x:v>6650.8964888556302</x:v>
      </x:c>
    </x:row>
    <x:row r="1197">
      <x:c r="A1197">
        <x:f t="shared" si="75"/>
        <x:v>0.80800000000000005</x:v>
      </x:c>
      <x:c r="B1197">
        <x:f t="shared" si="76"/>
        <x:v>2716.7635627106388</x:v>
      </x:c>
      <x:c r="C1197">
        <x:f t="shared" si="77"/>
        <x:v>2966.5111922476426</x:v>
      </x:c>
      <x:c r="D1197">
        <x:f t="shared" si="78"/>
        <x:v>6772.2587713643579</x:v>
      </x:c>
      <x:c r="E1197">
        <x:f t="shared" si="79"/>
        <x:v>6754.0883248186901</x:v>
      </x:c>
    </x:row>
    <x:row r="1198">
      <x:c r="A1198">
        <x:f t="shared" si="75"/>
        <x:v>0.81699999999999995</x:v>
      </x:c>
      <x:c r="B1198">
        <x:f t="shared" si="76"/>
        <x:v>2717.6925906248262</x:v>
      </x:c>
      <x:c r="C1198">
        <x:f t="shared" si="77"/>
        <x:v>3011.4944133564245</x:v>
      </x:c>
      <x:c r="D1198">
        <x:f t="shared" si="78"/>
        <x:v>6888.7191192634255</x:v>
      </x:c>
      <x:c r="E1198">
        <x:f t="shared" si="79"/>
        <x:v>6871.2419096860749</x:v>
      </x:c>
    </x:row>
    <x:row r="1199">
      <x:c r="A1199">
        <x:f t="shared" si="75"/>
        <x:v>0.82499999999999996</x:v>
      </x:c>
      <x:c r="B1199">
        <x:f t="shared" si="76"/>
        <x:v>2718.5268353664997</x:v>
      </x:c>
      <x:c r="C1199">
        <x:f t="shared" si="77"/>
        <x:v>3051.7828688525797</x:v>
      </x:c>
      <x:c r="D1199">
        <x:f t="shared" si="78"/>
        <x:v>6993.1726266478481</x:v>
      </x:c>
      <x:c r="E1199">
        <x:f t="shared" si="79"/>
        <x:v>6976.325155041407</x:v>
      </x:c>
    </x:row>
    <x:row r="1200">
      <x:c r="A1200">
        <x:f t="shared" si="75"/>
        <x:v>0.83299999999999996</x:v>
      </x:c>
      <x:c r="B1200">
        <x:f t="shared" si="76"/>
        <x:v>2719.3690201677696</x:v>
      </x:c>
      <x:c r="C1200">
        <x:f t="shared" si="77"/>
        <x:v>3092.3580081209293</x:v>
      </x:c>
      <x:c r="D1200">
        <x:f t="shared" si="78"/>
        <x:v>7098.5063576925695</x:v>
      </x:c>
      <x:c r="E1200">
        <x:f t="shared" si="79"/>
        <x:v>7082.3012947740099</x:v>
      </x:c>
    </x:row>
    <x:row r="1201">
      <x:c r="A1201">
        <x:f t="shared" si="75"/>
        <x:v>0.84199999999999997</x:v>
      </x:c>
      <x:c r="B1201">
        <x:f t="shared" si="76"/>
        <x:v>2720.3259622967576</x:v>
      </x:c>
      <x:c r="C1201">
        <x:f t="shared" si="77"/>
        <x:v>3138.34907670858</x:v>
      </x:c>
      <x:c r="D1201">
        <x:f t="shared" si="78"/>
        <x:v>7218.0611664589442</x:v>
      </x:c>
      <x:c r="E1201">
        <x:f t="shared" si="79"/>
        <x:v>7202.5938862445973</x:v>
      </x:c>
    </x:row>
    <x:row r="1202">
      <x:c r="A1202">
        <x:f t="shared" si="75"/>
        <x:v>0.85</x:v>
      </x:c>
      <x:c r="B1202">
        <x:f t="shared" si="76"/>
        <x:v>2721.1850020092143</x:v>
      </x:c>
      <x:c r="C1202">
        <x:f t="shared" si="77"/>
        <x:v>3179.5370247648771</x:v>
      </x:c>
      <x:c r="D1202">
        <x:f t="shared" si="78"/>
        <x:v>7325.2712267935003</x:v>
      </x:c>
      <x:c r="E1202">
        <x:f t="shared" si="79"/>
        <x:v>7310.4730873835651</x:v>
      </x:c>
    </x:row>
    <x:row r="1203">
      <x:c r="A1203">
        <x:f t="shared" si="75"/>
        <x:v>0.85799999999999998</x:v>
      </x:c>
      <x:c r="B1203">
        <x:f t="shared" si="76"/>
        <x:v>2722.0519650158485</x:v>
      </x:c>
      <x:c r="C1203">
        <x:f t="shared" si="77"/>
        <x:v>3221.0150100806709</x:v>
      </x:c>
      <x:c r="D1203">
        <x:f t="shared" si="78"/>
        <x:v>7433.3669028529466</x:v>
      </x:c>
      <x:c r="E1203">
        <x:f t="shared" si="79"/>
        <x:v>7419.2503937327128</x:v>
      </x:c>
    </x:row>
    <x:row r="1204">
      <x:c r="A1204">
        <x:f t="shared" si="75"/>
        <x:v>0.86699999999999999</x:v>
      </x:c>
      <x:c r="B1204">
        <x:f t="shared" si="76"/>
        <x:v>2723.0367624197406</x:v>
      </x:c>
      <x:c r="C1204">
        <x:f t="shared" si="77"/>
        <x:v>3268.0257165997627</x:v>
      </x:c>
      <x:c r="D1204">
        <x:f t="shared" si="78"/>
        <x:v>7556.0351349179427</x:v>
      </x:c>
      <x:c r="E1204">
        <x:f t="shared" si="79"/>
        <x:v>7542.700317284668</x:v>
      </x:c>
    </x:row>
    <x:row r="1205">
      <x:c r="A1205">
        <x:f t="shared" si="75"/>
        <x:v>0.875</x:v>
      </x:c>
      <x:c r="B1205">
        <x:f t="shared" si="76"/>
        <x:v>2723.920544268542</x:v>
      </x:c>
      <x:c r="C1205">
        <x:f t="shared" si="77"/>
        <x:v>3310.1234447175161</x:v>
      </x:c>
      <x:c r="D1205">
        <x:f t="shared" si="78"/>
        <x:v>7666.0180432897014</x:v>
      </x:c>
      <x:c r="E1205">
        <x:f t="shared" si="79"/>
        <x:v>7653.3912060529701</x:v>
      </x:c>
    </x:row>
    <x:row r="1206">
      <x:c r="A1206">
        <x:f t="shared" si="75"/>
        <x:v>0.88300000000000001</x:v>
      </x:c>
      <x:c r="B1206">
        <x:f t="shared" si="76"/>
        <x:v>2724.8122322311165</x:v>
      </x:c>
      <x:c r="C1206">
        <x:f t="shared" si="77"/>
        <x:v>3352.5143841718163</x:v>
      </x:c>
      <x:c r="D1206">
        <x:f t="shared" si="78"/>
        <x:v>7776.8914462931562</x:v>
      </x:c>
      <x:c r="E1206">
        <x:f t="shared" si="79"/>
        <x:v>7764.9849009013706</x:v>
      </x:c>
    </x:row>
    <x:row r="1207">
      <x:c r="A1207">
        <x:f t="shared" si="75"/>
        <x:v>0.89200000000000002</x:v>
      </x:c>
      <x:c r="B1207">
        <x:f t="shared" si="76"/>
        <x:v>2725.8248245109639</x:v>
      </x:c>
      <x:c r="C1207">
        <x:f t="shared" si="77"/>
        <x:v>3400.5558883978983</x:v>
      </x:c>
      <x:c r="D1207">
        <x:f t="shared" si="78"/>
        <x:v>7902.6902595707261</x:v>
      </x:c>
      <x:c r="E1207">
        <x:f t="shared" si="79"/>
        <x:v>7891.6086886825724</x:v>
      </x:c>
    </x:row>
    <x:row r="1208">
      <x:c r="A1208">
        <x:f t="shared" si="75"/>
        <x:v>0.9</x:v>
      </x:c>
      <x:c r="B1208">
        <x:f t="shared" si="76"/>
        <x:v>2726.7332943721008</x:v>
      </x:c>
      <x:c r="C1208">
        <x:f t="shared" si="77"/>
        <x:v>3443.5731304663896</x:v>
      </x:c>
      <x:c r="D1208">
        <x:f t="shared" si="78"/>
        <x:v>8015.4607514084237</x:v>
      </x:c>
      <x:c r="E1208">
        <x:f t="shared" si="79"/>
        <x:v>8005.1254484618212</x:v>
      </x:c>
    </x:row>
    <x:row r="1209">
      <x:c r="A1209">
        <x:f t="shared" si="75"/>
        <x:v>0.90800000000000003</x:v>
      </x:c>
      <x:c r="B1209">
        <x:f t="shared" si="76"/>
        <x:v>2727.6496527585241</x:v>
      </x:c>
      <x:c r="C1209">
        <x:f t="shared" si="77"/>
        <x:v>3486.8865852502836</x:v>
      </x:c>
      <x:c r="D1209">
        <x:f t="shared" si="78"/>
        <x:v>8129.1261442908699</x:v>
      </x:c>
      <x:c r="E1209">
        <x:f t="shared" si="79"/>
        <x:v>8119.5492469653946</x:v>
      </x:c>
    </x:row>
    <x:row r="1210">
      <x:c r="A1210">
        <x:f t="shared" si="75"/>
        <x:v>0.91700000000000004</x:v>
      </x:c>
      <x:c r="B1210">
        <x:f t="shared" si="76"/>
        <x:v>2728.6899780807412</x:v>
      </x:c>
      <x:c r="C1210">
        <x:f t="shared" si="77"/>
        <x:v>3535.9694398561164</x:v>
      </x:c>
      <x:c r="D1210">
        <x:f t="shared" si="78"/>
        <x:v>8258.0710351577345</x:v>
      </x:c>
      <x:c r="E1210">
        <x:f t="shared" si="79"/>
        <x:v>8249.3617845544723</x:v>
      </x:c>
    </x:row>
    <x:row r="1211">
      <x:c r="A1211">
        <x:f t="shared" si="75"/>
        <x:v>0.92500000000000004</x:v>
      </x:c>
      <x:c r="B1211">
        <x:f t="shared" si="76"/>
        <x:v>2729.6230805624396</x:v>
      </x:c>
      <x:c r="C1211">
        <x:f t="shared" si="77"/>
        <x:v>3579.915397473851</x:v>
      </x:c>
      <x:c r="D1211">
        <x:f t="shared" si="78"/>
        <x:v>8373.6424099258602</x:v>
      </x:c>
      <x:c r="E1211">
        <x:f t="shared" si="79"/>
        <x:v>8365.7171770078276</x:v>
      </x:c>
    </x:row>
    <x:row r="1212">
      <x:c r="A1212">
        <x:f t="shared" si="75"/>
        <x:v>0.93300000000000005</x:v>
      </x:c>
      <x:c r="B1212">
        <x:f t="shared" si="76"/>
        <x:v>2730.5640535799016</x:v>
      </x:c>
      <x:c r="C1212">
        <x:f t="shared" si="77"/>
        <x:v>3624.1604034921179</x:v>
      </x:c>
      <x:c r="D1212">
        <x:f t="shared" si="78"/>
        <x:v>8490.1126571758014</x:v>
      </x:c>
      <x:c r="E1212">
        <x:f t="shared" si="79"/>
        <x:v>8482.9834109222265</x:v>
      </x:c>
    </x:row>
    <x:row r="1213">
      <x:c r="A1213">
        <x:f t="shared" si="75"/>
        <x:v>0.94199999999999995</x:v>
      </x:c>
      <x:c r="B1213">
        <x:f t="shared" si="76"/>
        <x:v>2731.6320487010912</x:v>
      </x:c>
      <x:c r="C1213">
        <x:f t="shared" si="77"/>
        <x:v>3674.2945786544519</x:v>
      </x:c>
      <x:c r="D1213">
        <x:f t="shared" si="78"/>
        <x:v>8622.2175923928862</x:v>
      </x:c>
      <x:c r="E1213">
        <x:f t="shared" si="79"/>
        <x:v>8615.9980720706571</x:v>
      </x:c>
    </x:row>
    <x:row r="1214">
      <x:c r="A1214">
        <x:f t="shared" si="75"/>
        <x:v>0.95</x:v>
      </x:c>
      <x:c r="B1214">
        <x:f t="shared" si="76"/>
        <x:v>2732.5897271659751</x:v>
      </x:c>
      <x:c r="C1214">
        <x:f t="shared" si="77"/>
        <x:v>3719.1779432130656</x:v>
      </x:c>
      <x:c r="D1214">
        <x:f t="shared" si="78"/>
        <x:v>8740.6018276314735</x:v>
      </x:c>
      <x:c r="E1214">
        <x:f t="shared" si="79"/>
        <x:v>8735.2035534356819</x:v>
      </x:c>
    </x:row>
    <x:row r="1215">
      <x:c r="A1215">
        <x:f t="shared" si="75"/>
        <x:v>0.95799999999999996</x:v>
      </x:c>
      <x:c r="B1215">
        <x:f t="shared" si="76"/>
        <x:v>2733.5552577832691</x:v>
      </x:c>
      <x:c r="C1215">
        <x:f t="shared" si="77"/>
        <x:v>3764.3630333251954</x:v>
      </x:c>
      <x:c r="D1215">
        <x:f t="shared" si="78"/>
        <x:v>8859.8885063548314</x:v>
      </x:c>
      <x:c r="E1215">
        <x:f t="shared" si="79"/>
        <x:v>8855.3232842094876</x:v>
      </x:c>
    </x:row>
    <x:row r="1216">
      <x:c r="A1216">
        <x:f t="shared" si="75"/>
        <x:v>0.96699999999999997</x:v>
      </x:c>
      <x:c r="B1216">
        <x:f t="shared" si="76"/>
        <x:v>2734.6508580754062</x:v>
      </x:c>
      <x:c r="C1216">
        <x:f t="shared" si="77"/>
        <x:v>3815.5579418876782</x:v>
      </x:c>
      <x:c r="D1216">
        <x:f t="shared" si="78"/>
        <x:v>8995.1660445283196</x:v>
      </x:c>
      <x:c r="E1216">
        <x:f t="shared" si="79"/>
        <x:v>8991.5520543354942</x:v>
      </x:c>
    </x:row>
    <x:row r="1217">
      <x:c r="A1217">
        <x:f t="shared" si="75"/>
        <x:v>0.97499999999999998</x:v>
      </x:c>
      <x:c r="B1217">
        <x:f t="shared" si="76"/>
        <x:v>2735.6330546630293</x:v>
      </x:c>
      <x:c r="C1217">
        <x:f t="shared" si="77"/>
        <x:v>3861.3869170271155</x:v>
      </x:c>
      <x:c r="D1217">
        <x:f t="shared" si="78"/>
        <x:v>9116.3739007837139</x:v>
      </x:c>
      <x:c r="E1217">
        <x:f t="shared" si="79"/>
        <x:v>9113.617881954191</x:v>
      </x:c>
    </x:row>
    <x:row r="1218">
      <x:c r="A1218">
        <x:f t="shared" si="75"/>
        <x:v>0.98299999999999998</x:v>
      </x:c>
      <x:c r="B1218">
        <x:f t="shared" si="76"/>
        <x:v>2736.6230846331491</x:v>
      </x:c>
      <x:c r="C1218">
        <x:f t="shared" si="77"/>
        <x:v>3907.5201435523309</x:v>
      </x:c>
      <x:c r="D1218">
        <x:f t="shared" si="78"/>
        <x:v>9238.487402839648</x:v>
      </x:c>
      <x:c r="E1218">
        <x:f t="shared" si="79"/>
        <x:v>9236.6010042814341</x:v>
      </x:c>
    </x:row>
    <x:row r="1219">
      <x:c r="A1219">
        <x:f t="shared" si="75"/>
        <x:v>0.99199999999999999</x:v>
      </x:c>
      <x:c r="B1219">
        <x:f t="shared" si="76"/>
        <x:v>2737.7462241092339</x:v>
      </x:c>
      <x:c r="C1219">
        <x:f t="shared" si="77"/>
        <x:v>3959.7846663670321</x:v>
      </x:c>
      <x:c r="D1219">
        <x:f t="shared" si="78"/>
        <x:v>9376.948806056138</x:v>
      </x:c>
      <x:c r="E1219">
        <x:f t="shared" si="79"/>
        <x:v>9376.0545934952825</x:v>
      </x:c>
    </x:row>
    <x:row r="1220">
      <x:c r="A1220">
        <x:f t="shared" si="75"/>
        <x:v>1</x:v>
      </x:c>
      <x:c r="B1220">
        <x:f t="shared" si="76"/>
        <x:v>2738.7528797589603</x:v>
      </x:c>
      <x:c r="C1220">
        <x:f t="shared" si="77"/>
        <x:v>4006.5669904921833</x:v>
      </x:c>
      <x:c r="D1220">
        <x:f t="shared" si="78"/>
        <x:v>9500.9899232733605</x:v>
      </x:c>
      <x:c r="E1220">
        <x:f t="shared" si="79"/>
        <x:v>9500.9899232733605</x:v>
      </x:c>
    </x:row>
    <x:row r="1225">
      <x:c r="A1225" t="n">
        <x:f t="shared" ref="A1225:A1288" si="80">I2</x:f>
        <x:v>-1</x:v>
      </x:c>
      <x:c r="B1225" t="n">
        <x:f t="shared" ref="B1225:B1288" si="81">AQ2</x:f>
        <x:v>2737.9721339616262</x:v>
      </x:c>
      <x:c r="C1225" t="n">
        <x:f t="shared" ref="C1225:C1288" si="82">AS2</x:f>
        <x:v>4006.1845220388846</x:v>
      </x:c>
      <x:c r="D1225" t="n">
        <x:f t="shared" ref="D1225:D1288" si="83">AU2</x:f>
        <x:v>9500.556371343455</x:v>
      </x:c>
      <x:c r="E1225" t="n">
        <x:f t="shared" ref="E1225:E1288" si="84">AW2</x:f>
        <x:v>9500.556371343455</x:v>
      </x:c>
    </x:row>
    <x:row r="1226">
      <x:c r="A1226">
        <x:f t="shared" si="80"/>
        <x:v>-0.99199999999999999</x:v>
      </x:c>
      <x:c r="B1226">
        <x:f t="shared" si="81"/>
        <x:v>2736.9528201395592</x:v>
      </x:c>
      <x:c r="C1226">
        <x:f t="shared" si="82"/>
        <x:v>3959.1477374020114</x:v>
      </x:c>
      <x:c r="D1226">
        <x:f t="shared" si="83"/>
        <x:v>9376.6806348938517</x:v>
      </x:c>
      <x:c r="E1226">
        <x:f t="shared" si="84"/>
        <x:v>9375.7864531212308</x:v>
      </x:c>
    </x:row>
    <x:row r="1227">
      <x:c r="A1227">
        <x:f t="shared" si="80"/>
        <x:v>-0.98299999999999998</x:v>
      </x:c>
      <x:c r="B1227">
        <x:f t="shared" si="81"/>
        <x:v>2735.8693928822458</x:v>
      </x:c>
      <x:c r="C1227">
        <x:f t="shared" si="82"/>
        <x:v>3906.6899803154161</x:v>
      </x:c>
      <x:c r="D1227">
        <x:f t="shared" si="83"/>
        <x:v>9237.8669365752503</x:v>
      </x:c>
      <x:c r="E1227">
        <x:f t="shared" si="84"/>
        <x:v>9235.9806918794056</x:v>
      </x:c>
    </x:row>
    <x:row r="1228">
      <x:c r="A1228">
        <x:f t="shared" si="80"/>
        <x:v>-0.97499999999999998</x:v>
      </x:c>
      <x:c r="B1228">
        <x:f t="shared" si="81"/>
        <x:v>2734.7537852754253</x:v>
      </x:c>
      <x:c r="C1228">
        <x:f t="shared" si="82"/>
        <x:v>3860.6694546054136</x:v>
      </x:c>
      <x:c r="D1228">
        <x:f t="shared" si="83"/>
        <x:v>9116.2154348858567</x:v>
      </x:c>
      <x:c r="E1228">
        <x:f t="shared" si="84"/>
        <x:v>9113.459474677602</x:v>
      </x:c>
    </x:row>
    <x:row r="1229">
      <x:c r="A1229">
        <x:f t="shared" si="80"/>
        <x:v>-0.96699999999999997</x:v>
      </x:c>
      <x:c r="B1229">
        <x:f t="shared" si="81"/>
        <x:v>2733.8712853195143</x:v>
      </x:c>
      <x:c r="C1229">
        <x:f t="shared" si="82"/>
        <x:v>3815.0773000226741</x:v>
      </x:c>
      <x:c r="D1229">
        <x:f t="shared" si="83"/>
        <x:v>8994.6970197989122</x:v>
      </x:c>
      <x:c r="E1229">
        <x:f t="shared" si="84"/>
        <x:v>8991.083262053251</x:v>
      </x:c>
    </x:row>
    <x:row r="1230">
      <x:c r="A1230">
        <x:f t="shared" si="80"/>
        <x:v>-0.95799999999999996</x:v>
      </x:c>
      <x:c r="B1230">
        <x:f t="shared" si="81"/>
        <x:v>2732.687149406082</x:v>
      </x:c>
      <x:c r="C1230">
        <x:f t="shared" si="82"/>
        <x:v>3764.0154250777559</x:v>
      </x:c>
      <x:c r="D1230">
        <x:f t="shared" si="83"/>
        <x:v>8859.3401609879784</x:v>
      </x:c>
      <x:c r="E1230">
        <x:f t="shared" si="84"/>
        <x:v>8854.7752905537527</x:v>
      </x:c>
    </x:row>
    <x:row r="1231">
      <x:c r="A1231">
        <x:f t="shared" si="80"/>
        <x:v>-0.95</x:v>
      </x:c>
      <x:c r="B1231">
        <x:f t="shared" si="81"/>
        <x:v>2731.6895767899719</x:v>
      </x:c>
      <x:c r="C1231">
        <x:f t="shared" si="82"/>
        <x:v>3718.7207527081573</x:v>
      </x:c>
      <x:c r="D1231">
        <x:f t="shared" si="83"/>
        <x:v>8740.3317888613292</x:v>
      </x:c>
      <x:c r="E1231">
        <x:f t="shared" si="84"/>
        <x:v>8734.9337239521119</x:v>
      </x:c>
    </x:row>
    <x:row r="1232">
      <x:c r="A1232">
        <x:f t="shared" si="80"/>
        <x:v>-0.94199999999999995</x:v>
      </x:c>
      <x:c r="B1232">
        <x:f t="shared" si="81"/>
        <x:v>2730.7088318781148</x:v>
      </x:c>
      <x:c r="C1232">
        <x:f t="shared" si="82"/>
        <x:v>3673.7176119881537</x:v>
      </x:c>
      <x:c r="D1232">
        <x:f t="shared" si="83"/>
        <x:v>8621.5307574745584</x:v>
      </x:c>
      <x:c r="E1232">
        <x:f t="shared" si="84"/>
        <x:v>8615.311864200492</x:v>
      </x:c>
    </x:row>
    <x:row r="1233">
      <x:c r="A1233">
        <x:f t="shared" si="80"/>
        <x:v>-0.93300000000000005</x:v>
      </x:c>
      <x:c r="B1233">
        <x:f t="shared" si="81"/>
        <x:v>2729.5241867812651</x:v>
      </x:c>
      <x:c r="C1233">
        <x:f t="shared" si="82"/>
        <x:v>3623.5784569317379</x:v>
      </x:c>
      <x:c r="D1233">
        <x:f t="shared" si="83"/>
        <x:v>8489.7380215571848</x:v>
      </x:c>
      <x:c r="E1233">
        <x:f t="shared" si="84"/>
        <x:v>8482.6091772207692</x:v>
      </x:c>
    </x:row>
    <x:row r="1234">
      <x:c r="A1234">
        <x:f t="shared" si="80"/>
        <x:v>-0.92500000000000004</x:v>
      </x:c>
      <x:c r="B1234">
        <x:f t="shared" si="81"/>
        <x:v>2728.5707503638432</x:v>
      </x:c>
      <x:c r="C1234">
        <x:f t="shared" si="82"/>
        <x:v>3579.3219687815858</x:v>
      </x:c>
      <x:c r="D1234">
        <x:f t="shared" si="83"/>
        <x:v>8373.1619172502797</x:v>
      </x:c>
      <x:c r="E1234">
        <x:f t="shared" si="84"/>
        <x:v>8365.2372704199115</x:v>
      </x:c>
    </x:row>
    <x:row r="1235">
      <x:c r="A1235">
        <x:f t="shared" si="80"/>
        <x:v>-0.91700000000000004</x:v>
      </x:c>
      <x:c r="B1235">
        <x:f t="shared" si="81"/>
        <x:v>2727.45681982305</x:v>
      </x:c>
      <x:c r="C1235">
        <x:f t="shared" si="82"/>
        <x:v>3535.5397391924798</x:v>
      </x:c>
      <x:c r="D1235">
        <x:f t="shared" si="83"/>
        <x:v>8257.4964797093962</x:v>
      </x:c>
      <x:c r="E1235">
        <x:f t="shared" si="84"/>
        <x:v>8248.7880169790551</x:v>
      </x:c>
    </x:row>
    <x:row r="1236">
      <x:c r="A1236">
        <x:f t="shared" si="80"/>
        <x:v>-0.90800000000000003</x:v>
      </x:c>
      <x:c r="B1236">
        <x:f t="shared" si="81"/>
        <x:v>2726.3354650184833</x:v>
      </x:c>
      <x:c r="C1236">
        <x:f t="shared" si="82"/>
        <x:v>3486.6311054490343</x:v>
      </x:c>
      <x:c r="D1236">
        <x:f t="shared" si="83"/>
        <x:v>8128.7951309951241</x:v>
      </x:c>
      <x:c r="E1236">
        <x:f t="shared" si="84"/>
        <x:v>8119.2187457949549</x:v>
      </x:c>
    </x:row>
    <x:row r="1237">
      <x:c r="A1237">
        <x:f t="shared" si="80"/>
        <x:v>-0.9</x:v>
      </x:c>
      <x:c r="B1237">
        <x:f t="shared" si="81"/>
        <x:v>2725.4452542994177</x:v>
      </x:c>
      <x:c r="C1237">
        <x:f t="shared" si="82"/>
        <x:v>3443.2133979979462</x:v>
      </x:c>
      <x:c r="D1237">
        <x:f t="shared" si="83"/>
        <x:v>8015.0991696438123</x:v>
      </x:c>
      <x:c r="E1237">
        <x:f t="shared" si="84"/>
        <x:v>8004.7644846026124</x:v>
      </x:c>
    </x:row>
    <x:row r="1238">
      <x:c r="A1238">
        <x:f t="shared" si="80"/>
        <x:v>-0.89200000000000002</x:v>
      </x:c>
      <x:c r="B1238">
        <x:f t="shared" si="81"/>
        <x:v>2724.3586238461326</x:v>
      </x:c>
      <x:c r="C1238">
        <x:f t="shared" si="82"/>
        <x:v>3399.8955380999778</x:v>
      </x:c>
      <x:c r="D1238">
        <x:f t="shared" si="83"/>
        <x:v>7902.1303992220219</x:v>
      </x:c>
      <x:c r="E1238">
        <x:f t="shared" si="84"/>
        <x:v>7891.0498786081262</x:v>
      </x:c>
    </x:row>
    <x:row r="1239">
      <x:c r="A1239">
        <x:f t="shared" si="80"/>
        <x:v>-0.88300000000000001</x:v>
      </x:c>
      <x:c r="B1239">
        <x:f t="shared" si="81"/>
        <x:v>2723.2627061687181</x:v>
      </x:c>
      <x:c r="C1239">
        <x:f t="shared" si="82"/>
        <x:v>3351.8342589880513</x:v>
      </x:c>
      <x:c r="D1239">
        <x:f t="shared" si="83"/>
        <x:v>7776.6419921566758</x:v>
      </x:c>
      <x:c r="E1239">
        <x:f t="shared" si="84"/>
        <x:v>7764.7359630806814</x:v>
      </x:c>
    </x:row>
    <x:row r="1240">
      <x:c r="A1240">
        <x:f t="shared" si="80"/>
        <x:v>-0.875</x:v>
      </x:c>
      <x:c r="B1240">
        <x:f t="shared" si="81"/>
        <x:v>2722.4209257280004</x:v>
      </x:c>
      <x:c r="C1240">
        <x:f t="shared" si="82"/>
        <x:v>3309.70809101759</x:v>
      </x:c>
      <x:c r="D1240">
        <x:f t="shared" si="83"/>
        <x:v>7665.4810009588955</x:v>
      </x:c>
      <x:c r="E1240">
        <x:f t="shared" si="84"/>
        <x:v>7652.8553713180618</x:v>
      </x:c>
    </x:row>
    <x:row r="1241">
      <x:c r="A1241">
        <x:f t="shared" si="80"/>
        <x:v>-0.86699999999999999</x:v>
      </x:c>
      <x:c r="B1241">
        <x:f t="shared" si="81"/>
        <x:v>2721.453798788491</x:v>
      </x:c>
      <x:c r="C1241">
        <x:f t="shared" si="82"/>
        <x:v>3267.7091245426209</x:v>
      </x:c>
      <x:c r="D1241">
        <x:f t="shared" si="83"/>
        <x:v>7555.4396771768133</x:v>
      </x:c>
      <x:c r="E1241">
        <x:f t="shared" si="84"/>
        <x:v>7542.1063082979317</x:v>
      </x:c>
    </x:row>
    <x:row r="1242">
      <x:c r="A1242">
        <x:f t="shared" si="80"/>
        <x:v>-0.85799999999999998</x:v>
      </x:c>
      <x:c r="B1242">
        <x:f t="shared" si="81"/>
        <x:v>2720.3789439041557</x:v>
      </x:c>
      <x:c r="C1242">
        <x:f t="shared" si="82"/>
        <x:v>3220.525348840778</x:v>
      </x:c>
      <x:c r="D1242">
        <x:f t="shared" si="83"/>
        <x:v>7433.0998810073406</x:v>
      </x:c>
      <x:c r="E1242">
        <x:f t="shared" si="84"/>
        <x:v>7418.9840787376506</x:v>
      </x:c>
    </x:row>
    <x:row r="1243">
      <x:c r="A1243">
        <x:f t="shared" si="80"/>
        <x:v>-0.85</x:v>
      </x:c>
      <x:c r="B1243">
        <x:f t="shared" si="81"/>
        <x:v>2719.5300576923719</x:v>
      </x:c>
      <x:c r="C1243">
        <x:f t="shared" si="82"/>
        <x:v>3178.9032534055073</x:v>
      </x:c>
      <x:c r="D1243">
        <x:f t="shared" si="83"/>
        <x:v>7324.5461683556623</x:v>
      </x:c>
      <x:c r="E1243">
        <x:f t="shared" si="84"/>
        <x:v>7309.7500919691383</x:v>
      </x:c>
    </x:row>
    <x:row r="1244">
      <x:c r="A1244">
        <x:f t="shared" si="80"/>
        <x:v>-0.84199999999999997</x:v>
      </x:c>
      <x:c r="B1244">
        <x:f t="shared" si="81"/>
        <x:v>2718.6801987581757</x:v>
      </x:c>
      <x:c r="C1244">
        <x:f t="shared" si="82"/>
        <x:v>3137.6276900805829</x:v>
      </x:c>
      <x:c r="D1244">
        <x:f t="shared" si="83"/>
        <x:v>7217.7111257460656</x:v>
      </x:c>
      <x:c r="E1244">
        <x:f t="shared" si="84"/>
        <x:v>7202.2449127278005</x:v>
      </x:c>
    </x:row>
    <x:row r="1245">
      <x:c r="A1245">
        <x:f t="shared" si="80"/>
        <x:v>-0.83299999999999996</x:v>
      </x:c>
      <x:c r="B1245">
        <x:f t="shared" si="81"/>
        <x:v>2717.6974345549215</x:v>
      </x:c>
      <x:c r="C1245">
        <x:f t="shared" si="82"/>
        <x:v>3091.6849371722919</x:v>
      </x:c>
      <x:c r="D1245">
        <x:f t="shared" si="83"/>
        <x:v>7098.019488341909</x:v>
      </x:c>
      <x:c r="E1245">
        <x:f t="shared" si="84"/>
        <x:v>7081.8160256542114</x:v>
      </x:c>
    </x:row>
    <x:row r="1246">
      <x:c r="A1246">
        <x:f t="shared" si="80"/>
        <x:v>-0.82499999999999996</x:v>
      </x:c>
      <x:c r="B1246">
        <x:f t="shared" si="81"/>
        <x:v>2716.8250307204657</x:v>
      </x:c>
      <x:c r="C1246">
        <x:f t="shared" si="82"/>
        <x:v>3051.4674905866668</x:v>
      </x:c>
      <x:c r="D1246">
        <x:f t="shared" si="83"/>
        <x:v>6992.6479613045003</x:v>
      </x:c>
      <x:c r="E1246">
        <x:f t="shared" si="84"/>
        <x:v>6975.8023290740502</x:v>
      </x:c>
    </x:row>
    <x:row r="1247">
      <x:c r="A1247">
        <x:f t="shared" si="80"/>
        <x:v>-0.81699999999999995</x:v>
      </x:c>
      <x:c r="B1247">
        <x:f t="shared" si="81"/>
        <x:v>2716.0170983071607</x:v>
      </x:c>
      <x:c r="C1247">
        <x:f t="shared" si="82"/>
        <x:v>3011.205038375484</x:v>
      </x:c>
      <x:c r="D1247">
        <x:f t="shared" si="83"/>
        <x:v>6888.445538379483</x:v>
      </x:c>
      <x:c r="E1247">
        <x:f t="shared" si="84"/>
        <x:v>6870.9693497228955</x:v>
      </x:c>
    </x:row>
    <x:row r="1248">
      <x:c r="A1248">
        <x:f t="shared" si="80"/>
        <x:v>-0.80800000000000005</x:v>
      </x:c>
      <x:c r="B1248">
        <x:f t="shared" si="81"/>
        <x:v>2715.0613483936577</x:v>
      </x:c>
      <x:c r="C1248">
        <x:f t="shared" si="82"/>
        <x:v>2965.8915391952009</x:v>
      </x:c>
      <x:c r="D1248">
        <x:f t="shared" si="83"/>
        <x:v>6771.7898508147382</x:v>
      </x:c>
      <x:c r="E1248">
        <x:f t="shared" si="84"/>
        <x:v>6753.6212781446657</x:v>
      </x:c>
    </x:row>
    <x:row r="1249">
      <x:c r="A1249">
        <x:f t="shared" si="80"/>
        <x:v>-0.8</x:v>
      </x:c>
      <x:c r="B1249">
        <x:f t="shared" si="81"/>
        <x:v>2714.2779556726477</x:v>
      </x:c>
      <x:c r="C1249">
        <x:f t="shared" si="82"/>
        <x:v>2926.020997254117</x:v>
      </x:c>
      <x:c r="D1249">
        <x:f t="shared" si="83"/>
        <x:v>6669.2420000628108</x:v>
      </x:c>
      <x:c r="E1249">
        <x:f t="shared" si="84"/>
        <x:v>6650.4707476140602</x:v>
      </x:c>
    </x:row>
    <x:row r="1250">
      <x:c r="A1250">
        <x:f t="shared" si="80"/>
        <x:v>-0.79200000000000004</x:v>
      </x:c>
      <x:c r="B1250">
        <x:f t="shared" si="81"/>
        <x:v>2713.5291977559514</x:v>
      </x:c>
      <x:c r="C1250">
        <x:f t="shared" si="82"/>
        <x:v>2886.8217574751084</x:v>
      </x:c>
      <x:c r="D1250">
        <x:f t="shared" si="83"/>
        <x:v>6567.6171221874147</x:v>
      </x:c>
      <x:c r="E1250">
        <x:f t="shared" si="84"/>
        <x:v>6548.2558080936396</x:v>
      </x:c>
    </x:row>
    <x:row r="1251">
      <x:c r="A1251">
        <x:f t="shared" si="80"/>
        <x:v>-0.78300000000000003</x:v>
      </x:c>
      <x:c r="B1251">
        <x:f t="shared" si="81"/>
        <x:v>2712.5601656074723</x:v>
      </x:c>
      <x:c r="C1251">
        <x:f t="shared" si="82"/>
        <x:v>2843.1030562454516</x:v>
      </x:c>
      <x:c r="D1251">
        <x:f t="shared" si="83"/>
        <x:v>6453.9467364016009</x:v>
      </x:c>
      <x:c r="E1251">
        <x:f t="shared" si="84"/>
        <x:v>6433.9388308039552</x:v>
      </x:c>
    </x:row>
    <x:row r="1252">
      <x:c r="A1252">
        <x:f t="shared" si="80"/>
        <x:v>-0.77500000000000002</x:v>
      </x:c>
      <x:c r="B1252">
        <x:f t="shared" si="81"/>
        <x:v>2711.7731730634732</x:v>
      </x:c>
      <x:c r="C1252">
        <x:f t="shared" si="82"/>
        <x:v>2804.3248063441019</x:v>
      </x:c>
      <x:c r="D1252">
        <x:f t="shared" si="83"/>
        <x:v>6354.1486283599243</x:v>
      </x:c>
      <x:c r="E1252">
        <x:f t="shared" si="84"/>
        <x:v>6333.5783023463191</x:v>
      </x:c>
    </x:row>
    <x:row r="1253">
      <x:c r="A1253">
        <x:f t="shared" si="80"/>
        <x:v>-0.76700000000000002</x:v>
      </x:c>
      <x:c r="B1253">
        <x:f t="shared" si="81"/>
        <x:v>2711.1609992569461</x:v>
      </x:c>
      <x:c r="C1253">
        <x:f t="shared" si="82"/>
        <x:v>2765.6399481746071</x:v>
      </x:c>
      <x:c r="D1253">
        <x:f t="shared" si="83"/>
        <x:v>6255.3661723368041</x:v>
      </x:c>
      <x:c r="E1253">
        <x:f t="shared" si="84"/>
        <x:v>6234.2456420387598</x:v>
      </x:c>
    </x:row>
    <x:row r="1254">
      <x:c r="A1254">
        <x:f t="shared" si="80"/>
        <x:v>-0.75800000000000001</x:v>
      </x:c>
      <x:c r="B1254">
        <x:f t="shared" si="81"/>
        <x:v>2710.338289310354</x:v>
      </x:c>
      <x:c r="C1254">
        <x:f t="shared" si="82"/>
        <x:v>2722.5308660022711</x:v>
      </x:c>
      <x:c r="D1254">
        <x:f t="shared" si="83"/>
        <x:v>6144.6351333130369</x:v>
      </x:c>
      <x:c r="E1254">
        <x:f t="shared" si="84"/>
        <x:v>6122.9147357874672</x:v>
      </x:c>
    </x:row>
    <x:row r="1255">
      <x:c r="A1255">
        <x:f t="shared" si="80"/>
        <x:v>-0.75</x:v>
      </x:c>
      <x:c r="B1255">
        <x:f t="shared" si="81"/>
        <x:v>2709.6428929865006</x:v>
      </x:c>
      <x:c r="C1255">
        <x:f t="shared" si="82"/>
        <x:v>2684.5852689818762</x:v>
      </x:c>
      <x:c r="D1255">
        <x:f t="shared" si="83"/>
        <x:v>6047.9709491570866</x:v>
      </x:c>
      <x:c r="E1255">
        <x:f t="shared" si="84"/>
        <x:v>6025.7264928486038</x:v>
      </x:c>
    </x:row>
    <x:row r="1256">
      <x:c r="A1256">
        <x:f t="shared" si="80"/>
        <x:v>-0.74199999999999999</x:v>
      </x:c>
      <x:c r="B1256">
        <x:f t="shared" si="81"/>
        <x:v>2708.85476109416</x:v>
      </x:c>
      <x:c r="C1256">
        <x:f t="shared" si="82"/>
        <x:v>2647.0848704043919</x:v>
      </x:c>
      <x:c r="D1256">
        <x:f t="shared" si="83"/>
        <x:v>5951.3995132318396</x:v>
      </x:c>
      <x:c r="E1256">
        <x:f t="shared" si="84"/>
        <x:v>5928.6487363287824</x:v>
      </x:c>
    </x:row>
    <x:row r="1257">
      <x:c r="A1257">
        <x:f t="shared" si="80"/>
        <x:v>-0.73299999999999998</x:v>
      </x:c>
      <x:c r="B1257">
        <x:f t="shared" si="81"/>
        <x:v>2708.0463093967692</x:v>
      </x:c>
      <x:c r="C1257">
        <x:f t="shared" si="82"/>
        <x:v>2605.1463027637274</x:v>
      </x:c>
      <x:c r="D1257">
        <x:f t="shared" si="83"/>
        <x:v>5844.0721638618543</x:v>
      </x:c>
      <x:c r="E1257">
        <x:f t="shared" si="84"/>
        <x:v>5820.7659333649044</x:v>
      </x:c>
    </x:row>
    <x:row r="1258">
      <x:c r="A1258">
        <x:f t="shared" si="80"/>
        <x:v>-0.72499999999999998</x:v>
      </x:c>
      <x:c r="B1258">
        <x:f t="shared" si="81"/>
        <x:v>2707.2816005599116</x:v>
      </x:c>
      <x:c r="C1258">
        <x:f t="shared" si="82"/>
        <x:v>2568.0199583114172</x:v>
      </x:c>
      <x:c r="D1258">
        <x:f t="shared" si="83"/>
        <x:v>5749.953698963689</x:v>
      </x:c>
      <x:c r="E1258">
        <x:f t="shared" si="84"/>
        <x:v>5726.1652983833264</x:v>
      </x:c>
    </x:row>
    <x:row r="1259">
      <x:c r="A1259">
        <x:f t="shared" si="80"/>
        <x:v>-0.71699999999999997</x:v>
      </x:c>
      <x:c r="B1259">
        <x:f t="shared" si="81"/>
        <x:v>2706.6595368359267</x:v>
      </x:c>
      <x:c r="C1259">
        <x:f t="shared" si="82"/>
        <x:v>2531.0671004076148</x:v>
      </x:c>
      <x:c r="D1259">
        <x:f t="shared" si="83"/>
        <x:v>5655.9040450008442</x:v>
      </x:c>
      <x:c r="E1259">
        <x:f t="shared" si="84"/>
        <x:v>5631.6523725758498</x:v>
      </x:c>
    </x:row>
    <x:row r="1260">
      <x:c r="A1260">
        <x:f t="shared" si="80"/>
        <x:v>-0.70799999999999996</x:v>
      </x:c>
      <x:c r="B1260">
        <x:f t="shared" si="81"/>
        <x:v>2705.8693463886002</x:v>
      </x:c>
      <x:c r="C1260">
        <x:f t="shared" si="82"/>
        <x:v>2489.8874815984691</x:v>
      </x:c>
      <x:c r="D1260">
        <x:f t="shared" si="83"/>
        <x:v>5551.8507587493432</x:v>
      </x:c>
      <x:c r="E1260">
        <x:f t="shared" si="84"/>
        <x:v>5527.0886441711264</x:v>
      </x:c>
    </x:row>
    <x:row r="1261">
      <x:c r="A1261">
        <x:f t="shared" si="80"/>
        <x:v>-0.7</x:v>
      </x:c>
      <x:c r="B1261">
        <x:f t="shared" si="81"/>
        <x:v>2705.2770547538398</x:v>
      </x:c>
      <x:c r="C1261">
        <x:f t="shared" si="82"/>
        <x:v>2453.7296576050267</x:v>
      </x:c>
      <x:c r="D1261">
        <x:f t="shared" si="83"/>
        <x:v>5459.9978954557082</x:v>
      </x:c>
      <x:c r="E1261">
        <x:f t="shared" si="84"/>
        <x:v>5434.7983466366604</x:v>
      </x:c>
    </x:row>
    <x:row r="1262">
      <x:c r="A1262">
        <x:f t="shared" si="80"/>
        <x:v>-0.69199999999999995</x:v>
      </x:c>
      <x:c r="B1262">
        <x:f t="shared" si="81"/>
        <x:v>2704.5693253611653</x:v>
      </x:c>
      <x:c r="C1262">
        <x:f t="shared" si="82"/>
        <x:v>2417.9520871285163</x:v>
      </x:c>
      <x:c r="D1262">
        <x:f t="shared" si="83"/>
        <x:v>5368.7858670736305</x:v>
      </x:c>
      <x:c r="E1262">
        <x:f t="shared" si="84"/>
        <x:v>5343.1642028627093</x:v>
      </x:c>
    </x:row>
    <x:row r="1263">
      <x:c r="A1263">
        <x:f t="shared" si="80"/>
        <x:v>-0.68300000000000005</x:v>
      </x:c>
      <x:c r="B1263">
        <x:f t="shared" si="81"/>
        <x:v>2703.6905678073786</x:v>
      </x:c>
      <x:c r="C1263">
        <x:f t="shared" si="82"/>
        <x:v>2377.7187158263891</x:v>
      </x:c>
      <x:c r="D1263">
        <x:f t="shared" si="83"/>
        <x:v>5267.6229939401692</x:v>
      </x:c>
      <x:c r="E1263">
        <x:f t="shared" si="84"/>
        <x:v>5241.5389512381753</x:v>
      </x:c>
    </x:row>
    <x:row r="1264">
      <x:c r="A1264">
        <x:f t="shared" si="80"/>
        <x:v>-0.67500000000000004</x:v>
      </x:c>
      <x:c r="B1264">
        <x:f t="shared" si="81"/>
        <x:v>2702.949725274078</x:v>
      </x:c>
      <x:c r="C1264">
        <x:f t="shared" si="82"/>
        <x:v>2342.2688468973838</x:v>
      </x:c>
      <x:c r="D1264">
        <x:f t="shared" si="83"/>
        <x:v>5178.4098507792496</x:v>
      </x:c>
      <x:c r="E1264">
        <x:f t="shared" si="84"/>
        <x:v>5151.930884437782</x:v>
      </x:c>
    </x:row>
    <x:row r="1265">
      <x:c r="A1265">
        <x:f t="shared" si="80"/>
        <x:v>-0.66700000000000004</x:v>
      </x:c>
      <x:c r="B1265">
        <x:f t="shared" si="81"/>
        <x:v>2702.3426391343892</x:v>
      </x:c>
      <x:c r="C1265">
        <x:f t="shared" si="82"/>
        <x:v>2306.9945829969192</x:v>
      </x:c>
      <x:c r="D1265">
        <x:f t="shared" si="83"/>
        <x:v>5089.8373760297081</x:v>
      </x:c>
      <x:c r="E1265">
        <x:f t="shared" si="84"/>
        <x:v>5062.979131012552</x:v>
      </x:c>
    </x:row>
    <x:row r="1266">
      <x:c r="A1266">
        <x:f t="shared" si="80"/>
        <x:v>-0.65800000000000003</x:v>
      </x:c>
      <x:c r="B1266">
        <x:f t="shared" si="81"/>
        <x:v>2701.587502760221</x:v>
      </x:c>
      <x:c r="C1266">
        <x:f t="shared" si="82"/>
        <x:v>2267.7158327632287</x:v>
      </x:c>
      <x:c r="D1266">
        <x:f t="shared" si="83"/>
        <x:v>4991.7556848343556</x:v>
      </x:c>
      <x:c r="E1266">
        <x:f t="shared" si="84"/>
        <x:v>4964.4815363743965</x:v>
      </x:c>
    </x:row>
    <x:row r="1267">
      <x:c r="A1267">
        <x:f t="shared" si="80"/>
        <x:v>-0.65</x:v>
      </x:c>
      <x:c r="B1267">
        <x:f t="shared" si="81"/>
        <x:v>2700.8810640310994</x:v>
      </x:c>
      <x:c r="C1267">
        <x:f t="shared" si="82"/>
        <x:v>2233.2466648870986</x:v>
      </x:c>
      <x:c r="D1267">
        <x:f t="shared" si="83"/>
        <x:v>4904.9522223155282</x:v>
      </x:c>
      <x:c r="E1267">
        <x:f t="shared" si="84"/>
        <x:v>4877.3281793595488</x:v>
      </x:c>
    </x:row>
    <x:row r="1268">
      <x:c r="A1268">
        <x:f t="shared" si="80"/>
        <x:v>-0.64200000000000002</x:v>
      </x:c>
      <x:c r="B1268">
        <x:f t="shared" si="81"/>
        <x:v>2700.0703913209777</x:v>
      </x:c>
      <x:c r="C1268">
        <x:f t="shared" si="82"/>
        <x:v>2199.1466378667237</x:v>
      </x:c>
      <x:c r="D1268">
        <x:f t="shared" si="83"/>
        <x:v>4819.1911730470674</x:v>
      </x:c>
      <x:c r="E1268">
        <x:f t="shared" si="84"/>
        <x:v>4791.2288130859006</x:v>
      </x:c>
    </x:row>
    <x:row r="1269">
      <x:c r="A1269">
        <x:f t="shared" si="80"/>
        <x:v>-0.63300000000000001</x:v>
      </x:c>
      <x:c r="B1269">
        <x:f t="shared" si="81"/>
        <x:v>2699.2430908261645</x:v>
      </x:c>
      <x:c r="C1269">
        <x:f t="shared" si="82"/>
        <x:v>2160.8515796643778</x:v>
      </x:c>
      <x:c r="D1269">
        <x:f t="shared" si="83"/>
        <x:v>4723.9805013496798</x:v>
      </x:c>
      <x:c r="E1269">
        <x:f t="shared" si="84"/>
        <x:v>4695.6506664601484</x:v>
      </x:c>
    </x:row>
    <x:row r="1270">
      <x:c r="A1270">
        <x:f t="shared" si="80"/>
        <x:v>-0.625</x:v>
      </x:c>
      <x:c r="B1270">
        <x:f t="shared" si="81"/>
        <x:v>2698.4858261088816</x:v>
      </x:c>
      <x:c r="C1270">
        <x:f t="shared" si="82"/>
        <x:v>2126.7530364399495</x:v>
      </x:c>
      <x:c r="D1270">
        <x:f t="shared" si="83"/>
        <x:v>4639.4759832505997</x:v>
      </x:c>
      <x:c r="E1270">
        <x:f t="shared" si="84"/>
        <x:v>4610.8432409878296</x:v>
      </x:c>
    </x:row>
    <x:row r="1271">
      <x:c r="A1271">
        <x:f t="shared" si="80"/>
        <x:v>-0.61699999999999999</x:v>
      </x:c>
      <x:c r="B1271">
        <x:f t="shared" si="81"/>
        <x:v>2697.912683127855</x:v>
      </x:c>
      <x:c r="C1271">
        <x:f t="shared" si="82"/>
        <x:v>2093.1696294265362</x:v>
      </x:c>
      <x:c r="D1271">
        <x:f t="shared" si="83"/>
        <x:v>4556.6085833356701</x:v>
      </x:c>
      <x:c r="E1271">
        <x:f t="shared" si="84"/>
        <x:v>4527.6766627690777</x:v>
      </x:c>
    </x:row>
    <x:row r="1272">
      <x:c r="A1272">
        <x:f t="shared" si="80"/>
        <x:v>-0.60799999999999998</x:v>
      </x:c>
      <x:c r="B1272">
        <x:f t="shared" si="81"/>
        <x:v>2697.0681163678028</x:v>
      </x:c>
      <x:c r="C1272">
        <x:f t="shared" si="82"/>
        <x:v>2056.0497159682136</x:v>
      </x:c>
      <x:c r="D1272">
        <x:f t="shared" si="83"/>
        <x:v>4463.7842600742597</x:v>
      </x:c>
      <x:c r="E1272">
        <x:f t="shared" si="84"/>
        <x:v>4434.5397505577357</x:v>
      </x:c>
    </x:row>
    <x:row r="1273">
      <x:c r="A1273">
        <x:f t="shared" si="80"/>
        <x:v>-0.6</x:v>
      </x:c>
      <x:c r="B1273">
        <x:f t="shared" si="81"/>
        <x:v>2696.3049663672955</x:v>
      </x:c>
      <x:c r="C1273">
        <x:f t="shared" si="82"/>
        <x:v>2023.202170567554</x:v>
      </x:c>
      <x:c r="D1273">
        <x:f t="shared" si="83"/>
        <x:v>4382.1612160771374</x:v>
      </x:c>
      <x:c r="E1273">
        <x:f t="shared" si="84"/>
        <x:v>4352.6534696058097</x:v>
      </x:c>
    </x:row>
    <x:row r="1274">
      <x:c r="A1274">
        <x:f t="shared" si="80"/>
        <x:v>-0.59199999999999997</x:v>
      </x:c>
      <x:c r="B1274">
        <x:f t="shared" si="81"/>
        <x:v>2695.6592976495863</x:v>
      </x:c>
      <x:c r="C1274">
        <x:f t="shared" si="82"/>
        <x:v>1990.4033581092428</x:v>
      </x:c>
      <x:c r="D1274">
        <x:f t="shared" si="83"/>
        <x:v>4301.6858681205158</x:v>
      </x:c>
      <x:c r="E1274">
        <x:f t="shared" si="84"/>
        <x:v>4271.9238735944728</x:v>
      </x:c>
    </x:row>
    <x:row r="1275">
      <x:c r="A1275">
        <x:f t="shared" si="80"/>
        <x:v>-0.58299999999999996</x:v>
      </x:c>
      <x:c r="B1275">
        <x:f t="shared" si="81"/>
        <x:v>2694.8999569640541</x:v>
      </x:c>
      <x:c r="C1275">
        <x:f t="shared" si="82"/>
        <x:v>1953.6477907064188</x:v>
      </x:c>
      <x:c r="D1275">
        <x:f t="shared" si="83"/>
        <x:v>4211.6044697693824</x:v>
      </x:c>
      <x:c r="E1275">
        <x:f t="shared" si="84"/>
        <x:v>4181.5807170764128</x:v>
      </x:c>
    </x:row>
    <x:row r="1276">
      <x:c r="A1276">
        <x:f t="shared" si="80"/>
        <x:v>-0.57499999999999996</x:v>
      </x:c>
      <x:c r="B1276">
        <x:f t="shared" si="81"/>
        <x:v>2694.1431538106372</x:v>
      </x:c>
      <x:c r="C1276">
        <x:f t="shared" si="82"/>
        <x:v>1921.275488770779</x:v>
      </x:c>
      <x:c r="D1276">
        <x:f t="shared" si="83"/>
        <x:v>4132.6729700126252</x:v>
      </x:c>
      <x:c r="E1276">
        <x:f t="shared" si="84"/>
        <x:v>4102.4268767595477</x:v>
      </x:c>
    </x:row>
    <x:row r="1277">
      <x:c r="A1277">
        <x:f t="shared" si="80"/>
        <x:v>-0.56699999999999995</x:v>
      </x:c>
      <x:c r="B1277">
        <x:f t="shared" si="81"/>
        <x:v>2693.5887701095885</x:v>
      </x:c>
      <x:c r="C1277">
        <x:f t="shared" si="82"/>
        <x:v>1889.3707989649024</x:v>
      </x:c>
      <x:c r="D1277">
        <x:f t="shared" si="83"/>
        <x:v>4054.6161492634942</x:v>
      </x:c>
      <x:c r="E1277">
        <x:f t="shared" si="84"/>
        <x:v>4024.1601603091813</x:v>
      </x:c>
    </x:row>
    <x:row r="1278">
      <x:c r="A1278">
        <x:f t="shared" si="80"/>
        <x:v>-0.55800000000000005</x:v>
      </x:c>
      <x:c r="B1278">
        <x:f t="shared" si="81"/>
        <x:v>2692.7579631655858</x:v>
      </x:c>
      <x:c r="C1278">
        <x:f t="shared" si="82"/>
        <x:v>1853.9523697485693</x:v>
      </x:c>
      <x:c r="D1278">
        <x:f t="shared" si="83"/>
        <x:v>3967.3646091084047</x:v>
      </x:c>
      <x:c r="E1278">
        <x:f t="shared" si="84"/>
        <x:v>3936.6957000760913</x:v>
      </x:c>
    </x:row>
    <x:row r="1279">
      <x:c r="A1279">
        <x:f t="shared" si="80"/>
        <x:v>-0.55000000000000004</x:v>
      </x:c>
      <x:c r="B1279">
        <x:f t="shared" si="81"/>
        <x:v>2692.1746655892334</x:v>
      </x:c>
      <x:c r="C1279">
        <x:f t="shared" si="82"/>
        <x:v>1822.521136552667</x:v>
      </x:c>
      <x:c r="D1279">
        <x:f t="shared" si="83"/>
        <x:v>3890.8212117810226</x:v>
      </x:c>
      <x:c r="E1279">
        <x:f t="shared" si="84"/>
        <x:v>3859.9747157263751</x:v>
      </x:c>
    </x:row>
    <x:row r="1280">
      <x:c r="A1280">
        <x:f t="shared" si="80"/>
        <x:v>-0.54200000000000004</x:v>
      </x:c>
      <x:c r="B1280">
        <x:f t="shared" si="81"/>
        <x:v>2691.668504525569</x:v>
      </x:c>
      <x:c r="C1280">
        <x:f t="shared" si="82"/>
        <x:v>1791.0443942278735</x:v>
      </x:c>
      <x:c r="D1280">
        <x:f t="shared" si="83"/>
        <x:v>3815.2605376380343</x:v>
      </x:c>
      <x:c r="E1280">
        <x:f t="shared" si="84"/>
        <x:v>3784.2463249330663</x:v>
      </x:c>
    </x:row>
    <x:row r="1281">
      <x:c r="A1281">
        <x:f t="shared" si="80"/>
        <x:v>-0.53300000000000003</x:v>
      </x:c>
      <x:c r="B1281">
        <x:f t="shared" si="81"/>
        <x:v>2690.9024159206665</x:v>
      </x:c>
      <x:c r="C1281">
        <x:f t="shared" si="82"/>
        <x:v>1756.0232098844801</x:v>
      </x:c>
      <x:c r="D1281">
        <x:f t="shared" si="83"/>
        <x:v>3730.4741694394993</x:v>
      </x:c>
      <x:c r="E1281">
        <x:f t="shared" si="84"/>
        <x:v>3699.30191597568</x:v>
      </x:c>
    </x:row>
    <x:row r="1282">
      <x:c r="A1282">
        <x:f t="shared" si="80"/>
        <x:v>-0.52500000000000002</x:v>
      </x:c>
      <x:c r="B1282">
        <x:f t="shared" si="81"/>
        <x:v>2690.3688239418552</x:v>
      </x:c>
      <x:c r="C1282">
        <x:f t="shared" si="82"/>
        <x:v>1725.3056164649161</x:v>
      </x:c>
      <x:c r="D1282">
        <x:f t="shared" si="83"/>
        <x:v>3656.6573503957438</x:v>
      </x:c>
      <x:c r="E1282">
        <x:f t="shared" si="84"/>
        <x:v>3625.3443038047226</x:v>
      </x:c>
    </x:row>
    <x:row r="1283">
      <x:c r="A1283">
        <x:f t="shared" si="80"/>
        <x:v>-0.51700000000000002</x:v>
      </x:c>
      <x:c r="B1283">
        <x:f t="shared" si="81"/>
        <x:v>2689.8799811873109</x:v>
      </x:c>
      <x:c r="C1283">
        <x:f t="shared" si="82"/>
        <x:v>1694.9715481778403</x:v>
      </x:c>
      <x:c r="D1283">
        <x:f t="shared" si="83"/>
        <x:v>3583.0250741165628</x:v>
      </x:c>
      <x:c r="E1283">
        <x:f t="shared" si="84"/>
        <x:v>3551.5973602312506</x:v>
      </x:c>
    </x:row>
    <x:row r="1284">
      <x:c r="A1284">
        <x:f t="shared" si="80"/>
        <x:v>-0.50800000000000001</x:v>
      </x:c>
      <x:c r="B1284">
        <x:f t="shared" si="81"/>
        <x:v>2689.3682686667476</x:v>
      </x:c>
      <x:c r="C1284">
        <x:f t="shared" si="82"/>
        <x:v>1660.9821859294339</x:v>
      </x:c>
      <x:c r="D1284">
        <x:f t="shared" si="83"/>
        <x:v>3501.2289891404321</x:v>
      </x:c>
      <x:c r="E1284">
        <x:f t="shared" si="84"/>
        <x:v>3469.686028659542</x:v>
      </x:c>
    </x:row>
    <x:row r="1285">
      <x:c r="A1285">
        <x:f t="shared" si="80"/>
        <x:v>-0.5</x:v>
      </x:c>
      <x:c r="B1285">
        <x:f t="shared" si="81"/>
        <x:v>2688.8491812316879</x:v>
      </x:c>
      <x:c r="C1285">
        <x:f t="shared" si="82"/>
        <x:v>1630.7962996352992</x:v>
      </x:c>
      <x:c r="D1285">
        <x:f t="shared" si="83"/>
        <x:v>3429.6338635999455</x:v>
      </x:c>
      <x:c r="E1285">
        <x:f t="shared" si="84"/>
        <x:v>3397.9954704146958</x:v>
      </x:c>
    </x:row>
    <x:row r="1286">
      <x:c r="A1286">
        <x:f t="shared" si="80"/>
        <x:v>-0.49199999999999999</x:v>
      </x:c>
      <x:c r="B1286">
        <x:f t="shared" si="81"/>
        <x:v>2688.4185300402251</x:v>
      </x:c>
      <x:c r="C1286">
        <x:f t="shared" si="82"/>
        <x:v>1600.8913289068564</x:v>
      </x:c>
      <x:c r="D1286">
        <x:f t="shared" si="83"/>
        <x:v>3358.2164161547216</x:v>
      </x:c>
      <x:c r="E1286">
        <x:f t="shared" si="84"/>
        <x:v>3326.5102905939862</x:v>
      </x:c>
    </x:row>
    <x:row r="1287">
      <x:c r="A1287">
        <x:f t="shared" si="80"/>
        <x:v>-0.48299999999999998</x:v>
      </x:c>
      <x:c r="B1287">
        <x:f t="shared" si="81"/>
        <x:v>2687.9354849524943</x:v>
      </x:c>
      <x:c r="C1287">
        <x:f t="shared" si="82"/>
        <x:v>1567.6371166506372</x:v>
      </x:c>
      <x:c r="D1287">
        <x:f t="shared" si="83"/>
        <x:v>3279.3795744452109</x:v>
      </x:c>
      <x:c r="E1287">
        <x:f t="shared" si="84"/>
        <x:v>3247.5974715741572</x:v>
      </x:c>
    </x:row>
    <x:row r="1288">
      <x:c r="A1288">
        <x:f t="shared" si="80"/>
        <x:v>-0.47499999999999998</x:v>
      </x:c>
      <x:c r="B1288">
        <x:f t="shared" si="81"/>
        <x:v>2687.4656545086355</x:v>
      </x:c>
      <x:c r="C1288">
        <x:f t="shared" si="82"/>
        <x:v>1538.2795008459386</x:v>
      </x:c>
      <x:c r="D1288">
        <x:f t="shared" si="83"/>
        <x:v>3209.8191909006891</x:v>
      </x:c>
      <x:c r="E1288">
        <x:f t="shared" si="84"/>
        <x:v>3177.9906184151841</x:v>
      </x:c>
    </x:row>
    <x:row r="1289">
      <x:c r="A1289" t="n">
        <x:f t="shared" ref="A1289:A1352" si="85">I66</x:f>
        <x:v>-0.467</x:v>
      </x:c>
      <x:c r="B1289" t="n">
        <x:f t="shared" ref="B1289:B1352" si="86">AQ66</x:f>
        <x:v>2686.9865062165222</x:v>
      </x:c>
      <x:c r="C1289" t="n">
        <x:f t="shared" ref="C1289:C1352" si="87">AS66</x:f>
        <x:v>1509.2748460225423</x:v>
      </x:c>
      <x:c r="D1289" t="n">
        <x:f t="shared" ref="D1289:D1352" si="88">AU66</x:f>
        <x:v>3140.868117715043</x:v>
      </x:c>
      <x:c r="E1289" t="n">
        <x:f t="shared" ref="E1289:E1352" si="89">AW66</x:f>
        <x:v>3109.009887937512</x:v>
      </x:c>
    </x:row>
    <x:row r="1290">
      <x:c r="A1290">
        <x:f t="shared" si="85"/>
        <x:v>-0.45800000000000002</x:v>
      </x:c>
      <x:c r="B1290">
        <x:f t="shared" si="86"/>
        <x:v>2686.5763667331762</x:v>
      </x:c>
      <x:c r="C1290">
        <x:f t="shared" si="87"/>
        <x:v>1477.0077782495264</x:v>
      </x:c>
      <x:c r="D1290">
        <x:f t="shared" si="88"/>
        <x:v>3064.4631201672241</x:v>
      </x:c>
      <x:c r="E1290">
        <x:f t="shared" si="89"/>
        <x:v>3032.5783074211417</x:v>
      </x:c>
    </x:row>
    <x:row r="1291">
      <x:c r="A1291">
        <x:f t="shared" si="85"/>
        <x:v>-0.45</x:v>
      </x:c>
      <x:c r="B1291">
        <x:f t="shared" si="86"/>
        <x:v>2686.1230281089606</x:v>
      </x:c>
      <x:c r="C1291">
        <x:f t="shared" si="87"/>
        <x:v>1448.2038804819972</x:v>
      </x:c>
      <x:c r="D1291">
        <x:f t="shared" si="88"/>
        <x:v>2997.1693225152612</x:v>
      </x:c>
      <x:c r="E1291">
        <x:f t="shared" si="89"/>
        <x:v>2965.2787082449991</x:v>
      </x:c>
    </x:row>
    <x:row r="1292">
      <x:c r="A1292">
        <x:f t="shared" si="85"/>
        <x:v>-0.442</x:v>
      </x:c>
      <x:c r="B1292">
        <x:f t="shared" si="86"/>
        <x:v>2685.7641048695896</x:v>
      </x:c>
      <x:c r="C1292">
        <x:f t="shared" si="87"/>
        <x:v>1419.5639331716729</x:v>
      </x:c>
      <x:c r="D1292">
        <x:f t="shared" si="88"/>
        <x:v>2930.2908632621511</x:v>
      </x:c>
      <x:c r="E1292">
        <x:f t="shared" si="89"/>
        <x:v>2898.4170708379361</x:v>
      </x:c>
    </x:row>
    <x:row r="1293">
      <x:c r="A1293">
        <x:f t="shared" si="85"/>
        <x:v>-0.433</x:v>
      </x:c>
      <x:c r="B1293">
        <x:f t="shared" si="86"/>
        <x:v>2685.2667592520247</x:v>
      </x:c>
      <x:c r="C1293">
        <x:f t="shared" si="87"/>
        <x:v>1387.9562667314381</x:v>
      </x:c>
      <x:c r="D1293">
        <x:f t="shared" si="88"/>
        <x:v>2856.4586636516369</x:v>
      </x:c>
      <x:c r="E1293">
        <x:f t="shared" si="89"/>
        <x:v>2824.5997932549617</x:v>
      </x:c>
    </x:row>
    <x:row r="1294">
      <x:c r="A1294">
        <x:f t="shared" si="85"/>
        <x:v>-0.42499999999999999</x:v>
      </x:c>
      <x:c r="B1294">
        <x:f t="shared" si="86"/>
        <x:v>2684.8382682822116</x:v>
      </x:c>
      <x:c r="C1294">
        <x:f t="shared" si="87"/>
        <x:v>1360.1592081481224</x:v>
      </x:c>
      <x:c r="D1294">
        <x:f t="shared" si="88"/>
        <x:v>2791.0833339882856</x:v>
      </x:c>
      <x:c r="E1294">
        <x:f t="shared" si="89"/>
        <x:v>2759.2679936296245</x:v>
      </x:c>
    </x:row>
    <x:row r="1295">
      <x:c r="A1295">
        <x:f t="shared" si="85"/>
        <x:v>-0.41699999999999998</x:v>
      </x:c>
      <x:c r="B1295">
        <x:f t="shared" si="86"/>
        <x:v>2684.3442588116868</x:v>
      </x:c>
      <x:c r="C1295">
        <x:f t="shared" si="87"/>
        <x:v>1332.4930771425575</x:v>
      </x:c>
      <x:c r="D1295">
        <x:f t="shared" si="88"/>
        <x:v>2726.5981963853515</x:v>
      </x:c>
      <x:c r="E1295">
        <x:f t="shared" si="89"/>
        <x:v>2694.8315049743364</x:v>
      </x:c>
    </x:row>
    <x:row r="1296">
      <x:c r="A1296">
        <x:f t="shared" si="85"/>
        <x:v>-0.40799999999999997</x:v>
      </x:c>
      <x:c r="B1296">
        <x:f t="shared" si="86"/>
        <x:v>2684.0091118985915</x:v>
      </x:c>
      <x:c r="C1296">
        <x:f t="shared" si="87"/>
        <x:v>1301.4430776136699</x:v>
      </x:c>
      <x:c r="D1296">
        <x:f t="shared" si="88"/>
        <x:v>2655.1337085230689</x:v>
      </x:c>
      <x:c r="E1296">
        <x:f t="shared" si="89"/>
        <x:v>2623.425230126642</x:v>
      </x:c>
    </x:row>
    <x:row r="1297">
      <x:c r="A1297">
        <x:f t="shared" si="85"/>
        <x:v>-0.4</x:v>
      </x:c>
      <x:c r="B1297">
        <x:f t="shared" si="86"/>
        <x:v>2683.537186227637</x:v>
      </x:c>
      <x:c r="C1297">
        <x:f t="shared" si="87"/>
        <x:v>1274.0147754263153</x:v>
      </x:c>
      <x:c r="D1297">
        <x:f t="shared" si="88"/>
        <x:v>2591.7076432416902</x:v>
      </x:c>
      <x:c r="E1297">
        <x:f t="shared" si="89"/>
        <x:v>2560.0884884495222</x:v>
      </x:c>
    </x:row>
    <x:row r="1298">
      <x:c r="A1298">
        <x:f t="shared" si="85"/>
        <x:v>-0.39200000000000002</x:v>
      </x:c>
      <x:c r="B1298">
        <x:f t="shared" si="86"/>
        <x:v>2682.9593998812611</x:v>
      </x:c>
      <x:c r="C1298">
        <x:f t="shared" si="87"/>
        <x:v>1246.7289435174778</x:v>
      </x:c>
      <x:c r="D1298">
        <x:f t="shared" si="88"/>
        <x:v>2529.6567125397137</x:v>
      </x:c>
      <x:c r="E1298">
        <x:f t="shared" si="89"/>
        <x:v>2498.1082649566547</x:v>
      </x:c>
    </x:row>
    <x:row r="1299">
      <x:c r="A1299">
        <x:f t="shared" si="85"/>
        <x:v>-0.38300000000000001</x:v>
      </x:c>
      <x:c r="B1299">
        <x:f t="shared" si="86"/>
        <x:v>2682.5936759748174</x:v>
      </x:c>
      <x:c r="C1299">
        <x:f t="shared" si="87"/>
        <x:v>1216.5900679551614</x:v>
      </x:c>
      <x:c r="D1299">
        <x:f t="shared" si="88"/>
        <x:v>2460.1080312741733</x:v>
      </x:c>
      <x:c r="E1299">
        <x:f t="shared" si="89"/>
        <x:v>2428.6751332041599</x:v>
      </x:c>
    </x:row>
    <x:row r="1300">
      <x:c r="A1300">
        <x:f t="shared" si="85"/>
        <x:v>-0.375</x:v>
      </x:c>
      <x:c r="B1300">
        <x:f t="shared" si="86"/>
        <x:v>2682.1747296808348</x:v>
      </x:c>
      <x:c r="C1300">
        <x:f t="shared" si="87"/>
        <x:v>1190.1745889310876</x:v>
      </x:c>
      <x:c r="D1300">
        <x:f t="shared" si="88"/>
        <x:v>2399.0378578441891</x:v>
      </x:c>
      <x:c r="E1300">
        <x:f t="shared" si="89"/>
        <x:v>2367.7165122313922</x:v>
      </x:c>
    </x:row>
    <x:row r="1301">
      <x:c r="A1301">
        <x:f t="shared" si="85"/>
        <x:v>-0.36699999999999999</x:v>
      </x:c>
      <x:c r="B1301">
        <x:f t="shared" si="86"/>
        <x:v>2681.633377970777</x:v>
      </x:c>
      <x:c r="C1301">
        <x:f t="shared" si="87"/>
        <x:v>1163.6467818706994</x:v>
      </x:c>
      <x:c r="D1301">
        <x:f t="shared" si="88"/>
        <x:v>2338.8485456735179</x:v>
      </x:c>
      <x:c r="E1301">
        <x:f t="shared" si="89"/>
        <x:v>2307.6370328025259</x:v>
      </x:c>
    </x:row>
    <x:row r="1302">
      <x:c r="A1302">
        <x:f t="shared" si="85"/>
        <x:v>-0.35799999999999998</x:v>
      </x:c>
      <x:c r="B1302">
        <x:f t="shared" si="86"/>
        <x:v>2681.0742778958761</x:v>
      </x:c>
      <x:c r="C1302">
        <x:f t="shared" si="87"/>
        <x:v>1133.8107705131229</x:v>
      </x:c>
      <x:c r="D1302">
        <x:f t="shared" si="88"/>
        <x:v>2271.4757396841865</x:v>
      </x:c>
      <x:c r="E1302">
        <x:f t="shared" si="89"/>
        <x:v>2240.4205489602696</x:v>
      </x:c>
    </x:row>
    <x:row r="1303">
      <x:c r="A1303">
        <x:f t="shared" si="85"/>
        <x:v>-0.35</x:v>
      </x:c>
      <x:c r="B1303">
        <x:f t="shared" si="86"/>
        <x:v>2680.8050317196712</x:v>
      </x:c>
      <x:c r="C1303">
        <x:f t="shared" si="87"/>
        <x:v>1107.6634767328169</x:v>
      </x:c>
      <x:c r="D1303">
        <x:f t="shared" si="88"/>
        <x:v>2212.418081073065</x:v>
      </x:c>
      <x:c r="E1303">
        <x:f t="shared" si="89"/>
        <x:v>2181.5032877091103</x:v>
      </x:c>
    </x:row>
    <x:row r="1304">
      <x:c r="A1304">
        <x:f t="shared" si="85"/>
        <x:v>-0.34200000000000003</x:v>
      </x:c>
      <x:c r="B1304">
        <x:f t="shared" si="86"/>
        <x:v>2680.3072133612891</x:v>
      </x:c>
      <x:c r="C1304">
        <x:f t="shared" si="87"/>
        <x:v>1081.9289025291496</x:v>
      </x:c>
      <x:c r="D1304">
        <x:f t="shared" si="88"/>
        <x:v>2154.0690645390168</x:v>
      </x:c>
      <x:c r="E1304">
        <x:f t="shared" si="89"/>
        <x:v>2123.2979627605791</x:v>
      </x:c>
    </x:row>
    <x:row r="1305">
      <x:c r="A1305">
        <x:f t="shared" si="85"/>
        <x:v>-0.33300000000000002</x:v>
      </x:c>
      <x:c r="B1305">
        <x:f t="shared" si="86"/>
        <x:v>2679.9104357341862</x:v>
      </x:c>
      <x:c r="C1305">
        <x:f t="shared" si="87"/>
        <x:v>1053.2379157384207</x:v>
      </x:c>
      <x:c r="D1305">
        <x:f t="shared" si="88"/>
        <x:v>2088.8534893517472</x:v>
      </x:c>
      <x:c r="E1305">
        <x:f t="shared" si="89"/>
        <x:v>2058.2713726578759</x:v>
      </x:c>
    </x:row>
    <x:row r="1306">
      <x:c r="A1306">
        <x:f t="shared" si="85"/>
        <x:v>-0.32500000000000001</x:v>
      </x:c>
      <x:c r="B1306">
        <x:f t="shared" si="86"/>
        <x:v>2679.4176164876385</x:v>
      </x:c>
      <x:c r="C1306">
        <x:f t="shared" si="87"/>
        <x:v>1027.767895171937</x:v>
      </x:c>
      <x:c r="D1306">
        <x:f t="shared" si="88"/>
        <x:v>2031.6981626888248</x:v>
      </x:c>
      <x:c r="E1306">
        <x:f t="shared" si="89"/>
        <x:v>2001.2814752782569</x:v>
      </x:c>
    </x:row>
    <x:row r="1307">
      <x:c r="A1307">
        <x:f t="shared" si="85"/>
        <x:v>-0.317</x:v>
      </x:c>
      <x:c r="B1307">
        <x:f t="shared" si="86"/>
        <x:v>2679.1011383607356</x:v>
      </x:c>
      <x:c r="C1307">
        <x:f t="shared" si="87"/>
        <x:v>1002.3635175983735</x:v>
      </x:c>
      <x:c r="D1307">
        <x:f t="shared" si="88"/>
        <x:v>1975.2592929672044</x:v>
      </x:c>
      <x:c r="E1307">
        <x:f t="shared" si="89"/>
        <x:v>1945.0061543286497</x:v>
      </x:c>
    </x:row>
    <x:row r="1308">
      <x:c r="A1308">
        <x:f t="shared" si="85"/>
        <x:v>-0.308</x:v>
      </x:c>
      <x:c r="B1308">
        <x:f t="shared" si="86"/>
        <x:v>2678.620330554761</x:v>
      </x:c>
      <x:c r="C1308">
        <x:f t="shared" si="87"/>
        <x:v>974.1534456502709</x:v>
      </x:c>
      <x:c r="D1308">
        <x:f t="shared" si="88"/>
        <x:v>1911.982365755576</x:v>
      </x:c>
      <x:c r="E1308">
        <x:f t="shared" si="89"/>
        <x:v>1881.9527809601716</x:v>
      </x:c>
    </x:row>
    <x:row r="1309">
      <x:c r="A1309">
        <x:f t="shared" si="85"/>
        <x:v>-0.3</x:v>
      </x:c>
      <x:c r="B1309">
        <x:f t="shared" si="86"/>
        <x:v>2678.2274086948387</x:v>
      </x:c>
      <x:c r="C1309">
        <x:f t="shared" si="87"/>
        <x:v>949.34392635173151</x:v>
      </x:c>
      <x:c r="D1309">
        <x:f t="shared" si="88"/>
        <x:v>1856.953435568455</x:v>
      </x:c>
      <x:c r="E1309">
        <x:f t="shared" si="89"/>
        <x:v>1827.0848976277341</x:v>
      </x:c>
    </x:row>
    <x:row r="1310">
      <x:c r="A1310">
        <x:f t="shared" si="85"/>
        <x:v>-0.29199999999999998</x:v>
      </x:c>
      <x:c r="B1310">
        <x:f t="shared" si="86"/>
        <x:v>2677.9011023671369</x:v>
      </x:c>
      <x:c r="C1310">
        <x:f t="shared" si="87"/>
        <x:v>924.78663030799089</x:v>
      </x:c>
      <x:c r="D1310">
        <x:f t="shared" si="88"/>
        <x:v>1801.9356748527755</x:v>
      </x:c>
      <x:c r="E1310">
        <x:f t="shared" si="89"/>
        <x:v>1772.2724325966283</x:v>
      </x:c>
    </x:row>
    <x:row r="1311">
      <x:c r="A1311">
        <x:f t="shared" si="85"/>
        <x:v>-0.28299999999999997</x:v>
      </x:c>
      <x:c r="B1311">
        <x:f t="shared" si="86"/>
        <x:v>2677.5923280337583</x:v>
      </x:c>
      <x:c r="C1311">
        <x:f t="shared" si="87"/>
        <x:v>897.50242392505288</x:v>
      </x:c>
      <x:c r="D1311">
        <x:f t="shared" si="88"/>
        <x:v>1740.8922865861819</x:v>
      </x:c>
      <x:c r="E1311">
        <x:f t="shared" si="89"/>
        <x:v>1711.4500227839458</x:v>
      </x:c>
    </x:row>
    <x:row r="1312">
      <x:c r="A1312">
        <x:f t="shared" si="85"/>
        <x:v>-0.27500000000000002</x:v>
      </x:c>
      <x:c r="B1312">
        <x:f t="shared" si="86"/>
        <x:v>2677.3368515879529</x:v>
      </x:c>
      <x:c r="C1312">
        <x:f t="shared" si="87"/>
        <x:v>873.27080004631364</x:v>
      </x:c>
      <x:c r="D1312">
        <x:f t="shared" si="88"/>
        <x:v>1687.4158648553757</x:v>
      </x:c>
      <x:c r="E1312">
        <x:f t="shared" si="89"/>
        <x:v>1658.1549567841441</x:v>
      </x:c>
    </x:row>
    <x:row r="1313">
      <x:c r="A1313">
        <x:f t="shared" si="85"/>
        <x:v>-0.26700000000000002</x:v>
      </x:c>
      <x:c r="B1313">
        <x:f t="shared" si="86"/>
        <x:v>2676.8935781249206</x:v>
      </x:c>
      <x:c r="C1313">
        <x:f t="shared" si="87"/>
        <x:v>849.12984187462246</x:v>
      </x:c>
      <x:c r="D1313">
        <x:f t="shared" si="88"/>
        <x:v>1633.9682240085044</x:v>
      </x:c>
      <x:c r="E1313">
        <x:f t="shared" si="89"/>
        <x:v>1604.9328537633521</x:v>
      </x:c>
    </x:row>
    <x:row r="1314">
      <x:c r="A1314">
        <x:f t="shared" si="85"/>
        <x:v>-0.25800000000000001</x:v>
      </x:c>
      <x:c r="B1314">
        <x:f t="shared" si="86"/>
        <x:v>2676.6826725277347</x:v>
      </x:c>
      <x:c r="C1314">
        <x:f t="shared" si="87"/>
        <x:v>822.34501602136879</x:v>
      </x:c>
      <x:c r="D1314">
        <x:f t="shared" si="88"/>
        <x:v>1574.9472856715226</x:v>
      </x:c>
      <x:c r="E1314">
        <x:f t="shared" si="89"/>
        <x:v>1546.1235434612527</x:v>
      </x:c>
    </x:row>
    <x:row r="1315">
      <x:c r="A1315">
        <x:f t="shared" si="85"/>
        <x:v>-0.25</x:v>
      </x:c>
      <x:c r="B1315">
        <x:f t="shared" si="86"/>
        <x:v>2676.2980549112249</x:v>
      </x:c>
      <x:c r="C1315">
        <x:f t="shared" si="87"/>
        <x:v>798.90009501225063</x:v>
      </x:c>
      <x:c r="D1315">
        <x:f t="shared" si="88"/>
        <x:v>1522.8401884505734</x:v>
      </x:c>
      <x:c r="E1315">
        <x:f t="shared" si="89"/>
        <x:v>1494.2203317731464</x:v>
      </x:c>
    </x:row>
    <x:row r="1316">
      <x:c r="A1316">
        <x:f t="shared" si="85"/>
        <x:v>-0.24199999999999999</x:v>
      </x:c>
      <x:c r="B1316">
        <x:f t="shared" si="86"/>
        <x:v>2676.0772755395565</x:v>
      </x:c>
      <x:c r="C1316">
        <x:f t="shared" si="87"/>
        <x:v>775.77566578672599</x:v>
      </x:c>
      <x:c r="D1316">
        <x:f t="shared" si="88"/>
        <x:v>1471.2359482529555</x:v>
      </x:c>
      <x:c r="E1316">
        <x:f t="shared" si="89"/>
        <x:v>1442.8176951311209</x:v>
      </x:c>
    </x:row>
    <x:row r="1317">
      <x:c r="A1317">
        <x:f t="shared" si="85"/>
        <x:v>-0.23300000000000001</x:v>
      </x:c>
      <x:c r="B1317">
        <x:f t="shared" si="86"/>
        <x:v>2675.7482372623963</x:v>
      </x:c>
      <x:c r="C1317">
        <x:f t="shared" si="87"/>
        <x:v>749.72198990354002</x:v>
      </x:c>
      <x:c r="D1317">
        <x:f t="shared" si="88"/>
        <x:v>1413.9478129220597</x:v>
      </x:c>
      <x:c r="E1317">
        <x:f t="shared" si="89"/>
        <x:v>1385.7328673887378</x:v>
      </x:c>
    </x:row>
    <x:row r="1318">
      <x:c r="A1318">
        <x:f t="shared" si="85"/>
        <x:v>-0.22500000000000001</x:v>
      </x:c>
      <x:c r="B1318">
        <x:f t="shared" si="86"/>
        <x:v>2675.5210025946371</x:v>
      </x:c>
      <x:c r="C1318">
        <x:f t="shared" si="87"/>
        <x:v>726.84076843162893</x:v>
      </x:c>
      <x:c r="D1318">
        <x:f t="shared" si="88"/>
        <x:v>1363.4686402752654</x:v>
      </x:c>
      <x:c r="E1318">
        <x:f t="shared" si="89"/>
        <x:v>1335.4348399634109</x:v>
      </x:c>
    </x:row>
    <x:row r="1319">
      <x:c r="A1319">
        <x:f t="shared" si="85"/>
        <x:v>-0.217</x:v>
      </x:c>
      <x:c r="B1319">
        <x:f t="shared" si="86"/>
        <x:v>2675.2435096732338</x:v>
      </x:c>
      <x:c r="C1319">
        <x:f t="shared" si="87"/>
        <x:v>704.11343477229673</x:v>
      </x:c>
      <x:c r="D1319">
        <x:f t="shared" si="88"/>
        <x:v>1313.3523256405263</x:v>
      </x:c>
      <x:c r="E1319">
        <x:f t="shared" si="89"/>
        <x:v>1285.5045115158039</x:v>
      </x:c>
    </x:row>
    <x:row r="1320">
      <x:c r="A1320">
        <x:f t="shared" si="85"/>
        <x:v>-0.20799999999999999</x:v>
      </x:c>
      <x:c r="B1320">
        <x:f t="shared" si="86"/>
        <x:v>2674.8308245474545</x:v>
      </x:c>
      <x:c r="C1320">
        <x:f t="shared" si="87"/>
        <x:v>678.77072367215521</x:v>
      </x:c>
      <x:c r="D1320">
        <x:f t="shared" si="88"/>
        <x:v>1257.9527051449093</x:v>
      </x:c>
      <x:c r="E1320">
        <x:f t="shared" si="89"/>
        <x:v>1230.2512960142781</x:v>
      </x:c>
    </x:row>
    <x:row r="1321">
      <x:c r="A1321">
        <x:f t="shared" si="85"/>
        <x:v>-0.2</x:v>
      </x:c>
      <x:c r="B1321">
        <x:f t="shared" si="86"/>
        <x:v>2674.7105794245053</x:v>
      </x:c>
      <x:c r="C1321">
        <x:f t="shared" si="87"/>
        <x:v>656.77019713308391</x:v>
      </x:c>
      <x:c r="D1321">
        <x:f t="shared" si="88"/>
        <x:v>1208.8837969605011</x:v>
      </x:c>
      <x:c r="E1321">
        <x:f t="shared" si="89"/>
        <x:v>1181.3360267787766</x:v>
      </x:c>
    </x:row>
    <x:row r="1322">
      <x:c r="A1322">
        <x:f t="shared" si="85"/>
        <x:v>-0.192</x:v>
      </x:c>
      <x:c r="B1322">
        <x:f t="shared" si="86"/>
        <x:v>2674.359012410629</x:v>
      </x:c>
      <x:c r="C1322">
        <x:f t="shared" si="87"/>
        <x:v>635.15479923340808</x:v>
      </x:c>
      <x:c r="D1322">
        <x:f t="shared" si="88"/>
        <x:v>1160.3541102258998</x:v>
      </x:c>
      <x:c r="E1322">
        <x:f t="shared" si="89"/>
        <x:v>1132.9336684812708</x:v>
      </x:c>
    </x:row>
    <x:row r="1323">
      <x:c r="A1323">
        <x:f t="shared" si="85"/>
        <x:v>-0.183</x:v>
      </x:c>
      <x:c r="B1323">
        <x:f t="shared" si="86"/>
        <x:v>2674.1900165683978</x:v>
      </x:c>
      <x:c r="C1323">
        <x:f t="shared" si="87"/>
        <x:v>610.85101130020757</x:v>
      </x:c>
      <x:c r="D1323">
        <x:f t="shared" si="88"/>
        <x:v>1106.5635226541449</x:v>
      </x:c>
      <x:c r="E1323">
        <x:f t="shared" si="89"/>
        <x:v>1079.2262262421423</x:v>
      </x:c>
    </x:row>
    <x:row r="1324">
      <x:c r="A1324">
        <x:f t="shared" si="85"/>
        <x:v>-0.17499999999999999</x:v>
      </x:c>
      <x:c r="B1324">
        <x:f t="shared" si="86"/>
        <x:v>2673.894654942711</x:v>
      </x:c>
      <x:c r="C1324">
        <x:f t="shared" si="87"/>
        <x:v>589.28130689759246</x:v>
      </x:c>
      <x:c r="D1324">
        <x:f t="shared" si="88"/>
        <x:v>1058.8311599750984</x:v>
      </x:c>
      <x:c r="E1324">
        <x:f t="shared" si="89"/>
        <x:v>1031.5980886484233</x:v>
      </x:c>
    </x:row>
    <x:row r="1325">
      <x:c r="A1325">
        <x:f t="shared" si="85"/>
        <x:v>-0.16700000000000001</x:v>
      </x:c>
      <x:c r="B1325">
        <x:f t="shared" si="86"/>
        <x:v>2673.7596972090009</x:v>
      </x:c>
      <x:c r="C1325">
        <x:f t="shared" si="87"/>
        <x:v>568.26718007725287</x:v>
      </x:c>
      <x:c r="D1325">
        <x:f t="shared" si="88"/>
        <x:v>1012.0645953546137</x:v>
      </x:c>
      <x:c r="E1325">
        <x:f t="shared" si="89"/>
        <x:v>984.83232316756278</x:v>
      </x:c>
    </x:row>
    <x:row r="1326">
      <x:c r="A1326">
        <x:f t="shared" si="85"/>
        <x:v>-0.158</x:v>
      </x:c>
      <x:c r="B1326">
        <x:f t="shared" si="86"/>
        <x:v>2673.572737760398</x:v>
      </x:c>
      <x:c r="C1326">
        <x:f t="shared" si="87"/>
        <x:v>545.32357532591755</x:v>
      </x:c>
      <x:c r="D1326">
        <x:f t="shared" si="88"/>
        <x:v>959.69924903664662</x:v>
      </x:c>
      <x:c r="E1326">
        <x:f t="shared" si="89"/>
        <x:v>932.47086417565833</x:v>
      </x:c>
    </x:row>
    <x:row r="1327">
      <x:c r="A1327">
        <x:f t="shared" si="85"/>
        <x:v>-0.15</x:v>
      </x:c>
      <x:c r="B1327">
        <x:f t="shared" si="86"/>
        <x:v>2673.3024730717379</x:v>
      </x:c>
      <x:c r="C1327">
        <x:f t="shared" si="87"/>
        <x:v>525.24182983237324</x:v>
      </x:c>
      <x:c r="D1327">
        <x:f t="shared" si="88"/>
        <x:v>913.74304655812273</x:v>
      </x:c>
      <x:c r="E1327">
        <x:f t="shared" si="89"/>
        <x:v>886.4597372531108</x:v>
      </x:c>
    </x:row>
    <x:row r="1328">
      <x:c r="A1328">
        <x:f t="shared" si="85"/>
        <x:v>-0.14199999999999999</x:v>
      </x:c>
      <x:c r="B1328">
        <x:f t="shared" si="86"/>
        <x:v>2673.2073752697829</x:v>
      </x:c>
      <x:c r="C1328">
        <x:f t="shared" si="87"/>
        <x:v>505.33032450173971</x:v>
      </x:c>
      <x:c r="D1328">
        <x:f t="shared" si="88"/>
        <x:v>868.53954910038283</x:v>
      </x:c>
      <x:c r="E1328">
        <x:f t="shared" si="89"/>
        <x:v>841.10617866958785</x:v>
      </x:c>
    </x:row>
    <x:row r="1329">
      <x:c r="A1329">
        <x:f t="shared" si="85"/>
        <x:v>-0.13300000000000001</x:v>
      </x:c>
      <x:c r="B1329">
        <x:f t="shared" si="86"/>
        <x:v>2673.1725556374686</x:v>
      </x:c>
      <x:c r="C1329">
        <x:f t="shared" si="87"/>
        <x:v>483.24555653411164</x:v>
      </x:c>
      <x:c r="D1329">
        <x:f t="shared" si="88"/>
        <x:v>817.96886498585218</x:v>
      </x:c>
      <x:c r="E1329">
        <x:f t="shared" si="89"/>
        <x:v>790.34943900575047</x:v>
      </x:c>
    </x:row>
    <x:row r="1330">
      <x:c r="A1330">
        <x:f t="shared" si="85"/>
        <x:v>-0.125</x:v>
      </x:c>
      <x:c r="B1330">
        <x:f t="shared" si="86"/>
        <x:v>2672.9293325644585</x:v>
      </x:c>
      <x:c r="C1330">
        <x:f t="shared" si="87"/>
        <x:v>464.18181230773371</x:v>
      </x:c>
      <x:c r="D1330">
        <x:f t="shared" si="88"/>
        <x:v>773.86253249710478</x:v>
      </x:c>
      <x:c r="E1330">
        <x:f t="shared" si="89"/>
        <x:v>745.95352702240598</x:v>
      </x:c>
    </x:row>
    <x:row r="1331">
      <x:c r="A1331">
        <x:f t="shared" si="85"/>
        <x:v>-0.11700000000000001</x:v>
      </x:c>
      <x:c r="B1331">
        <x:f t="shared" si="86"/>
        <x:v>2672.8882972109009</x:v>
      </x:c>
      <x:c r="C1331">
        <x:f t="shared" si="87"/>
        <x:v>445.93034998876044</x:v>
      </x:c>
      <x:c r="D1331">
        <x:f t="shared" si="88"/>
        <x:v>730.45064756576733</x:v>
      </x:c>
      <x:c r="E1331">
        <x:f t="shared" si="89"/>
        <x:v>702.14412105454505</x:v>
      </x:c>
    </x:row>
    <x:row r="1332">
      <x:c r="A1332">
        <x:f t="shared" si="85"/>
        <x:v>-0.108</x:v>
      </x:c>
      <x:c r="B1332">
        <x:f t="shared" si="86"/>
        <x:v>2672.8488768179254</x:v>
      </x:c>
      <x:c r="C1332">
        <x:f t="shared" si="87"/>
        <x:v>426.13145439102254</x:v>
      </x:c>
      <x:c r="D1332">
        <x:f t="shared" si="88"/>
        <x:v>682.09606558096584</x:v>
      </x:c>
      <x:c r="E1332">
        <x:f t="shared" si="89"/>
        <x:v>653.27165402849096</x:v>
      </x:c>
    </x:row>
    <x:row r="1333">
      <x:c r="A1333">
        <x:f t="shared" si="85"/>
        <x:v>-0.1</x:v>
      </x:c>
      <x:c r="B1333">
        <x:f t="shared" si="86"/>
        <x:v>2672.7173618544525</x:v>
      </x:c>
      <x:c r="C1333">
        <x:f t="shared" si="87"/>
        <x:v>409.00969233753852</x:v>
      </x:c>
      <x:c r="D1333">
        <x:f t="shared" si="88"/>
        <x:v>640.0475870733427</x:v>
      </x:c>
      <x:c r="E1333">
        <x:f t="shared" si="89"/>
        <x:v>610.59938371274075</x:v>
      </x:c>
    </x:row>
    <x:row r="1334">
      <x:c r="A1334">
        <x:f t="shared" si="85"/>
        <x:v>-9.1999999999999998E-2</x:v>
      </x:c>
      <x:c r="B1334">
        <x:f t="shared" si="86"/>
        <x:v>2672.7770442223359</x:v>
      </x:c>
      <x:c r="C1334">
        <x:f t="shared" si="87"/>
        <x:v>392.42990322520836</x:v>
      </x:c>
      <x:c r="D1334">
        <x:f t="shared" si="88"/>
        <x:v>599.06617619374094</x:v>
      </x:c>
      <x:c r="E1334">
        <x:f t="shared" si="89"/>
        <x:v>568.79707280670505</x:v>
      </x:c>
    </x:row>
    <x:row r="1335">
      <x:c r="A1335">
        <x:f t="shared" si="85"/>
        <x:v>-8.3000000000000004E-2</x:v>
      </x:c>
      <x:c r="B1335">
        <x:f t="shared" si="86"/>
        <x:v>2672.7206538052651</x:v>
      </x:c>
      <x:c r="C1335">
        <x:f t="shared" si="87"/>
        <x:v>374.53187538648746</x:v>
      </x:c>
      <x:c r="D1335">
        <x:f t="shared" si="88"/>
        <x:v>553.49789644653742</x:v>
      </x:c>
      <x:c r="E1335">
        <x:f t="shared" si="89"/>
        <x:v>522.21773646365784</x:v>
      </x:c>
    </x:row>
    <x:row r="1336">
      <x:c r="A1336">
        <x:f t="shared" si="85"/>
        <x:v>-7.4999999999999997E-2</x:v>
      </x:c>
      <x:c r="B1336">
        <x:f t="shared" si="86"/>
        <x:v>2672.5986396111089</x:v>
      </x:c>
      <x:c r="C1336">
        <x:f t="shared" si="87"/>
        <x:v>359.84961427998934</x:v>
      </x:c>
      <x:c r="D1336">
        <x:f t="shared" si="88"/>
        <x:v>514.98377625998137</x:v>
      </x:c>
      <x:c r="E1336">
        <x:f t="shared" si="89"/>
        <x:v>482.42440731042831</x:v>
      </x:c>
    </x:row>
    <x:row r="1337">
      <x:c r="A1337">
        <x:f t="shared" si="85"/>
        <x:v>-6.7000000000000004E-2</x:v>
      </x:c>
      <x:c r="B1337">
        <x:f t="shared" si="86"/>
        <x:v>2672.6169862341058</x:v>
      </x:c>
      <x:c r="C1337">
        <x:f t="shared" si="87"/>
        <x:v>346.3884478023773</x:v>
      </x:c>
      <x:c r="D1337">
        <x:f t="shared" si="88"/>
        <x:v>477.16353031854209</x:v>
      </x:c>
      <x:c r="E1337">
        <x:f t="shared" si="89"/>
        <x:v>443.22219695033067</x:v>
      </x:c>
    </x:row>
    <x:row r="1338">
      <x:c r="A1338">
        <x:f t="shared" si="85"/>
        <x:v>-5.8000000000000003E-2</x:v>
      </x:c>
      <x:c r="B1338">
        <x:f t="shared" si="86"/>
        <x:v>2672.4600191223049</x:v>
      </x:c>
      <x:c r="C1338">
        <x:f t="shared" si="87"/>
        <x:v>332.31359909858111</x:v>
      </x:c>
      <x:c r="D1338">
        <x:f t="shared" si="88"/>
        <x:v>437.01578228380879</x:v>
      </x:c>
      <x:c r="E1338">
        <x:f t="shared" si="89"/>
        <x:v>401.11313686352298</x:v>
      </x:c>
    </x:row>
    <x:row r="1339">
      <x:c r="A1339">
        <x:f t="shared" si="85"/>
        <x:v>-0.05</x:v>
      </x:c>
      <x:c r="B1339">
        <x:f t="shared" si="86"/>
        <x:v>2672.4187092220673</x:v>
      </x:c>
      <x:c r="C1339">
        <x:f t="shared" si="87"/>
        <x:v>320.93709247237001</x:v>
      </x:c>
      <x:c r="D1339">
        <x:f t="shared" si="88"/>
        <x:v>403.78577502854455</x:v>
      </x:c>
      <x:c r="E1339">
        <x:f t="shared" si="89"/>
        <x:v>365.78076718889946</x:v>
      </x:c>
    </x:row>
    <x:row r="1340">
      <x:c r="A1340">
        <x:f t="shared" si="85"/>
        <x:v>-4.2000000000000003E-2</x:v>
      </x:c>
      <x:c r="B1340">
        <x:f t="shared" si="86"/>
        <x:v>2672.3765444545224</x:v>
      </x:c>
      <x:c r="C1340">
        <x:f t="shared" si="87"/>
        <x:v>310.87780289071844</x:v>
      </x:c>
      <x:c r="D1340">
        <x:f t="shared" si="88"/>
        <x:v>372.5309517744891</x:v>
      </x:c>
      <x:c r="E1340">
        <x:f t="shared" si="89"/>
        <x:v>332.263191455232</x:v>
      </x:c>
    </x:row>
    <x:row r="1341">
      <x:c r="A1341">
        <x:f t="shared" si="85"/>
        <x:v>-3.3000000000000002E-2</x:v>
      </x:c>
      <x:c r="B1341">
        <x:f t="shared" si="86"/>
        <x:v>2672.2849887663119</x:v>
      </x:c>
      <x:c r="C1341">
        <x:f t="shared" si="87"/>
        <x:v>301.35715791919762</x:v>
      </x:c>
      <x:c r="D1341">
        <x:f t="shared" si="88"/>
        <x:v>342.25446091655817</x:v>
      </x:c>
      <x:c r="E1341">
        <x:f t="shared" si="89"/>
        <x:v>298.99852445548879</x:v>
      </x:c>
    </x:row>
    <x:row r="1342">
      <x:c r="A1342">
        <x:f t="shared" si="85"/>
        <x:v>-2.5000000000000001E-2</x:v>
      </x:c>
      <x:c r="B1342">
        <x:f t="shared" si="86"/>
        <x:v>2672.2252634034899</x:v>
      </x:c>
      <x:c r="C1342">
        <x:f t="shared" si="87"/>
        <x:v>294.56495100603121</x:v>
      </x:c>
      <x:c r="D1342">
        <x:f t="shared" si="88"/>
        <x:v>319.39972411688655</x:v>
      </x:c>
      <x:c r="E1342">
        <x:f t="shared" si="89"/>
        <x:v>273.49339989879672</x:v>
      </x:c>
    </x:row>
    <x:row r="1343">
      <x:c r="A1343">
        <x:f t="shared" si="85"/>
        <x:v>-1.7000000000000001E-2</x:v>
      </x:c>
      <x:c r="B1343">
        <x:f t="shared" si="86"/>
        <x:v>2672.0265961152877</x:v>
      </x:c>
      <x:c r="C1343">
        <x:f t="shared" si="87"/>
        <x:v>289.82836487521752</x:v>
      </x:c>
      <x:c r="D1343">
        <x:f t="shared" si="88"/>
        <x:v>301.59997247160845</x:v>
      </x:c>
      <x:c r="E1343">
        <x:f t="shared" si="89"/>
        <x:v>253.29273098341292</x:v>
      </x:c>
    </x:row>
    <x:row r="1344">
      <x:c r="A1344">
        <x:f t="shared" si="85"/>
        <x:v>-8.0000000000000002E-3</x:v>
      </x:c>
      <x:c r="B1344">
        <x:f t="shared" si="86"/>
        <x:v>2671.9704462755117</x:v>
      </x:c>
      <x:c r="C1344">
        <x:f t="shared" si="87"/>
        <x:v>286.67680825861191</x:v>
      </x:c>
      <x:c r="D1344">
        <x:f t="shared" si="88"/>
        <x:v>289.24127915271742</x:v>
      </x:c>
      <x:c r="E1344">
        <x:f t="shared" si="89"/>
        <x:v>238.96678499620617</x:v>
      </x:c>
    </x:row>
    <x:row r="1345">
      <x:c r="A1345">
        <x:f t="shared" si="85"/>
        <x:v>0</x:v>
      </x:c>
      <x:c r="B1345">
        <x:f t="shared" si="86"/>
        <x:v>2671.8569109380314</x:v>
      </x:c>
      <x:c r="C1345">
        <x:f t="shared" si="87"/>
        <x:v>285.44962589236945</x:v>
      </x:c>
      <x:c r="D1345">
        <x:f t="shared" si="88"/>
        <x:v>285.44962589236945</x:v>
      </x:c>
      <x:c r="E1345">
        <x:f t="shared" si="89"/>
        <x:v>234.57893136334926</x:v>
      </x:c>
    </x:row>
    <x:row r="1346">
      <x:c r="A1346">
        <x:f t="shared" si="85"/>
        <x:v>8.0000000000000002E-3</x:v>
      </x:c>
      <x:c r="B1346">
        <x:f t="shared" si="86"/>
        <x:v>2671.7347624653162</x:v>
      </x:c>
      <x:c r="C1346">
        <x:f t="shared" si="87"/>
        <x:v>285.94379017860734</x:v>
      </x:c>
      <x:c r="D1346">
        <x:f t="shared" si="88"/>
        <x:v>288.79557683680258</x:v>
      </x:c>
      <x:c r="E1346">
        <x:f t="shared" si="89"/>
        <x:v>238.58427038631453</x:v>
      </x:c>
    </x:row>
    <x:row r="1347">
      <x:c r="A1347">
        <x:f t="shared" si="85"/>
        <x:v>1.7000000000000001E-2</x:v>
      </x:c>
      <x:c r="B1347">
        <x:f t="shared" si="86"/>
        <x:v>2671.6247904009706</x:v>
      </x:c>
      <x:c r="C1347">
        <x:f t="shared" si="87"/>
        <x:v>289.50463278641934</x:v>
      </x:c>
      <x:c r="D1347">
        <x:f t="shared" si="88"/>
        <x:v>301.6329876220608</x:v>
      </x:c>
      <x:c r="E1347">
        <x:f t="shared" si="89"/>
        <x:v>253.32068605780916</x:v>
      </x:c>
    </x:row>
    <x:row r="1348">
      <x:c r="A1348">
        <x:f t="shared" si="85"/>
        <x:v>2.5000000000000001E-2</x:v>
      </x:c>
      <x:c r="B1348">
        <x:f t="shared" si="86"/>
        <x:v>2671.6549134965071</x:v>
      </x:c>
      <x:c r="C1348">
        <x:f t="shared" si="87"/>
        <x:v>294.65525229787505</x:v>
      </x:c>
      <x:c r="D1348">
        <x:f t="shared" si="88"/>
        <x:v>318.90919270787663</x:v>
      </x:c>
      <x:c r="E1348">
        <x:f t="shared" si="89"/>
        <x:v>273.08464898019122</x:v>
      </x:c>
    </x:row>
    <x:row r="1349">
      <x:c r="A1349">
        <x:f t="shared" si="85"/>
        <x:v>3.3000000000000002E-2</x:v>
      </x:c>
      <x:c r="B1349">
        <x:f t="shared" si="86"/>
        <x:v>2671.5544812824301</x:v>
      </x:c>
      <x:c r="C1349">
        <x:f t="shared" si="87"/>
        <x:v>301.38085055997664</x:v>
      </x:c>
      <x:c r="D1349">
        <x:f t="shared" si="88"/>
        <x:v>341.87709206203817</x:v>
      </x:c>
      <x:c r="E1349">
        <x:f t="shared" si="89"/>
        <x:v>298.68879997180886</x:v>
      </x:c>
    </x:row>
    <x:row r="1350">
      <x:c r="A1350">
        <x:f t="shared" si="85"/>
        <x:v>4.2000000000000003E-2</x:v>
      </x:c>
      <x:c r="B1350">
        <x:f t="shared" si="86"/>
        <x:v>2671.5552629166964</x:v>
      </x:c>
      <x:c r="C1350">
        <x:f t="shared" si="87"/>
        <x:v>310.74079426450356</x:v>
      </x:c>
      <x:c r="D1350">
        <x:f t="shared" si="88"/>
        <x:v>372.99975846273446</x:v>
      </x:c>
      <x:c r="E1350">
        <x:f t="shared" si="89"/>
        <x:v>332.64252675411603</x:v>
      </x:c>
    </x:row>
    <x:row r="1351">
      <x:c r="A1351">
        <x:f t="shared" si="85"/>
        <x:v>0.05</x:v>
      </x:c>
      <x:c r="B1351">
        <x:f t="shared" si="86"/>
        <x:v>2671.6426309227986</x:v>
      </x:c>
      <x:c r="C1351">
        <x:f t="shared" si="87"/>
        <x:v>320.44458185581664</x:v>
      </x:c>
      <x:c r="D1351">
        <x:f t="shared" si="88"/>
        <x:v>403.35525783550514</x:v>
      </x:c>
      <x:c r="E1351">
        <x:f t="shared" si="89"/>
        <x:v>365.43560445237125</x:v>
      </x:c>
    </x:row>
    <x:row r="1352">
      <x:c r="A1352">
        <x:f t="shared" si="85"/>
        <x:v>5.8000000000000003E-2</x:v>
      </x:c>
      <x:c r="B1352">
        <x:f t="shared" si="86"/>
        <x:v>2671.5287542409565</x:v>
      </x:c>
      <x:c r="C1352">
        <x:f t="shared" si="87"/>
        <x:v>331.64586416596222</x:v>
      </x:c>
      <x:c r="D1352">
        <x:f t="shared" si="88"/>
        <x:v>437.34229608591249</x:v>
      </x:c>
      <x:c r="E1352">
        <x:f t="shared" si="89"/>
        <x:v>401.37349365440116</x:v>
      </x:c>
    </x:row>
    <x:row r="1353">
      <x:c r="A1353" t="n">
        <x:f t="shared" ref="A1353:A1416" si="90">I130</x:f>
        <x:v>0.067</x:v>
      </x:c>
      <x:c r="B1353" t="n">
        <x:f t="shared" ref="B1353:B1416" si="91">AQ130</x:f>
        <x:v>2671.7164768981124</x:v>
      </x:c>
      <x:c r="C1353" t="n">
        <x:f t="shared" ref="C1353:C1416" si="92">AS130</x:f>
        <x:v>346.1259254691169</x:v>
      </x:c>
      <x:c r="D1353" t="n">
        <x:f t="shared" ref="D1353:D1416" si="93">AU130</x:f>
        <x:v>477.3110002130046</x:v>
      </x:c>
      <x:c r="E1353" t="n">
        <x:f t="shared" ref="E1353:E1416" si="94">AW130</x:f>
        <x:v>443.33938132861306</x:v>
      </x:c>
    </x:row>
    <x:row r="1354">
      <x:c r="A1354">
        <x:f t="shared" si="90"/>
        <x:v>7.4999999999999997E-2</x:v>
      </x:c>
      <x:c r="B1354">
        <x:f t="shared" si="91"/>
        <x:v>2671.6321310975477</x:v>
      </x:c>
      <x:c r="C1354">
        <x:f t="shared" si="92"/>
        <x:v>360.20186691744988</x:v>
      </x:c>
      <x:c r="D1354">
        <x:f t="shared" si="93"/>
        <x:v>514.78233737355038</x:v>
      </x:c>
      <x:c r="E1354">
        <x:f t="shared" si="94"/>
        <x:v>482.26431149858644</x:v>
      </x:c>
    </x:row>
    <x:row r="1355">
      <x:c r="A1355">
        <x:f t="shared" si="90"/>
        <x:v>8.3000000000000004E-2</x:v>
      </x:c>
      <x:c r="B1355">
        <x:f t="shared" si="91"/>
        <x:v>2671.7859679590338</x:v>
      </x:c>
      <x:c r="C1355">
        <x:f t="shared" si="92"/>
        <x:v>374.97917413201401</x:v>
      </x:c>
      <x:c r="D1355">
        <x:f t="shared" si="93"/>
        <x:v>553.90060553675846</x:v>
      </x:c>
      <x:c r="E1355">
        <x:f t="shared" si="94"/>
        <x:v>522.53825722477666</x:v>
      </x:c>
    </x:row>
    <x:row r="1356">
      <x:c r="A1356">
        <x:f t="shared" si="90"/>
        <x:v>9.1999999999999998E-2</x:v>
      </x:c>
      <x:c r="B1356">
        <x:f t="shared" si="91"/>
        <x:v>2672.0025883219796</x:v>
      </x:c>
      <x:c r="C1356">
        <x:f t="shared" si="92"/>
        <x:v>392.27768292643788</x:v>
      </x:c>
      <x:c r="D1356">
        <x:f t="shared" si="93"/>
        <x:v>598.77676623660375</x:v>
      </x:c>
      <x:c r="E1356">
        <x:f t="shared" si="94"/>
        <x:v>568.56582355287799</x:v>
      </x:c>
    </x:row>
    <x:row r="1357">
      <x:c r="A1357">
        <x:f t="shared" si="90"/>
        <x:v>0.1</x:v>
      </x:c>
      <x:c r="B1357">
        <x:f t="shared" si="91"/>
        <x:v>2672.1459076177921</x:v>
      </x:c>
      <x:c r="C1357">
        <x:f t="shared" si="92"/>
        <x:v>408.57024154816395</x:v>
      </x:c>
      <x:c r="D1357">
        <x:f t="shared" si="93"/>
        <x:v>640.03792855503775</x:v>
      </x:c>
      <x:c r="E1357">
        <x:f t="shared" si="94"/>
        <x:v>610.59163236774418</x:v>
      </x:c>
    </x:row>
    <x:row r="1358">
      <x:c r="A1358">
        <x:f t="shared" si="90"/>
        <x:v>0.108</x:v>
      </x:c>
      <x:c r="B1358">
        <x:f t="shared" si="91"/>
        <x:v>2672.2620883765708</x:v>
      </x:c>
      <x:c r="C1358">
        <x:f t="shared" si="92"/>
        <x:v>425.93971816821346</x:v>
      </x:c>
      <x:c r="D1358">
        <x:f t="shared" si="93"/>
        <x:v>682.16473456554218</x:v>
      </x:c>
      <x:c r="E1358">
        <x:f t="shared" si="94"/>
        <x:v>653.32707067539548</x:v>
      </x:c>
    </x:row>
    <x:row r="1359">
      <x:c r="A1359">
        <x:f t="shared" si="90"/>
        <x:v>0.11700000000000001</x:v>
      </x:c>
      <x:c r="B1359">
        <x:f t="shared" si="91"/>
        <x:v>2672.4787069540553</x:v>
      </x:c>
      <x:c r="C1359">
        <x:f t="shared" si="92"/>
        <x:v>446.34212138232749</x:v>
      </x:c>
      <x:c r="D1359">
        <x:f t="shared" si="93"/>
        <x:v>730.16792776960813</x:v>
      </x:c>
      <x:c r="E1359">
        <x:f t="shared" si="94"/>
        <x:v>701.91440074358138</x:v>
      </x:c>
    </x:row>
    <x:row r="1360">
      <x:c r="A1360">
        <x:f t="shared" si="90"/>
        <x:v>0.125</x:v>
      </x:c>
      <x:c r="B1360">
        <x:f t="shared" si="91"/>
        <x:v>2672.7084579796765</x:v>
      </x:c>
      <x:c r="C1360">
        <x:f t="shared" si="92"/>
        <x:v>464.78135252033411</x:v>
      </x:c>
      <x:c r="D1360">
        <x:f t="shared" si="93"/>
        <x:v>773.87378998537463</x:v>
      </x:c>
      <x:c r="E1360">
        <x:f t="shared" si="94"/>
        <x:v>745.96273446882867</x:v>
      </x:c>
    </x:row>
    <x:row r="1361">
      <x:c r="A1361">
        <x:f t="shared" si="90"/>
        <x:v>0.13300000000000001</x:v>
      </x:c>
      <x:c r="B1361">
        <x:f t="shared" si="91"/>
        <x:v>2672.8111298337622</x:v>
      </x:c>
      <x:c r="C1361">
        <x:f t="shared" si="92"/>
        <x:v>483.43610586362189</x:v>
      </x:c>
      <x:c r="D1361">
        <x:f t="shared" si="93"/>
        <x:v>818.23194447410526</x:v>
      </x:c>
      <x:c r="E1361">
        <x:f t="shared" si="94"/>
        <x:v>790.56611762367856</x:v>
      </x:c>
    </x:row>
    <x:row r="1362">
      <x:c r="A1362">
        <x:f t="shared" si="90"/>
        <x:v>0.14199999999999999</x:v>
      </x:c>
      <x:c r="B1362">
        <x:f t="shared" si="91"/>
        <x:v>2673.0186412762982</x:v>
      </x:c>
      <x:c r="C1362">
        <x:f t="shared" si="92"/>
        <x:v>505.17284028347888</x:v>
      </x:c>
      <x:c r="D1362">
        <x:f t="shared" si="93"/>
        <x:v>868.3304441097539</x:v>
      </x:c>
      <x:c r="E1362">
        <x:f t="shared" si="94"/>
        <x:v>840.93260789643091</x:v>
      </x:c>
    </x:row>
    <x:row r="1363">
      <x:c r="A1363">
        <x:f t="shared" si="90"/>
        <x:v>0.15</x:v>
      </x:c>
      <x:c r="B1363">
        <x:f t="shared" si="91"/>
        <x:v>2673.298433729452</x:v>
      </x:c>
      <x:c r="C1363">
        <x:f t="shared" si="92"/>
        <x:v>525.03019565514762</x:v>
      </x:c>
      <x:c r="D1363">
        <x:f t="shared" si="93"/>
        <x:v>914.04280073711163</x:v>
      </x:c>
      <x:c r="E1363">
        <x:f t="shared" si="94"/>
        <x:v>886.71036944254934</x:v>
      </x:c>
    </x:row>
    <x:row r="1364">
      <x:c r="A1364">
        <x:f t="shared" si="90"/>
        <x:v>0.158</x:v>
      </x:c>
      <x:c r="B1364">
        <x:f t="shared" si="91"/>
        <x:v>2673.5257336157001</x:v>
      </x:c>
      <x:c r="C1364">
        <x:f t="shared" si="92"/>
        <x:v>545.29452697986096</x:v>
      </x:c>
      <x:c r="D1364">
        <x:f t="shared" si="93"/>
        <x:v>959.76811067927008</x:v>
      </x:c>
      <x:c r="E1364">
        <x:f t="shared" si="94"/>
        <x:v>932.52884488052541</x:v>
      </x:c>
    </x:row>
    <x:row r="1365">
      <x:c r="A1365">
        <x:f t="shared" si="90"/>
        <x:v>0.16700000000000001</x:v>
      </x:c>
      <x:c r="B1365">
        <x:f t="shared" si="91"/>
        <x:v>2673.8821196789372</x:v>
      </x:c>
      <x:c r="C1365">
        <x:f t="shared" si="92"/>
        <x:v>568.61600000218164</x:v>
      </x:c>
      <x:c r="D1365">
        <x:f t="shared" si="93"/>
        <x:v>1011.9614443866486</x:v>
      </x:c>
      <x:c r="E1365">
        <x:f t="shared" si="94"/>
        <x:v>984.74477679457118</x:v>
      </x:c>
    </x:row>
    <x:row r="1366">
      <x:c r="A1366">
        <x:f t="shared" si="90"/>
        <x:v>0.17499999999999999</x:v>
      </x:c>
      <x:c r="B1366">
        <x:f t="shared" si="91"/>
        <x:v>2674.108450593098</x:v>
      </x:c>
      <x:c r="C1366">
        <x:f t="shared" si="92"/>
        <x:v>589.59507301286499</x:v>
      </x:c>
      <x:c r="D1366">
        <x:f t="shared" si="93"/>
        <x:v>1059.1278356854446</x:v>
      </x:c>
      <x:c r="E1366">
        <x:f t="shared" si="94"/>
        <x:v>1031.8516257890719</x:v>
      </x:c>
    </x:row>
    <x:row r="1367">
      <x:c r="A1367">
        <x:f t="shared" si="90"/>
        <x:v>0.183</x:v>
      </x:c>
      <x:c r="B1367">
        <x:f t="shared" si="91"/>
        <x:v>2674.2842198249568</x:v>
      </x:c>
      <x:c r="C1367">
        <x:f t="shared" si="92"/>
        <x:v>610.62327523191266</x:v>
      </x:c>
      <x:c r="D1367">
        <x:f t="shared" si="93"/>
        <x:v>1106.2320111687281</x:v>
      </x:c>
      <x:c r="E1367">
        <x:f t="shared" si="94"/>
        <x:v>1078.941017998533</x:v>
      </x:c>
    </x:row>
    <x:row r="1368">
      <x:c r="A1368">
        <x:f t="shared" si="90"/>
        <x:v>0.192</x:v>
      </x:c>
      <x:c r="B1368">
        <x:f t="shared" si="91"/>
        <x:v>2674.6197712683879</x:v>
      </x:c>
      <x:c r="C1368">
        <x:f t="shared" si="92"/>
        <x:v>634.71424303829974</x:v>
      </x:c>
      <x:c r="D1368">
        <x:f t="shared" si="93"/>
        <x:v>1160.4295298230816</x:v>
      </x:c>
      <x:c r="E1368">
        <x:f t="shared" si="94"/>
        <x:v>1132.999036177561</x:v>
      </x:c>
    </x:row>
    <x:row r="1369">
      <x:c r="A1369">
        <x:f t="shared" si="90"/>
        <x:v>0.2</x:v>
      </x:c>
      <x:c r="B1369">
        <x:f t="shared" si="91"/>
        <x:v>2674.8112882001351</x:v>
      </x:c>
      <x:c r="C1369">
        <x:f t="shared" si="92"/>
        <x:v>656.75968145235436</x:v>
      </x:c>
      <x:c r="D1369">
        <x:f t="shared" si="93"/>
        <x:v>1208.8255450612025</x:v>
      </x:c>
      <x:c r="E1369">
        <x:f t="shared" si="94"/>
        <x:v>1181.28521935239</x:v>
      </x:c>
    </x:row>
    <x:row r="1370">
      <x:c r="A1370">
        <x:f t="shared" si="90"/>
        <x:v>0.20799999999999999</x:v>
      </x:c>
      <x:c r="B1370">
        <x:f t="shared" si="91"/>
        <x:v>2675.0957780917061</x:v>
      </x:c>
      <x:c r="C1370">
        <x:f t="shared" si="92"/>
        <x:v>678.93437857841104</x:v>
      </x:c>
      <x:c r="D1370">
        <x:f t="shared" si="93"/>
        <x:v>1257.6964388963677</x:v>
      </x:c>
      <x:c r="E1370">
        <x:f t="shared" si="94"/>
        <x:v>1230.026408396081</x:v>
      </x:c>
    </x:row>
    <x:row r="1371">
      <x:c r="A1371">
        <x:f t="shared" si="90"/>
        <x:v>0.217</x:v>
      </x:c>
      <x:c r="B1371">
        <x:f t="shared" si="91"/>
        <x:v>2675.2952657628025</x:v>
      </x:c>
      <x:c r="C1371">
        <x:f t="shared" si="92"/>
        <x:v>704.14498363623863</x:v>
      </x:c>
      <x:c r="D1371">
        <x:f t="shared" si="93"/>
        <x:v>1313.5384373341913</x:v>
      </x:c>
      <x:c r="E1371">
        <x:f t="shared" si="94"/>
        <x:v>1285.6689097446642</x:v>
      </x:c>
    </x:row>
    <x:row r="1372">
      <x:c r="A1372">
        <x:f t="shared" si="90"/>
        <x:v>0.22500000000000001</x:v>
      </x:c>
      <x:c r="B1372">
        <x:f t="shared" si="91"/>
        <x:v>2675.5869444872728</x:v>
      </x:c>
      <x:c r="C1372">
        <x:f t="shared" si="92"/>
        <x:v>726.68128533067841</x:v>
      </x:c>
      <x:c r="D1372">
        <x:f t="shared" si="93"/>
        <x:v>1363.4922501356443</x:v>
      </x:c>
      <x:c r="E1372">
        <x:f t="shared" si="94"/>
        <x:v>1335.4558137640058</x:v>
      </x:c>
    </x:row>
    <x:row r="1373">
      <x:c r="A1373">
        <x:f t="shared" si="90"/>
        <x:v>0.23300000000000001</x:v>
      </x:c>
      <x:c r="B1373">
        <x:f t="shared" si="91"/>
        <x:v>2675.7284415975018</x:v>
      </x:c>
      <x:c r="C1373">
        <x:f t="shared" si="92"/>
        <x:v>749.50151193452609</x:v>
      </x:c>
      <x:c r="D1373">
        <x:f t="shared" si="93"/>
        <x:v>1413.8780595568705</x:v>
      </x:c>
      <x:c r="E1373">
        <x:f t="shared" si="94"/>
        <x:v>1385.6705698984597</x:v>
      </x:c>
    </x:row>
    <x:row r="1374">
      <x:c r="A1374">
        <x:f t="shared" si="90"/>
        <x:v>0.24199999999999999</x:v>
      </x:c>
      <x:c r="B1374">
        <x:f t="shared" si="91"/>
        <x:v>2676.0397845083698</x:v>
      </x:c>
      <x:c r="C1374">
        <x:f t="shared" si="92"/>
        <x:v>775.4018440048759</x:v>
      </x:c>
      <x:c r="D1374">
        <x:f t="shared" si="93"/>
        <x:v>1471.4549088802494</x:v>
      </x:c>
      <x:c r="E1374">
        <x:f t="shared" si="94"/>
        <x:v>1443.0143943069845</x:v>
      </x:c>
    </x:row>
    <x:row r="1375">
      <x:c r="A1375">
        <x:f t="shared" si="90"/>
        <x:v>0.25</x:v>
      </x:c>
      <x:c r="B1375">
        <x:f t="shared" si="91"/>
        <x:v>2676.4128817659403</x:v>
      </x:c>
      <x:c r="C1375">
        <x:f t="shared" si="92"/>
        <x:v>798.91281268474222</x:v>
      </x:c>
      <x:c r="D1375">
        <x:f t="shared" si="93"/>
        <x:v>1522.8148844349405</x:v>
      </x:c>
      <x:c r="E1375">
        <x:f t="shared" si="94"/>
        <x:v>1494.1974896231029</x:v>
      </x:c>
    </x:row>
    <x:row r="1376">
      <x:c r="A1376">
        <x:f t="shared" si="90"/>
        <x:v>0.25800000000000001</x:v>
      </x:c>
      <x:c r="B1376">
        <x:f t="shared" si="91"/>
        <x:v>2676.7007790282851</x:v>
      </x:c>
      <x:c r="C1376">
        <x:f t="shared" si="92"/>
        <x:v>822.69139202090196</x:v>
      </x:c>
      <x:c r="D1376">
        <x:f t="shared" si="93"/>
        <x:v>1574.8772268654202</x:v>
      </x:c>
      <x:c r="E1376">
        <x:f t="shared" si="94"/>
        <x:v>1546.060002257067</x:v>
      </x:c>
    </x:row>
    <x:row r="1377">
      <x:c r="A1377">
        <x:f t="shared" si="90"/>
        <x:v>0.26700000000000002</x:v>
      </x:c>
      <x:c r="B1377">
        <x:f t="shared" si="91"/>
        <x:v>2676.9553204763829</x:v>
      </x:c>
      <x:c r="C1377">
        <x:f t="shared" si="92"/>
        <x:v>849.29963946003977</x:v>
      </x:c>
      <x:c r="D1377">
        <x:f t="shared" si="93"/>
        <x:v>1634.2100712797871</x:v>
      </x:c>
      <x:c r="E1377">
        <x:f t="shared" si="94"/>
        <x:v>1605.1533049308823</x:v>
      </x:c>
    </x:row>
    <x:row r="1378">
      <x:c r="A1378">
        <x:f t="shared" si="90"/>
        <x:v>0.27500000000000002</x:v>
      </x:c>
      <x:c r="B1378">
        <x:f t="shared" si="91"/>
        <x:v>2677.210266088246</x:v>
      </x:c>
      <x:c r="C1378">
        <x:f t="shared" si="92"/>
        <x:v>873.10949786357935</x:v>
      </x:c>
      <x:c r="D1378">
        <x:f t="shared" si="93"/>
        <x:v>1686.9799883696526</x:v>
      </x:c>
      <x:c r="E1378">
        <x:f t="shared" si="94"/>
        <x:v>1657.7559651879415</x:v>
      </x:c>
    </x:row>
    <x:row r="1379">
      <x:c r="A1379">
        <x:f t="shared" si="90"/>
        <x:v>0.28299999999999997</x:v>
      </x:c>
      <x:c r="B1379">
        <x:f t="shared" si="91"/>
        <x:v>2677.5398892825219</x:v>
      </x:c>
      <x:c r="C1379">
        <x:f t="shared" si="92"/>
        <x:v>897.26652126135866</x:v>
      </x:c>
      <x:c r="D1379">
        <x:f t="shared" si="93"/>
        <x:v>1740.9784489069013</x:v>
      </x:c>
      <x:c r="E1379">
        <x:f t="shared" si="94"/>
        <x:v>1711.5292151987778</x:v>
      </x:c>
    </x:row>
    <x:row r="1380">
      <x:c r="A1380">
        <x:f t="shared" si="90"/>
        <x:v>0.29199999999999998</x:v>
      </x:c>
      <x:c r="B1380">
        <x:f t="shared" si="91"/>
        <x:v>2677.7716485761302</x:v>
      </x:c>
      <x:c r="C1380">
        <x:f t="shared" si="92"/>
        <x:v>924.86414819099969</x:v>
      </x:c>
      <x:c r="D1380">
        <x:f t="shared" si="93"/>
        <x:v>1801.8730716501491</x:v>
      </x:c>
      <x:c r="E1380">
        <x:f t="shared" si="94"/>
        <x:v>1772.2146466917202</x:v>
      </x:c>
    </x:row>
    <x:row r="1381">
      <x:c r="A1381">
        <x:f t="shared" si="90"/>
        <x:v>0.3</x:v>
      </x:c>
      <x:c r="B1381">
        <x:f t="shared" si="91"/>
        <x:v>2678.0591123143704</x:v>
      </x:c>
      <x:c r="C1381">
        <x:f t="shared" si="92"/>
        <x:v>949.69451540625494</x:v>
      </x:c>
      <x:c r="D1381">
        <x:f t="shared" si="93"/>
        <x:v>1856.7086148968674</x:v>
      </x:c>
      <x:c r="E1381">
        <x:f t="shared" si="94"/>
        <x:v>1826.858082720953</x:v>
      </x:c>
    </x:row>
    <x:row r="1382">
      <x:c r="A1382">
        <x:f t="shared" si="90"/>
        <x:v>0.308</x:v>
      </x:c>
      <x:c r="B1382">
        <x:f t="shared" si="91"/>
        <x:v>2678.3248962424841</x:v>
      </x:c>
      <x:c r="C1382">
        <x:f t="shared" si="92"/>
        <x:v>974.48553419291693</x:v>
      </x:c>
      <x:c r="D1382">
        <x:f t="shared" si="93"/>
        <x:v>1912.259873742373</x:v>
      </x:c>
      <x:c r="E1382">
        <x:f t="shared" si="94"/>
        <x:v>1882.2107610897619</x:v>
      </x:c>
    </x:row>
    <x:row r="1383">
      <x:c r="A1383">
        <x:f t="shared" si="90"/>
        <x:v>0.317</x:v>
      </x:c>
      <x:c r="B1383">
        <x:f t="shared" si="91"/>
        <x:v>2678.7603431942562</x:v>
      </x:c>
      <x:c r="C1383">
        <x:f t="shared" si="92"/>
        <x:v>1002.4378207984545</x:v>
      </x:c>
      <x:c r="D1383">
        <x:f t="shared" si="93"/>
        <x:v>1975.1014147397316</x:v>
      </x:c>
      <x:c r="E1383">
        <x:f t="shared" si="94"/>
        <x:v>1944.858837742305</x:v>
      </x:c>
    </x:row>
    <x:row r="1384">
      <x:c r="A1384">
        <x:f t="shared" si="90"/>
        <x:v>0.32500000000000001</x:v>
      </x:c>
      <x:c r="B1384">
        <x:f t="shared" si="91"/>
        <x:v>2678.934012540692</x:v>
      </x:c>
      <x:c r="C1384">
        <x:f t="shared" si="92"/>
        <x:v>1027.5870587413654</x:v>
      </x:c>
      <x:c r="D1384">
        <x:f t="shared" si="93"/>
        <x:v>2031.7985558053063</x:v>
      </x:c>
      <x:c r="E1384">
        <x:f t="shared" si="94"/>
        <x:v>2001.3754442363258</x:v>
      </x:c>
    </x:row>
    <x:row r="1385">
      <x:c r="A1385">
        <x:f t="shared" si="90"/>
        <x:v>0.33300000000000002</x:v>
      </x:c>
      <x:c r="B1385">
        <x:f t="shared" si="91"/>
        <x:v>2679.2731517739471</x:v>
      </x:c>
      <x:c r="C1385">
        <x:f t="shared" si="92"/>
        <x:v>1053.0619961686964</x:v>
      </x:c>
      <x:c r="D1385">
        <x:f t="shared" si="93"/>
        <x:v>2089.0735031949753</x:v>
      </x:c>
      <x:c r="E1385">
        <x:f t="shared" si="94"/>
        <x:v>2058.4779229179353</x:v>
      </x:c>
    </x:row>
    <x:row r="1386">
      <x:c r="A1386">
        <x:f t="shared" si="90"/>
        <x:v>0.34200000000000003</x:v>
      </x:c>
      <x:c r="B1386">
        <x:f t="shared" si="91"/>
        <x:v>2679.6384849074366</x:v>
      </x:c>
      <x:c r="C1386">
        <x:f t="shared" si="92"/>
        <x:v>1082.1146416403806</x:v>
      </x:c>
      <x:c r="D1386">
        <x:f t="shared" si="93"/>
        <x:v>2153.9516480745888</x:v>
      </x:c>
      <x:c r="E1386">
        <x:f t="shared" si="94"/>
        <x:v>2123.187380831977</x:v>
      </x:c>
    </x:row>
    <x:row r="1387">
      <x:c r="A1387">
        <x:f t="shared" si="90"/>
        <x:v>0.35</x:v>
      </x:c>
      <x:c r="B1387">
        <x:f t="shared" si="91"/>
        <x:v>2679.9865256495527</x:v>
      </x:c>
      <x:c r="C1387">
        <x:f t="shared" si="92"/>
        <x:v>1108.0213073047621</x:v>
      </x:c>
      <x:c r="D1387">
        <x:f t="shared" si="93"/>
        <x:v>2212.4908066079583</x:v>
      </x:c>
      <x:c r="E1387">
        <x:f t="shared" si="94"/>
        <x:v>2181.5719636316157</x:v>
      </x:c>
    </x:row>
    <x:row r="1388">
      <x:c r="A1388">
        <x:f t="shared" si="90"/>
        <x:v>0.35799999999999998</x:v>
      </x:c>
      <x:c r="B1388">
        <x:f t="shared" si="91"/>
        <x:v>2680.3628439768113</x:v>
      </x:c>
      <x:c r="C1388">
        <x:f t="shared" si="92"/>
        <x:v>1133.8978649739838</x:v>
      </x:c>
      <x:c r="D1388">
        <x:f t="shared" si="93"/>
        <x:v>2271.6279066061034</x:v>
      </x:c>
      <x:c r="E1388">
        <x:f t="shared" si="94"/>
        <x:v>2240.5646109482909</x:v>
      </x:c>
    </x:row>
    <x:row r="1389">
      <x:c r="A1389">
        <x:f t="shared" si="90"/>
        <x:v>0.36699999999999999</x:v>
      </x:c>
      <x:c r="B1389">
        <x:f t="shared" si="91"/>
        <x:v>2680.656874477047</x:v>
      </x:c>
      <x:c r="C1389">
        <x:f t="shared" si="92"/>
        <x:v>1163.2045223369321</x:v>
      </x:c>
      <x:c r="D1389">
        <x:f t="shared" si="93"/>
        <x:v>2338.4592438207114</x:v>
      </x:c>
      <x:c r="E1389">
        <x:f t="shared" si="94"/>
        <x:v>2307.2674673048655</x:v>
      </x:c>
    </x:row>
    <x:row r="1390">
      <x:c r="A1390">
        <x:f t="shared" si="90"/>
        <x:v>0.375</x:v>
      </x:c>
      <x:c r="B1390">
        <x:f t="shared" si="91"/>
        <x:v>2681.1410389461162</x:v>
      </x:c>
      <x:c r="C1390">
        <x:f t="shared" si="92"/>
        <x:v>1189.7387412010428</x:v>
      </x:c>
      <x:c r="D1390">
        <x:f t="shared" si="93"/>
        <x:v>2399.2316666520933</x:v>
      </x:c>
      <x:c r="E1390">
        <x:f t="shared" si="94"/>
        <x:v>2367.9009230173892</x:v>
      </x:c>
    </x:row>
    <x:row r="1391">
      <x:c r="A1391">
        <x:f t="shared" si="90"/>
        <x:v>0.38300000000000001</x:v>
      </x:c>
      <x:c r="B1391">
        <x:f t="shared" si="91"/>
        <x:v>2681.4410343801505</x:v>
      </x:c>
      <x:c r="C1391">
        <x:f t="shared" si="92"/>
        <x:v>1216.6467476359549</x:v>
      </x:c>
      <x:c r="D1391">
        <x:f t="shared" si="93"/>
        <x:v>2460.0404173793613</x:v>
      </x:c>
      <x:c r="E1391">
        <x:f t="shared" si="94"/>
        <x:v>2428.6106577782589</x:v>
      </x:c>
    </x:row>
    <x:row r="1392">
      <x:c r="A1392">
        <x:f t="shared" si="90"/>
        <x:v>0.39200000000000002</x:v>
      </x:c>
      <x:c r="B1392">
        <x:f t="shared" si="91"/>
        <x:v>2681.9939788953425</x:v>
      </x:c>
      <x:c r="C1392">
        <x:f t="shared" si="92"/>
        <x:v>1246.8959337465285</x:v>
      </x:c>
      <x:c r="D1392">
        <x:f t="shared" si="93"/>
        <x:v>2529.4862966892333</x:v>
      </x:c>
      <x:c r="E1392">
        <x:f t="shared" si="94"/>
        <x:v>2497.9453758114569</x:v>
      </x:c>
    </x:row>
    <x:row r="1393">
      <x:c r="A1393">
        <x:f t="shared" si="90"/>
        <x:v>0.4</x:v>
      </x:c>
      <x:c r="B1393">
        <x:f t="shared" si="91"/>
        <x:v>2682.3919407186913</x:v>
      </x:c>
      <x:c r="C1393">
        <x:f t="shared" si="92"/>
        <x:v>1273.9426663277293</x:v>
      </x:c>
      <x:c r="D1393">
        <x:f t="shared" si="93"/>
        <x:v>2592.146348508657</x:v>
      </x:c>
      <x:c r="E1393">
        <x:f t="shared" si="94"/>
        <x:v>2560.508645682442</x:v>
      </x:c>
    </x:row>
    <x:row r="1394">
      <x:c r="A1394">
        <x:f t="shared" si="90"/>
        <x:v>0.40799999999999997</x:v>
      </x:c>
      <x:c r="B1394">
        <x:f t="shared" si="91"/>
        <x:v>2682.9158806588962</x:v>
      </x:c>
      <x:c r="C1394">
        <x:f t="shared" si="92"/>
        <x:v>1301.2535415684738</x:v>
      </x:c>
      <x:c r="D1394">
        <x:f t="shared" si="93"/>
        <x:v>2654.8892109327271</x:v>
      </x:c>
      <x:c r="E1394">
        <x:f t="shared" si="94"/>
        <x:v>2623.1906262677849</x:v>
      </x:c>
    </x:row>
    <x:row r="1395">
      <x:c r="A1395">
        <x:f t="shared" si="90"/>
        <x:v>0.41699999999999998</x:v>
      </x:c>
      <x:c r="B1395">
        <x:f t="shared" si="91"/>
        <x:v>2683.4438459390726</x:v>
      </x:c>
      <x:c r="C1395">
        <x:f t="shared" si="92"/>
        <x:v>1332.2058701793264</x:v>
      </x:c>
      <x:c r="D1395">
        <x:f t="shared" si="93"/>
        <x:v>2726.8255061130581</x:v>
      </x:c>
      <x:c r="E1395">
        <x:f t="shared" si="94"/>
        <x:v>2695.0500562784723</x:v>
      </x:c>
    </x:row>
    <x:row r="1396">
      <x:c r="A1396">
        <x:f t="shared" si="90"/>
        <x:v>0.42499999999999999</x:v>
      </x:c>
      <x:c r="B1396">
        <x:f t="shared" si="91"/>
        <x:v>2684.0530894635986</x:v>
      </x:c>
      <x:c r="C1396">
        <x:f t="shared" si="92"/>
        <x:v>1359.9452187192626</x:v>
      </x:c>
      <x:c r="D1396">
        <x:f t="shared" si="93"/>
        <x:v>2791.2253149758362</x:v>
      </x:c>
      <x:c r="E1396">
        <x:f t="shared" si="94"/>
        <x:v>2759.4047365661204</x:v>
      </x:c>
    </x:row>
    <x:row r="1397">
      <x:c r="A1397">
        <x:f t="shared" si="90"/>
        <x:v>0.433</x:v>
      </x:c>
      <x:c r="B1397">
        <x:f t="shared" si="91"/>
        <x:v>2684.4264672966287</x:v>
      </x:c>
      <x:c r="C1397">
        <x:f t="shared" si="92"/>
        <x:v>1388.0981650857836</x:v>
      </x:c>
      <x:c r="D1397">
        <x:f t="shared" si="93"/>
        <x:v>2856.2260336940121</x:v>
      </x:c>
      <x:c r="E1397">
        <x:f t="shared" si="94"/>
        <x:v>2824.3753796888477</x:v>
      </x:c>
    </x:row>
    <x:row r="1398">
      <x:c r="A1398">
        <x:f t="shared" si="90"/>
        <x:v>0.442</x:v>
      </x:c>
      <x:c r="B1398">
        <x:f t="shared" si="91"/>
        <x:v>2685.2021480085291</x:v>
      </x:c>
      <x:c r="C1398">
        <x:f t="shared" si="92"/>
        <x:v>1419.9573139350396</x:v>
      </x:c>
      <x:c r="D1398">
        <x:f t="shared" si="93"/>
        <x:v>2930.4635049360486</x:v>
      </x:c>
      <x:c r="E1398">
        <x:f t="shared" si="94"/>
        <x:v>2898.5839038762074</x:v>
      </x:c>
    </x:row>
    <x:row r="1399">
      <x:c r="A1399">
        <x:f t="shared" si="90"/>
        <x:v>0.45</x:v>
      </x:c>
      <x:c r="B1399">
        <x:f t="shared" si="91"/>
        <x:v>2685.7460339181407</x:v>
      </x:c>
      <x:c r="C1399">
        <x:f t="shared" si="92"/>
        <x:v>1448.2337315103855</x:v>
      </x:c>
      <x:c r="D1399">
        <x:f t="shared" si="93"/>
        <x:v>2997.0388676298153</x:v>
      </x:c>
      <x:c r="E1399">
        <x:f t="shared" si="94"/>
        <x:v>2965.1524552312057</x:v>
      </x:c>
    </x:row>
    <x:row r="1400">
      <x:c r="A1400">
        <x:f t="shared" si="90"/>
        <x:v>0.45800000000000002</x:v>
      </x:c>
      <x:c r="B1400">
        <x:f t="shared" si="91"/>
        <x:v>2686.2420281089157</x:v>
      </x:c>
      <x:c r="C1400">
        <x:f t="shared" si="92"/>
        <x:v>1476.6661603886619</x:v>
      </x:c>
      <x:c r="D1400">
        <x:f t="shared" si="93"/>
        <x:v>3064.1595178111925</x:v>
      </x:c>
      <x:c r="E1400">
        <x:f t="shared" si="94"/>
        <x:v>3032.2840730905732</x:v>
      </x:c>
    </x:row>
    <x:row r="1401">
      <x:c r="A1401">
        <x:f t="shared" si="90"/>
        <x:v>0.46700000000000003</x:v>
      </x:c>
      <x:c r="B1401">
        <x:f t="shared" si="91"/>
        <x:v>2686.848274404113</x:v>
      </x:c>
      <x:c r="C1401">
        <x:f t="shared" si="92"/>
        <x:v>1509.2529786221271</x:v>
      </x:c>
      <x:c r="D1401">
        <x:f t="shared" si="93"/>
        <x:v>3141.0226701663896</x:v>
      </x:c>
      <x:c r="E1401">
        <x:f t="shared" si="94"/>
        <x:v>3109.1598983076765</x:v>
      </x:c>
    </x:row>
    <x:row r="1402">
      <x:c r="A1402">
        <x:f t="shared" si="90"/>
        <x:v>0.47499999999999998</x:v>
      </x:c>
      <x:c r="B1402">
        <x:f t="shared" si="91"/>
        <x:v>2687.4641738490877</x:v>
      </x:c>
      <x:c r="C1402">
        <x:f t="shared" si="92"/>
        <x:v>1538.4831289843698</x:v>
      </x:c>
      <x:c r="D1402">
        <x:f t="shared" si="93"/>
        <x:v>3209.6363774109341</x:v>
      </x:c>
      <x:c r="E1402">
        <x:f t="shared" si="94"/>
        <x:v>3177.812951422256</x:v>
      </x:c>
    </x:row>
    <x:row r="1403">
      <x:c r="A1403">
        <x:f t="shared" si="90"/>
        <x:v>0.48299999999999998</x:v>
      </x:c>
      <x:c r="B1403">
        <x:f t="shared" si="91"/>
        <x:v>2688.1876250722621</x:v>
      </x:c>
      <x:c r="C1403">
        <x:f t="shared" si="92"/>
        <x:v>1567.9590204754618</x:v>
      </x:c>
      <x:c r="D1403">
        <x:f t="shared" si="93"/>
        <x:v>3279.2329425589828</x:v>
      </x:c>
      <x:c r="E1403">
        <x:f t="shared" si="94"/>
        <x:v>3247.4547932261544</x:v>
      </x:c>
    </x:row>
    <x:row r="1404">
      <x:c r="A1404">
        <x:f t="shared" si="90"/>
        <x:v>0.49199999999999999</x:v>
      </x:c>
      <x:c r="B1404">
        <x:f t="shared" si="91"/>
        <x:v>2688.7222176431492</x:v>
      </x:c>
      <x:c r="C1404">
        <x:f t="shared" si="92"/>
        <x:v>1601.1205159498156</x:v>
      </x:c>
      <x:c r="D1404">
        <x:f t="shared" si="93"/>
        <x:v>3358.5960476551613</x:v>
      </x:c>
      <x:c r="E1404">
        <x:f t="shared" si="94"/>
        <x:v>3326.8801699923215</x:v>
      </x:c>
    </x:row>
    <x:row r="1405">
      <x:c r="A1405">
        <x:f t="shared" si="90"/>
        <x:v>0.5</x:v>
      </x:c>
      <x:c r="B1405">
        <x:f t="shared" si="91"/>
        <x:v>2689.3696122533497</x:v>
      </x:c>
      <x:c r="C1405">
        <x:f t="shared" si="92"/>
        <x:v>1630.7637614719622</x:v>
      </x:c>
      <x:c r="D1405">
        <x:f t="shared" si="93"/>
        <x:v>3429.3588510465356</x:v>
      </x:c>
      <x:c r="E1405">
        <x:f t="shared" si="94"/>
        <x:v>3397.7272251123341</x:v>
      </x:c>
    </x:row>
    <x:row r="1406">
      <x:c r="A1406">
        <x:f t="shared" si="90"/>
        <x:v>0.50800000000000001</x:v>
      </x:c>
      <x:c r="B1406">
        <x:f t="shared" si="91"/>
        <x:v>2689.9524090049945</x:v>
      </x:c>
      <x:c r="C1406">
        <x:f t="shared" si="92"/>
        <x:v>1660.6990177446987</x:v>
      </x:c>
      <x:c r="D1406">
        <x:f t="shared" si="93"/>
        <x:v>3501.549494764668</x:v>
      </x:c>
      <x:c r="E1406">
        <x:f t="shared" si="94"/>
        <x:v>3469.9989806158633</x:v>
      </x:c>
    </x:row>
    <x:row r="1407">
      <x:c r="A1407">
        <x:f t="shared" si="90"/>
        <x:v>0.51700000000000002</x:v>
      </x:c>
      <x:c r="B1407">
        <x:f t="shared" si="91"/>
        <x:v>2690.5667082175996</x:v>
      </x:c>
      <x:c r="C1407">
        <x:f t="shared" si="92"/>
        <x:v>1694.8225866146461</x:v>
      </x:c>
      <x:c r="D1407">
        <x:f t="shared" si="93"/>
        <x:v>3583.0738605817146</x:v>
      </x:c>
      <x:c r="E1407">
        <x:f t="shared" si="94"/>
        <x:v>3551.645051083141</x:v>
      </x:c>
    </x:row>
    <x:row r="1408">
      <x:c r="A1408">
        <x:f t="shared" si="90"/>
        <x:v>0.52500000000000002</x:v>
      </x:c>
      <x:c r="B1408">
        <x:f t="shared" si="91"/>
        <x:v>2691.2861129347111</x:v>
      </x:c>
      <x:c r="C1408">
        <x:f t="shared" si="92"/>
        <x:v>1725.5482605386435</x:v>
      </x:c>
      <x:c r="D1408">
        <x:f t="shared" si="93"/>
        <x:v>3656.4070068229498</x:v>
      </x:c>
      <x:c r="E1408">
        <x:f t="shared" si="94"/>
        <x:v>3625.0993448641489</x:v>
      </x:c>
    </x:row>
    <x:row r="1409">
      <x:c r="A1409">
        <x:f t="shared" si="90"/>
        <x:v>0.53300000000000003</x:v>
      </x:c>
      <x:c r="B1409">
        <x:f t="shared" si="91"/>
        <x:v>2691.7084514155754</x:v>
      </x:c>
      <x:c r="C1409">
        <x:f t="shared" si="92"/>
        <x:v>1756.3205691070345</x:v>
      </x:c>
      <x:c r="D1409">
        <x:f t="shared" si="93"/>
        <x:v>3730.7434368680811</x:v>
      </x:c>
      <x:c r="E1409">
        <x:f t="shared" si="94"/>
        <x:v>3699.5656343989554</x:v>
      </x:c>
    </x:row>
    <x:row r="1410">
      <x:c r="A1410">
        <x:f t="shared" si="90"/>
        <x:v>0.54200000000000004</x:v>
      </x:c>
      <x:c r="B1410">
        <x:f t="shared" si="91"/>
        <x:v>2692.3320799684448</x:v>
      </x:c>
      <x:c r="C1410">
        <x:f t="shared" si="92"/>
        <x:v>1790.9188228799637</x:v>
      </x:c>
      <x:c r="D1410">
        <x:f t="shared" si="93"/>
        <x:v>3814.9219703228828</x:v>
      </x:c>
      <x:c r="E1410">
        <x:f t="shared" si="94"/>
        <x:v>3783.9144030090297</x:v>
      </x:c>
    </x:row>
    <x:row r="1411">
      <x:c r="A1411">
        <x:f t="shared" si="90"/>
        <x:v>0.55000000000000004</x:v>
      </x:c>
      <x:c r="B1411">
        <x:f t="shared" si="91"/>
        <x:v>2692.9418963583466</x:v>
      </x:c>
      <x:c r="C1411">
        <x:f t="shared" si="92"/>
        <x:v>1821.9533285761061</x:v>
      </x:c>
      <x:c r="D1411">
        <x:f t="shared" si="93"/>
        <x:v>3890.7671657116257</x:v>
      </x:c>
      <x:c r="E1411">
        <x:f t="shared" si="94"/>
        <x:v>3859.9216859248836</x:v>
      </x:c>
    </x:row>
    <x:row r="1412">
      <x:c r="A1412">
        <x:f t="shared" si="90"/>
        <x:v>0.55800000000000005</x:v>
      </x:c>
      <x:c r="B1412">
        <x:f t="shared" si="91"/>
        <x:v>2693.5471794573295</x:v>
      </x:c>
      <x:c r="C1412">
        <x:f t="shared" si="92"/>
        <x:v>1853.5962489578701</x:v>
      </x:c>
      <x:c r="D1412">
        <x:f t="shared" si="93"/>
        <x:v>3967.4807487458083</x:v>
      </x:c>
      <x:c r="E1412">
        <x:f t="shared" si="94"/>
        <x:v>3936.8097483681718</x:v>
      </x:c>
    </x:row>
    <x:row r="1413">
      <x:c r="A1413">
        <x:f t="shared" si="90"/>
        <x:v>0.56699999999999995</x:v>
      </x:c>
      <x:c r="B1413">
        <x:f t="shared" si="91"/>
        <x:v>2694.1066115218923</x:v>
      </x:c>
      <x:c r="C1413">
        <x:f t="shared" si="92"/>
        <x:v>1889.5699053140133</x:v>
      </x:c>
      <x:c r="D1413">
        <x:f t="shared" si="93"/>
        <x:v>4054.3706512176195</x:v>
      </x:c>
      <x:c r="E1413">
        <x:f t="shared" si="94"/>
        <x:v>4023.9188730757278</x:v>
      </x:c>
    </x:row>
    <x:row r="1414">
      <x:c r="A1414">
        <x:f t="shared" si="90"/>
        <x:v>0.57499999999999996</x:v>
      </x:c>
      <x:c r="B1414">
        <x:f t="shared" si="91"/>
        <x:v>2694.5893132697602</x:v>
      </x:c>
      <x:c r="C1414">
        <x:f t="shared" si="92"/>
        <x:v>1921.4798302362296</x:v>
      </x:c>
      <x:c r="D1414">
        <x:f t="shared" si="93"/>
        <x:v>4132.7477325196587</x:v>
      </x:c>
      <x:c r="E1414">
        <x:f t="shared" si="94"/>
        <x:v>4102.5004112922288</x:v>
      </x:c>
    </x:row>
    <x:row r="1415">
      <x:c r="A1415">
        <x:f t="shared" si="90"/>
        <x:v>0.58299999999999996</x:v>
      </x:c>
      <x:c r="B1415">
        <x:f t="shared" si="91"/>
        <x:v>2695.2278389412959</x:v>
      </x:c>
      <x:c r="C1415">
        <x:f t="shared" si="92"/>
        <x:v>1953.5879483646522</x:v>
      </x:c>
      <x:c r="D1415">
        <x:f t="shared" si="93"/>
        <x:v>4211.9413090353128</x:v>
      </x:c>
      <x:c r="E1415">
        <x:f t="shared" si="94"/>
        <x:v>4181.9122594539649</x:v>
      </x:c>
    </x:row>
    <x:row r="1416">
      <x:c r="A1416">
        <x:f t="shared" si="90"/>
        <x:v>0.59199999999999997</x:v>
      </x:c>
      <x:c r="B1416">
        <x:f t="shared" si="91"/>
        <x:v>2695.8930735840954</x:v>
      </x:c>
      <x:c r="C1416">
        <x:f t="shared" si="92"/>
        <x:v>1990.0401318933384</x:v>
      </x:c>
      <x:c r="D1416">
        <x:f t="shared" si="93"/>
        <x:v>4301.4635118338947</x:v>
      </x:c>
      <x:c r="E1416">
        <x:f t="shared" si="94"/>
        <x:v>4271.7048468823714</x:v>
      </x:c>
    </x:row>
    <x:row r="1417">
      <x:c r="A1417" t="n">
        <x:f t="shared" ref="A1417:A1465" si="95">I194</x:f>
        <x:v>0.6</x:v>
      </x:c>
      <x:c r="B1417" t="n">
        <x:f t="shared" ref="B1417:B1465" si="96">AQ194</x:f>
        <x:v>2696.4463864364902</x:v>
      </x:c>
      <x:c r="C1417" t="n">
        <x:f t="shared" ref="C1417:C1465" si="97">AS194</x:f>
        <x:v>2022.880167968336</x:v>
      </x:c>
      <x:c r="D1417" t="n">
        <x:f t="shared" ref="D1417:D1465" si="98">AU194</x:f>
        <x:v>4382.539155040683</x:v>
      </x:c>
      <x:c r="E1417" t="n">
        <x:f t="shared" ref="E1417:E1465" si="99">AW194</x:f>
        <x:v>4353.025992120449</x:v>
      </x:c>
    </x:row>
    <x:row r="1418">
      <x:c r="A1418">
        <x:f t="shared" si="95"/>
        <x:v>0.60799999999999998</x:v>
      </x:c>
      <x:c r="B1418">
        <x:f t="shared" si="96"/>
        <x:v>2696.9847033524652</x:v>
      </x:c>
      <x:c r="C1418">
        <x:f t="shared" si="97"/>
        <x:v>2055.9167011409659</x:v>
      </x:c>
      <x:c r="D1418">
        <x:f t="shared" si="98"/>
        <x:v>4463.7348531875177</x:v>
      </x:c>
      <x:c r="E1418">
        <x:f t="shared" si="99"/>
        <x:v>4434.4910214656966</x:v>
      </x:c>
    </x:row>
    <x:row r="1419">
      <x:c r="A1419">
        <x:f t="shared" si="95"/>
        <x:v>0.61699999999999999</x:v>
      </x:c>
      <x:c r="B1419">
        <x:f t="shared" si="96"/>
        <x:v>2697.5027559631326</x:v>
      </x:c>
      <x:c r="C1419">
        <x:f t="shared" si="97"/>
        <x:v>2093.535999451713</x:v>
      </x:c>
      <x:c r="D1419">
        <x:f t="shared" si="98"/>
        <x:v>4556.3885695193476</x:v>
      </x:c>
      <x:c r="E1419">
        <x:f t="shared" si="99"/>
        <x:v>4527.4595208184792</x:v>
      </x:c>
    </x:row>
    <x:row r="1420">
      <x:c r="A1420">
        <x:f t="shared" si="95"/>
        <x:v>0.625</x:v>
      </x:c>
      <x:c r="B1420">
        <x:f t="shared" si="96"/>
        <x:v>2698.211716438776</x:v>
      </x:c>
      <x:c r="C1420">
        <x:f t="shared" si="97"/>
        <x:v>2127.0890152273869</x:v>
      </x:c>
      <x:c r="D1420">
        <x:f t="shared" si="98"/>
        <x:v>4639.8085071502774</x:v>
      </x:c>
      <x:c r="E1420">
        <x:f t="shared" si="99"/>
        <x:v>4611.1716118682671</x:v>
      </x:c>
    </x:row>
    <x:row r="1421">
      <x:c r="A1421">
        <x:f t="shared" si="95"/>
        <x:v>0.63300000000000001</x:v>
      </x:c>
      <x:c r="B1421">
        <x:f t="shared" si="96"/>
        <x:v>2698.7445748679534</x:v>
      </x:c>
      <x:c r="C1421">
        <x:f t="shared" si="97"/>
        <x:v>2160.6819275242242</x:v>
      </x:c>
      <x:c r="D1421">
        <x:f t="shared" si="98"/>
        <x:v>4723.4754348042952</x:v>
      </x:c>
      <x:c r="E1421">
        <x:f t="shared" si="99"/>
        <x:v>4695.1516327932304</x:v>
      </x:c>
    </x:row>
    <x:row r="1422">
      <x:c r="A1422">
        <x:f t="shared" si="95"/>
        <x:v>0.64200000000000002</x:v>
      </x:c>
      <x:c r="B1422">
        <x:f t="shared" si="96"/>
        <x:v>2699.5507501819761</x:v>
      </x:c>
      <x:c r="C1422">
        <x:f t="shared" si="97"/>
        <x:v>2198.8670009595298</x:v>
      </x:c>
      <x:c r="D1422">
        <x:f t="shared" si="98"/>
        <x:v>4819.2543627230234</x:v>
      </x:c>
      <x:c r="E1422">
        <x:f t="shared" si="99"/>
        <x:v>4791.2912850201192</x:v>
      </x:c>
    </x:row>
    <x:row r="1423">
      <x:c r="A1423">
        <x:f t="shared" si="95"/>
        <x:v>0.65</x:v>
      </x:c>
      <x:c r="B1423">
        <x:f t="shared" si="96"/>
        <x:v>2700.1000665260294</x:v>
      </x:c>
      <x:c r="C1423">
        <x:f t="shared" si="97"/>
        <x:v>2233.3796452003226</x:v>
      </x:c>
      <x:c r="D1423">
        <x:f t="shared" si="98"/>
        <x:v>4905.0062605782241</x:v>
      </x:c>
      <x:c r="E1423">
        <x:f t="shared" si="99"/>
        <x:v>4877.3816308441801</x:v>
      </x:c>
    </x:row>
    <x:row r="1424">
      <x:c r="A1424">
        <x:f t="shared" si="95"/>
        <x:v>0.65800000000000003</x:v>
      </x:c>
      <x:c r="B1424">
        <x:f t="shared" si="96"/>
        <x:v>2700.798934050626</x:v>
      </x:c>
      <x:c r="C1424">
        <x:f t="shared" si="97"/>
        <x:v>2268.093572924754</x:v>
      </x:c>
      <x:c r="D1424">
        <x:f t="shared" si="98"/>
        <x:v>4991.4893814494799</x:v>
      </x:c>
      <x:c r="E1424">
        <x:f t="shared" si="99"/>
        <x:v>4964.2179962937817</x:v>
      </x:c>
    </x:row>
    <x:row r="1425">
      <x:c r="A1425">
        <x:f t="shared" si="95"/>
        <x:v>0.66700000000000004</x:v>
      </x:c>
      <x:c r="B1425">
        <x:f t="shared" si="96"/>
        <x:v>2701.6135071673953</x:v>
      </x:c>
      <x:c r="C1425">
        <x:f t="shared" si="97"/>
        <x:v>2307.269279658743</x:v>
      </x:c>
      <x:c r="D1425">
        <x:f t="shared" si="98"/>
        <x:v>5090.1470497930613</x:v>
      </x:c>
      <x:c r="E1425">
        <x:f t="shared" si="99"/>
        <x:v>5063.2857521844699</x:v>
      </x:c>
    </x:row>
    <x:row r="1426">
      <x:c r="A1426">
        <x:f t="shared" si="95"/>
        <x:v>0.67500000000000004</x:v>
      </x:c>
      <x:c r="B1426">
        <x:f t="shared" si="96"/>
        <x:v>2702.2275564022739</x:v>
      </x:c>
      <x:c r="C1426">
        <x:f t="shared" si="97"/>
        <x:v>2342.3978367116929</x:v>
      </x:c>
      <x:c r="D1426">
        <x:f t="shared" si="98"/>
        <x:v>5178.5082795811222</x:v>
      </x:c>
      <x:c r="E1426">
        <x:f t="shared" si="99"/>
        <x:v>5152.0283868009174</x:v>
      </x:c>
    </x:row>
    <x:row r="1427">
      <x:c r="A1427">
        <x:f t="shared" si="95"/>
        <x:v>0.68300000000000005</x:v>
      </x:c>
      <x:c r="B1427">
        <x:f t="shared" si="96"/>
        <x:v>2702.9347012405674</x:v>
      </x:c>
      <x:c r="C1427">
        <x:f t="shared" si="97"/>
        <x:v>2377.586319197082</x:v>
      </x:c>
      <x:c r="D1427">
        <x:f t="shared" si="98"/>
        <x:v>5267.4812917949212</x:v>
      </x:c>
      <x:c r="E1427">
        <x:f t="shared" si="99"/>
        <x:v>5241.3985225164788</x:v>
      </x:c>
    </x:row>
    <x:row r="1428">
      <x:c r="A1428">
        <x:f t="shared" si="95"/>
        <x:v>0.69199999999999995</x:v>
      </x:c>
      <x:c r="B1428">
        <x:f t="shared" si="96"/>
        <x:v>2703.8102548708271</x:v>
      </x:c>
      <x:c r="C1428">
        <x:f t="shared" si="97"/>
        <x:v>2417.6598864735997</x:v>
      </x:c>
      <x:c r="D1428">
        <x:f t="shared" si="98"/>
        <x:v>5369.1561202217617</x:v>
      </x:c>
      <x:c r="E1428">
        <x:f t="shared" si="99"/>
        <x:v>5343.5312999492644</x:v>
      </x:c>
    </x:row>
    <x:row r="1429">
      <x:c r="A1429">
        <x:f t="shared" si="95"/>
        <x:v>0.7</x:v>
      </x:c>
      <x:c r="B1429">
        <x:f t="shared" si="96"/>
        <x:v>2704.614349908813</x:v>
      </x:c>
      <x:c r="C1429">
        <x:f t="shared" si="97"/>
        <x:v>2453.8264418630224</x:v>
      </x:c>
      <x:c r="D1429">
        <x:f t="shared" si="98"/>
        <x:v>5459.8605829956996</x:v>
      </x:c>
      <x:c r="E1429">
        <x:f t="shared" si="99"/>
        <x:v>5434.6621505308067</x:v>
      </x:c>
    </x:row>
    <x:row r="1430">
      <x:c r="A1430">
        <x:f t="shared" si="95"/>
        <x:v>0.70799999999999996</x:v>
      </x:c>
      <x:c r="B1430">
        <x:f t="shared" si="96"/>
        <x:v>2705.3495311488232</x:v>
      </x:c>
      <x:c r="C1430">
        <x:f t="shared" si="97"/>
        <x:v>2490.2166397829856</x:v>
      </x:c>
      <x:c r="D1430">
        <x:f t="shared" si="98"/>
        <x:v>5551.6388512875928</x:v>
      </x:c>
      <x:c r="E1430">
        <x:f t="shared" si="99"/>
        <x:v>5526.8783790378302</x:v>
      </x:c>
    </x:row>
    <x:row r="1431">
      <x:c r="A1431">
        <x:f t="shared" si="95"/>
        <x:v>0.71699999999999997</x:v>
      </x:c>
      <x:c r="B1431">
        <x:f t="shared" si="96"/>
        <x:v>2706.4288747660044</x:v>
      </x:c>
      <x:c r="C1431">
        <x:f t="shared" si="97"/>
        <x:v>2531.154808755311</x:v>
      </x:c>
      <x:c r="D1431">
        <x:f t="shared" si="98"/>
        <x:v>5656.2511890795613</x:v>
      </x:c>
      <x:c r="E1431">
        <x:f t="shared" si="99"/>
        <x:v>5631.9969689362852</x:v>
      </x:c>
    </x:row>
    <x:row r="1432">
      <x:c r="A1432">
        <x:f t="shared" si="95"/>
        <x:v>0.72499999999999998</x:v>
      </x:c>
      <x:c r="B1432">
        <x:f t="shared" si="96"/>
        <x:v>2707.1859976785427</x:v>
      </x:c>
      <x:c r="C1432">
        <x:f t="shared" si="97"/>
        <x:v>2567.7411755466196</x:v>
      </x:c>
      <x:c r="D1432">
        <x:f t="shared" si="98"/>
        <x:v>5749.3574043712242</x:v>
      </x:c>
      <x:c r="E1432">
        <x:f t="shared" si="99"/>
        <x:v>5725.5731708500762</x:v>
      </x:c>
    </x:row>
    <x:row r="1433">
      <x:c r="A1433">
        <x:f t="shared" si="95"/>
        <x:v>0.73299999999999998</x:v>
      </x:c>
      <x:c r="B1433">
        <x:f t="shared" si="96"/>
        <x:v>2708.0535136916324</x:v>
      </x:c>
      <x:c r="C1433">
        <x:f t="shared" si="97"/>
        <x:v>2604.7028372749974</x:v>
      </x:c>
      <x:c r="D1433">
        <x:f t="shared" si="98"/>
        <x:v>5844.2746200925321</x:v>
      </x:c>
      <x:c r="E1433">
        <x:f t="shared" si="99"/>
        <x:v>5820.9670434296495</x:v>
      </x:c>
    </x:row>
    <x:row r="1434">
      <x:c r="A1434">
        <x:f t="shared" si="95"/>
        <x:v>0.74199999999999999</x:v>
      </x:c>
      <x:c r="B1434">
        <x:f t="shared" si="96"/>
        <x:v>2708.9759331232062</x:v>
      </x:c>
      <x:c r="C1434">
        <x:f t="shared" si="97"/>
        <x:v>2646.9794339407081</x:v>
      </x:c>
      <x:c r="D1434">
        <x:f t="shared" si="98"/>
        <x:v>5951.4289657749514</x:v>
      </x:c>
      <x:c r="E1434">
        <x:f t="shared" si="99"/>
        <x:v>5928.6780038190936</x:v>
      </x:c>
    </x:row>
    <x:row r="1435">
      <x:c r="A1435">
        <x:f t="shared" si="95"/>
        <x:v>0.75</x:v>
      </x:c>
      <x:c r="B1435">
        <x:f t="shared" si="96"/>
        <x:v>2709.9297554985205</x:v>
      </x:c>
      <x:c r="C1435">
        <x:f t="shared" si="97"/>
        <x:v>2684.8439175922672</x:v>
      </x:c>
      <x:c r="D1435">
        <x:f t="shared" si="98"/>
        <x:v>6047.7020502811029</x:v>
      </x:c>
      <x:c r="E1435">
        <x:f t="shared" si="99"/>
        <x:v>6025.4591988659058</x:v>
      </x:c>
    </x:row>
    <x:row r="1436">
      <x:c r="A1436">
        <x:f t="shared" si="95"/>
        <x:v>0.75800000000000001</x:v>
      </x:c>
      <x:c r="B1436">
        <x:f t="shared" si="96"/>
        <x:v>2710.7767597783932</x:v>
      </x:c>
      <x:c r="C1436">
        <x:f t="shared" si="97"/>
        <x:v>2722.7356281270404</x:v>
      </x:c>
      <x:c r="D1436">
        <x:f t="shared" si="98"/>
        <x:v>6145.1113384527371</x:v>
      </x:c>
      <x:c r="E1436">
        <x:f t="shared" si="99"/>
        <x:v>6123.388242453002</x:v>
      </x:c>
    </x:row>
    <x:row r="1437">
      <x:c r="A1437">
        <x:f t="shared" si="95"/>
        <x:v>0.76700000000000002</x:v>
      </x:c>
      <x:c r="B1437">
        <x:f t="shared" si="96"/>
        <x:v>2711.6756857341511</x:v>
      </x:c>
      <x:c r="C1437">
        <x:f t="shared" si="97"/>
        <x:v>2765.5141301691888</x:v>
      </x:c>
      <x:c r="D1437">
        <x:f t="shared" si="98"/>
        <x:v>6255.2175947007745</x:v>
      </x:c>
      <x:c r="E1437">
        <x:f t="shared" si="99"/>
        <x:v>6234.0978575250019</x:v>
      </x:c>
    </x:row>
    <x:row r="1438">
      <x:c r="A1438">
        <x:f t="shared" si="95"/>
        <x:v>0.77500000000000002</x:v>
      </x:c>
      <x:c r="B1438">
        <x:f t="shared" si="96"/>
        <x:v>2712.6188196120961</x:v>
      </x:c>
      <x:c r="C1438">
        <x:f t="shared" si="97"/>
        <x:v>2803.9763312366531</x:v>
      </x:c>
      <x:c r="D1438">
        <x:f t="shared" si="98"/>
        <x:v>6354.2808257531133</x:v>
      </x:c>
      <x:c r="E1438">
        <x:f t="shared" si="99"/>
        <x:v>6333.7098311128047</x:v>
      </x:c>
    </x:row>
    <x:row r="1439">
      <x:c r="A1439">
        <x:f t="shared" si="95"/>
        <x:v>0.78300000000000003</x:v>
      </x:c>
      <x:c r="B1439">
        <x:f t="shared" si="96"/>
        <x:v>2713.4032506309049</x:v>
      </x:c>
      <x:c r="C1439">
        <x:f t="shared" si="97"/>
        <x:v>2842.8304615876677</x:v>
      </x:c>
      <x:c r="D1439">
        <x:f t="shared" si="98"/>
        <x:v>6454.255793929251</x:v>
      </x:c>
      <x:c r="E1439">
        <x:f t="shared" si="99"/>
        <x:v>6434.2464090236699</x:v>
      </x:c>
    </x:row>
    <x:row r="1440">
      <x:c r="A1440">
        <x:f t="shared" si="95"/>
        <x:v>0.79200000000000004</x:v>
      </x:c>
      <x:c r="B1440">
        <x:f t="shared" si="96"/>
        <x:v>2714.4305325830087</x:v>
      </x:c>
      <x:c r="C1440">
        <x:f t="shared" si="97"/>
        <x:v>2886.984046410364</x:v>
      </x:c>
      <x:c r="D1440">
        <x:f t="shared" si="98"/>
        <x:v>6567.3472902900339</x:v>
      </x:c>
      <x:c r="E1440">
        <x:f t="shared" si="99"/>
        <x:v>6547.9871884356353</x:v>
      </x:c>
    </x:row>
    <x:row r="1441">
      <x:c r="A1441">
        <x:f t="shared" si="95"/>
        <x:v>0.8</x:v>
      </x:c>
      <x:c r="B1441">
        <x:f t="shared" si="96"/>
        <x:v>2715.1240578360221</x:v>
      </x:c>
      <x:c r="C1441">
        <x:f t="shared" si="97"/>
        <x:v>2926.6072868304295</x:v>
      </x:c>
      <x:c r="D1441">
        <x:f t="shared" si="98"/>
        <x:v>6669.1577665974264</x:v>
      </x:c>
      <x:c r="E1441">
        <x:f t="shared" si="99"/>
        <x:v>6650.386871354116</x:v>
      </x:c>
    </x:row>
    <x:row r="1442">
      <x:c r="A1442">
        <x:f t="shared" si="95"/>
        <x:v>0.80800000000000005</x:v>
      </x:c>
      <x:c r="B1442">
        <x:f t="shared" si="96"/>
        <x:v>2716.0288479017681</x:v>
      </x:c>
      <x:c r="C1442">
        <x:f t="shared" si="97"/>
        <x:v>2966.1118770408548</x:v>
      </x:c>
      <x:c r="D1442">
        <x:f t="shared" si="98"/>
        <x:v>6771.9546878484725</x:v>
      </x:c>
      <x:c r="E1442">
        <x:f t="shared" si="99"/>
        <x:v>6753.7854563481624</x:v>
      </x:c>
    </x:row>
    <x:row r="1443">
      <x:c r="A1443">
        <x:f t="shared" si="95"/>
        <x:v>0.81699999999999995</x:v>
      </x:c>
      <x:c r="B1443">
        <x:f t="shared" si="96"/>
        <x:v>2717.0017454216668</x:v>
      </x:c>
      <x:c r="C1443">
        <x:f t="shared" si="97"/>
        <x:v>3010.7839804780428</x:v>
      </x:c>
      <x:c r="D1443">
        <x:f t="shared" si="98"/>
        <x:v>6888.0214262066011</x:v>
      </x:c>
      <x:c r="E1443">
        <x:f t="shared" si="99"/>
        <x:v>6870.5468208439188</x:v>
      </x:c>
    </x:row>
    <x:row r="1444">
      <x:c r="A1444">
        <x:f t="shared" si="95"/>
        <x:v>0.82499999999999996</x:v>
      </x:c>
      <x:c r="B1444">
        <x:f t="shared" si="96"/>
        <x:v>2717.7655816374827</x:v>
      </x:c>
      <x:c r="C1444">
        <x:f t="shared" si="97"/>
        <x:v>3051.1779591603058</x:v>
      </x:c>
      <x:c r="D1444">
        <x:f t="shared" si="98"/>
        <x:v>6992.888996566192</x:v>
      </x:c>
      <x:c r="E1444">
        <x:f t="shared" si="99"/>
        <x:v>6976.0425191762042</x:v>
      </x:c>
    </x:row>
    <x:row r="1445">
      <x:c r="A1445">
        <x:f t="shared" si="95"/>
        <x:v>0.83299999999999996</x:v>
      </x:c>
      <x:c r="B1445">
        <x:f t="shared" si="96"/>
        <x:v>2718.5624236411568</x:v>
      </x:c>
      <x:c r="C1445">
        <x:f t="shared" si="97"/>
        <x:v>3091.9929842947872</x:v>
      </x:c>
      <x:c r="D1445">
        <x:f t="shared" si="98"/>
        <x:v>7098.013869852497</x:v>
      </x:c>
      <x:c r="E1445">
        <x:f t="shared" si="99"/>
        <x:v>7081.8104256366196</x:v>
      </x:c>
    </x:row>
    <x:row r="1446">
      <x:c r="A1446">
        <x:f t="shared" si="95"/>
        <x:v>0.84199999999999997</x:v>
      </x:c>
      <x:c r="B1446">
        <x:f t="shared" si="96"/>
        <x:v>2719.4600228979743</x:v>
      </x:c>
      <x:c r="C1446">
        <x:f t="shared" si="97"/>
        <x:v>3137.9971314740387</x:v>
      </x:c>
      <x:c r="D1446">
        <x:f t="shared" si="98"/>
        <x:v>7217.5464800794807</x:v>
      </x:c>
      <x:c r="E1446">
        <x:f t="shared" si="99"/>
        <x:v>7202.0807691718983</x:v>
      </x:c>
    </x:row>
    <x:row r="1447">
      <x:c r="A1447">
        <x:f t="shared" si="95"/>
        <x:v>0.85</x:v>
      </x:c>
      <x:c r="B1447">
        <x:f t="shared" si="96"/>
        <x:v>2720.284625130148</x:v>
      </x:c>
      <x:c r="C1447">
        <x:f t="shared" si="97"/>
        <x:v>3179.0930306359223</x:v>
      </x:c>
      <x:c r="D1447">
        <x:f t="shared" si="98"/>
        <x:v>7325.1092721845771</x:v>
      </x:c>
      <x:c r="E1447">
        <x:f t="shared" si="99"/>
        <x:v>7310.3115934458438</x:v>
      </x:c>
    </x:row>
    <x:row r="1448">
      <x:c r="A1448">
        <x:f t="shared" si="95"/>
        <x:v>0.85799999999999998</x:v>
      </x:c>
      <x:c r="B1448">
        <x:f t="shared" si="96"/>
        <x:v>2721.136694205718</x:v>
      </x:c>
      <x:c r="C1448">
        <x:f t="shared" si="97"/>
        <x:v>3220.474419904112</x:v>
      </x:c>
      <x:c r="D1448">
        <x:f t="shared" si="98"/>
        <x:v>7432.7823912122676</x:v>
      </x:c>
      <x:c r="E1448">
        <x:f t="shared" si="99"/>
        <x:v>7418.6674296546635</x:v>
      </x:c>
    </x:row>
    <x:row r="1449">
      <x:c r="A1449">
        <x:f t="shared" si="95"/>
        <x:v>0.86699999999999999</x:v>
      </x:c>
      <x:c r="B1449">
        <x:f t="shared" si="96"/>
        <x:v>2722.0161317735797</x:v>
      </x:c>
      <x:c r="C1449">
        <x:f t="shared" si="97"/>
        <x:v>3267.3868480184751</x:v>
      </x:c>
      <x:c r="D1449">
        <x:f t="shared" si="98"/>
        <x:v>7555.73320099179</x:v>
      </x:c>
      <x:c r="E1449">
        <x:f t="shared" si="99"/>
        <x:v>7542.3991178521374</x:v>
      </x:c>
    </x:row>
    <x:row r="1450">
      <x:c r="A1450">
        <x:f t="shared" si="95"/>
        <x:v>0.875</x:v>
      </x:c>
      <x:c r="B1450">
        <x:f t="shared" si="96"/>
        <x:v>2722.8437124522143</x:v>
      </x:c>
      <x:c r="C1450">
        <x:f t="shared" si="97"/>
        <x:v>3309.459484632871</x:v>
      </x:c>
      <x:c r="D1450">
        <x:f t="shared" si="98"/>
        <x:v>7665.6363551419226</x:v>
      </x:c>
      <x:c r="E1450">
        <x:f t="shared" si="99"/>
        <x:v>7653.0103761009914</x:v>
      </x:c>
    </x:row>
    <x:row r="1451">
      <x:c r="A1451">
        <x:f t="shared" si="95"/>
        <x:v>0.88300000000000001</x:v>
      </x:c>
      <x:c r="B1451">
        <x:f t="shared" si="96"/>
        <x:v>2723.7535103247137</x:v>
      </x:c>
      <x:c r="C1451">
        <x:f t="shared" si="97"/>
        <x:v>3352.0649024359104</x:v>
      </x:c>
      <x:c r="D1451">
        <x:f t="shared" si="98"/>
        <x:v>7776.3134840233197</x:v>
      </x:c>
      <x:c r="E1451">
        <x:f t="shared" si="99"/>
        <x:v>7764.4081350914239</x:v>
      </x:c>
    </x:row>
    <x:row r="1452">
      <x:c r="A1452">
        <x:f t="shared" si="95"/>
        <x:v>0.89200000000000002</x:v>
      </x:c>
      <x:c r="B1452">
        <x:f t="shared" si="96"/>
        <x:v>2724.6194788259563</x:v>
      </x:c>
      <x:c r="C1452">
        <x:f t="shared" si="97"/>
        <x:v>3400.2165495983063</x:v>
      </x:c>
      <x:c r="D1452">
        <x:f t="shared" si="98"/>
        <x:v>7902.2341100275926</x:v>
      </x:c>
      <x:c r="E1452">
        <x:f t="shared" si="99"/>
        <x:v>7891.1533948112265</x:v>
      </x:c>
    </x:row>
    <x:row r="1453">
      <x:c r="A1453">
        <x:f t="shared" si="95"/>
        <x:v>0.9</x:v>
      </x:c>
      <x:c r="B1453">
        <x:f t="shared" si="96"/>
        <x:v>2725.5426746113139</x:v>
      </x:c>
      <x:c r="C1453">
        <x:f t="shared" si="97"/>
        <x:v>3443.0391736592751</x:v>
      </x:c>
      <x:c r="D1453">
        <x:f t="shared" si="98"/>
        <x:v>8014.9694328813939</x:v>
      </x:c>
      <x:c r="E1453">
        <x:f t="shared" si="99"/>
        <x:v>8004.6349696018278</x:v>
      </x:c>
    </x:row>
    <x:row r="1454">
      <x:c r="A1454">
        <x:f t="shared" si="95"/>
        <x:v>0.90800000000000003</x:v>
      </x:c>
      <x:c r="B1454">
        <x:f t="shared" si="96"/>
        <x:v>2726.4905339389343</x:v>
      </x:c>
      <x:c r="C1454">
        <x:f t="shared" si="97"/>
        <x:v>3486.1231127043511</x:v>
      </x:c>
      <x:c r="D1454">
        <x:f t="shared" si="98"/>
        <x:v>8128.406130195016</x:v>
      </x:c>
      <x:c r="E1454">
        <x:f t="shared" si="99"/>
        <x:v>8118.8303470518795</x:v>
      </x:c>
    </x:row>
    <x:row r="1455">
      <x:c r="A1455">
        <x:f t="shared" si="95"/>
        <x:v>0.91700000000000004</x:v>
      </x:c>
      <x:c r="B1455">
        <x:f t="shared" si="96"/>
        <x:v>2727.3660689754033</x:v>
      </x:c>
      <x:c r="C1455">
        <x:f t="shared" si="97"/>
        <x:v>3535.2172163611772</x:v>
      </x:c>
      <x:c r="D1455">
        <x:f t="shared" si="98"/>
        <x:v>8257.7629002644753</x:v>
      </x:c>
      <x:c r="E1455">
        <x:f t="shared" si="99"/>
        <x:v>8249.0540721429843</x:v>
      </x:c>
    </x:row>
    <x:row r="1456">
      <x:c r="A1456">
        <x:f t="shared" si="95"/>
        <x:v>0.92500000000000004</x:v>
      </x:c>
      <x:c r="B1456">
        <x:f t="shared" si="96"/>
        <x:v>2728.4267562236205</x:v>
      </x:c>
      <x:c r="C1456">
        <x:f t="shared" si="97"/>
        <x:v>3579.3846173845591</x:v>
      </x:c>
      <x:c r="D1456">
        <x:f t="shared" si="98"/>
        <x:v>8373.1377315914651</x:v>
      </x:c>
      <x:c r="E1456">
        <x:f t="shared" si="99"/>
        <x:v>8365.2131142691615</x:v>
      </x:c>
    </x:row>
    <x:row r="1457">
      <x:c r="A1457">
        <x:f t="shared" si="95"/>
        <x:v>0.93300000000000005</x:v>
      </x:c>
      <x:c r="B1457">
        <x:f t="shared" si="96"/>
        <x:v>2729.3458026865251</x:v>
      </x:c>
      <x:c r="C1457">
        <x:f t="shared" si="97"/>
        <x:v>3623.8013398415765</x:v>
      </x:c>
      <x:c r="D1457">
        <x:f t="shared" si="98"/>
        <x:v>8489.6063171329315</x:v>
      </x:c>
      <x:c r="E1457">
        <x:f t="shared" si="99"/>
        <x:v>8482.4776141264228</x:v>
      </x:c>
    </x:row>
    <x:row r="1458">
      <x:c r="A1458">
        <x:f t="shared" si="95"/>
        <x:v>0.94199999999999995</x:v>
      </x:c>
      <x:c r="B1458">
        <x:f t="shared" si="96"/>
        <x:v>2730.3273772876369</x:v>
      </x:c>
      <x:c r="C1458">
        <x:f t="shared" si="97"/>
        <x:v>3673.7926080967623</x:v>
      </x:c>
      <x:c r="D1458">
        <x:f t="shared" si="98"/>
        <x:v>8622.0242394248799</x:v>
      </x:c>
      <x:c r="E1458">
        <x:f t="shared" si="99"/>
        <x:v>8615.8048955832892</x:v>
      </x:c>
    </x:row>
    <x:row r="1459">
      <x:c r="A1459">
        <x:f t="shared" si="95"/>
        <x:v>0.95</x:v>
      </x:c>
      <x:c r="B1459">
        <x:f t="shared" si="96"/>
        <x:v>2731.2756154062386</x:v>
      </x:c>
      <x:c r="C1459">
        <x:f t="shared" si="97"/>
        <x:v>3718.4769576241201</x:v>
      </x:c>
      <x:c r="D1459">
        <x:f t="shared" si="98"/>
        <x:v>8739.9137668744534</x:v>
      </x:c>
      <x:c r="E1459">
        <x:f t="shared" si="99"/>
        <x:v>8734.5160260477151</x:v>
      </x:c>
    </x:row>
    <x:row r="1460">
      <x:c r="A1460">
        <x:f t="shared" si="95"/>
        <x:v>0.95799999999999996</x:v>
      </x:c>
      <x:c r="B1460">
        <x:f t="shared" si="96"/>
        <x:v>2732.4109903611452</x:v>
      </x:c>
      <x:c r="C1460">
        <x:f t="shared" si="97"/>
        <x:v>3763.5617882218221</x:v>
      </x:c>
      <x:c r="D1460">
        <x:f t="shared" si="98"/>
        <x:v>8859.6036444884012</x:v>
      </x:c>
      <x:c r="E1460">
        <x:f t="shared" si="99"/>
        <x:v>8855.0386050321868</x:v>
      </x:c>
    </x:row>
    <x:row r="1461">
      <x:c r="A1461">
        <x:f t="shared" si="95"/>
        <x:v>0.96699999999999997</x:v>
      </x:c>
      <x:c r="B1461">
        <x:f t="shared" si="96"/>
        <x:v>2733.3737112683802</x:v>
      </x:c>
      <x:c r="C1461">
        <x:f t="shared" si="97"/>
        <x:v>3814.9348272569846</x:v>
      </x:c>
      <x:c r="D1461">
        <x:f t="shared" si="98"/>
        <x:v>8994.6520223731113</x:v>
      </x:c>
      <x:c r="E1461">
        <x:f t="shared" si="99"/>
        <x:v>8991.0382869333407</x:v>
      </x:c>
    </x:row>
    <x:row r="1462">
      <x:c r="A1462">
        <x:f t="shared" si="95"/>
        <x:v>0.97499999999999998</x:v>
      </x:c>
      <x:c r="B1462">
        <x:f t="shared" si="96"/>
        <x:v>2734.400824079456</x:v>
      </x:c>
      <x:c r="C1462">
        <x:f t="shared" si="97"/>
        <x:v>3861.0175580175628</x:v>
      </x:c>
      <x:c r="D1462">
        <x:f t="shared" si="98"/>
        <x:v>9115.7810299135654</x:v>
      </x:c>
      <x:c r="E1462">
        <x:f t="shared" si="99"/>
        <x:v>9113.0252304483129</x:v>
      </x:c>
    </x:row>
    <x:row r="1463">
      <x:c r="A1463">
        <x:f t="shared" si="95"/>
        <x:v>0.98299999999999998</x:v>
      </x:c>
      <x:c r="B1463">
        <x:f t="shared" si="96"/>
        <x:v>2735.4474657815513</x:v>
      </x:c>
      <x:c r="C1463">
        <x:f t="shared" si="97"/>
        <x:v>3907.2721084737309</x:v>
      </x:c>
      <x:c r="D1463">
        <x:f t="shared" si="98"/>
        <x:v>9238.143445583908</x:v>
      </x:c>
      <x:c r="E1463">
        <x:f t="shared" si="99"/>
        <x:v>9236.2571323090415</x:v>
      </x:c>
    </x:row>
    <x:row r="1464">
      <x:c r="A1464">
        <x:f t="shared" si="95"/>
        <x:v>0.99199999999999999</x:v>
      </x:c>
      <x:c r="B1464">
        <x:f t="shared" si="96"/>
        <x:v>2736.577363887402</x:v>
      </x:c>
      <x:c r="C1464">
        <x:f t="shared" si="97"/>
        <x:v>3959.1875965265444</x:v>
      </x:c>
      <x:c r="D1464">
        <x:f t="shared" si="98"/>
        <x:v>9376.3675213349452</x:v>
      </x:c>
      <x:c r="E1464">
        <x:f t="shared" si="99"/>
        <x:v>9375.4733755196976</x:v>
      </x:c>
    </x:row>
    <x:row r="1465">
      <x:c r="A1465">
        <x:f t="shared" si="95"/>
        <x:v>1</x:v>
      </x:c>
      <x:c r="B1465">
        <x:f t="shared" si="96"/>
        <x:v>2737.580395373951</x:v>
      </x:c>
      <x:c r="C1465">
        <x:f t="shared" si="97"/>
        <x:v>4005.8185439109393</x:v>
      </x:c>
      <x:c r="D1465">
        <x:f t="shared" si="98"/>
        <x:v>9500.4590031016614</x:v>
      </x:c>
      <x:c r="E1465">
        <x:f t="shared" si="99"/>
        <x:v>9500.4590031016614</x:v>
      </x:c>
    </x:row>
  </x:sheetData>
  <x:pageMargins left="0.7" right="0.7" top="0.75" bottom="0.75" header="0.3" footer="0.3"/>
</x:worksheet>
</file>

<file path=xl/worksheets/sheet12.xml><?xml version="1.0" encoding="utf-8"?>
<x:worksheet xmlns:x="http://schemas.openxmlformats.org/spreadsheetml/2006/main">
  <x:sheetFormatPr defaultRowHeight="13.5"/>
  <x:cols>
    <x:col min="1" max="8" width="18" customWidth="1"/>
  </x:cols>
  <x:sheetData>
    <x:row r="1">
      <x:c r="A1" t="s">
        <x:v>697</x:v>
      </x:c>
    </x:row>
    <x:row r="2">
      <x:c r="A2" t="s">
        <x:v>698</x:v>
      </x:c>
      <x:c r="B2" t="s">
        <x:v>699</x:v>
      </x:c>
      <x:c r="C2" t="s">
        <x:v>700</x:v>
      </x:c>
      <x:c r="D2" t="s">
        <x:v>701</x:v>
      </x:c>
      <x:c r="E2" t="s">
        <x:v>702</x:v>
      </x:c>
      <x:c r="F2" t="s">
        <x:v>703</x:v>
      </x:c>
    </x:row>
    <x:row r="3">
      <x:c r="A3" t="n">
        <x:f>Dashboard_Live_Data!D2</x:f>
        <x:v>-60</x:v>
      </x:c>
      <x:c r="B3" t="n">
        <x:f>Dashboard_Live_Data!E2</x:f>
        <x:v>119.42638570504096</x:v>
      </x:c>
      <x:c r="C3" t="n">
        <x:f>Dashboard_Live_Data!D2</x:f>
        <x:v>-60</x:v>
      </x:c>
      <x:c r="D3" t="n">
        <x:f>Dashboard_Live_Data!F2</x:f>
        <x:v>119.42638570504096</x:v>
      </x:c>
      <x:c r="E3" t="n">
        <x:f>Dashboard_Live_Data!D2</x:f>
        <x:v>-60</x:v>
      </x:c>
      <x:c r="F3" t="n">
        <x:f>Dashboard_Live_Data!G2</x:f>
        <x:v>2.7642790376402013</x:v>
      </x:c>
    </x:row>
    <x:row r="4">
      <x:c r="A4" t="n">
        <x:f>Dashboard_Live_Data!D3</x:f>
        <x:v>-59.5</x:v>
      </x:c>
      <x:c r="B4" t="n">
        <x:f>Dashboard_Live_Data!E3</x:f>
        <x:v>110.69606493723512</x:v>
      </x:c>
      <x:c r="C4" t="n">
        <x:f>Dashboard_Live_Data!D3</x:f>
        <x:v>-59.5</x:v>
      </x:c>
      <x:c r="D4" t="n">
        <x:f>Dashboard_Live_Data!F3</x:f>
        <x:v>110.69606493723512</x:v>
      </x:c>
      <x:c r="E4" t="n">
        <x:f>Dashboard_Live_Data!D3</x:f>
        <x:v>-59.5</x:v>
      </x:c>
      <x:c r="F4" t="n">
        <x:f>Dashboard_Live_Data!G3</x:f>
        <x:v>19.645117006397193</x:v>
      </x:c>
    </x:row>
    <x:row r="5">
      <x:c r="A5" t="n">
        <x:f>Dashboard_Live_Data!D4</x:f>
        <x:v>-59</x:v>
      </x:c>
      <x:c r="B5" t="n">
        <x:f>Dashboard_Live_Data!E4</x:f>
        <x:v>112.99219424849355</x:v>
      </x:c>
      <x:c r="C5" t="n">
        <x:f>Dashboard_Live_Data!D4</x:f>
        <x:v>-59</x:v>
      </x:c>
      <x:c r="D5" t="n">
        <x:f>Dashboard_Live_Data!F4</x:f>
        <x:v>112.99219424849355</x:v>
      </x:c>
      <x:c r="E5" t="n">
        <x:f>Dashboard_Live_Data!D4</x:f>
        <x:v>-59</x:v>
      </x:c>
      <x:c r="F5" t="n">
        <x:f>Dashboard_Live_Data!G4</x:f>
        <x:v>7.970448353767724</x:v>
      </x:c>
    </x:row>
    <x:row r="6">
      <x:c r="A6" t="n">
        <x:f>Dashboard_Live_Data!D5</x:f>
        <x:v>-58.5</x:v>
      </x:c>
      <x:c r="B6" t="n">
        <x:f>Dashboard_Live_Data!E5</x:f>
        <x:v>134.3858310571132</x:v>
      </x:c>
      <x:c r="C6" t="n">
        <x:f>Dashboard_Live_Data!D5</x:f>
        <x:v>-58.5</x:v>
      </x:c>
      <x:c r="D6" t="n">
        <x:f>Dashboard_Live_Data!F5</x:f>
        <x:v>134.3858310571132</x:v>
      </x:c>
      <x:c r="E6" t="n">
        <x:f>Dashboard_Live_Data!D5</x:f>
        <x:v>-58.5</x:v>
      </x:c>
      <x:c r="F6" t="n">
        <x:f>Dashboard_Live_Data!G5</x:f>
        <x:v>21.747313566550197</x:v>
      </x:c>
    </x:row>
    <x:row r="7">
      <x:c r="A7" t="n">
        <x:f>Dashboard_Live_Data!D6</x:f>
        <x:v>-58</x:v>
      </x:c>
      <x:c r="B7" t="n">
        <x:f>Dashboard_Live_Data!E6</x:f>
        <x:v>120.06952906780961</x:v>
      </x:c>
      <x:c r="C7" t="n">
        <x:f>Dashboard_Live_Data!D6</x:f>
        <x:v>-58</x:v>
      </x:c>
      <x:c r="D7" t="n">
        <x:f>Dashboard_Live_Data!F6</x:f>
        <x:v>120.06952906780961</x:v>
      </x:c>
      <x:c r="E7" t="n">
        <x:f>Dashboard_Live_Data!D6</x:f>
        <x:v>-58</x:v>
      </x:c>
      <x:c r="F7" t="n">
        <x:f>Dashboard_Live_Data!G6</x:f>
        <x:v>31.86691354901535</x:v>
      </x:c>
    </x:row>
    <x:row r="8">
      <x:c r="A8" t="n">
        <x:f>Dashboard_Live_Data!D7</x:f>
        <x:v>-57.5</x:v>
      </x:c>
      <x:c r="B8" t="n">
        <x:f>Dashboard_Live_Data!E7</x:f>
        <x:v>138.90151425445745</x:v>
      </x:c>
      <x:c r="C8" t="n">
        <x:f>Dashboard_Live_Data!D7</x:f>
        <x:v>-57.5</x:v>
      </x:c>
      <x:c r="D8" t="n">
        <x:f>Dashboard_Live_Data!F7</x:f>
        <x:v>138.90151425445745</x:v>
      </x:c>
      <x:c r="E8" t="n">
        <x:f>Dashboard_Live_Data!D7</x:f>
        <x:v>-57.5</x:v>
      </x:c>
      <x:c r="F8" t="n">
        <x:f>Dashboard_Live_Data!G7</x:f>
        <x:v>34.58634748797326</x:v>
      </x:c>
    </x:row>
    <x:row r="9">
      <x:c r="A9" t="n">
        <x:f>Dashboard_Live_Data!D8</x:f>
        <x:v>-57</x:v>
      </x:c>
      <x:c r="B9" t="n">
        <x:f>Dashboard_Live_Data!E8</x:f>
        <x:v>137.46604725484156</x:v>
      </x:c>
      <x:c r="C9" t="n">
        <x:f>Dashboard_Live_Data!D8</x:f>
        <x:v>-57</x:v>
      </x:c>
      <x:c r="D9" t="n">
        <x:f>Dashboard_Live_Data!F8</x:f>
        <x:v>137.46604725484156</x:v>
      </x:c>
      <x:c r="E9" t="n">
        <x:f>Dashboard_Live_Data!D8</x:f>
        <x:v>-57</x:v>
      </x:c>
      <x:c r="F9" t="n">
        <x:f>Dashboard_Live_Data!G8</x:f>
        <x:v>55.44088303799376</x:v>
      </x:c>
    </x:row>
    <x:row r="10">
      <x:c r="A10" t="n">
        <x:f>Dashboard_Live_Data!D9</x:f>
        <x:v>-56.5</x:v>
      </x:c>
      <x:c r="B10" t="n">
        <x:f>Dashboard_Live_Data!E9</x:f>
        <x:v>141.4558244940569</x:v>
      </x:c>
      <x:c r="C10" t="n">
        <x:f>Dashboard_Live_Data!D9</x:f>
        <x:v>-56.5</x:v>
      </x:c>
      <x:c r="D10" t="n">
        <x:f>Dashboard_Live_Data!F9</x:f>
        <x:v>141.4558244940569</x:v>
      </x:c>
      <x:c r="E10" t="n">
        <x:f>Dashboard_Live_Data!D9</x:f>
        <x:v>-56.5</x:v>
      </x:c>
      <x:c r="F10" t="n">
        <x:f>Dashboard_Live_Data!G9</x:f>
        <x:v>57.32564727891993</x:v>
      </x:c>
    </x:row>
    <x:row r="11">
      <x:c r="A11" t="n">
        <x:f>Dashboard_Live_Data!D10</x:f>
        <x:v>-56</x:v>
      </x:c>
      <x:c r="B11" t="n">
        <x:f>Dashboard_Live_Data!E10</x:f>
        <x:v>167.1152389347629</x:v>
      </x:c>
      <x:c r="C11" t="n">
        <x:f>Dashboard_Live_Data!D10</x:f>
        <x:v>-56</x:v>
      </x:c>
      <x:c r="D11" t="n">
        <x:f>Dashboard_Live_Data!F10</x:f>
        <x:v>167.1152389347629</x:v>
      </x:c>
      <x:c r="E11" t="n">
        <x:f>Dashboard_Live_Data!D10</x:f>
        <x:v>-56</x:v>
      </x:c>
      <x:c r="F11" t="n">
        <x:f>Dashboard_Live_Data!G10</x:f>
        <x:v>61.55956835196879</x:v>
      </x:c>
    </x:row>
    <x:row r="12">
      <x:c r="A12" t="n">
        <x:f>Dashboard_Live_Data!D11</x:f>
        <x:v>-55.5</x:v>
      </x:c>
      <x:c r="B12" t="n">
        <x:f>Dashboard_Live_Data!E11</x:f>
        <x:v>160.57943103446084</x:v>
      </x:c>
      <x:c r="C12" t="n">
        <x:f>Dashboard_Live_Data!D11</x:f>
        <x:v>-55.5</x:v>
      </x:c>
      <x:c r="D12" t="n">
        <x:f>Dashboard_Live_Data!F11</x:f>
        <x:v>160.57943103446084</x:v>
      </x:c>
      <x:c r="E12" t="n">
        <x:f>Dashboard_Live_Data!D11</x:f>
        <x:v>-55.5</x:v>
      </x:c>
      <x:c r="F12" t="n">
        <x:f>Dashboard_Live_Data!G11</x:f>
        <x:v>38.49658216595124</x:v>
      </x:c>
    </x:row>
    <x:row r="13">
      <x:c r="A13" t="n">
        <x:f>Dashboard_Live_Data!D12</x:f>
        <x:v>-55</x:v>
      </x:c>
      <x:c r="B13" t="n">
        <x:f>Dashboard_Live_Data!E12</x:f>
        <x:v>176.10976359434375</x:v>
      </x:c>
      <x:c r="C13" t="n">
        <x:f>Dashboard_Live_Data!D12</x:f>
        <x:v>-55</x:v>
      </x:c>
      <x:c r="D13" t="n">
        <x:f>Dashboard_Live_Data!F12</x:f>
        <x:v>176.10976359434375</x:v>
      </x:c>
      <x:c r="E13" t="n">
        <x:f>Dashboard_Live_Data!D12</x:f>
        <x:v>-55</x:v>
      </x:c>
      <x:c r="F13" t="n">
        <x:f>Dashboard_Live_Data!G12</x:f>
        <x:v>46.51195593176057</x:v>
      </x:c>
    </x:row>
    <x:row r="14">
      <x:c r="A14" t="n">
        <x:f>Dashboard_Live_Data!D13</x:f>
        <x:v>-54.5</x:v>
      </x:c>
      <x:c r="B14" t="n">
        <x:f>Dashboard_Live_Data!E13</x:f>
        <x:v>194.40953580817023</x:v>
      </x:c>
      <x:c r="C14" t="n">
        <x:f>Dashboard_Live_Data!D13</x:f>
        <x:v>-54.5</x:v>
      </x:c>
      <x:c r="D14" t="n">
        <x:f>Dashboard_Live_Data!F13</x:f>
        <x:v>194.40953580817023</x:v>
      </x:c>
      <x:c r="E14" t="n">
        <x:f>Dashboard_Live_Data!D13</x:f>
        <x:v>-54.5</x:v>
      </x:c>
      <x:c r="F14" t="n">
        <x:f>Dashboard_Live_Data!G13</x:f>
        <x:v>49.77469341509185</x:v>
      </x:c>
    </x:row>
    <x:row r="15">
      <x:c r="A15" t="n">
        <x:f>Dashboard_Live_Data!D14</x:f>
        <x:v>-54</x:v>
      </x:c>
      <x:c r="B15" t="n">
        <x:f>Dashboard_Live_Data!E14</x:f>
        <x:v>196.39629745562698</x:v>
      </x:c>
      <x:c r="C15" t="n">
        <x:f>Dashboard_Live_Data!D14</x:f>
        <x:v>-54</x:v>
      </x:c>
      <x:c r="D15" t="n">
        <x:f>Dashboard_Live_Data!F14</x:f>
        <x:v>196.39629745562698</x:v>
      </x:c>
      <x:c r="E15" t="n">
        <x:f>Dashboard_Live_Data!D14</x:f>
        <x:v>-54</x:v>
      </x:c>
      <x:c r="F15" t="n">
        <x:f>Dashboard_Live_Data!G14</x:f>
        <x:v>37.91568406723211</x:v>
      </x:c>
    </x:row>
    <x:row r="16">
      <x:c r="A16" t="n">
        <x:f>Dashboard_Live_Data!D15</x:f>
        <x:v>-53.5</x:v>
      </x:c>
      <x:c r="B16" t="n">
        <x:f>Dashboard_Live_Data!E15</x:f>
        <x:v>215.04504497494062</x:v>
      </x:c>
      <x:c r="C16" t="n">
        <x:f>Dashboard_Live_Data!D15</x:f>
        <x:v>-53.5</x:v>
      </x:c>
      <x:c r="D16" t="n">
        <x:f>Dashboard_Live_Data!F15</x:f>
        <x:v>215.04504497494062</x:v>
      </x:c>
      <x:c r="E16" t="n">
        <x:f>Dashboard_Live_Data!D15</x:f>
        <x:v>-53.5</x:v>
      </x:c>
      <x:c r="F16" t="n">
        <x:f>Dashboard_Live_Data!G15</x:f>
        <x:v>49.305692333608725</x:v>
      </x:c>
    </x:row>
    <x:row r="17">
      <x:c r="A17" t="n">
        <x:f>Dashboard_Live_Data!D16</x:f>
        <x:v>-53</x:v>
      </x:c>
      <x:c r="B17" t="n">
        <x:f>Dashboard_Live_Data!E16</x:f>
        <x:v>220.27863667842527</x:v>
      </x:c>
      <x:c r="C17" t="n">
        <x:f>Dashboard_Live_Data!D16</x:f>
        <x:v>-53</x:v>
      </x:c>
      <x:c r="D17" t="n">
        <x:f>Dashboard_Live_Data!F16</x:f>
        <x:v>220.27863667842527</x:v>
      </x:c>
      <x:c r="E17" t="n">
        <x:f>Dashboard_Live_Data!D16</x:f>
        <x:v>-53</x:v>
      </x:c>
      <x:c r="F17" t="n">
        <x:f>Dashboard_Live_Data!G16</x:f>
        <x:v>54.9618266833629</x:v>
      </x:c>
    </x:row>
    <x:row r="18">
      <x:c r="A18" t="n">
        <x:f>Dashboard_Live_Data!D17</x:f>
        <x:v>-52.5</x:v>
      </x:c>
      <x:c r="B18" t="n">
        <x:f>Dashboard_Live_Data!E17</x:f>
        <x:v>228.48571186718385</x:v>
      </x:c>
      <x:c r="C18" t="n">
        <x:f>Dashboard_Live_Data!D17</x:f>
        <x:v>-52.5</x:v>
      </x:c>
      <x:c r="D18" t="n">
        <x:f>Dashboard_Live_Data!F17</x:f>
        <x:v>228.48571186718385</x:v>
      </x:c>
      <x:c r="E18" t="n">
        <x:f>Dashboard_Live_Data!D17</x:f>
        <x:v>-52.5</x:v>
      </x:c>
      <x:c r="F18" t="n">
        <x:f>Dashboard_Live_Data!G17</x:f>
        <x:v>41.913539426844665</x:v>
      </x:c>
    </x:row>
    <x:row r="19">
      <x:c r="A19" t="n">
        <x:f>Dashboard_Live_Data!D18</x:f>
        <x:v>-52</x:v>
      </x:c>
      <x:c r="B19" t="n">
        <x:f>Dashboard_Live_Data!E18</x:f>
        <x:v>241.24392327938918</x:v>
      </x:c>
      <x:c r="C19" t="n">
        <x:f>Dashboard_Live_Data!D18</x:f>
        <x:v>-52</x:v>
      </x:c>
      <x:c r="D19" t="n">
        <x:f>Dashboard_Live_Data!F18</x:f>
        <x:v>241.24392327938918</x:v>
      </x:c>
      <x:c r="E19" t="n">
        <x:f>Dashboard_Live_Data!D18</x:f>
        <x:v>-52</x:v>
      </x:c>
      <x:c r="F19" t="n">
        <x:f>Dashboard_Live_Data!G18</x:f>
        <x:v>44.0092440465048</x:v>
      </x:c>
    </x:row>
    <x:row r="20">
      <x:c r="A20" t="n">
        <x:f>Dashboard_Live_Data!D19</x:f>
        <x:v>-51.5</x:v>
      </x:c>
      <x:c r="B20" t="n">
        <x:f>Dashboard_Live_Data!E19</x:f>
        <x:v>261.3961473371179</x:v>
      </x:c>
      <x:c r="C20" t="n">
        <x:f>Dashboard_Live_Data!D19</x:f>
        <x:v>-51.5</x:v>
      </x:c>
      <x:c r="D20" t="n">
        <x:f>Dashboard_Live_Data!F19</x:f>
        <x:v>261.3961473371179</x:v>
      </x:c>
      <x:c r="E20" t="n">
        <x:f>Dashboard_Live_Data!D19</x:f>
        <x:v>-51.5</x:v>
      </x:c>
      <x:c r="F20" t="n">
        <x:f>Dashboard_Live_Data!G19</x:f>
        <x:v>32.491619283106324</x:v>
      </x:c>
    </x:row>
    <x:row r="21">
      <x:c r="A21" t="n">
        <x:f>Dashboard_Live_Data!D20</x:f>
        <x:v>-51</x:v>
      </x:c>
      <x:c r="B21" t="n">
        <x:f>Dashboard_Live_Data!E20</x:f>
        <x:v>251.96732827517536</x:v>
      </x:c>
      <x:c r="C21" t="n">
        <x:f>Dashboard_Live_Data!D20</x:f>
        <x:v>-51</x:v>
      </x:c>
      <x:c r="D21" t="n">
        <x:f>Dashboard_Live_Data!F20</x:f>
        <x:v>251.96732827517536</x:v>
      </x:c>
      <x:c r="E21" t="n">
        <x:f>Dashboard_Live_Data!D20</x:f>
        <x:v>-51</x:v>
      </x:c>
      <x:c r="F21" t="n">
        <x:f>Dashboard_Live_Data!G20</x:f>
        <x:v>39.10881658677256</x:v>
      </x:c>
    </x:row>
    <x:row r="22">
      <x:c r="A22" t="n">
        <x:f>Dashboard_Live_Data!D21</x:f>
        <x:v>-50.5</x:v>
      </x:c>
      <x:c r="B22" t="n">
        <x:f>Dashboard_Live_Data!E21</x:f>
        <x:v>249.7278681272967</x:v>
      </x:c>
      <x:c r="C22" t="n">
        <x:f>Dashboard_Live_Data!D21</x:f>
        <x:v>-50.5</x:v>
      </x:c>
      <x:c r="D22" t="n">
        <x:f>Dashboard_Live_Data!F21</x:f>
        <x:v>249.7278681272967</x:v>
      </x:c>
      <x:c r="E22" t="n">
        <x:f>Dashboard_Live_Data!D21</x:f>
        <x:v>-50.5</x:v>
      </x:c>
      <x:c r="F22" t="n">
        <x:f>Dashboard_Live_Data!G21</x:f>
        <x:v>47.99583170220943</x:v>
      </x:c>
    </x:row>
    <x:row r="23">
      <x:c r="A23" t="n">
        <x:f>Dashboard_Live_Data!D22</x:f>
        <x:v>-50</x:v>
      </x:c>
      <x:c r="B23" t="n">
        <x:f>Dashboard_Live_Data!E22</x:f>
        <x:v>273.71504099052385</x:v>
      </x:c>
      <x:c r="C23" t="n">
        <x:f>Dashboard_Live_Data!D22</x:f>
        <x:v>-50</x:v>
      </x:c>
      <x:c r="D23" t="n">
        <x:f>Dashboard_Live_Data!F22</x:f>
        <x:v>273.71504099052385</x:v>
      </x:c>
      <x:c r="E23" t="n">
        <x:f>Dashboard_Live_Data!D22</x:f>
        <x:v>-50</x:v>
      </x:c>
      <x:c r="F23" t="n">
        <x:f>Dashboard_Live_Data!G22</x:f>
        <x:v>29.034419664389077</x:v>
      </x:c>
    </x:row>
    <x:row r="24">
      <x:c r="A24" t="n">
        <x:f>Dashboard_Live_Data!D23</x:f>
        <x:v>-49.5</x:v>
      </x:c>
      <x:c r="B24" t="n">
        <x:f>Dashboard_Live_Data!E23</x:f>
        <x:v>258.91748425644914</x:v>
      </x:c>
      <x:c r="C24" t="n">
        <x:f>Dashboard_Live_Data!D23</x:f>
        <x:v>-49.5</x:v>
      </x:c>
      <x:c r="D24" t="n">
        <x:f>Dashboard_Live_Data!F23</x:f>
        <x:v>258.91748425644914</x:v>
      </x:c>
      <x:c r="E24" t="n">
        <x:f>Dashboard_Live_Data!D23</x:f>
        <x:v>-49.5</x:v>
      </x:c>
      <x:c r="F24" t="n">
        <x:f>Dashboard_Live_Data!G23</x:f>
        <x:v>51.90461728837901</x:v>
      </x:c>
    </x:row>
    <x:row r="25">
      <x:c r="A25" t="n">
        <x:f>Dashboard_Live_Data!D24</x:f>
        <x:v>-49</x:v>
      </x:c>
      <x:c r="B25" t="n">
        <x:f>Dashboard_Live_Data!E24</x:f>
        <x:v>268.7927966209557</x:v>
      </x:c>
      <x:c r="C25" t="n">
        <x:f>Dashboard_Live_Data!D24</x:f>
        <x:v>-49</x:v>
      </x:c>
      <x:c r="D25" t="n">
        <x:f>Dashboard_Live_Data!F24</x:f>
        <x:v>268.7927966209557</x:v>
      </x:c>
      <x:c r="E25" t="n">
        <x:f>Dashboard_Live_Data!D24</x:f>
        <x:v>-49</x:v>
      </x:c>
      <x:c r="F25" t="n">
        <x:f>Dashboard_Live_Data!G24</x:f>
        <x:v>39.64300304421553</x:v>
      </x:c>
    </x:row>
    <x:row r="26">
      <x:c r="A26" t="n">
        <x:f>Dashboard_Live_Data!D25</x:f>
        <x:v>-48.5</x:v>
      </x:c>
      <x:c r="B26" t="n">
        <x:f>Dashboard_Live_Data!E25</x:f>
        <x:v>265.4824606971943</x:v>
      </x:c>
      <x:c r="C26" t="n">
        <x:f>Dashboard_Live_Data!D25</x:f>
        <x:v>-48.5</x:v>
      </x:c>
      <x:c r="D26" t="n">
        <x:f>Dashboard_Live_Data!F25</x:f>
        <x:v>265.4824606971943</x:v>
      </x:c>
      <x:c r="E26" t="n">
        <x:f>Dashboard_Live_Data!D25</x:f>
        <x:v>-48.5</x:v>
      </x:c>
      <x:c r="F26" t="n">
        <x:f>Dashboard_Live_Data!G25</x:f>
        <x:v>40.329360187280464</x:v>
      </x:c>
    </x:row>
    <x:row r="27">
      <x:c r="A27" t="n">
        <x:f>Dashboard_Live_Data!D26</x:f>
        <x:v>-48</x:v>
      </x:c>
      <x:c r="B27" t="n">
        <x:f>Dashboard_Live_Data!E26</x:f>
        <x:v>253.6370227527636</x:v>
      </x:c>
      <x:c r="C27" t="n">
        <x:f>Dashboard_Live_Data!D26</x:f>
        <x:v>-48</x:v>
      </x:c>
      <x:c r="D27" t="n">
        <x:f>Dashboard_Live_Data!F26</x:f>
        <x:v>253.6370227527636</x:v>
      </x:c>
      <x:c r="E27" t="n">
        <x:f>Dashboard_Live_Data!D26</x:f>
        <x:v>-48</x:v>
      </x:c>
      <x:c r="F27" t="n">
        <x:f>Dashboard_Live_Data!G26</x:f>
        <x:v>55.67705400563339</x:v>
      </x:c>
    </x:row>
    <x:row r="28">
      <x:c r="A28" t="n">
        <x:f>Dashboard_Live_Data!D27</x:f>
        <x:v>-47.5</x:v>
      </x:c>
      <x:c r="B28" t="n">
        <x:f>Dashboard_Live_Data!E27</x:f>
        <x:v>262.7548434853875</x:v>
      </x:c>
      <x:c r="C28" t="n">
        <x:f>Dashboard_Live_Data!D27</x:f>
        <x:v>-47.5</x:v>
      </x:c>
      <x:c r="D28" t="n">
        <x:f>Dashboard_Live_Data!F27</x:f>
        <x:v>262.7548434853875</x:v>
      </x:c>
      <x:c r="E28" t="n">
        <x:f>Dashboard_Live_Data!D27</x:f>
        <x:v>-47.5</x:v>
      </x:c>
      <x:c r="F28" t="n">
        <x:f>Dashboard_Live_Data!G27</x:f>
        <x:v>53.974959185609514</x:v>
      </x:c>
    </x:row>
    <x:row r="29">
      <x:c r="A29" t="n">
        <x:f>Dashboard_Live_Data!D28</x:f>
        <x:v>-47</x:v>
      </x:c>
      <x:c r="B29" t="n">
        <x:f>Dashboard_Live_Data!E28</x:f>
        <x:v>253.91481019774176</x:v>
      </x:c>
      <x:c r="C29" t="n">
        <x:f>Dashboard_Live_Data!D28</x:f>
        <x:v>-47</x:v>
      </x:c>
      <x:c r="D29" t="n">
        <x:f>Dashboard_Live_Data!F28</x:f>
        <x:v>253.91481019774176</x:v>
      </x:c>
      <x:c r="E29" t="n">
        <x:f>Dashboard_Live_Data!D28</x:f>
        <x:v>-47</x:v>
      </x:c>
      <x:c r="F29" t="n">
        <x:f>Dashboard_Live_Data!G28</x:f>
        <x:v>61.213442747759345</x:v>
      </x:c>
    </x:row>
    <x:row r="30">
      <x:c r="A30" t="n">
        <x:f>Dashboard_Live_Data!D29</x:f>
        <x:v>-46.5</x:v>
      </x:c>
      <x:c r="B30" t="n">
        <x:f>Dashboard_Live_Data!E29</x:f>
        <x:v>253.748238320312</x:v>
      </x:c>
      <x:c r="C30" t="n">
        <x:f>Dashboard_Live_Data!D29</x:f>
        <x:v>-46.5</x:v>
      </x:c>
      <x:c r="D30" t="n">
        <x:f>Dashboard_Live_Data!F29</x:f>
        <x:v>253.748238320312</x:v>
      </x:c>
      <x:c r="E30" t="n">
        <x:f>Dashboard_Live_Data!D29</x:f>
        <x:v>-46.5</x:v>
      </x:c>
      <x:c r="F30" t="n">
        <x:f>Dashboard_Live_Data!G29</x:f>
        <x:v>57.529820703344</x:v>
      </x:c>
    </x:row>
    <x:row r="31">
      <x:c r="A31" t="n">
        <x:f>Dashboard_Live_Data!D30</x:f>
        <x:v>-46</x:v>
      </x:c>
      <x:c r="B31" t="n">
        <x:f>Dashboard_Live_Data!E30</x:f>
        <x:v>237.40469511010875</x:v>
      </x:c>
      <x:c r="C31" t="n">
        <x:f>Dashboard_Live_Data!D30</x:f>
        <x:v>-46</x:v>
      </x:c>
      <x:c r="D31" t="n">
        <x:f>Dashboard_Live_Data!F30</x:f>
        <x:v>237.40469511010875</x:v>
      </x:c>
      <x:c r="E31" t="n">
        <x:f>Dashboard_Live_Data!D30</x:f>
        <x:v>-46</x:v>
      </x:c>
      <x:c r="F31" t="n">
        <x:f>Dashboard_Live_Data!G30</x:f>
        <x:v>49.53962065283257</x:v>
      </x:c>
    </x:row>
    <x:row r="32">
      <x:c r="A32" t="n">
        <x:f>Dashboard_Live_Data!D31</x:f>
        <x:v>-45.5</x:v>
      </x:c>
      <x:c r="B32" t="n">
        <x:f>Dashboard_Live_Data!E31</x:f>
        <x:v>230.03534200748854</x:v>
      </x:c>
      <x:c r="C32" t="n">
        <x:f>Dashboard_Live_Data!D31</x:f>
        <x:v>-45.5</x:v>
      </x:c>
      <x:c r="D32" t="n">
        <x:f>Dashboard_Live_Data!F31</x:f>
        <x:v>230.03534200748854</x:v>
      </x:c>
      <x:c r="E32" t="n">
        <x:f>Dashboard_Live_Data!D31</x:f>
        <x:v>-45.5</x:v>
      </x:c>
      <x:c r="F32" t="n">
        <x:f>Dashboard_Live_Data!G31</x:f>
        <x:v>36.8829185081177</x:v>
      </x:c>
    </x:row>
    <x:row r="33">
      <x:c r="A33" t="n">
        <x:f>Dashboard_Live_Data!D32</x:f>
        <x:v>-45</x:v>
      </x:c>
      <x:c r="B33" t="n">
        <x:f>Dashboard_Live_Data!E32</x:f>
        <x:v>208.8220272535724</x:v>
      </x:c>
      <x:c r="C33" t="n">
        <x:f>Dashboard_Live_Data!D32</x:f>
        <x:v>-45</x:v>
      </x:c>
      <x:c r="D33" t="n">
        <x:f>Dashboard_Live_Data!F32</x:f>
        <x:v>208.8220272535724</x:v>
      </x:c>
      <x:c r="E33" t="n">
        <x:f>Dashboard_Live_Data!D32</x:f>
        <x:v>-45</x:v>
      </x:c>
      <x:c r="F33" t="n">
        <x:f>Dashboard_Live_Data!G32</x:f>
        <x:v>46.59917835352822</x:v>
      </x:c>
    </x:row>
    <x:row r="34">
      <x:c r="A34" t="n">
        <x:f>Dashboard_Live_Data!D33</x:f>
        <x:v>-44.5</x:v>
      </x:c>
      <x:c r="B34" t="n">
        <x:f>Dashboard_Live_Data!E33</x:f>
        <x:v>201.66422960156285</x:v>
      </x:c>
      <x:c r="C34" t="n">
        <x:f>Dashboard_Live_Data!D33</x:f>
        <x:v>-44.5</x:v>
      </x:c>
      <x:c r="D34" t="n">
        <x:f>Dashboard_Live_Data!F33</x:f>
        <x:v>201.66422960156285</x:v>
      </x:c>
      <x:c r="E34" t="n">
        <x:f>Dashboard_Live_Data!D33</x:f>
        <x:v>-44.5</x:v>
      </x:c>
      <x:c r="F34" t="n">
        <x:f>Dashboard_Live_Data!G33</x:f>
        <x:v>27.91531821493412</x:v>
      </x:c>
    </x:row>
    <x:row r="35">
      <x:c r="A35" t="n">
        <x:f>Dashboard_Live_Data!D34</x:f>
        <x:v>-44</x:v>
      </x:c>
      <x:c r="B35" t="n">
        <x:f>Dashboard_Live_Data!E34</x:f>
        <x:v>200.11672258234324</x:v>
      </x:c>
      <x:c r="C35" t="n">
        <x:f>Dashboard_Live_Data!D34</x:f>
        <x:v>-44</x:v>
      </x:c>
      <x:c r="D35" t="n">
        <x:f>Dashboard_Live_Data!F34</x:f>
        <x:v>200.11672258234324</x:v>
      </x:c>
      <x:c r="E35" t="n">
        <x:f>Dashboard_Live_Data!D34</x:f>
        <x:v>-44</x:v>
      </x:c>
      <x:c r="F35" t="n">
        <x:f>Dashboard_Live_Data!G34</x:f>
        <x:v>18.82539201019003</x:v>
      </x:c>
    </x:row>
    <x:row r="36">
      <x:c r="A36" t="n">
        <x:f>Dashboard_Live_Data!D35</x:f>
        <x:v>-43.5</x:v>
      </x:c>
      <x:c r="B36" t="n">
        <x:f>Dashboard_Live_Data!E35</x:f>
        <x:v>210.8483953416035</x:v>
      </x:c>
      <x:c r="C36" t="n">
        <x:f>Dashboard_Live_Data!D35</x:f>
        <x:v>-43.5</x:v>
      </x:c>
      <x:c r="D36" t="n">
        <x:f>Dashboard_Live_Data!F35</x:f>
        <x:v>210.8483953416035</x:v>
      </x:c>
      <x:c r="E36" t="n">
        <x:f>Dashboard_Live_Data!D35</x:f>
        <x:v>-43.5</x:v>
      </x:c>
      <x:c r="F36" t="n">
        <x:f>Dashboard_Live_Data!G35</x:f>
        <x:v>22.55480739682735</x:v>
      </x:c>
    </x:row>
    <x:row r="37">
      <x:c r="A37" t="n">
        <x:f>Dashboard_Live_Data!D36</x:f>
        <x:v>-43</x:v>
      </x:c>
      <x:c r="B37" t="n">
        <x:f>Dashboard_Live_Data!E36</x:f>
        <x:v>180.5581841932563</x:v>
      </x:c>
      <x:c r="C37" t="n">
        <x:f>Dashboard_Live_Data!D36</x:f>
        <x:v>-43</x:v>
      </x:c>
      <x:c r="D37" t="n">
        <x:f>Dashboard_Live_Data!F36</x:f>
        <x:v>180.5581841932563</x:v>
      </x:c>
      <x:c r="E37" t="n">
        <x:f>Dashboard_Live_Data!D36</x:f>
        <x:v>-43</x:v>
      </x:c>
      <x:c r="F37" t="n">
        <x:f>Dashboard_Live_Data!G36</x:f>
        <x:v>3.69479063881065</x:v>
      </x:c>
    </x:row>
    <x:row r="38">
      <x:c r="A38" t="n">
        <x:f>Dashboard_Live_Data!D37</x:f>
        <x:v>-42.5</x:v>
      </x:c>
      <x:c r="B38" t="n">
        <x:f>Dashboard_Live_Data!E37</x:f>
        <x:v>181.7291755177202</x:v>
      </x:c>
      <x:c r="C38" t="n">
        <x:f>Dashboard_Live_Data!D37</x:f>
        <x:v>-42.5</x:v>
      </x:c>
      <x:c r="D38" t="n">
        <x:f>Dashboard_Live_Data!F37</x:f>
        <x:v>181.7291755177202</x:v>
      </x:c>
      <x:c r="E38" t="n">
        <x:f>Dashboard_Live_Data!D37</x:f>
        <x:v>-42.5</x:v>
      </x:c>
      <x:c r="F38" t="n">
        <x:f>Dashboard_Live_Data!G37</x:f>
        <x:v>9.477549494288523</x:v>
      </x:c>
    </x:row>
    <x:row r="39">
      <x:c r="A39" t="n">
        <x:f>Dashboard_Live_Data!D38</x:f>
        <x:v>-42</x:v>
      </x:c>
      <x:c r="B39" t="n">
        <x:f>Dashboard_Live_Data!E38</x:f>
        <x:v>170.62817299697477</x:v>
      </x:c>
      <x:c r="C39" t="n">
        <x:f>Dashboard_Live_Data!D38</x:f>
        <x:v>-42</x:v>
      </x:c>
      <x:c r="D39" t="n">
        <x:f>Dashboard_Live_Data!F38</x:f>
        <x:v>170.62817299697477</x:v>
      </x:c>
      <x:c r="E39" t="n">
        <x:f>Dashboard_Live_Data!D38</x:f>
        <x:v>-42</x:v>
      </x:c>
      <x:c r="F39" t="n">
        <x:f>Dashboard_Live_Data!G38</x:f>
        <x:v>-8.691303525994272</x:v>
      </x:c>
    </x:row>
    <x:row r="40">
      <x:c r="A40" t="n">
        <x:f>Dashboard_Live_Data!D39</x:f>
        <x:v>-41.5</x:v>
      </x:c>
      <x:c r="B40" t="n">
        <x:f>Dashboard_Live_Data!E39</x:f>
        <x:v>171.38557913735212</x:v>
      </x:c>
      <x:c r="C40" t="n">
        <x:f>Dashboard_Live_Data!D39</x:f>
        <x:v>-41.5</x:v>
      </x:c>
      <x:c r="D40" t="n">
        <x:f>Dashboard_Live_Data!F39</x:f>
        <x:v>171.38557913735212</x:v>
      </x:c>
      <x:c r="E40" t="n">
        <x:f>Dashboard_Live_Data!D39</x:f>
        <x:v>-41.5</x:v>
      </x:c>
      <x:c r="F40" t="n">
        <x:f>Dashboard_Live_Data!G39</x:f>
        <x:v>-15.792555414769886</x:v>
      </x:c>
    </x:row>
    <x:row r="41">
      <x:c r="A41" t="n">
        <x:f>Dashboard_Live_Data!D40</x:f>
        <x:v>-41</x:v>
      </x:c>
      <x:c r="B41" t="n">
        <x:f>Dashboard_Live_Data!E40</x:f>
        <x:v>176.66624192778235</x:v>
      </x:c>
      <x:c r="C41" t="n">
        <x:f>Dashboard_Live_Data!D40</x:f>
        <x:v>-41</x:v>
      </x:c>
      <x:c r="D41" t="n">
        <x:f>Dashboard_Live_Data!F40</x:f>
        <x:v>176.66624192778235</x:v>
      </x:c>
      <x:c r="E41" t="n">
        <x:f>Dashboard_Live_Data!D40</x:f>
        <x:v>-41</x:v>
      </x:c>
      <x:c r="F41" t="n">
        <x:f>Dashboard_Live_Data!G40</x:f>
        <x:v>-17.886266996681616</x:v>
      </x:c>
    </x:row>
    <x:row r="42">
      <x:c r="A42" t="n">
        <x:f>Dashboard_Live_Data!D41</x:f>
        <x:v>-40.5</x:v>
      </x:c>
      <x:c r="B42" t="n">
        <x:f>Dashboard_Live_Data!E41</x:f>
        <x:v>191.24651788731785</x:v>
      </x:c>
      <x:c r="C42" t="n">
        <x:f>Dashboard_Live_Data!D41</x:f>
        <x:v>-40.5</x:v>
      </x:c>
      <x:c r="D42" t="n">
        <x:f>Dashboard_Live_Data!F41</x:f>
        <x:v>191.24651788731785</x:v>
      </x:c>
      <x:c r="E42" t="n">
        <x:f>Dashboard_Live_Data!D41</x:f>
        <x:v>-40.5</x:v>
      </x:c>
      <x:c r="F42" t="n">
        <x:f>Dashboard_Live_Data!G41</x:f>
        <x:v>-15.042977474303433</x:v>
      </x:c>
    </x:row>
    <x:row r="43">
      <x:c r="A43" t="n">
        <x:f>Dashboard_Live_Data!D42</x:f>
        <x:v>-40</x:v>
      </x:c>
      <x:c r="B43" t="n">
        <x:f>Dashboard_Live_Data!E42</x:f>
        <x:v>197.66557297497732</x:v>
      </x:c>
      <x:c r="C43" t="n">
        <x:f>Dashboard_Live_Data!D42</x:f>
        <x:v>-40</x:v>
      </x:c>
      <x:c r="D43" t="n">
        <x:f>Dashboard_Live_Data!F42</x:f>
        <x:v>197.66557297497732</x:v>
      </x:c>
      <x:c r="E43" t="n">
        <x:f>Dashboard_Live_Data!D42</x:f>
        <x:v>-40</x:v>
      </x:c>
      <x:c r="F43" t="n">
        <x:f>Dashboard_Live_Data!G42</x:f>
        <x:v>-31.231711064274894</x:v>
      </x:c>
    </x:row>
    <x:row r="44">
      <x:c r="A44" t="n">
        <x:f>Dashboard_Live_Data!D43</x:f>
        <x:v>-39.5</x:v>
      </x:c>
      <x:c r="B44" t="n">
        <x:f>Dashboard_Live_Data!E43</x:f>
        <x:v>200.98178735327417</x:v>
      </x:c>
      <x:c r="C44" t="n">
        <x:f>Dashboard_Live_Data!D43</x:f>
        <x:v>-39.5</x:v>
      </x:c>
      <x:c r="D44" t="n">
        <x:f>Dashboard_Live_Data!F43</x:f>
        <x:v>200.98178735327417</x:v>
      </x:c>
      <x:c r="E44" t="n">
        <x:f>Dashboard_Live_Data!D43</x:f>
        <x:v>-39.5</x:v>
      </x:c>
      <x:c r="F44" t="n">
        <x:f>Dashboard_Live_Data!G43</x:f>
        <x:v>-33.241151326098546</x:v>
      </x:c>
    </x:row>
    <x:row r="45">
      <x:c r="A45" t="n">
        <x:f>Dashboard_Live_Data!D44</x:f>
        <x:v>-39</x:v>
      </x:c>
      <x:c r="B45" t="n">
        <x:f>Dashboard_Live_Data!E44</x:f>
        <x:v>184.54420924136062</x:v>
      </x:c>
      <x:c r="C45" t="n">
        <x:f>Dashboard_Live_Data!D44</x:f>
        <x:v>-39</x:v>
      </x:c>
      <x:c r="D45" t="n">
        <x:f>Dashboard_Live_Data!F44</x:f>
        <x:v>184.54420924136062</x:v>
      </x:c>
      <x:c r="E45" t="n">
        <x:f>Dashboard_Live_Data!D44</x:f>
        <x:v>-39</x:v>
      </x:c>
      <x:c r="F45" t="n">
        <x:f>Dashboard_Live_Data!G44</x:f>
        <x:v>-32.02020136507765</x:v>
      </x:c>
    </x:row>
    <x:row r="46">
      <x:c r="A46" t="n">
        <x:f>Dashboard_Live_Data!D45</x:f>
        <x:v>-38.5</x:v>
      </x:c>
      <x:c r="B46" t="n">
        <x:f>Dashboard_Live_Data!E45</x:f>
        <x:v>211.63430992610967</x:v>
      </x:c>
      <x:c r="C46" t="n">
        <x:f>Dashboard_Live_Data!D45</x:f>
        <x:v>-38.5</x:v>
      </x:c>
      <x:c r="D46" t="n">
        <x:f>Dashboard_Live_Data!F45</x:f>
        <x:v>211.63430992610967</x:v>
      </x:c>
      <x:c r="E46" t="n">
        <x:f>Dashboard_Live_Data!D45</x:f>
        <x:v>-38.5</x:v>
      </x:c>
      <x:c r="F46" t="n">
        <x:f>Dashboard_Live_Data!G45</x:f>
        <x:v>-34.295384147954024</x:v>
      </x:c>
    </x:row>
    <x:row r="47">
      <x:c r="A47" t="n">
        <x:f>Dashboard_Live_Data!D46</x:f>
        <x:v>-38</x:v>
      </x:c>
      <x:c r="B47" t="n">
        <x:f>Dashboard_Live_Data!E46</x:f>
        <x:v>202.93658014849487</x:v>
      </x:c>
      <x:c r="C47" t="n">
        <x:f>Dashboard_Live_Data!D46</x:f>
        <x:v>-38</x:v>
      </x:c>
      <x:c r="D47" t="n">
        <x:f>Dashboard_Live_Data!F46</x:f>
        <x:v>202.93658014849487</x:v>
      </x:c>
      <x:c r="E47" t="n">
        <x:f>Dashboard_Live_Data!D46</x:f>
        <x:v>-38</x:v>
      </x:c>
      <x:c r="F47" t="n">
        <x:f>Dashboard_Live_Data!G46</x:f>
        <x:v>-21.15737906152213</x:v>
      </x:c>
    </x:row>
    <x:row r="48">
      <x:c r="A48" t="n">
        <x:f>Dashboard_Live_Data!D47</x:f>
        <x:v>-37.5</x:v>
      </x:c>
      <x:c r="B48" t="n">
        <x:f>Dashboard_Live_Data!E47</x:f>
        <x:v>239.1871485288169</x:v>
      </x:c>
      <x:c r="C48" t="n">
        <x:f>Dashboard_Live_Data!D47</x:f>
        <x:v>-37.5</x:v>
      </x:c>
      <x:c r="D48" t="n">
        <x:f>Dashboard_Live_Data!F47</x:f>
        <x:v>239.1871485288169</x:v>
      </x:c>
      <x:c r="E48" t="n">
        <x:f>Dashboard_Live_Data!D47</x:f>
        <x:v>-37.5</x:v>
      </x:c>
      <x:c r="F48" t="n">
        <x:f>Dashboard_Live_Data!G47</x:f>
        <x:v>-18.69341167436205</x:v>
      </x:c>
    </x:row>
    <x:row r="49">
      <x:c r="A49" t="n">
        <x:f>Dashboard_Live_Data!D48</x:f>
        <x:v>-37</x:v>
      </x:c>
      <x:c r="B49" t="n">
        <x:f>Dashboard_Live_Data!E48</x:f>
        <x:v>236.18872035541293</x:v>
      </x:c>
      <x:c r="C49" t="n">
        <x:f>Dashboard_Live_Data!D48</x:f>
        <x:v>-37</x:v>
      </x:c>
      <x:c r="D49" t="n">
        <x:f>Dashboard_Live_Data!F48</x:f>
        <x:v>236.18872035541293</x:v>
      </x:c>
      <x:c r="E49" t="n">
        <x:f>Dashboard_Live_Data!D48</x:f>
        <x:v>-37</x:v>
      </x:c>
      <x:c r="F49" t="n">
        <x:f>Dashboard_Live_Data!G48</x:f>
        <x:v>-25.83766278531854</x:v>
      </x:c>
    </x:row>
    <x:row r="50">
      <x:c r="A50" t="n">
        <x:f>Dashboard_Live_Data!D49</x:f>
        <x:v>-36.5</x:v>
      </x:c>
      <x:c r="B50" t="n">
        <x:f>Dashboard_Live_Data!E49</x:f>
        <x:v>264.8535608975177</x:v>
      </x:c>
      <x:c r="C50" t="n">
        <x:f>Dashboard_Live_Data!D49</x:f>
        <x:v>-36.5</x:v>
      </x:c>
      <x:c r="D50" t="n">
        <x:f>Dashboard_Live_Data!F49</x:f>
        <x:v>264.8535608975177</x:v>
      </x:c>
      <x:c r="E50" t="n">
        <x:f>Dashboard_Live_Data!D49</x:f>
        <x:v>-36.5</x:v>
      </x:c>
      <x:c r="F50" t="n">
        <x:f>Dashboard_Live_Data!G49</x:f>
        <x:v>-21.548035323184823</x:v>
      </x:c>
    </x:row>
    <x:row r="51">
      <x:c r="A51" t="n">
        <x:f>Dashboard_Live_Data!D50</x:f>
        <x:v>-36</x:v>
      </x:c>
      <x:c r="B51" t="n">
        <x:f>Dashboard_Live_Data!E50</x:f>
        <x:v>273.24610443212225</x:v>
      </x:c>
      <x:c r="C51" t="n">
        <x:f>Dashboard_Live_Data!D50</x:f>
        <x:v>-36</x:v>
      </x:c>
      <x:c r="D51" t="n">
        <x:f>Dashboard_Live_Data!F50</x:f>
        <x:v>273.24610443212225</x:v>
      </x:c>
      <x:c r="E51" t="n">
        <x:f>Dashboard_Live_Data!D50</x:f>
        <x:v>-36</x:v>
      </x:c>
      <x:c r="F51" t="n">
        <x:f>Dashboard_Live_Data!G50</x:f>
        <x:v>-2.286662206392558</x:v>
      </x:c>
    </x:row>
    <x:row r="52">
      <x:c r="A52" t="n">
        <x:f>Dashboard_Live_Data!D51</x:f>
        <x:v>-35.5</x:v>
      </x:c>
      <x:c r="B52" t="n">
        <x:f>Dashboard_Live_Data!E51</x:f>
        <x:v>284.9525044867838</x:v>
      </x:c>
      <x:c r="C52" t="n">
        <x:f>Dashboard_Live_Data!D51</x:f>
        <x:v>-35.5</x:v>
      </x:c>
      <x:c r="D52" t="n">
        <x:f>Dashboard_Live_Data!F51</x:f>
        <x:v>284.9525044867838</x:v>
      </x:c>
      <x:c r="E52" t="n">
        <x:f>Dashboard_Live_Data!D51</x:f>
        <x:v>-35.5</x:v>
      </x:c>
      <x:c r="F52" t="n">
        <x:f>Dashboard_Live_Data!G51</x:f>
        <x:v>-0.6339718611461809</x:v>
      </x:c>
    </x:row>
    <x:row r="53">
      <x:c r="A53" t="n">
        <x:f>Dashboard_Live_Data!D52</x:f>
        <x:v>-35</x:v>
      </x:c>
      <x:c r="B53" t="n">
        <x:f>Dashboard_Live_Data!E52</x:f>
        <x:v>280.71344003946786</x:v>
      </x:c>
      <x:c r="C53" t="n">
        <x:f>Dashboard_Live_Data!D52</x:f>
        <x:v>-35</x:v>
      </x:c>
      <x:c r="D53" t="n">
        <x:f>Dashboard_Live_Data!F52</x:f>
        <x:v>280.71344003946786</x:v>
      </x:c>
      <x:c r="E53" t="n">
        <x:f>Dashboard_Live_Data!D52</x:f>
        <x:v>-35</x:v>
      </x:c>
      <x:c r="F53" t="n">
        <x:f>Dashboard_Live_Data!G52</x:f>
        <x:v>-9.708529731781153</x:v>
      </x:c>
    </x:row>
    <x:row r="54">
      <x:c r="A54" t="n">
        <x:f>Dashboard_Live_Data!D53</x:f>
        <x:v>-34.5</x:v>
      </x:c>
      <x:c r="B54" t="n">
        <x:f>Dashboard_Live_Data!E53</x:f>
        <x:v>316.314878049505</x:v>
      </x:c>
      <x:c r="C54" t="n">
        <x:f>Dashboard_Live_Data!D53</x:f>
        <x:v>-34.5</x:v>
      </x:c>
      <x:c r="D54" t="n">
        <x:f>Dashboard_Live_Data!F53</x:f>
        <x:v>316.314878049505</x:v>
      </x:c>
      <x:c r="E54" t="n">
        <x:f>Dashboard_Live_Data!D53</x:f>
        <x:v>-34.5</x:v>
      </x:c>
      <x:c r="F54" t="n">
        <x:f>Dashboard_Live_Data!G53</x:f>
        <x:v>-9.85965082687293</x:v>
      </x:c>
    </x:row>
    <x:row r="55">
      <x:c r="A55" t="n">
        <x:f>Dashboard_Live_Data!D54</x:f>
        <x:v>-34</x:v>
      </x:c>
      <x:c r="B55" t="n">
        <x:f>Dashboard_Live_Data!E54</x:f>
        <x:v>319.4152549266823</x:v>
      </x:c>
      <x:c r="C55" t="n">
        <x:f>Dashboard_Live_Data!D54</x:f>
        <x:v>-34</x:v>
      </x:c>
      <x:c r="D55" t="n">
        <x:f>Dashboard_Live_Data!F54</x:f>
        <x:v>319.4152549266823</x:v>
      </x:c>
      <x:c r="E55" t="n">
        <x:f>Dashboard_Live_Data!D54</x:f>
        <x:v>-34</x:v>
      </x:c>
      <x:c r="F55" t="n">
        <x:f>Dashboard_Live_Data!G54</x:f>
        <x:v>0.233219012771956</x:v>
      </x:c>
    </x:row>
    <x:row r="56">
      <x:c r="A56" t="n">
        <x:f>Dashboard_Live_Data!D55</x:f>
        <x:v>-33.5</x:v>
      </x:c>
      <x:c r="B56" t="n">
        <x:f>Dashboard_Live_Data!E55</x:f>
        <x:v>328.4448057508986</x:v>
      </x:c>
      <x:c r="C56" t="n">
        <x:f>Dashboard_Live_Data!D55</x:f>
        <x:v>-33.5</x:v>
      </x:c>
      <x:c r="D56" t="n">
        <x:f>Dashboard_Live_Data!F55</x:f>
        <x:v>328.4448057508986</x:v>
      </x:c>
      <x:c r="E56" t="n">
        <x:f>Dashboard_Live_Data!D55</x:f>
        <x:v>-33.5</x:v>
      </x:c>
      <x:c r="F56" t="n">
        <x:f>Dashboard_Live_Data!G55</x:f>
        <x:v>8.500195567439437</x:v>
      </x:c>
    </x:row>
    <x:row r="57">
      <x:c r="A57" t="n">
        <x:f>Dashboard_Live_Data!D56</x:f>
        <x:v>-33</x:v>
      </x:c>
      <x:c r="B57" t="n">
        <x:f>Dashboard_Live_Data!E56</x:f>
        <x:v>342.0571204684842</x:v>
      </x:c>
      <x:c r="C57" t="n">
        <x:f>Dashboard_Live_Data!D56</x:f>
        <x:v>-33</x:v>
      </x:c>
      <x:c r="D57" t="n">
        <x:f>Dashboard_Live_Data!F56</x:f>
        <x:v>342.0571204684842</x:v>
      </x:c>
      <x:c r="E57" t="n">
        <x:f>Dashboard_Live_Data!D56</x:f>
        <x:v>-33</x:v>
      </x:c>
      <x:c r="F57" t="n">
        <x:f>Dashboard_Live_Data!G56</x:f>
        <x:v>12.884972617306985</x:v>
      </x:c>
    </x:row>
    <x:row r="58">
      <x:c r="A58" t="n">
        <x:f>Dashboard_Live_Data!D57</x:f>
        <x:v>-32.5</x:v>
      </x:c>
      <x:c r="B58" t="n">
        <x:f>Dashboard_Live_Data!E57</x:f>
        <x:v>350.9183412247295</x:v>
      </x:c>
      <x:c r="C58" t="n">
        <x:f>Dashboard_Live_Data!D57</x:f>
        <x:v>-32.5</x:v>
      </x:c>
      <x:c r="D58" t="n">
        <x:f>Dashboard_Live_Data!F57</x:f>
        <x:v>350.9183412247295</x:v>
      </x:c>
      <x:c r="E58" t="n">
        <x:f>Dashboard_Live_Data!D57</x:f>
        <x:v>-32.5</x:v>
      </x:c>
      <x:c r="F58" t="n">
        <x:f>Dashboard_Live_Data!G57</x:f>
        <x:v>14.196906765365963</x:v>
      </x:c>
    </x:row>
    <x:row r="59">
      <x:c r="A59" t="n">
        <x:f>Dashboard_Live_Data!D58</x:f>
        <x:v>-32</x:v>
      </x:c>
      <x:c r="B59" t="n">
        <x:f>Dashboard_Live_Data!E58</x:f>
        <x:v>340.91681406553505</x:v>
      </x:c>
      <x:c r="C59" t="n">
        <x:f>Dashboard_Live_Data!D58</x:f>
        <x:v>-32</x:v>
      </x:c>
      <x:c r="D59" t="n">
        <x:f>Dashboard_Live_Data!F58</x:f>
        <x:v>340.91681406553505</x:v>
      </x:c>
      <x:c r="E59" t="n">
        <x:f>Dashboard_Live_Data!D58</x:f>
        <x:v>-32</x:v>
      </x:c>
      <x:c r="F59" t="n">
        <x:f>Dashboard_Live_Data!G58</x:f>
        <x:v>5.730826646134426</x:v>
      </x:c>
    </x:row>
    <x:row r="60">
      <x:c r="A60" t="n">
        <x:f>Dashboard_Live_Data!D59</x:f>
        <x:v>-31.5</x:v>
      </x:c>
      <x:c r="B60" t="n">
        <x:f>Dashboard_Live_Data!E59</x:f>
        <x:v>355.15219987006986</x:v>
      </x:c>
      <x:c r="C60" t="n">
        <x:f>Dashboard_Live_Data!D59</x:f>
        <x:v>-31.5</x:v>
      </x:c>
      <x:c r="D60" t="n">
        <x:f>Dashboard_Live_Data!F59</x:f>
        <x:v>355.15219987006986</x:v>
      </x:c>
      <x:c r="E60" t="n">
        <x:f>Dashboard_Live_Data!D59</x:f>
        <x:v>-31.5</x:v>
      </x:c>
      <x:c r="F60" t="n">
        <x:f>Dashboard_Live_Data!G59</x:f>
        <x:v>9.295817115602365</x:v>
      </x:c>
    </x:row>
    <x:row r="61">
      <x:c r="A61" t="n">
        <x:f>Dashboard_Live_Data!D60</x:f>
        <x:v>-31</x:v>
      </x:c>
      <x:c r="B61" t="n">
        <x:f>Dashboard_Live_Data!E60</x:f>
        <x:v>353.2610093246909</x:v>
      </x:c>
      <x:c r="C61" t="n">
        <x:f>Dashboard_Live_Data!D60</x:f>
        <x:v>-31</x:v>
      </x:c>
      <x:c r="D61" t="n">
        <x:f>Dashboard_Live_Data!F60</x:f>
        <x:v>353.2610093246909</x:v>
      </x:c>
      <x:c r="E61" t="n">
        <x:f>Dashboard_Live_Data!D60</x:f>
        <x:v>-31</x:v>
      </x:c>
      <x:c r="F61" t="n">
        <x:f>Dashboard_Live_Data!G60</x:f>
        <x:v>-13.189582675327635</x:v>
      </x:c>
    </x:row>
    <x:row r="62">
      <x:c r="A62" t="n">
        <x:f>Dashboard_Live_Data!D61</x:f>
        <x:v>-30.5</x:v>
      </x:c>
      <x:c r="B62" t="n">
        <x:f>Dashboard_Live_Data!E61</x:f>
        <x:v>338.6571544092517</x:v>
      </x:c>
      <x:c r="C62" t="n">
        <x:f>Dashboard_Live_Data!D61</x:f>
        <x:v>-30.5</x:v>
      </x:c>
      <x:c r="D62" t="n">
        <x:f>Dashboard_Live_Data!F61</x:f>
        <x:v>338.6571544092517</x:v>
      </x:c>
      <x:c r="E62" t="n">
        <x:f>Dashboard_Live_Data!D61</x:f>
        <x:v>-30.5</x:v>
      </x:c>
      <x:c r="F62" t="n">
        <x:f>Dashboard_Live_Data!G61</x:f>
        <x:v>-7.467318037700602</x:v>
      </x:c>
    </x:row>
    <x:row r="63">
      <x:c r="A63" t="n">
        <x:f>Dashboard_Live_Data!D62</x:f>
        <x:v>-30</x:v>
      </x:c>
      <x:c r="B63" t="n">
        <x:f>Dashboard_Live_Data!E62</x:f>
        <x:v>336.97644838088075</x:v>
      </x:c>
      <x:c r="C63" t="n">
        <x:f>Dashboard_Live_Data!D62</x:f>
        <x:v>-30</x:v>
      </x:c>
      <x:c r="D63" t="n">
        <x:f>Dashboard_Live_Data!F62</x:f>
        <x:v>336.97644838088075</x:v>
      </x:c>
      <x:c r="E63" t="n">
        <x:f>Dashboard_Live_Data!D62</x:f>
        <x:v>-30</x:v>
      </x:c>
      <x:c r="F63" t="n">
        <x:f>Dashboard_Live_Data!G62</x:f>
        <x:v>-17.51801383367469</x:v>
      </x:c>
    </x:row>
    <x:row r="64">
      <x:c r="A64" t="n">
        <x:f>Dashboard_Live_Data!D63</x:f>
        <x:v>-29.5</x:v>
      </x:c>
      <x:c r="B64" t="n">
        <x:f>Dashboard_Live_Data!E63</x:f>
        <x:v>326.24732503276135</x:v>
      </x:c>
      <x:c r="C64" t="n">
        <x:f>Dashboard_Live_Data!D63</x:f>
        <x:v>-29.5</x:v>
      </x:c>
      <x:c r="D64" t="n">
        <x:f>Dashboard_Live_Data!F63</x:f>
        <x:v>326.24732503276135</x:v>
      </x:c>
      <x:c r="E64" t="n">
        <x:f>Dashboard_Live_Data!D63</x:f>
        <x:v>-29.5</x:v>
      </x:c>
      <x:c r="F64" t="n">
        <x:f>Dashboard_Live_Data!G63</x:f>
        <x:v>-36.167878297776255</x:v>
      </x:c>
    </x:row>
    <x:row r="65">
      <x:c r="A65" t="n">
        <x:f>Dashboard_Live_Data!D64</x:f>
        <x:v>-29</x:v>
      </x:c>
      <x:c r="B65" t="n">
        <x:f>Dashboard_Live_Data!E64</x:f>
        <x:v>331.8773601232655</x:v>
      </x:c>
      <x:c r="C65" t="n">
        <x:f>Dashboard_Live_Data!D64</x:f>
        <x:v>-29</x:v>
      </x:c>
      <x:c r="D65" t="n">
        <x:f>Dashboard_Live_Data!F64</x:f>
        <x:v>331.8773601232655</x:v>
      </x:c>
      <x:c r="E65" t="n">
        <x:f>Dashboard_Live_Data!D64</x:f>
        <x:v>-29</x:v>
      </x:c>
      <x:c r="F65" t="n">
        <x:f>Dashboard_Live_Data!G64</x:f>
        <x:v>-22.86382175599607</x:v>
      </x:c>
    </x:row>
    <x:row r="66">
      <x:c r="A66" t="n">
        <x:f>Dashboard_Live_Data!D65</x:f>
        <x:v>-28.5</x:v>
      </x:c>
      <x:c r="B66" t="n">
        <x:f>Dashboard_Live_Data!E65</x:f>
        <x:v>310.24247262167495</x:v>
      </x:c>
      <x:c r="C66" t="n">
        <x:f>Dashboard_Live_Data!D65</x:f>
        <x:v>-28.5</x:v>
      </x:c>
      <x:c r="D66" t="n">
        <x:f>Dashboard_Live_Data!F65</x:f>
        <x:v>310.24247262167495</x:v>
      </x:c>
      <x:c r="E66" t="n">
        <x:f>Dashboard_Live_Data!D65</x:f>
        <x:v>-28.5</x:v>
      </x:c>
      <x:c r="F66" t="n">
        <x:f>Dashboard_Live_Data!G65</x:f>
        <x:v>-29.731374520275047</x:v>
      </x:c>
    </x:row>
    <x:row r="67">
      <x:c r="A67" t="n">
        <x:f>Dashboard_Live_Data!D66</x:f>
        <x:v>-28</x:v>
      </x:c>
      <x:c r="B67" t="n">
        <x:f>Dashboard_Live_Data!E66</x:f>
        <x:v>313.2831784265769</x:v>
      </x:c>
      <x:c r="C67" t="n">
        <x:f>Dashboard_Live_Data!D66</x:f>
        <x:v>-28</x:v>
      </x:c>
      <x:c r="D67" t="n">
        <x:f>Dashboard_Live_Data!F66</x:f>
        <x:v>313.2831784265769</x:v>
      </x:c>
      <x:c r="E67" t="n">
        <x:f>Dashboard_Live_Data!D66</x:f>
        <x:v>-28</x:v>
      </x:c>
      <x:c r="F67" t="n">
        <x:f>Dashboard_Live_Data!G66</x:f>
        <x:v>-53.01751827704016</x:v>
      </x:c>
    </x:row>
    <x:row r="68">
      <x:c r="A68" t="n">
        <x:f>Dashboard_Live_Data!D67</x:f>
        <x:v>-27.5</x:v>
      </x:c>
      <x:c r="B68" t="n">
        <x:f>Dashboard_Live_Data!E67</x:f>
        <x:v>296.8437612590685</x:v>
      </x:c>
      <x:c r="C68" t="n">
        <x:f>Dashboard_Live_Data!D67</x:f>
        <x:v>-27.5</x:v>
      </x:c>
      <x:c r="D68" t="n">
        <x:f>Dashboard_Live_Data!F67</x:f>
        <x:v>296.8437612590685</x:v>
      </x:c>
      <x:c r="E68" t="n">
        <x:f>Dashboard_Live_Data!D67</x:f>
        <x:v>-27.5</x:v>
      </x:c>
      <x:c r="F68" t="n">
        <x:f>Dashboard_Live_Data!G67</x:f>
        <x:v>-63.02108594889231</x:v>
      </x:c>
    </x:row>
    <x:row r="69">
      <x:c r="A69" t="n">
        <x:f>Dashboard_Live_Data!D68</x:f>
        <x:v>-27</x:v>
      </x:c>
      <x:c r="B69" t="n">
        <x:f>Dashboard_Live_Data!E68</x:f>
        <x:v>289.34226854097847</x:v>
      </x:c>
      <x:c r="C69" t="n">
        <x:f>Dashboard_Live_Data!D68</x:f>
        <x:v>-27</x:v>
      </x:c>
      <x:c r="D69" t="n">
        <x:f>Dashboard_Live_Data!F68</x:f>
        <x:v>289.34226854097847</x:v>
      </x:c>
      <x:c r="E69" t="n">
        <x:f>Dashboard_Live_Data!D68</x:f>
        <x:v>-27</x:v>
      </x:c>
      <x:c r="F69" t="n">
        <x:f>Dashboard_Live_Data!G68</x:f>
        <x:v>-69.67153928411518</x:v>
      </x:c>
    </x:row>
    <x:row r="70">
      <x:c r="A70" t="n">
        <x:f>Dashboard_Live_Data!D69</x:f>
        <x:v>-26.5</x:v>
      </x:c>
      <x:c r="B70" t="n">
        <x:f>Dashboard_Live_Data!E69</x:f>
        <x:v>290.55977847508683</x:v>
      </x:c>
      <x:c r="C70" t="n">
        <x:f>Dashboard_Live_Data!D69</x:f>
        <x:v>-26.5</x:v>
      </x:c>
      <x:c r="D70" t="n">
        <x:f>Dashboard_Live_Data!F69</x:f>
        <x:v>290.55977847508683</x:v>
      </x:c>
      <x:c r="E70" t="n">
        <x:f>Dashboard_Live_Data!D69</x:f>
        <x:v>-26.5</x:v>
      </x:c>
      <x:c r="F70" t="n">
        <x:f>Dashboard_Live_Data!G69</x:f>
        <x:v>-78.11942002863731</x:v>
      </x:c>
    </x:row>
    <x:row r="71">
      <x:c r="A71" t="n">
        <x:f>Dashboard_Live_Data!D70</x:f>
        <x:v>-26</x:v>
      </x:c>
      <x:c r="B71" t="n">
        <x:f>Dashboard_Live_Data!E70</x:f>
        <x:v>271.74352983421755</x:v>
      </x:c>
      <x:c r="C71" t="n">
        <x:f>Dashboard_Live_Data!D70</x:f>
        <x:v>-26</x:v>
      </x:c>
      <x:c r="D71" t="n">
        <x:f>Dashboard_Live_Data!F70</x:f>
        <x:v>271.74352983421755</x:v>
      </x:c>
      <x:c r="E71" t="n">
        <x:f>Dashboard_Live_Data!D70</x:f>
        <x:v>-26</x:v>
      </x:c>
      <x:c r="F71" t="n">
        <x:f>Dashboard_Live_Data!G70</x:f>
        <x:v>-82.17349441978894</x:v>
      </x:c>
    </x:row>
    <x:row r="72">
      <x:c r="A72" t="n">
        <x:f>Dashboard_Live_Data!D71</x:f>
        <x:v>-25.5</x:v>
      </x:c>
      <x:c r="B72" t="n">
        <x:f>Dashboard_Live_Data!E71</x:f>
        <x:v>271.72277085410076</x:v>
      </x:c>
      <x:c r="C72" t="n">
        <x:f>Dashboard_Live_Data!D71</x:f>
        <x:v>-25.5</x:v>
      </x:c>
      <x:c r="D72" t="n">
        <x:f>Dashboard_Live_Data!F71</x:f>
        <x:v>271.72277085410076</x:v>
      </x:c>
      <x:c r="E72" t="n">
        <x:f>Dashboard_Live_Data!D71</x:f>
        <x:v>-25.5</x:v>
      </x:c>
      <x:c r="F72" t="n">
        <x:f>Dashboard_Live_Data!G71</x:f>
        <x:v>-104.31813701930129</x:v>
      </x:c>
    </x:row>
    <x:row r="73">
      <x:c r="A73" t="n">
        <x:f>Dashboard_Live_Data!D72</x:f>
        <x:v>-25</x:v>
      </x:c>
      <x:c r="B73" t="n">
        <x:f>Dashboard_Live_Data!E72</x:f>
        <x:v>260.2713841318971</x:v>
      </x:c>
      <x:c r="C73" t="n">
        <x:f>Dashboard_Live_Data!D72</x:f>
        <x:v>-25</x:v>
      </x:c>
      <x:c r="D73" t="n">
        <x:f>Dashboard_Live_Data!F72</x:f>
        <x:v>260.2713841318971</x:v>
      </x:c>
      <x:c r="E73" t="n">
        <x:f>Dashboard_Live_Data!D72</x:f>
        <x:v>-25</x:v>
      </x:c>
      <x:c r="F73" t="n">
        <x:f>Dashboard_Live_Data!G72</x:f>
        <x:v>-97.55297588358108</x:v>
      </x:c>
    </x:row>
    <x:row r="74">
      <x:c r="A74" t="n">
        <x:f>Dashboard_Live_Data!D73</x:f>
        <x:v>-24.5</x:v>
      </x:c>
      <x:c r="B74" t="n">
        <x:f>Dashboard_Live_Data!E73</x:f>
        <x:v>276.49363528949897</x:v>
      </x:c>
      <x:c r="C74" t="n">
        <x:f>Dashboard_Live_Data!D73</x:f>
        <x:v>-24.5</x:v>
      </x:c>
      <x:c r="D74" t="n">
        <x:f>Dashboard_Live_Data!F73</x:f>
        <x:v>276.49363528949897</x:v>
      </x:c>
      <x:c r="E74" t="n">
        <x:f>Dashboard_Live_Data!D73</x:f>
        <x:v>-24.5</x:v>
      </x:c>
      <x:c r="F74" t="n">
        <x:f>Dashboard_Live_Data!G73</x:f>
        <x:v>-113.61582851930044</x:v>
      </x:c>
    </x:row>
    <x:row r="75">
      <x:c r="A75" t="n">
        <x:f>Dashboard_Live_Data!D74</x:f>
        <x:v>-24</x:v>
      </x:c>
      <x:c r="B75" t="n">
        <x:f>Dashboard_Live_Data!E74</x:f>
        <x:v>268.5791759815676</x:v>
      </x:c>
      <x:c r="C75" t="n">
        <x:f>Dashboard_Live_Data!D74</x:f>
        <x:v>-24</x:v>
      </x:c>
      <x:c r="D75" t="n">
        <x:f>Dashboard_Live_Data!F74</x:f>
        <x:v>268.5791759815676</x:v>
      </x:c>
      <x:c r="E75" t="n">
        <x:f>Dashboard_Live_Data!D74</x:f>
        <x:v>-24</x:v>
      </x:c>
      <x:c r="F75" t="n">
        <x:f>Dashboard_Live_Data!G74</x:f>
        <x:v>-111.48853690711687</x:v>
      </x:c>
    </x:row>
    <x:row r="76">
      <x:c r="A76" t="n">
        <x:f>Dashboard_Live_Data!D75</x:f>
        <x:v>-23.5</x:v>
      </x:c>
      <x:c r="B76" t="n">
        <x:f>Dashboard_Live_Data!E75</x:f>
        <x:v>273.93459884711217</x:v>
      </x:c>
      <x:c r="C76" t="n">
        <x:f>Dashboard_Live_Data!D75</x:f>
        <x:v>-23.5</x:v>
      </x:c>
      <x:c r="D76" t="n">
        <x:f>Dashboard_Live_Data!F75</x:f>
        <x:v>273.93459884711217</x:v>
      </x:c>
      <x:c r="E76" t="n">
        <x:f>Dashboard_Live_Data!D75</x:f>
        <x:v>-23.5</x:v>
      </x:c>
      <x:c r="F76" t="n">
        <x:f>Dashboard_Live_Data!G75</x:f>
        <x:v>-125.65162794647964</x:v>
      </x:c>
    </x:row>
    <x:row r="77">
      <x:c r="A77" t="n">
        <x:f>Dashboard_Live_Data!D76</x:f>
        <x:v>-23</x:v>
      </x:c>
      <x:c r="B77" t="n">
        <x:f>Dashboard_Live_Data!E76</x:f>
        <x:v>279.55588840773</x:v>
      </x:c>
      <x:c r="C77" t="n">
        <x:f>Dashboard_Live_Data!D76</x:f>
        <x:v>-23</x:v>
      </x:c>
      <x:c r="D77" t="n">
        <x:f>Dashboard_Live_Data!F76</x:f>
        <x:v>279.55588840773</x:v>
      </x:c>
      <x:c r="E77" t="n">
        <x:f>Dashboard_Live_Data!D76</x:f>
        <x:v>-23</x:v>
      </x:c>
      <x:c r="F77" t="n">
        <x:f>Dashboard_Live_Data!G76</x:f>
        <x:v>-132.5457898426781</x:v>
      </x:c>
    </x:row>
    <x:row r="78">
      <x:c r="A78" t="n">
        <x:f>Dashboard_Live_Data!D77</x:f>
        <x:v>-22.5</x:v>
      </x:c>
      <x:c r="B78" t="n">
        <x:f>Dashboard_Live_Data!E77</x:f>
        <x:v>286.69936407981004</x:v>
      </x:c>
      <x:c r="C78" t="n">
        <x:f>Dashboard_Live_Data!D77</x:f>
        <x:v>-22.5</x:v>
      </x:c>
      <x:c r="D78" t="n">
        <x:f>Dashboard_Live_Data!F77</x:f>
        <x:v>286.69936407981004</x:v>
      </x:c>
      <x:c r="E78" t="n">
        <x:f>Dashboard_Live_Data!D77</x:f>
        <x:v>-22.5</x:v>
      </x:c>
      <x:c r="F78" t="n">
        <x:f>Dashboard_Live_Data!G77</x:f>
        <x:v>-138.29494668428998</x:v>
      </x:c>
    </x:row>
    <x:row r="79">
      <x:c r="A79" t="n">
        <x:f>Dashboard_Live_Data!D78</x:f>
        <x:v>-22</x:v>
      </x:c>
      <x:c r="B79" t="n">
        <x:f>Dashboard_Live_Data!E78</x:f>
        <x:v>316.60820817766927</x:v>
      </x:c>
      <x:c r="C79" t="n">
        <x:f>Dashboard_Live_Data!D78</x:f>
        <x:v>-22</x:v>
      </x:c>
      <x:c r="D79" t="n">
        <x:f>Dashboard_Live_Data!F78</x:f>
        <x:v>316.60820817766927</x:v>
      </x:c>
      <x:c r="E79" t="n">
        <x:f>Dashboard_Live_Data!D78</x:f>
        <x:v>-22</x:v>
      </x:c>
      <x:c r="F79" t="n">
        <x:f>Dashboard_Live_Data!G78</x:f>
        <x:v>-144.0992283446906</x:v>
      </x:c>
    </x:row>
    <x:row r="80">
      <x:c r="A80" t="n">
        <x:f>Dashboard_Live_Data!D79</x:f>
        <x:v>-21.5</x:v>
      </x:c>
      <x:c r="B80" t="n">
        <x:f>Dashboard_Live_Data!E79</x:f>
        <x:v>332.44947759769417</x:v>
      </x:c>
      <x:c r="C80" t="n">
        <x:f>Dashboard_Live_Data!D79</x:f>
        <x:v>-21.5</x:v>
      </x:c>
      <x:c r="D80" t="n">
        <x:f>Dashboard_Live_Data!F79</x:f>
        <x:v>332.44947759769417</x:v>
      </x:c>
      <x:c r="E80" t="n">
        <x:f>Dashboard_Live_Data!D79</x:f>
        <x:v>-21.5</x:v>
      </x:c>
      <x:c r="F80" t="n">
        <x:f>Dashboard_Live_Data!G79</x:f>
        <x:v>-156.9345481530768</x:v>
      </x:c>
    </x:row>
    <x:row r="81">
      <x:c r="A81" t="n">
        <x:f>Dashboard_Live_Data!D80</x:f>
        <x:v>-21</x:v>
      </x:c>
      <x:c r="B81" t="n">
        <x:f>Dashboard_Live_Data!E80</x:f>
        <x:v>317.91812880175183</x:v>
      </x:c>
      <x:c r="C81" t="n">
        <x:f>Dashboard_Live_Data!D80</x:f>
        <x:v>-21</x:v>
      </x:c>
      <x:c r="D81" t="n">
        <x:f>Dashboard_Live_Data!F80</x:f>
        <x:v>317.91812880175183</x:v>
      </x:c>
      <x:c r="E81" t="n">
        <x:f>Dashboard_Live_Data!D80</x:f>
        <x:v>-21</x:v>
      </x:c>
      <x:c r="F81" t="n">
        <x:f>Dashboard_Live_Data!G80</x:f>
        <x:v>-142.37794992196604</x:v>
      </x:c>
    </x:row>
    <x:row r="82">
      <x:c r="A82" t="n">
        <x:f>Dashboard_Live_Data!D81</x:f>
        <x:v>-20.5</x:v>
      </x:c>
      <x:c r="B82" t="n">
        <x:f>Dashboard_Live_Data!E81</x:f>
        <x:v>343.37986587370784</x:v>
      </x:c>
      <x:c r="C82" t="n">
        <x:f>Dashboard_Live_Data!D81</x:f>
        <x:v>-20.5</x:v>
      </x:c>
      <x:c r="D82" t="n">
        <x:f>Dashboard_Live_Data!F81</x:f>
        <x:v>343.37986587370784</x:v>
      </x:c>
      <x:c r="E82" t="n">
        <x:f>Dashboard_Live_Data!D81</x:f>
        <x:v>-20.5</x:v>
      </x:c>
      <x:c r="F82" t="n">
        <x:f>Dashboard_Live_Data!G81</x:f>
        <x:v>-140.5508651158499</x:v>
      </x:c>
    </x:row>
    <x:row r="83">
      <x:c r="A83" t="n">
        <x:f>Dashboard_Live_Data!D82</x:f>
        <x:v>-20</x:v>
      </x:c>
      <x:c r="B83" t="n">
        <x:f>Dashboard_Live_Data!E82</x:f>
        <x:v>338.15830709992554</x:v>
      </x:c>
      <x:c r="C83" t="n">
        <x:f>Dashboard_Live_Data!D82</x:f>
        <x:v>-20</x:v>
      </x:c>
      <x:c r="D83" t="n">
        <x:f>Dashboard_Live_Data!F82</x:f>
        <x:v>338.15830709992554</x:v>
      </x:c>
      <x:c r="E83" t="n">
        <x:f>Dashboard_Live_Data!D82</x:f>
        <x:v>-20</x:v>
      </x:c>
      <x:c r="F83" t="n">
        <x:f>Dashboard_Live_Data!G82</x:f>
        <x:v>-146.32822187126578</x:v>
      </x:c>
    </x:row>
    <x:row r="84">
      <x:c r="A84" t="n">
        <x:f>Dashboard_Live_Data!D83</x:f>
        <x:v>-19.5</x:v>
      </x:c>
      <x:c r="B84" t="n">
        <x:f>Dashboard_Live_Data!E83</x:f>
        <x:v>363.81454233496186</x:v>
      </x:c>
      <x:c r="C84" t="n">
        <x:f>Dashboard_Live_Data!D83</x:f>
        <x:v>-19.5</x:v>
      </x:c>
      <x:c r="D84" t="n">
        <x:f>Dashboard_Live_Data!F83</x:f>
        <x:v>363.81454233496186</x:v>
      </x:c>
      <x:c r="E84" t="n">
        <x:f>Dashboard_Live_Data!D83</x:f>
        <x:v>-19.5</x:v>
      </x:c>
      <x:c r="F84" t="n">
        <x:f>Dashboard_Live_Data!G83</x:f>
        <x:v>-140.0483381286437</x:v>
      </x:c>
    </x:row>
    <x:row r="85">
      <x:c r="A85" t="n">
        <x:f>Dashboard_Live_Data!D84</x:f>
        <x:v>-19</x:v>
      </x:c>
      <x:c r="B85" t="n">
        <x:f>Dashboard_Live_Data!E84</x:f>
        <x:v>371.18641988344854</x:v>
      </x:c>
      <x:c r="C85" t="n">
        <x:f>Dashboard_Live_Data!D84</x:f>
        <x:v>-19</x:v>
      </x:c>
      <x:c r="D85" t="n">
        <x:f>Dashboard_Live_Data!F84</x:f>
        <x:v>371.18641988344854</x:v>
      </x:c>
      <x:c r="E85" t="n">
        <x:f>Dashboard_Live_Data!D84</x:f>
        <x:v>-19</x:v>
      </x:c>
      <x:c r="F85" t="n">
        <x:f>Dashboard_Live_Data!G84</x:f>
        <x:v>-144.88352309984418</x:v>
      </x:c>
    </x:row>
    <x:row r="86">
      <x:c r="A86" t="n">
        <x:f>Dashboard_Live_Data!D85</x:f>
        <x:v>-18.5</x:v>
      </x:c>
      <x:c r="B86" t="n">
        <x:f>Dashboard_Live_Data!E85</x:f>
        <x:v>365.6884368087795</x:v>
      </x:c>
      <x:c r="C86" t="n">
        <x:f>Dashboard_Live_Data!D85</x:f>
        <x:v>-18.5</x:v>
      </x:c>
      <x:c r="D86" t="n">
        <x:f>Dashboard_Live_Data!F85</x:f>
        <x:v>365.6884368087795</x:v>
      </x:c>
      <x:c r="E86" t="n">
        <x:f>Dashboard_Live_Data!D85</x:f>
        <x:v>-18.5</x:v>
      </x:c>
      <x:c r="F86" t="n">
        <x:f>Dashboard_Live_Data!G85</x:f>
        <x:v>-136.66366560462208</x:v>
      </x:c>
    </x:row>
    <x:row r="87">
      <x:c r="A87" t="n">
        <x:f>Dashboard_Live_Data!D86</x:f>
        <x:v>-18</x:v>
      </x:c>
      <x:c r="B87" t="n">
        <x:f>Dashboard_Live_Data!E86</x:f>
        <x:v>392.0220541536099</x:v>
      </x:c>
      <x:c r="C87" t="n">
        <x:f>Dashboard_Live_Data!D86</x:f>
        <x:v>-18</x:v>
      </x:c>
      <x:c r="D87" t="n">
        <x:f>Dashboard_Live_Data!F86</x:f>
        <x:v>392.0220541536099</x:v>
      </x:c>
      <x:c r="E87" t="n">
        <x:f>Dashboard_Live_Data!D86</x:f>
        <x:v>-18</x:v>
      </x:c>
      <x:c r="F87" t="n">
        <x:f>Dashboard_Live_Data!G86</x:f>
        <x:v>-149.12259877495586</x:v>
      </x:c>
    </x:row>
    <x:row r="88">
      <x:c r="A88" t="n">
        <x:f>Dashboard_Live_Data!D87</x:f>
        <x:v>-17.5</x:v>
      </x:c>
      <x:c r="B88" t="n">
        <x:f>Dashboard_Live_Data!E87</x:f>
        <x:v>397.07097057156574</x:v>
      </x:c>
      <x:c r="C88" t="n">
        <x:f>Dashboard_Live_Data!D87</x:f>
        <x:v>-17.5</x:v>
      </x:c>
      <x:c r="D88" t="n">
        <x:f>Dashboard_Live_Data!F87</x:f>
        <x:v>397.07097057156574</x:v>
      </x:c>
      <x:c r="E88" t="n">
        <x:f>Dashboard_Live_Data!D87</x:f>
        <x:v>-17.5</x:v>
      </x:c>
      <x:c r="F88" t="n">
        <x:f>Dashboard_Live_Data!G87</x:f>
        <x:v>-139.0731304771746</x:v>
      </x:c>
    </x:row>
    <x:row r="89">
      <x:c r="A89" t="n">
        <x:f>Dashboard_Live_Data!D88</x:f>
        <x:v>-17</x:v>
      </x:c>
      <x:c r="B89" t="n">
        <x:f>Dashboard_Live_Data!E88</x:f>
        <x:v>381.37310246850825</x:v>
      </x:c>
      <x:c r="C89" t="n">
        <x:f>Dashboard_Live_Data!D88</x:f>
        <x:v>-17</x:v>
      </x:c>
      <x:c r="D89" t="n">
        <x:f>Dashboard_Live_Data!F88</x:f>
        <x:v>381.37310246850825</x:v>
      </x:c>
      <x:c r="E89" t="n">
        <x:f>Dashboard_Live_Data!D88</x:f>
        <x:v>-17</x:v>
      </x:c>
      <x:c r="F89" t="n">
        <x:f>Dashboard_Live_Data!G88</x:f>
        <x:v>-125.70874899839603</x:v>
      </x:c>
    </x:row>
    <x:row r="90">
      <x:c r="A90" t="n">
        <x:f>Dashboard_Live_Data!D89</x:f>
        <x:v>-16.5</x:v>
      </x:c>
      <x:c r="B90" t="n">
        <x:f>Dashboard_Live_Data!E89</x:f>
        <x:v>387.1431058674635</x:v>
      </x:c>
      <x:c r="C90" t="n">
        <x:f>Dashboard_Live_Data!D89</x:f>
        <x:v>-16.5</x:v>
      </x:c>
      <x:c r="D90" t="n">
        <x:f>Dashboard_Live_Data!F89</x:f>
        <x:v>387.1431058674635</x:v>
      </x:c>
      <x:c r="E90" t="n">
        <x:f>Dashboard_Live_Data!D89</x:f>
        <x:v>-16.5</x:v>
      </x:c>
      <x:c r="F90" t="n">
        <x:f>Dashboard_Live_Data!G89</x:f>
        <x:v>-123.86861357235706</x:v>
      </x:c>
    </x:row>
    <x:row r="91">
      <x:c r="A91" t="n">
        <x:f>Dashboard_Live_Data!D90</x:f>
        <x:v>-16</x:v>
      </x:c>
      <x:c r="B91" t="n">
        <x:f>Dashboard_Live_Data!E90</x:f>
        <x:v>413.2956148642764</x:v>
      </x:c>
      <x:c r="C91" t="n">
        <x:f>Dashboard_Live_Data!D90</x:f>
        <x:v>-16</x:v>
      </x:c>
      <x:c r="D91" t="n">
        <x:f>Dashboard_Live_Data!F90</x:f>
        <x:v>413.2956148642764</x:v>
      </x:c>
      <x:c r="E91" t="n">
        <x:f>Dashboard_Live_Data!D90</x:f>
        <x:v>-16</x:v>
      </x:c>
      <x:c r="F91" t="n">
        <x:f>Dashboard_Live_Data!G90</x:f>
        <x:v>-97.48037396441562</x:v>
      </x:c>
    </x:row>
    <x:row r="92">
      <x:c r="A92" t="n">
        <x:f>Dashboard_Live_Data!D91</x:f>
        <x:v>-15.5</x:v>
      </x:c>
      <x:c r="B92" t="n">
        <x:f>Dashboard_Live_Data!E91</x:f>
        <x:v>405.1793484681727</x:v>
      </x:c>
      <x:c r="C92" t="n">
        <x:f>Dashboard_Live_Data!D91</x:f>
        <x:v>-15.5</x:v>
      </x:c>
      <x:c r="D92" t="n">
        <x:f>Dashboard_Live_Data!F91</x:f>
        <x:v>405.1793484681727</x:v>
      </x:c>
      <x:c r="E92" t="n">
        <x:f>Dashboard_Live_Data!D91</x:f>
        <x:v>-15.5</x:v>
      </x:c>
      <x:c r="F92" t="n">
        <x:f>Dashboard_Live_Data!G91</x:f>
        <x:v>-109.31712972071381</x:v>
      </x:c>
    </x:row>
    <x:row r="93">
      <x:c r="A93" t="n">
        <x:f>Dashboard_Live_Data!D92</x:f>
        <x:v>-15</x:v>
      </x:c>
      <x:c r="B93" t="n">
        <x:f>Dashboard_Live_Data!E92</x:f>
        <x:v>416.63024006091615</x:v>
      </x:c>
      <x:c r="C93" t="n">
        <x:f>Dashboard_Live_Data!D92</x:f>
        <x:v>-15</x:v>
      </x:c>
      <x:c r="D93" t="n">
        <x:f>Dashboard_Live_Data!F92</x:f>
        <x:v>416.63024006091615</x:v>
      </x:c>
      <x:c r="E93" t="n">
        <x:f>Dashboard_Live_Data!D92</x:f>
        <x:v>-15</x:v>
      </x:c>
      <x:c r="F93" t="n">
        <x:f>Dashboard_Live_Data!G92</x:f>
        <x:v>-90.49530902944495</x:v>
      </x:c>
    </x:row>
    <x:row r="94">
      <x:c r="A94" t="n">
        <x:f>Dashboard_Live_Data!D93</x:f>
        <x:v>-14.5</x:v>
      </x:c>
      <x:c r="B94" t="n">
        <x:f>Dashboard_Live_Data!E93</x:f>
        <x:v>425.31373753688456</x:v>
      </x:c>
      <x:c r="C94" t="n">
        <x:f>Dashboard_Live_Data!D93</x:f>
        <x:v>-14.5</x:v>
      </x:c>
      <x:c r="D94" t="n">
        <x:f>Dashboard_Live_Data!F93</x:f>
        <x:v>425.31373753688456</x:v>
      </x:c>
      <x:c r="E94" t="n">
        <x:f>Dashboard_Live_Data!D93</x:f>
        <x:v>-14.5</x:v>
      </x:c>
      <x:c r="F94" t="n">
        <x:f>Dashboard_Live_Data!G93</x:f>
        <x:v>-86.65248482679937</x:v>
      </x:c>
    </x:row>
    <x:row r="95">
      <x:c r="A95" t="n">
        <x:f>Dashboard_Live_Data!D94</x:f>
        <x:v>-14</x:v>
      </x:c>
      <x:c r="B95" t="n">
        <x:f>Dashboard_Live_Data!E94</x:f>
        <x:v>420.9575928892744</x:v>
      </x:c>
      <x:c r="C95" t="n">
        <x:f>Dashboard_Live_Data!D94</x:f>
        <x:v>-14</x:v>
      </x:c>
      <x:c r="D95" t="n">
        <x:f>Dashboard_Live_Data!F94</x:f>
        <x:v>420.9575928892744</x:v>
      </x:c>
      <x:c r="E95" t="n">
        <x:f>Dashboard_Live_Data!D94</x:f>
        <x:v>-14</x:v>
      </x:c>
      <x:c r="F95" t="n">
        <x:f>Dashboard_Live_Data!G94</x:f>
        <x:v>-84.36597258140502</x:v>
      </x:c>
    </x:row>
    <x:row r="96">
      <x:c r="A96" t="n">
        <x:f>Dashboard_Live_Data!D95</x:f>
        <x:v>-13.5</x:v>
      </x:c>
      <x:c r="B96" t="n">
        <x:f>Dashboard_Live_Data!E95</x:f>
        <x:v>418.7700178970381</x:v>
      </x:c>
      <x:c r="C96" t="n">
        <x:f>Dashboard_Live_Data!D95</x:f>
        <x:v>-13.5</x:v>
      </x:c>
      <x:c r="D96" t="n">
        <x:f>Dashboard_Live_Data!F95</x:f>
        <x:v>418.7700178970381</x:v>
      </x:c>
      <x:c r="E96" t="n">
        <x:f>Dashboard_Live_Data!D95</x:f>
        <x:v>-13.5</x:v>
      </x:c>
      <x:c r="F96" t="n">
        <x:f>Dashboard_Live_Data!G95</x:f>
        <x:v>-61.03205493353448</x:v>
      </x:c>
    </x:row>
    <x:row r="97">
      <x:c r="A97" t="n">
        <x:f>Dashboard_Live_Data!D96</x:f>
        <x:v>-13</x:v>
      </x:c>
      <x:c r="B97" t="n">
        <x:f>Dashboard_Live_Data!E96</x:f>
        <x:v>432.8844458249992</x:v>
      </x:c>
      <x:c r="C97" t="n">
        <x:f>Dashboard_Live_Data!D96</x:f>
        <x:v>-13</x:v>
      </x:c>
      <x:c r="D97" t="n">
        <x:f>Dashboard_Live_Data!F96</x:f>
        <x:v>432.8844458249992</x:v>
      </x:c>
      <x:c r="E97" t="n">
        <x:f>Dashboard_Live_Data!D96</x:f>
        <x:v>-13</x:v>
      </x:c>
      <x:c r="F97" t="n">
        <x:f>Dashboard_Live_Data!G96</x:f>
        <x:v>-64.09243482429542</x:v>
      </x:c>
    </x:row>
    <x:row r="98">
      <x:c r="A98" t="n">
        <x:f>Dashboard_Live_Data!D97</x:f>
        <x:v>-12.5</x:v>
      </x:c>
      <x:c r="B98" t="n">
        <x:f>Dashboard_Live_Data!E97</x:f>
        <x:v>448.8683161255995</x:v>
      </x:c>
      <x:c r="C98" t="n">
        <x:f>Dashboard_Live_Data!D97</x:f>
        <x:v>-12.5</x:v>
      </x:c>
      <x:c r="D98" t="n">
        <x:f>Dashboard_Live_Data!F97</x:f>
        <x:v>448.8683161255995</x:v>
      </x:c>
      <x:c r="E98" t="n">
        <x:f>Dashboard_Live_Data!D97</x:f>
        <x:v>-12.5</x:v>
      </x:c>
      <x:c r="F98" t="n">
        <x:f>Dashboard_Live_Data!G97</x:f>
        <x:v>-70.18392228131138</x:v>
      </x:c>
    </x:row>
    <x:row r="99">
      <x:c r="A99" t="n">
        <x:f>Dashboard_Live_Data!D98</x:f>
        <x:v>-12</x:v>
      </x:c>
      <x:c r="B99" t="n">
        <x:f>Dashboard_Live_Data!E98</x:f>
        <x:v>437.9918993099811</x:v>
      </x:c>
      <x:c r="C99" t="n">
        <x:f>Dashboard_Live_Data!D98</x:f>
        <x:v>-12</x:v>
      </x:c>
      <x:c r="D99" t="n">
        <x:f>Dashboard_Live_Data!F98</x:f>
        <x:v>437.9918993099811</x:v>
      </x:c>
      <x:c r="E99" t="n">
        <x:f>Dashboard_Live_Data!D98</x:f>
        <x:v>-12</x:v>
      </x:c>
      <x:c r="F99" t="n">
        <x:f>Dashboard_Live_Data!G98</x:f>
        <x:v>-47.55794552962975</x:v>
      </x:c>
    </x:row>
    <x:row r="100">
      <x:c r="A100" t="n">
        <x:f>Dashboard_Live_Data!D99</x:f>
        <x:v>-11.5</x:v>
      </x:c>
      <x:c r="B100" t="n">
        <x:f>Dashboard_Live_Data!E99</x:f>
        <x:v>458.910891472728</x:v>
      </x:c>
      <x:c r="C100" t="n">
        <x:f>Dashboard_Live_Data!D99</x:f>
        <x:v>-11.5</x:v>
      </x:c>
      <x:c r="D100" t="n">
        <x:f>Dashboard_Live_Data!F99</x:f>
        <x:v>458.910891472728</x:v>
      </x:c>
      <x:c r="E100" t="n">
        <x:f>Dashboard_Live_Data!D99</x:f>
        <x:v>-11.5</x:v>
      </x:c>
      <x:c r="F100" t="n">
        <x:f>Dashboard_Live_Data!G99</x:f>
        <x:v>-48.06780811544866</x:v>
      </x:c>
    </x:row>
    <x:row r="101">
      <x:c r="A101" t="n">
        <x:f>Dashboard_Live_Data!D100</x:f>
        <x:v>-11</x:v>
      </x:c>
      <x:c r="B101" t="n">
        <x:f>Dashboard_Live_Data!E100</x:f>
        <x:v>462.5412492822977</x:v>
      </x:c>
      <x:c r="C101" t="n">
        <x:f>Dashboard_Live_Data!D100</x:f>
        <x:v>-11</x:v>
      </x:c>
      <x:c r="D101" t="n">
        <x:f>Dashboard_Live_Data!F100</x:f>
        <x:v>462.5412492822977</x:v>
      </x:c>
      <x:c r="E101" t="n">
        <x:f>Dashboard_Live_Data!D100</x:f>
        <x:v>-11</x:v>
      </x:c>
      <x:c r="F101" t="n">
        <x:f>Dashboard_Live_Data!G100</x:f>
        <x:v>-43.28983557333215</x:v>
      </x:c>
    </x:row>
    <x:row r="102">
      <x:c r="A102" t="n">
        <x:f>Dashboard_Live_Data!D101</x:f>
        <x:v>-10.5</x:v>
      </x:c>
      <x:c r="B102" t="n">
        <x:f>Dashboard_Live_Data!E101</x:f>
        <x:v>470.10163194835394</x:v>
      </x:c>
      <x:c r="C102" t="n">
        <x:f>Dashboard_Live_Data!D101</x:f>
        <x:v>-10.5</x:v>
      </x:c>
      <x:c r="D102" t="n">
        <x:f>Dashboard_Live_Data!F101</x:f>
        <x:v>470.10163194835394</x:v>
      </x:c>
      <x:c r="E102" t="n">
        <x:f>Dashboard_Live_Data!D101</x:f>
        <x:v>-10.5</x:v>
      </x:c>
      <x:c r="F102" t="n">
        <x:f>Dashboard_Live_Data!G101</x:f>
        <x:v>-52.09631463655199</x:v>
      </x:c>
    </x:row>
    <x:row r="103">
      <x:c r="A103" t="n">
        <x:f>Dashboard_Live_Data!D102</x:f>
        <x:v>-10</x:v>
      </x:c>
      <x:c r="B103" t="n">
        <x:f>Dashboard_Live_Data!E102</x:f>
        <x:v>471.5144848829251</x:v>
      </x:c>
      <x:c r="C103" t="n">
        <x:f>Dashboard_Live_Data!D102</x:f>
        <x:v>-10</x:v>
      </x:c>
      <x:c r="D103" t="n">
        <x:f>Dashboard_Live_Data!F102</x:f>
        <x:v>471.5144848829251</x:v>
      </x:c>
      <x:c r="E103" t="n">
        <x:f>Dashboard_Live_Data!D102</x:f>
        <x:v>-10</x:v>
      </x:c>
      <x:c r="F103" t="n">
        <x:f>Dashboard_Live_Data!G102</x:f>
        <x:v>-49.423131521111884</x:v>
      </x:c>
    </x:row>
    <x:row r="104">
      <x:c r="A104" t="n">
        <x:f>Dashboard_Live_Data!D103</x:f>
        <x:v>-9.5</x:v>
      </x:c>
      <x:c r="B104" t="n">
        <x:f>Dashboard_Live_Data!E103</x:f>
        <x:v>470.5815738170562</x:v>
      </x:c>
      <x:c r="C104" t="n">
        <x:f>Dashboard_Live_Data!D103</x:f>
        <x:v>-9.5</x:v>
      </x:c>
      <x:c r="D104" t="n">
        <x:f>Dashboard_Live_Data!F103</x:f>
        <x:v>470.5815738170562</x:v>
      </x:c>
      <x:c r="E104" t="n">
        <x:f>Dashboard_Live_Data!D103</x:f>
        <x:v>-9.5</x:v>
      </x:c>
      <x:c r="F104" t="n">
        <x:f>Dashboard_Live_Data!G103</x:f>
        <x:v>-32.277557975083496</x:v>
      </x:c>
    </x:row>
    <x:row r="105">
      <x:c r="A105" t="n">
        <x:f>Dashboard_Live_Data!D104</x:f>
        <x:v>-9</x:v>
      </x:c>
      <x:c r="B105" t="n">
        <x:f>Dashboard_Live_Data!E104</x:f>
        <x:v>480.618285675218</x:v>
      </x:c>
      <x:c r="C105" t="n">
        <x:f>Dashboard_Live_Data!D104</x:f>
        <x:v>-9</x:v>
      </x:c>
      <x:c r="D105" t="n">
        <x:f>Dashboard_Live_Data!F104</x:f>
        <x:v>480.618285675218</x:v>
      </x:c>
      <x:c r="E105" t="n">
        <x:f>Dashboard_Live_Data!D104</x:f>
        <x:v>-9</x:v>
      </x:c>
      <x:c r="F105" t="n">
        <x:f>Dashboard_Live_Data!G104</x:f>
        <x:v>-47.4214748383975</x:v>
      </x:c>
    </x:row>
    <x:row r="106">
      <x:c r="A106" t="n">
        <x:f>Dashboard_Live_Data!D105</x:f>
        <x:v>-8.5</x:v>
      </x:c>
      <x:c r="B106" t="n">
        <x:f>Dashboard_Live_Data!E105</x:f>
        <x:v>460.6206107904381</x:v>
      </x:c>
      <x:c r="C106" t="n">
        <x:f>Dashboard_Live_Data!D105</x:f>
        <x:v>-8.5</x:v>
      </x:c>
      <x:c r="D106" t="n">
        <x:f>Dashboard_Live_Data!F105</x:f>
        <x:v>460.6206107904381</x:v>
      </x:c>
      <x:c r="E106" t="n">
        <x:f>Dashboard_Live_Data!D105</x:f>
        <x:v>-8.5</x:v>
      </x:c>
      <x:c r="F106" t="n">
        <x:f>Dashboard_Live_Data!G105</x:f>
        <x:v>-61.84832289166857</x:v>
      </x:c>
    </x:row>
    <x:row r="107">
      <x:c r="A107" t="n">
        <x:f>Dashboard_Live_Data!D106</x:f>
        <x:v>-8</x:v>
      </x:c>
      <x:c r="B107" t="n">
        <x:f>Dashboard_Live_Data!E106</x:f>
        <x:v>475.6659223963138</x:v>
      </x:c>
      <x:c r="C107" t="n">
        <x:f>Dashboard_Live_Data!D106</x:f>
        <x:v>-8</x:v>
      </x:c>
      <x:c r="D107" t="n">
        <x:f>Dashboard_Live_Data!F106</x:f>
        <x:v>475.6659223963138</x:v>
      </x:c>
      <x:c r="E107" t="n">
        <x:f>Dashboard_Live_Data!D106</x:f>
        <x:v>-8</x:v>
      </x:c>
      <x:c r="F107" t="n">
        <x:f>Dashboard_Live_Data!G106</x:f>
        <x:v>-39.34099577037003</x:v>
      </x:c>
    </x:row>
    <x:row r="108">
      <x:c r="A108" t="n">
        <x:f>Dashboard_Live_Data!D107</x:f>
        <x:v>-7.5</x:v>
      </x:c>
      <x:c r="B108" t="n">
        <x:f>Dashboard_Live_Data!E107</x:f>
        <x:v>470.2640951439132</x:v>
      </x:c>
      <x:c r="C108" t="n">
        <x:f>Dashboard_Live_Data!D107</x:f>
        <x:v>-7.5</x:v>
      </x:c>
      <x:c r="D108" t="n">
        <x:f>Dashboard_Live_Data!F107</x:f>
        <x:v>470.2640951439132</x:v>
      </x:c>
      <x:c r="E108" t="n">
        <x:f>Dashboard_Live_Data!D107</x:f>
        <x:v>-7.5</x:v>
      </x:c>
      <x:c r="F108" t="n">
        <x:f>Dashboard_Live_Data!G107</x:f>
        <x:v>-43.22381145165265</x:v>
      </x:c>
    </x:row>
    <x:row r="109">
      <x:c r="A109" t="n">
        <x:f>Dashboard_Live_Data!D108</x:f>
        <x:v>-7</x:v>
      </x:c>
      <x:c r="B109" t="n">
        <x:f>Dashboard_Live_Data!E108</x:f>
        <x:v>442.95708145426426</x:v>
      </x:c>
      <x:c r="C109" t="n">
        <x:f>Dashboard_Live_Data!D108</x:f>
        <x:v>-7</x:v>
      </x:c>
      <x:c r="D109" t="n">
        <x:f>Dashboard_Live_Data!F108</x:f>
        <x:v>442.95708145426426</x:v>
      </x:c>
      <x:c r="E109" t="n">
        <x:f>Dashboard_Live_Data!D108</x:f>
        <x:v>-7</x:v>
      </x:c>
      <x:c r="F109" t="n">
        <x:f>Dashboard_Live_Data!G108</x:f>
        <x:v>-48.04634011268098</x:v>
      </x:c>
    </x:row>
    <x:row r="110">
      <x:c r="A110" t="n">
        <x:f>Dashboard_Live_Data!D109</x:f>
        <x:v>-6.5</x:v>
      </x:c>
      <x:c r="B110" t="n">
        <x:f>Dashboard_Live_Data!E109</x:f>
        <x:v>455.8100478474453</x:v>
      </x:c>
      <x:c r="C110" t="n">
        <x:f>Dashboard_Live_Data!D109</x:f>
        <x:v>-6.5</x:v>
      </x:c>
      <x:c r="D110" t="n">
        <x:f>Dashboard_Live_Data!F109</x:f>
        <x:v>455.8100478474453</x:v>
      </x:c>
      <x:c r="E110" t="n">
        <x:f>Dashboard_Live_Data!D109</x:f>
        <x:v>-6.5</x:v>
      </x:c>
      <x:c r="F110" t="n">
        <x:f>Dashboard_Live_Data!G109</x:f>
        <x:v>-59.466303655605586</x:v>
      </x:c>
    </x:row>
    <x:row r="111">
      <x:c r="A111" t="n">
        <x:f>Dashboard_Live_Data!D110</x:f>
        <x:v>-6</x:v>
      </x:c>
      <x:c r="B111" t="n">
        <x:f>Dashboard_Live_Data!E110</x:f>
        <x:v>447.7534427220802</x:v>
      </x:c>
      <x:c r="C111" t="n">
        <x:f>Dashboard_Live_Data!D110</x:f>
        <x:v>-6</x:v>
      </x:c>
      <x:c r="D111" t="n">
        <x:f>Dashboard_Live_Data!F110</x:f>
        <x:v>447.7534427220802</x:v>
      </x:c>
      <x:c r="E111" t="n">
        <x:f>Dashboard_Live_Data!D110</x:f>
        <x:v>-6</x:v>
      </x:c>
      <x:c r="F111" t="n">
        <x:f>Dashboard_Live_Data!G110</x:f>
        <x:v>-61.0986453608147</x:v>
      </x:c>
    </x:row>
    <x:row r="112">
      <x:c r="A112" t="n">
        <x:f>Dashboard_Live_Data!D111</x:f>
        <x:v>-5.5</x:v>
      </x:c>
      <x:c r="B112" t="n">
        <x:f>Dashboard_Live_Data!E111</x:f>
        <x:v>437.23203216912464</x:v>
      </x:c>
      <x:c r="C112" t="n">
        <x:f>Dashboard_Live_Data!D111</x:f>
        <x:v>-5.5</x:v>
      </x:c>
      <x:c r="D112" t="n">
        <x:f>Dashboard_Live_Data!F111</x:f>
        <x:v>437.23203216912464</x:v>
      </x:c>
      <x:c r="E112" t="n">
        <x:f>Dashboard_Live_Data!D111</x:f>
        <x:v>-5.5</x:v>
      </x:c>
      <x:c r="F112" t="n">
        <x:f>Dashboard_Live_Data!G111</x:f>
        <x:v>-63.59054434613801</x:v>
      </x:c>
    </x:row>
    <x:row r="113">
      <x:c r="A113" t="n">
        <x:f>Dashboard_Live_Data!D112</x:f>
        <x:v>-5</x:v>
      </x:c>
      <x:c r="B113" t="n">
        <x:f>Dashboard_Live_Data!E112</x:f>
        <x:v>426.4950993655156</x:v>
      </x:c>
      <x:c r="C113" t="n">
        <x:f>Dashboard_Live_Data!D112</x:f>
        <x:v>-5</x:v>
      </x:c>
      <x:c r="D113" t="n">
        <x:f>Dashboard_Live_Data!F112</x:f>
        <x:v>426.4950993655156</x:v>
      </x:c>
      <x:c r="E113" t="n">
        <x:f>Dashboard_Live_Data!D112</x:f>
        <x:v>-5</x:v>
      </x:c>
      <x:c r="F113" t="n">
        <x:f>Dashboard_Live_Data!G112</x:f>
        <x:v>-73.64560445817172</x:v>
      </x:c>
    </x:row>
    <x:row r="114">
      <x:c r="A114" t="n">
        <x:f>Dashboard_Live_Data!D113</x:f>
        <x:v>-4.5</x:v>
      </x:c>
      <x:c r="B114" t="n">
        <x:f>Dashboard_Live_Data!E113</x:f>
        <x:v>423.30568039510905</x:v>
      </x:c>
      <x:c r="C114" t="n">
        <x:f>Dashboard_Live_Data!D113</x:f>
        <x:v>-4.5</x:v>
      </x:c>
      <x:c r="D114" t="n">
        <x:f>Dashboard_Live_Data!F113</x:f>
        <x:v>423.30568039510905</x:v>
      </x:c>
      <x:c r="E114" t="n">
        <x:f>Dashboard_Live_Data!D113</x:f>
        <x:v>-4.5</x:v>
      </x:c>
      <x:c r="F114" t="n">
        <x:f>Dashboard_Live_Data!G113</x:f>
        <x:v>-73.08935088189128</x:v>
      </x:c>
    </x:row>
    <x:row r="115">
      <x:c r="A115" t="n">
        <x:f>Dashboard_Live_Data!D114</x:f>
        <x:v>-4</x:v>
      </x:c>
      <x:c r="B115" t="n">
        <x:f>Dashboard_Live_Data!E114</x:f>
        <x:v>426.0147467563934</x:v>
      </x:c>
      <x:c r="C115" t="n">
        <x:f>Dashboard_Live_Data!D114</x:f>
        <x:v>-4</x:v>
      </x:c>
      <x:c r="D115" t="n">
        <x:f>Dashboard_Live_Data!F114</x:f>
        <x:v>426.0147467563934</x:v>
      </x:c>
      <x:c r="E115" t="n">
        <x:f>Dashboard_Live_Data!D114</x:f>
        <x:v>-4</x:v>
      </x:c>
      <x:c r="F115" t="n">
        <x:f>Dashboard_Live_Data!G114</x:f>
        <x:v>-74.23673097551541</x:v>
      </x:c>
    </x:row>
    <x:row r="116">
      <x:c r="A116" t="n">
        <x:f>Dashboard_Live_Data!D115</x:f>
        <x:v>-3.5</x:v>
      </x:c>
      <x:c r="B116" t="n">
        <x:f>Dashboard_Live_Data!E115</x:f>
        <x:v>404.9650488225026</x:v>
      </x:c>
      <x:c r="C116" t="n">
        <x:f>Dashboard_Live_Data!D115</x:f>
        <x:v>-3.5</x:v>
      </x:c>
      <x:c r="D116" t="n">
        <x:f>Dashboard_Live_Data!F115</x:f>
        <x:v>404.9650488225026</x:v>
      </x:c>
      <x:c r="E116" t="n">
        <x:f>Dashboard_Live_Data!D115</x:f>
        <x:v>-3.5</x:v>
      </x:c>
      <x:c r="F116" t="n">
        <x:f>Dashboard_Live_Data!G115</x:f>
        <x:v>-78.64906809360804</x:v>
      </x:c>
    </x:row>
    <x:row r="117">
      <x:c r="A117" t="n">
        <x:f>Dashboard_Live_Data!D116</x:f>
        <x:v>-3</x:v>
      </x:c>
      <x:c r="B117" t="n">
        <x:f>Dashboard_Live_Data!E116</x:f>
        <x:v>420.14741895617453</x:v>
      </x:c>
      <x:c r="C117" t="n">
        <x:f>Dashboard_Live_Data!D116</x:f>
        <x:v>-3</x:v>
      </x:c>
      <x:c r="D117" t="n">
        <x:f>Dashboard_Live_Data!F116</x:f>
        <x:v>420.14741895617453</x:v>
      </x:c>
      <x:c r="E117" t="n">
        <x:f>Dashboard_Live_Data!D116</x:f>
        <x:v>-3</x:v>
      </x:c>
      <x:c r="F117" t="n">
        <x:f>Dashboard_Live_Data!G116</x:f>
        <x:v>-67.68197739460362</x:v>
      </x:c>
    </x:row>
    <x:row r="118">
      <x:c r="A118" t="n">
        <x:f>Dashboard_Live_Data!D117</x:f>
        <x:v>-2.5</x:v>
      </x:c>
      <x:c r="B118" t="n">
        <x:f>Dashboard_Live_Data!E117</x:f>
        <x:v>420.97624209793275</x:v>
      </x:c>
      <x:c r="C118" t="n">
        <x:f>Dashboard_Live_Data!D117</x:f>
        <x:v>-2.5</x:v>
      </x:c>
      <x:c r="D118" t="n">
        <x:f>Dashboard_Live_Data!F117</x:f>
        <x:v>420.97624209793275</x:v>
      </x:c>
      <x:c r="E118" t="n">
        <x:f>Dashboard_Live_Data!D117</x:f>
        <x:v>-2.5</x:v>
      </x:c>
      <x:c r="F118" t="n">
        <x:f>Dashboard_Live_Data!G117</x:f>
        <x:v>-49.83449295863612</x:v>
      </x:c>
    </x:row>
    <x:row r="119">
      <x:c r="A119" t="n">
        <x:f>Dashboard_Live_Data!D118</x:f>
        <x:v>-2</x:v>
      </x:c>
      <x:c r="B119" t="n">
        <x:f>Dashboard_Live_Data!E118</x:f>
        <x:v>435.98300826713626</x:v>
      </x:c>
      <x:c r="C119" t="n">
        <x:f>Dashboard_Live_Data!D118</x:f>
        <x:v>-2</x:v>
      </x:c>
      <x:c r="D119" t="n">
        <x:f>Dashboard_Live_Data!F118</x:f>
        <x:v>435.98300826713626</x:v>
      </x:c>
      <x:c r="E119" t="n">
        <x:f>Dashboard_Live_Data!D118</x:f>
        <x:v>-2</x:v>
      </x:c>
      <x:c r="F119" t="n">
        <x:f>Dashboard_Live_Data!G118</x:f>
        <x:v>-59.60727995622125</x:v>
      </x:c>
    </x:row>
    <x:row r="120">
      <x:c r="A120" t="n">
        <x:f>Dashboard_Live_Data!D119</x:f>
        <x:v>-1.5</x:v>
      </x:c>
      <x:c r="B120" t="n">
        <x:f>Dashboard_Live_Data!E119</x:f>
        <x:v>431.10580672292525</x:v>
      </x:c>
      <x:c r="C120" t="n">
        <x:f>Dashboard_Live_Data!D119</x:f>
        <x:v>-1.5</x:v>
      </x:c>
      <x:c r="D120" t="n">
        <x:f>Dashboard_Live_Data!F119</x:f>
        <x:v>431.10580672292525</x:v>
      </x:c>
      <x:c r="E120" t="n">
        <x:f>Dashboard_Live_Data!D119</x:f>
        <x:v>-1.5</x:v>
      </x:c>
      <x:c r="F120" t="n">
        <x:f>Dashboard_Live_Data!G119</x:f>
        <x:v>-34.15455011761312</x:v>
      </x:c>
    </x:row>
    <x:row r="121">
      <x:c r="A121" t="n">
        <x:f>Dashboard_Live_Data!D120</x:f>
        <x:v>-1</x:v>
      </x:c>
      <x:c r="B121" t="n">
        <x:f>Dashboard_Live_Data!E120</x:f>
        <x:v>440.9944102420088</x:v>
      </x:c>
      <x:c r="C121" t="n">
        <x:f>Dashboard_Live_Data!D120</x:f>
        <x:v>-1</x:v>
      </x:c>
      <x:c r="D121" t="n">
        <x:f>Dashboard_Live_Data!F120</x:f>
        <x:v>440.9944102420088</x:v>
      </x:c>
      <x:c r="E121" t="n">
        <x:f>Dashboard_Live_Data!D120</x:f>
        <x:v>-1</x:v>
      </x:c>
      <x:c r="F121" t="n">
        <x:f>Dashboard_Live_Data!G120</x:f>
        <x:v>-38.26579288799343</x:v>
      </x:c>
    </x:row>
    <x:row r="122">
      <x:c r="A122" t="n">
        <x:f>Dashboard_Live_Data!D121</x:f>
        <x:v>-0.5</x:v>
      </x:c>
      <x:c r="B122" t="n">
        <x:f>Dashboard_Live_Data!E121</x:f>
        <x:v>474.23278667183286</x:v>
      </x:c>
      <x:c r="C122" t="n">
        <x:f>Dashboard_Live_Data!D121</x:f>
        <x:v>-0.5</x:v>
      </x:c>
      <x:c r="D122" t="n">
        <x:f>Dashboard_Live_Data!F121</x:f>
        <x:v>474.23278667183286</x:v>
      </x:c>
      <x:c r="E122" t="n">
        <x:f>Dashboard_Live_Data!D121</x:f>
        <x:v>-0.5</x:v>
      </x:c>
      <x:c r="F122" t="n">
        <x:f>Dashboard_Live_Data!G121</x:f>
        <x:v>-15.949828195457984</x:v>
      </x:c>
    </x:row>
    <x:row r="123">
      <x:c r="A123" t="n">
        <x:f>Dashboard_Live_Data!D122</x:f>
        <x:v>0</x:v>
      </x:c>
      <x:c r="B123" t="n">
        <x:f>Dashboard_Live_Data!E122</x:f>
        <x:v>480.44802858922253</x:v>
      </x:c>
      <x:c r="C123" t="n">
        <x:f>Dashboard_Live_Data!D122</x:f>
        <x:v>0</x:v>
      </x:c>
      <x:c r="D123" t="n">
        <x:f>Dashboard_Live_Data!F122</x:f>
        <x:v>480.44802858922253</x:v>
      </x:c>
      <x:c r="E123" t="n">
        <x:f>Dashboard_Live_Data!D122</x:f>
        <x:v>0</x:v>
      </x:c>
      <x:c r="F123" t="n">
        <x:f>Dashboard_Live_Data!G122</x:f>
        <x:v>-4.948127387128106</x:v>
      </x:c>
    </x:row>
    <x:row r="124">
      <x:c r="A124" t="n">
        <x:f>Dashboard_Live_Data!D123</x:f>
        <x:v>0.5</x:v>
      </x:c>
      <x:c r="B124" t="n">
        <x:f>Dashboard_Live_Data!E123</x:f>
        <x:v>482.7451811280071</x:v>
      </x:c>
      <x:c r="C124" t="n">
        <x:f>Dashboard_Live_Data!D123</x:f>
        <x:v>0.5</x:v>
      </x:c>
      <x:c r="D124" t="n">
        <x:f>Dashboard_Live_Data!F123</x:f>
        <x:v>482.7451811280071</x:v>
      </x:c>
      <x:c r="E124" t="n">
        <x:f>Dashboard_Live_Data!D123</x:f>
        <x:v>0.5</x:v>
      </x:c>
      <x:c r="F124" t="n">
        <x:f>Dashboard_Live_Data!G123</x:f>
        <x:v>2.259569132321303</x:v>
      </x:c>
    </x:row>
    <x:row r="125">
      <x:c r="A125" t="n">
        <x:f>Dashboard_Live_Data!D124</x:f>
        <x:v>1</x:v>
      </x:c>
      <x:c r="B125" t="n">
        <x:f>Dashboard_Live_Data!E124</x:f>
        <x:v>497.58165314697214</x:v>
      </x:c>
      <x:c r="C125" t="n">
        <x:f>Dashboard_Live_Data!D124</x:f>
        <x:v>1</x:v>
      </x:c>
      <x:c r="D125" t="n">
        <x:f>Dashboard_Live_Data!F124</x:f>
        <x:v>497.58165314697214</x:v>
      </x:c>
      <x:c r="E125" t="n">
        <x:f>Dashboard_Live_Data!D124</x:f>
        <x:v>1</x:v>
      </x:c>
      <x:c r="F125" t="n">
        <x:f>Dashboard_Live_Data!G124</x:f>
        <x:v>43.07644622126787</x:v>
      </x:c>
    </x:row>
    <x:row r="126">
      <x:c r="A126" t="n">
        <x:f>Dashboard_Live_Data!D125</x:f>
        <x:v>1.5</x:v>
      </x:c>
      <x:c r="B126" t="n">
        <x:f>Dashboard_Live_Data!E125</x:f>
        <x:v>516.864115303311</x:v>
      </x:c>
      <x:c r="C126" t="n">
        <x:f>Dashboard_Live_Data!D125</x:f>
        <x:v>1.5</x:v>
      </x:c>
      <x:c r="D126" t="n">
        <x:f>Dashboard_Live_Data!F125</x:f>
        <x:v>516.864115303311</x:v>
      </x:c>
      <x:c r="E126" t="n">
        <x:f>Dashboard_Live_Data!D125</x:f>
        <x:v>1.5</x:v>
      </x:c>
      <x:c r="F126" t="n">
        <x:f>Dashboard_Live_Data!G125</x:f>
        <x:v>46.8149548284789</x:v>
      </x:c>
    </x:row>
    <x:row r="127">
      <x:c r="A127" t="n">
        <x:f>Dashboard_Live_Data!D126</x:f>
        <x:v>2</x:v>
      </x:c>
      <x:c r="B127" t="n">
        <x:f>Dashboard_Live_Data!E126</x:f>
        <x:v>534.5064840723982</x:v>
      </x:c>
      <x:c r="C127" t="n">
        <x:f>Dashboard_Live_Data!D126</x:f>
        <x:v>2</x:v>
      </x:c>
      <x:c r="D127" t="n">
        <x:f>Dashboard_Live_Data!F126</x:f>
        <x:v>534.5064840723982</x:v>
      </x:c>
      <x:c r="E127" t="n">
        <x:f>Dashboard_Live_Data!D126</x:f>
        <x:v>2</x:v>
      </x:c>
      <x:c r="F127" t="n">
        <x:f>Dashboard_Live_Data!G126</x:f>
        <x:v>65.55817790320465</x:v>
      </x:c>
    </x:row>
    <x:row r="128">
      <x:c r="A128" t="n">
        <x:f>Dashboard_Live_Data!D127</x:f>
        <x:v>2.5</x:v>
      </x:c>
      <x:c r="B128" t="n">
        <x:f>Dashboard_Live_Data!E127</x:f>
        <x:v>549.7308148691991</x:v>
      </x:c>
      <x:c r="C128" t="n">
        <x:f>Dashboard_Live_Data!D127</x:f>
        <x:v>2.5</x:v>
      </x:c>
      <x:c r="D128" t="n">
        <x:f>Dashboard_Live_Data!F127</x:f>
        <x:v>549.7308148691991</x:v>
      </x:c>
      <x:c r="E128" t="n">
        <x:f>Dashboard_Live_Data!D127</x:f>
        <x:v>2.5</x:v>
      </x:c>
      <x:c r="F128" t="n">
        <x:f>Dashboard_Live_Data!G127</x:f>
        <x:v>70.90088362648228</x:v>
      </x:c>
    </x:row>
    <x:row r="129">
      <x:c r="A129" t="n">
        <x:f>Dashboard_Live_Data!D128</x:f>
        <x:v>3</x:v>
      </x:c>
      <x:c r="B129" t="n">
        <x:f>Dashboard_Live_Data!E128</x:f>
        <x:v>536.8431041026216</x:v>
      </x:c>
      <x:c r="C129" t="n">
        <x:f>Dashboard_Live_Data!D128</x:f>
        <x:v>3</x:v>
      </x:c>
      <x:c r="D129" t="n">
        <x:f>Dashboard_Live_Data!F128</x:f>
        <x:v>536.8431041026216</x:v>
      </x:c>
      <x:c r="E129" t="n">
        <x:f>Dashboard_Live_Data!D128</x:f>
        <x:v>3</x:v>
      </x:c>
      <x:c r="F129" t="n">
        <x:f>Dashboard_Live_Data!G128</x:f>
        <x:v>82.12086586426281</x:v>
      </x:c>
    </x:row>
    <x:row r="130">
      <x:c r="A130" t="n">
        <x:f>Dashboard_Live_Data!D129</x:f>
        <x:v>3.5</x:v>
      </x:c>
      <x:c r="B130" t="n">
        <x:f>Dashboard_Live_Data!E129</x:f>
        <x:v>562.919019674553</x:v>
      </x:c>
      <x:c r="C130" t="n">
        <x:f>Dashboard_Live_Data!D129</x:f>
        <x:v>3.5</x:v>
      </x:c>
      <x:c r="D130" t="n">
        <x:f>Dashboard_Live_Data!F129</x:f>
        <x:v>562.919019674553</x:v>
      </x:c>
      <x:c r="E130" t="n">
        <x:f>Dashboard_Live_Data!D129</x:f>
        <x:v>3.5</x:v>
      </x:c>
      <x:c r="F130" t="n">
        <x:f>Dashboard_Live_Data!G129</x:f>
        <x:v>98.61636326587373</x:v>
      </x:c>
    </x:row>
    <x:row r="131">
      <x:c r="A131" t="n">
        <x:f>Dashboard_Live_Data!D130</x:f>
        <x:v>4</x:v>
      </x:c>
      <x:c r="B131" t="n">
        <x:f>Dashboard_Live_Data!E130</x:f>
        <x:v>561.6697690573507</x:v>
      </x:c>
      <x:c r="C131" t="n">
        <x:f>Dashboard_Live_Data!D130</x:f>
        <x:v>4</x:v>
      </x:c>
      <x:c r="D131" t="n">
        <x:f>Dashboard_Live_Data!F130</x:f>
        <x:v>561.6697690573507</x:v>
      </x:c>
      <x:c r="E131" t="n">
        <x:f>Dashboard_Live_Data!D130</x:f>
        <x:v>4</x:v>
      </x:c>
      <x:c r="F131" t="n">
        <x:f>Dashboard_Live_Data!G130</x:f>
        <x:v>96.36311355528144</x:v>
      </x:c>
    </x:row>
    <x:row r="132">
      <x:c r="A132" t="n">
        <x:f>Dashboard_Live_Data!D131</x:f>
        <x:v>4.5</x:v>
      </x:c>
      <x:c r="B132" t="n">
        <x:f>Dashboard_Live_Data!E131</x:f>
        <x:v>568.6436382247327</x:v>
      </x:c>
      <x:c r="C132" t="n">
        <x:f>Dashboard_Live_Data!D131</x:f>
        <x:v>4.5</x:v>
      </x:c>
      <x:c r="D132" t="n">
        <x:f>Dashboard_Live_Data!F131</x:f>
        <x:v>568.6436382247327</x:v>
      </x:c>
      <x:c r="E132" t="n">
        <x:f>Dashboard_Live_Data!D131</x:f>
        <x:v>4.5</x:v>
      </x:c>
      <x:c r="F132" t="n">
        <x:f>Dashboard_Live_Data!G131</x:f>
        <x:v>82.51998590748882</x:v>
      </x:c>
    </x:row>
    <x:row r="133">
      <x:c r="A133" t="n">
        <x:f>Dashboard_Live_Data!D132</x:f>
        <x:v>5</x:v>
      </x:c>
      <x:c r="B133" t="n">
        <x:f>Dashboard_Live_Data!E132</x:f>
        <x:v>548.8146920903409</x:v>
      </x:c>
      <x:c r="C133" t="n">
        <x:f>Dashboard_Live_Data!D132</x:f>
        <x:v>5</x:v>
      </x:c>
      <x:c r="D133" t="n">
        <x:f>Dashboard_Live_Data!F132</x:f>
        <x:v>548.8146920903409</x:v>
      </x:c>
      <x:c r="E133" t="n">
        <x:f>Dashboard_Live_Data!D132</x:f>
        <x:v>5</x:v>
      </x:c>
      <x:c r="F133" t="n">
        <x:f>Dashboard_Live_Data!G132</x:f>
        <x:v>98.94976350623145</x:v>
      </x:c>
    </x:row>
    <x:row r="134">
      <x:c r="A134" t="n">
        <x:f>Dashboard_Live_Data!D133</x:f>
        <x:v>5.5</x:v>
      </x:c>
      <x:c r="B134" t="n">
        <x:f>Dashboard_Live_Data!E133</x:f>
        <x:v>539.5212853164131</x:v>
      </x:c>
      <x:c r="C134" t="n">
        <x:f>Dashboard_Live_Data!D133</x:f>
        <x:v>5.5</x:v>
      </x:c>
      <x:c r="D134" t="n">
        <x:f>Dashboard_Live_Data!F133</x:f>
        <x:v>539.5212853164131</x:v>
      </x:c>
      <x:c r="E134" t="n">
        <x:f>Dashboard_Live_Data!D133</x:f>
        <x:v>5.5</x:v>
      </x:c>
      <x:c r="F134" t="n">
        <x:f>Dashboard_Live_Data!G133</x:f>
        <x:v>97.11441747768895</x:v>
      </x:c>
    </x:row>
    <x:row r="135">
      <x:c r="A135" t="n">
        <x:f>Dashboard_Live_Data!D134</x:f>
        <x:v>6</x:v>
      </x:c>
      <x:c r="B135" t="n">
        <x:f>Dashboard_Live_Data!E134</x:f>
        <x:v>533.6920620973987</x:v>
      </x:c>
      <x:c r="C135" t="n">
        <x:f>Dashboard_Live_Data!D134</x:f>
        <x:v>6</x:v>
      </x:c>
      <x:c r="D135" t="n">
        <x:f>Dashboard_Live_Data!F134</x:f>
        <x:v>533.6920620973987</x:v>
      </x:c>
      <x:c r="E135" t="n">
        <x:f>Dashboard_Live_Data!D134</x:f>
        <x:v>6</x:v>
      </x:c>
      <x:c r="F135" t="n">
        <x:f>Dashboard_Live_Data!G134</x:f>
        <x:v>70.34255347941284</x:v>
      </x:c>
    </x:row>
    <x:row r="136">
      <x:c r="A136" t="n">
        <x:f>Dashboard_Live_Data!D135</x:f>
        <x:v>6.5</x:v>
      </x:c>
      <x:c r="B136" t="n">
        <x:f>Dashboard_Live_Data!E135</x:f>
        <x:v>524.4263848132822</x:v>
      </x:c>
      <x:c r="C136" t="n">
        <x:f>Dashboard_Live_Data!D135</x:f>
        <x:v>6.5</x:v>
      </x:c>
      <x:c r="D136" t="n">
        <x:f>Dashboard_Live_Data!F135</x:f>
        <x:v>524.4263848132822</x:v>
      </x:c>
      <x:c r="E136" t="n">
        <x:f>Dashboard_Live_Data!D135</x:f>
        <x:v>6.5</x:v>
      </x:c>
      <x:c r="F136" t="n">
        <x:f>Dashboard_Live_Data!G135</x:f>
        <x:v>77.64795080795966</x:v>
      </x:c>
    </x:row>
    <x:row r="137">
      <x:c r="A137" t="n">
        <x:f>Dashboard_Live_Data!D136</x:f>
        <x:v>7</x:v>
      </x:c>
      <x:c r="B137" t="n">
        <x:f>Dashboard_Live_Data!E136</x:f>
        <x:v>534.4078318791427</x:v>
      </x:c>
      <x:c r="C137" t="n">
        <x:f>Dashboard_Live_Data!D136</x:f>
        <x:v>7</x:v>
      </x:c>
      <x:c r="D137" t="n">
        <x:f>Dashboard_Live_Data!F136</x:f>
        <x:v>534.4078318791427</x:v>
      </x:c>
      <x:c r="E137" t="n">
        <x:f>Dashboard_Live_Data!D136</x:f>
        <x:v>7</x:v>
      </x:c>
      <x:c r="F137" t="n">
        <x:f>Dashboard_Live_Data!G136</x:f>
        <x:v>66.91550989906084</x:v>
      </x:c>
    </x:row>
    <x:row r="138">
      <x:c r="A138" t="n">
        <x:f>Dashboard_Live_Data!D137</x:f>
        <x:v>7.5</x:v>
      </x:c>
      <x:c r="B138" t="n">
        <x:f>Dashboard_Live_Data!E137</x:f>
        <x:v>503.48380224840304</x:v>
      </x:c>
      <x:c r="C138" t="n">
        <x:f>Dashboard_Live_Data!D137</x:f>
        <x:v>7.5</x:v>
      </x:c>
      <x:c r="D138" t="n">
        <x:f>Dashboard_Live_Data!F137</x:f>
        <x:v>503.48380224840304</x:v>
      </x:c>
      <x:c r="E138" t="n">
        <x:f>Dashboard_Live_Data!D137</x:f>
        <x:v>7.5</x:v>
      </x:c>
      <x:c r="F138" t="n">
        <x:f>Dashboard_Live_Data!G137</x:f>
        <x:v>56.202037436945574</x:v>
      </x:c>
    </x:row>
    <x:row r="139">
      <x:c r="A139" t="n">
        <x:f>Dashboard_Live_Data!D138</x:f>
        <x:v>8</x:v>
      </x:c>
      <x:c r="B139" t="n">
        <x:f>Dashboard_Live_Data!E138</x:f>
        <x:v>497.2264534493298</x:v>
      </x:c>
      <x:c r="C139" t="n">
        <x:f>Dashboard_Live_Data!D138</x:f>
        <x:v>8</x:v>
      </x:c>
      <x:c r="D139" t="n">
        <x:f>Dashboard_Live_Data!F138</x:f>
        <x:v>497.2264534493298</x:v>
      </x:c>
      <x:c r="E139" t="n">
        <x:f>Dashboard_Live_Data!D138</x:f>
        <x:v>8</x:v>
      </x:c>
      <x:c r="F139" t="n">
        <x:f>Dashboard_Live_Data!G138</x:f>
        <x:v>45.99320506201067</x:v>
      </x:c>
    </x:row>
    <x:row r="140">
      <x:c r="A140" t="n">
        <x:f>Dashboard_Live_Data!D139</x:f>
        <x:v>8.5</x:v>
      </x:c>
      <x:c r="B140" t="n">
        <x:f>Dashboard_Live_Data!E139</x:f>
        <x:v>479.6019721372586</x:v>
      </x:c>
      <x:c r="C140" t="n">
        <x:f>Dashboard_Live_Data!D139</x:f>
        <x:v>8.5</x:v>
      </x:c>
      <x:c r="D140" t="n">
        <x:f>Dashboard_Live_Data!F139</x:f>
        <x:v>479.6019721372586</x:v>
      </x:c>
      <x:c r="E140" t="n">
        <x:f>Dashboard_Live_Data!D139</x:f>
        <x:v>8.5</x:v>
      </x:c>
      <x:c r="F140" t="n">
        <x:f>Dashboard_Live_Data!G139</x:f>
        <x:v>35.42120810065494</x:v>
      </x:c>
    </x:row>
    <x:row r="141">
      <x:c r="A141" t="n">
        <x:f>Dashboard_Live_Data!D140</x:f>
        <x:v>9</x:v>
      </x:c>
      <x:c r="B141" t="n">
        <x:f>Dashboard_Live_Data!E140</x:f>
        <x:v>481.22587957439987</x:v>
      </x:c>
      <x:c r="C141" t="n">
        <x:f>Dashboard_Live_Data!D140</x:f>
        <x:v>9</x:v>
      </x:c>
      <x:c r="D141" t="n">
        <x:f>Dashboard_Live_Data!F140</x:f>
        <x:v>481.22587957439987</x:v>
      </x:c>
      <x:c r="E141" t="n">
        <x:f>Dashboard_Live_Data!D140</x:f>
        <x:v>9</x:v>
      </x:c>
      <x:c r="F141" t="n">
        <x:f>Dashboard_Live_Data!G140</x:f>
        <x:v>29.628149721243545</x:v>
      </x:c>
    </x:row>
    <x:row r="142">
      <x:c r="A142" t="n">
        <x:f>Dashboard_Live_Data!D141</x:f>
        <x:v>9.5</x:v>
      </x:c>
      <x:c r="B142" t="n">
        <x:f>Dashboard_Live_Data!E141</x:f>
        <x:v>478.27937371872196</x:v>
      </x:c>
      <x:c r="C142" t="n">
        <x:f>Dashboard_Live_Data!D141</x:f>
        <x:v>9.5</x:v>
      </x:c>
      <x:c r="D142" t="n">
        <x:f>Dashboard_Live_Data!F141</x:f>
        <x:v>478.27937371872196</x:v>
      </x:c>
      <x:c r="E142" t="n">
        <x:f>Dashboard_Live_Data!D141</x:f>
        <x:v>9.5</x:v>
      </x:c>
      <x:c r="F142" t="n">
        <x:f>Dashboard_Live_Data!G141</x:f>
        <x:v>5.649927018638348</x:v>
      </x:c>
    </x:row>
    <x:row r="143">
      <x:c r="A143" t="n">
        <x:f>Dashboard_Live_Data!D142</x:f>
        <x:v>10</x:v>
      </x:c>
      <x:c r="B143" t="n">
        <x:f>Dashboard_Live_Data!E142</x:f>
        <x:v>454.2022007690729</x:v>
      </x:c>
      <x:c r="C143" t="n">
        <x:f>Dashboard_Live_Data!D142</x:f>
        <x:v>10</x:v>
      </x:c>
      <x:c r="D143" t="n">
        <x:f>Dashboard_Live_Data!F142</x:f>
        <x:v>454.2022007690729</x:v>
      </x:c>
      <x:c r="E143" t="n">
        <x:f>Dashboard_Live_Data!D142</x:f>
        <x:v>10</x:v>
      </x:c>
      <x:c r="F143" t="n">
        <x:f>Dashboard_Live_Data!G142</x:f>
        <x:v>-8.569441618173819</x:v>
      </x:c>
    </x:row>
    <x:row r="144">
      <x:c r="A144" t="n">
        <x:f>Dashboard_Live_Data!D143</x:f>
        <x:v>10.5</x:v>
      </x:c>
      <x:c r="B144" t="n">
        <x:f>Dashboard_Live_Data!E143</x:f>
        <x:v>437.9381023255588</x:v>
      </x:c>
      <x:c r="C144" t="n">
        <x:f>Dashboard_Live_Data!D143</x:f>
        <x:v>10.5</x:v>
      </x:c>
      <x:c r="D144" t="n">
        <x:f>Dashboard_Live_Data!F143</x:f>
        <x:v>437.9381023255588</x:v>
      </x:c>
      <x:c r="E144" t="n">
        <x:f>Dashboard_Live_Data!D143</x:f>
        <x:v>10.5</x:v>
      </x:c>
      <x:c r="F144" t="n">
        <x:f>Dashboard_Live_Data!G143</x:f>
        <x:v>4.936290407774814</x:v>
      </x:c>
    </x:row>
    <x:row r="145">
      <x:c r="A145" t="n">
        <x:f>Dashboard_Live_Data!D144</x:f>
        <x:v>11</x:v>
      </x:c>
      <x:c r="B145" t="n">
        <x:f>Dashboard_Live_Data!E144</x:f>
        <x:v>444.9386077034983</x:v>
      </x:c>
      <x:c r="C145" t="n">
        <x:f>Dashboard_Live_Data!D144</x:f>
        <x:v>11</x:v>
      </x:c>
      <x:c r="D145" t="n">
        <x:f>Dashboard_Live_Data!F144</x:f>
        <x:v>444.9386077034983</x:v>
      </x:c>
      <x:c r="E145" t="n">
        <x:f>Dashboard_Live_Data!D144</x:f>
        <x:v>11</x:v>
      </x:c>
      <x:c r="F145" t="n">
        <x:f>Dashboard_Live_Data!G144</x:f>
        <x:v>1.9403678384373038</x:v>
      </x:c>
    </x:row>
    <x:row r="146">
      <x:c r="A146" t="n">
        <x:f>Dashboard_Live_Data!D145</x:f>
        <x:v>11.5</x:v>
      </x:c>
      <x:c r="B146" t="n">
        <x:f>Dashboard_Live_Data!E145</x:f>
        <x:v>434.44467895572086</x:v>
      </x:c>
      <x:c r="C146" t="n">
        <x:f>Dashboard_Live_Data!D145</x:f>
        <x:v>11.5</x:v>
      </x:c>
      <x:c r="D146" t="n">
        <x:f>Dashboard_Live_Data!F145</x:f>
        <x:v>434.44467895572086</x:v>
      </x:c>
      <x:c r="E146" t="n">
        <x:f>Dashboard_Live_Data!D145</x:f>
        <x:v>11.5</x:v>
      </x:c>
      <x:c r="F146" t="n">
        <x:f>Dashboard_Live_Data!G145</x:f>
        <x:v>4.044824683821267</x:v>
      </x:c>
    </x:row>
    <x:row r="147">
      <x:c r="A147" t="n">
        <x:f>Dashboard_Live_Data!D146</x:f>
        <x:v>12</x:v>
      </x:c>
      <x:c r="B147" t="n">
        <x:f>Dashboard_Live_Data!E146</x:f>
        <x:v>422.8387186345762</x:v>
      </x:c>
      <x:c r="C147" t="n">
        <x:f>Dashboard_Live_Data!D146</x:f>
        <x:v>12</x:v>
      </x:c>
      <x:c r="D147" t="n">
        <x:f>Dashboard_Live_Data!F146</x:f>
        <x:v>422.8387186345762</x:v>
      </x:c>
      <x:c r="E147" t="n">
        <x:f>Dashboard_Live_Data!D146</x:f>
        <x:v>12</x:v>
      </x:c>
      <x:c r="F147" t="n">
        <x:f>Dashboard_Live_Data!G146</x:f>
        <x:v>7.0738918061296845</x:v>
      </x:c>
    </x:row>
    <x:row r="148">
      <x:c r="A148" t="n">
        <x:f>Dashboard_Live_Data!D147</x:f>
        <x:v>12.5</x:v>
      </x:c>
      <x:c r="B148" t="n">
        <x:f>Dashboard_Live_Data!E147</x:f>
        <x:v>434.12423495839124</x:v>
      </x:c>
      <x:c r="C148" t="n">
        <x:f>Dashboard_Live_Data!D147</x:f>
        <x:v>12.5</x:v>
      </x:c>
      <x:c r="D148" t="n">
        <x:f>Dashboard_Live_Data!F147</x:f>
        <x:v>434.12423495839124</x:v>
      </x:c>
      <x:c r="E148" t="n">
        <x:f>Dashboard_Live_Data!D147</x:f>
        <x:v>12.5</x:v>
      </x:c>
      <x:c r="F148" t="n">
        <x:f>Dashboard_Live_Data!G147</x:f>
        <x:v>-5.687454175445142</x:v>
      </x:c>
    </x:row>
    <x:row r="149">
      <x:c r="A149" t="n">
        <x:f>Dashboard_Live_Data!D148</x:f>
        <x:v>13</x:v>
      </x:c>
      <x:c r="B149" t="n">
        <x:f>Dashboard_Live_Data!E148</x:f>
        <x:v>428.8351991704085</x:v>
      </x:c>
      <x:c r="C149" t="n">
        <x:f>Dashboard_Live_Data!D148</x:f>
        <x:v>13</x:v>
      </x:c>
      <x:c r="D149" t="n">
        <x:f>Dashboard_Live_Data!F148</x:f>
        <x:v>428.8351991704085</x:v>
      </x:c>
      <x:c r="E149" t="n">
        <x:f>Dashboard_Live_Data!D148</x:f>
        <x:v>13</x:v>
      </x:c>
      <x:c r="F149" t="n">
        <x:f>Dashboard_Live_Data!G148</x:f>
        <x:v>-3.618490966575764</x:v>
      </x:c>
    </x:row>
    <x:row r="150">
      <x:c r="A150" t="n">
        <x:f>Dashboard_Live_Data!D149</x:f>
        <x:v>13.5</x:v>
      </x:c>
      <x:c r="B150" t="n">
        <x:f>Dashboard_Live_Data!E149</x:f>
        <x:v>408.84619240872695</x:v>
      </x:c>
      <x:c r="C150" t="n">
        <x:f>Dashboard_Live_Data!D149</x:f>
        <x:v>13.5</x:v>
      </x:c>
      <x:c r="D150" t="n">
        <x:f>Dashboard_Live_Data!F149</x:f>
        <x:v>408.84619240872695</x:v>
      </x:c>
      <x:c r="E150" t="n">
        <x:f>Dashboard_Live_Data!D149</x:f>
        <x:v>13.5</x:v>
      </x:c>
      <x:c r="F150" t="n">
        <x:f>Dashboard_Live_Data!G149</x:f>
        <x:v>0.04576132524433074</x:v>
      </x:c>
    </x:row>
    <x:row r="151">
      <x:c r="A151" t="n">
        <x:f>Dashboard_Live_Data!D150</x:f>
        <x:v>14</x:v>
      </x:c>
      <x:c r="B151" t="n">
        <x:f>Dashboard_Live_Data!E150</x:f>
        <x:v>412.55100068044544</x:v>
      </x:c>
      <x:c r="C151" t="n">
        <x:f>Dashboard_Live_Data!D150</x:f>
        <x:v>14</x:v>
      </x:c>
      <x:c r="D151" t="n">
        <x:f>Dashboard_Live_Data!F150</x:f>
        <x:v>412.55100068044544</x:v>
      </x:c>
      <x:c r="E151" t="n">
        <x:f>Dashboard_Live_Data!D150</x:f>
        <x:v>14</x:v>
      </x:c>
      <x:c r="F151" t="n">
        <x:f>Dashboard_Live_Data!G150</x:f>
        <x:v>17.14805919414721</x:v>
      </x:c>
    </x:row>
    <x:row r="152">
      <x:c r="A152" t="n">
        <x:f>Dashboard_Live_Data!D151</x:f>
        <x:v>14.5</x:v>
      </x:c>
      <x:c r="B152" t="n">
        <x:f>Dashboard_Live_Data!E151</x:f>
        <x:v>415.5675277705944</x:v>
      </x:c>
      <x:c r="C152" t="n">
        <x:f>Dashboard_Live_Data!D151</x:f>
        <x:v>14.5</x:v>
      </x:c>
      <x:c r="D152" t="n">
        <x:f>Dashboard_Live_Data!F151</x:f>
        <x:v>415.5675277705944</x:v>
      </x:c>
      <x:c r="E152" t="n">
        <x:f>Dashboard_Live_Data!D151</x:f>
        <x:v>14.5</x:v>
      </x:c>
      <x:c r="F152" t="n">
        <x:f>Dashboard_Live_Data!G151</x:f>
        <x:v>27.325427950737776</x:v>
      </x:c>
    </x:row>
    <x:row r="153">
      <x:c r="A153" t="n">
        <x:f>Dashboard_Live_Data!D152</x:f>
        <x:v>15</x:v>
      </x:c>
      <x:c r="B153" t="n">
        <x:f>Dashboard_Live_Data!E152</x:f>
        <x:v>399.34593170493116</x:v>
      </x:c>
      <x:c r="C153" t="n">
        <x:f>Dashboard_Live_Data!D152</x:f>
        <x:v>15</x:v>
      </x:c>
      <x:c r="D153" t="n">
        <x:f>Dashboard_Live_Data!F152</x:f>
        <x:v>399.34593170493116</x:v>
      </x:c>
      <x:c r="E153" t="n">
        <x:f>Dashboard_Live_Data!D152</x:f>
        <x:v>15</x:v>
      </x:c>
      <x:c r="F153" t="n">
        <x:f>Dashboard_Live_Data!G152</x:f>
        <x:v>45.362905639140564</x:v>
      </x:c>
    </x:row>
    <x:row r="154">
      <x:c r="A154" t="n">
        <x:f>Dashboard_Live_Data!D153</x:f>
        <x:v>15.5</x:v>
      </x:c>
      <x:c r="B154" t="n">
        <x:f>Dashboard_Live_Data!E153</x:f>
        <x:v>395.616361037493</x:v>
      </x:c>
      <x:c r="C154" t="n">
        <x:f>Dashboard_Live_Data!D153</x:f>
        <x:v>15.5</x:v>
      </x:c>
      <x:c r="D154" t="n">
        <x:f>Dashboard_Live_Data!F153</x:f>
        <x:v>395.616361037493</x:v>
      </x:c>
      <x:c r="E154" t="n">
        <x:f>Dashboard_Live_Data!D153</x:f>
        <x:v>15.5</x:v>
      </x:c>
      <x:c r="F154" t="n">
        <x:f>Dashboard_Live_Data!G153</x:f>
        <x:v>49.090179641950456</x:v>
      </x:c>
    </x:row>
    <x:row r="155">
      <x:c r="A155" t="n">
        <x:f>Dashboard_Live_Data!D154</x:f>
        <x:v>16</x:v>
      </x:c>
      <x:c r="B155" t="n">
        <x:f>Dashboard_Live_Data!E154</x:f>
        <x:v>400.30891755789503</x:v>
      </x:c>
      <x:c r="C155" t="n">
        <x:f>Dashboard_Live_Data!D154</x:f>
        <x:v>16</x:v>
      </x:c>
      <x:c r="D155" t="n">
        <x:f>Dashboard_Live_Data!F154</x:f>
        <x:v>400.30891755789503</x:v>
      </x:c>
      <x:c r="E155" t="n">
        <x:f>Dashboard_Live_Data!D154</x:f>
        <x:v>16</x:v>
      </x:c>
      <x:c r="F155" t="n">
        <x:f>Dashboard_Live_Data!G154</x:f>
        <x:v>69.7201880441823</x:v>
      </x:c>
    </x:row>
    <x:row r="156">
      <x:c r="A156" t="n">
        <x:f>Dashboard_Live_Data!D155</x:f>
        <x:v>16.5</x:v>
      </x:c>
      <x:c r="B156" t="n">
        <x:f>Dashboard_Live_Data!E155</x:f>
        <x:v>406.20178346502695</x:v>
      </x:c>
      <x:c r="C156" t="n">
        <x:f>Dashboard_Live_Data!D155</x:f>
        <x:v>16.5</x:v>
      </x:c>
      <x:c r="D156" t="n">
        <x:f>Dashboard_Live_Data!F155</x:f>
        <x:v>406.20178346502695</x:v>
      </x:c>
      <x:c r="E156" t="n">
        <x:f>Dashboard_Live_Data!D155</x:f>
        <x:v>16.5</x:v>
      </x:c>
      <x:c r="F156" t="n">
        <x:f>Dashboard_Live_Data!G155</x:f>
        <x:v>71.50919840907298</x:v>
      </x:c>
    </x:row>
    <x:row r="157">
      <x:c r="A157" t="n">
        <x:f>Dashboard_Live_Data!D156</x:f>
        <x:v>17</x:v>
      </x:c>
      <x:c r="B157" t="n">
        <x:f>Dashboard_Live_Data!E156</x:f>
        <x:v>402.8973585501548</x:v>
      </x:c>
      <x:c r="C157" t="n">
        <x:f>Dashboard_Live_Data!D156</x:f>
        <x:v>17</x:v>
      </x:c>
      <x:c r="D157" t="n">
        <x:f>Dashboard_Live_Data!F156</x:f>
        <x:v>402.8973585501548</x:v>
      </x:c>
      <x:c r="E157" t="n">
        <x:f>Dashboard_Live_Data!D156</x:f>
        <x:v>17</x:v>
      </x:c>
      <x:c r="F157" t="n">
        <x:f>Dashboard_Live_Data!G156</x:f>
        <x:v>58.586187093984584</x:v>
      </x:c>
    </x:row>
    <x:row r="158">
      <x:c r="A158" t="n">
        <x:f>Dashboard_Live_Data!D157</x:f>
        <x:v>17.5</x:v>
      </x:c>
      <x:c r="B158" t="n">
        <x:f>Dashboard_Live_Data!E157</x:f>
        <x:v>412.59673853506814</x:v>
      </x:c>
      <x:c r="C158" t="n">
        <x:f>Dashboard_Live_Data!D157</x:f>
        <x:v>17.5</x:v>
      </x:c>
      <x:c r="D158" t="n">
        <x:f>Dashboard_Live_Data!F157</x:f>
        <x:v>412.59673853506814</x:v>
      </x:c>
      <x:c r="E158" t="n">
        <x:f>Dashboard_Live_Data!D157</x:f>
        <x:v>17.5</x:v>
      </x:c>
      <x:c r="F158" t="n">
        <x:f>Dashboard_Live_Data!G157</x:f>
        <x:v>65.71226511619231</x:v>
      </x:c>
    </x:row>
    <x:row r="159">
      <x:c r="A159" t="n">
        <x:f>Dashboard_Live_Data!D158</x:f>
        <x:v>18</x:v>
      </x:c>
      <x:c r="B159" t="n">
        <x:f>Dashboard_Live_Data!E158</x:f>
        <x:v>417.3671248555401</x:v>
      </x:c>
      <x:c r="C159" t="n">
        <x:f>Dashboard_Live_Data!D158</x:f>
        <x:v>18</x:v>
      </x:c>
      <x:c r="D159" t="n">
        <x:f>Dashboard_Live_Data!F158</x:f>
        <x:v>417.3671248555401</x:v>
      </x:c>
      <x:c r="E159" t="n">
        <x:f>Dashboard_Live_Data!D158</x:f>
        <x:v>18</x:v>
      </x:c>
      <x:c r="F159" t="n">
        <x:f>Dashboard_Live_Data!G158</x:f>
        <x:v>70.50298613715029</x:v>
      </x:c>
    </x:row>
    <x:row r="160">
      <x:c r="A160" t="n">
        <x:f>Dashboard_Live_Data!D159</x:f>
        <x:v>18.5</x:v>
      </x:c>
      <x:c r="B160" t="n">
        <x:f>Dashboard_Live_Data!E159</x:f>
        <x:v>414.03078360208366</x:v>
      </x:c>
      <x:c r="C160" t="n">
        <x:f>Dashboard_Live_Data!D159</x:f>
        <x:v>18.5</x:v>
      </x:c>
      <x:c r="D160" t="n">
        <x:f>Dashboard_Live_Data!F159</x:f>
        <x:v>414.03078360208366</x:v>
      </x:c>
      <x:c r="E160" t="n">
        <x:f>Dashboard_Live_Data!D159</x:f>
        <x:v>18.5</x:v>
      </x:c>
      <x:c r="F160" t="n">
        <x:f>Dashboard_Live_Data!G159</x:f>
        <x:v>84.15381309689964</x:v>
      </x:c>
    </x:row>
    <x:row r="161">
      <x:c r="A161" t="n">
        <x:f>Dashboard_Live_Data!D160</x:f>
        <x:v>19</x:v>
      </x:c>
      <x:c r="B161" t="n">
        <x:f>Dashboard_Live_Data!E160</x:f>
        <x:v>429.33926339108206</x:v>
      </x:c>
      <x:c r="C161" t="n">
        <x:f>Dashboard_Live_Data!D160</x:f>
        <x:v>19</x:v>
      </x:c>
      <x:c r="D161" t="n">
        <x:f>Dashboard_Live_Data!F160</x:f>
        <x:v>429.33926339108206</x:v>
      </x:c>
      <x:c r="E161" t="n">
        <x:f>Dashboard_Live_Data!D160</x:f>
        <x:v>19</x:v>
      </x:c>
      <x:c r="F161" t="n">
        <x:f>Dashboard_Live_Data!G160</x:f>
        <x:v>87.79516149602648</x:v>
      </x:c>
    </x:row>
    <x:row r="162">
      <x:c r="A162" t="n">
        <x:f>Dashboard_Live_Data!D161</x:f>
        <x:v>19.5</x:v>
      </x:c>
      <x:c r="B162" t="n">
        <x:f>Dashboard_Live_Data!E161</x:f>
        <x:v>436.66425250955575</x:v>
      </x:c>
      <x:c r="C162" t="n">
        <x:f>Dashboard_Live_Data!D161</x:f>
        <x:v>19.5</x:v>
      </x:c>
      <x:c r="D162" t="n">
        <x:f>Dashboard_Live_Data!F161</x:f>
        <x:v>436.66425250955575</x:v>
      </x:c>
      <x:c r="E162" t="n">
        <x:f>Dashboard_Live_Data!D161</x:f>
        <x:v>19.5</x:v>
      </x:c>
      <x:c r="F162" t="n">
        <x:f>Dashboard_Live_Data!G161</x:f>
        <x:v>80.08578782325549</x:v>
      </x:c>
    </x:row>
    <x:row r="163">
      <x:c r="A163" t="n">
        <x:f>Dashboard_Live_Data!D162</x:f>
        <x:v>20</x:v>
      </x:c>
      <x:c r="B163" t="n">
        <x:f>Dashboard_Live_Data!E162</x:f>
        <x:v>439.0113020882822</x:v>
      </x:c>
      <x:c r="C163" t="n">
        <x:f>Dashboard_Live_Data!D162</x:f>
        <x:v>20</x:v>
      </x:c>
      <x:c r="D163" t="n">
        <x:f>Dashboard_Live_Data!F162</x:f>
        <x:v>439.0113020882822</x:v>
      </x:c>
      <x:c r="E163" t="n">
        <x:f>Dashboard_Live_Data!D162</x:f>
        <x:v>20</x:v>
      </x:c>
      <x:c r="F163" t="n">
        <x:f>Dashboard_Live_Data!G162</x:f>
        <x:v>74.33166863889775</x:v>
      </x:c>
    </x:row>
    <x:row r="164">
      <x:c r="A164" t="n">
        <x:f>Dashboard_Live_Data!D163</x:f>
        <x:v>20.5</x:v>
      </x:c>
      <x:c r="B164" t="n">
        <x:f>Dashboard_Live_Data!E163</x:f>
        <x:v>441.7637232897853</x:v>
      </x:c>
      <x:c r="C164" t="n">
        <x:f>Dashboard_Live_Data!D163</x:f>
        <x:v>20.5</x:v>
      </x:c>
      <x:c r="D164" t="n">
        <x:f>Dashboard_Live_Data!F163</x:f>
        <x:v>441.7637232897853</x:v>
      </x:c>
      <x:c r="E164" t="n">
        <x:f>Dashboard_Live_Data!D163</x:f>
        <x:v>20.5</x:v>
      </x:c>
      <x:c r="F164" t="n">
        <x:f>Dashboard_Live_Data!G163</x:f>
        <x:v>77.08298836787891</x:v>
      </x:c>
    </x:row>
    <x:row r="165">
      <x:c r="A165" t="n">
        <x:f>Dashboard_Live_Data!D164</x:f>
        <x:v>21</x:v>
      </x:c>
      <x:c r="B165" t="n">
        <x:f>Dashboard_Live_Data!E164</x:f>
        <x:v>441.2537143317768</x:v>
      </x:c>
      <x:c r="C165" t="n">
        <x:f>Dashboard_Live_Data!D164</x:f>
        <x:v>21</x:v>
      </x:c>
      <x:c r="D165" t="n">
        <x:f>Dashboard_Live_Data!F164</x:f>
        <x:v>441.2537143317768</x:v>
      </x:c>
      <x:c r="E165" t="n">
        <x:f>Dashboard_Live_Data!D164</x:f>
        <x:v>21</x:v>
      </x:c>
      <x:c r="F165" t="n">
        <x:f>Dashboard_Live_Data!G164</x:f>
        <x:v>84.6060805836893</x:v>
      </x:c>
    </x:row>
    <x:row r="166">
      <x:c r="A166" t="n">
        <x:f>Dashboard_Live_Data!D165</x:f>
        <x:v>21.5</x:v>
      </x:c>
      <x:c r="B166" t="n">
        <x:f>Dashboard_Live_Data!E165</x:f>
        <x:v>444.1394266764314</x:v>
      </x:c>
      <x:c r="C166" t="n">
        <x:f>Dashboard_Live_Data!D165</x:f>
        <x:v>21.5</x:v>
      </x:c>
      <x:c r="D166" t="n">
        <x:f>Dashboard_Live_Data!F165</x:f>
        <x:v>444.1394266764314</x:v>
      </x:c>
      <x:c r="E166" t="n">
        <x:f>Dashboard_Live_Data!D165</x:f>
        <x:v>21.5</x:v>
      </x:c>
      <x:c r="F166" t="n">
        <x:f>Dashboard_Live_Data!G165</x:f>
        <x:v>83.65167434978589</x:v>
      </x:c>
    </x:row>
    <x:row r="167">
      <x:c r="A167" t="n">
        <x:f>Dashboard_Live_Data!D166</x:f>
        <x:v>22</x:v>
      </x:c>
      <x:c r="B167" t="n">
        <x:f>Dashboard_Live_Data!E166</x:f>
        <x:v>447.7794532624074</x:v>
      </x:c>
      <x:c r="C167" t="n">
        <x:f>Dashboard_Live_Data!D166</x:f>
        <x:v>22</x:v>
      </x:c>
      <x:c r="D167" t="n">
        <x:f>Dashboard_Live_Data!F166</x:f>
        <x:v>447.7794532624074</x:v>
      </x:c>
      <x:c r="E167" t="n">
        <x:f>Dashboard_Live_Data!D166</x:f>
        <x:v>22</x:v>
      </x:c>
      <x:c r="F167" t="n">
        <x:f>Dashboard_Live_Data!G166</x:f>
        <x:v>73.36589826371042</x:v>
      </x:c>
    </x:row>
    <x:row r="168">
      <x:c r="A168" t="n">
        <x:f>Dashboard_Live_Data!D167</x:f>
        <x:v>22.5</x:v>
      </x:c>
      <x:c r="B168" t="n">
        <x:f>Dashboard_Live_Data!E167</x:f>
        <x:v>442.50927153418206</x:v>
      </x:c>
      <x:c r="C168" t="n">
        <x:f>Dashboard_Live_Data!D167</x:f>
        <x:v>22.5</x:v>
      </x:c>
      <x:c r="D168" t="n">
        <x:f>Dashboard_Live_Data!F167</x:f>
        <x:v>442.50927153418206</x:v>
      </x:c>
      <x:c r="E168" t="n">
        <x:f>Dashboard_Live_Data!D167</x:f>
        <x:v>22.5</x:v>
      </x:c>
      <x:c r="F168" t="n">
        <x:f>Dashboard_Live_Data!G167</x:f>
        <x:v>73.86322008676284</x:v>
      </x:c>
    </x:row>
    <x:row r="169">
      <x:c r="A169" t="n">
        <x:f>Dashboard_Live_Data!D168</x:f>
        <x:v>23</x:v>
      </x:c>
      <x:c r="B169" t="n">
        <x:f>Dashboard_Live_Data!E168</x:f>
        <x:v>438.1289491107309</x:v>
      </x:c>
      <x:c r="C169" t="n">
        <x:f>Dashboard_Live_Data!D168</x:f>
        <x:v>23</x:v>
      </x:c>
      <x:c r="D169" t="n">
        <x:f>Dashboard_Live_Data!F168</x:f>
        <x:v>438.1289491107309</x:v>
      </x:c>
      <x:c r="E169" t="n">
        <x:f>Dashboard_Live_Data!D168</x:f>
        <x:v>23</x:v>
      </x:c>
      <x:c r="F169" t="n">
        <x:f>Dashboard_Live_Data!G168</x:f>
        <x:v>61.781548358505674</x:v>
      </x:c>
    </x:row>
    <x:row r="170">
      <x:c r="A170" t="n">
        <x:f>Dashboard_Live_Data!D169</x:f>
        <x:v>23.5</x:v>
      </x:c>
      <x:c r="B170" t="n">
        <x:f>Dashboard_Live_Data!E169</x:f>
        <x:v>431.2131008039683</x:v>
      </x:c>
      <x:c r="C170" t="n">
        <x:f>Dashboard_Live_Data!D169</x:f>
        <x:v>23.5</x:v>
      </x:c>
      <x:c r="D170" t="n">
        <x:f>Dashboard_Live_Data!F169</x:f>
        <x:v>431.2131008039683</x:v>
      </x:c>
      <x:c r="E170" t="n">
        <x:f>Dashboard_Live_Data!D169</x:f>
        <x:v>23.5</x:v>
      </x:c>
      <x:c r="F170" t="n">
        <x:f>Dashboard_Live_Data!G169</x:f>
        <x:v>70.98866885242666</x:v>
      </x:c>
    </x:row>
    <x:row r="171">
      <x:c r="A171" t="n">
        <x:f>Dashboard_Live_Data!D170</x:f>
        <x:v>24</x:v>
      </x:c>
      <x:c r="B171" t="n">
        <x:f>Dashboard_Live_Data!E170</x:f>
        <x:v>441.2625072507224</x:v>
      </x:c>
      <x:c r="C171" t="n">
        <x:f>Dashboard_Live_Data!D170</x:f>
        <x:v>24</x:v>
      </x:c>
      <x:c r="D171" t="n">
        <x:f>Dashboard_Live_Data!F170</x:f>
        <x:v>441.2625072507224</x:v>
      </x:c>
      <x:c r="E171" t="n">
        <x:f>Dashboard_Live_Data!D170</x:f>
        <x:v>24</x:v>
      </x:c>
      <x:c r="F171" t="n">
        <x:f>Dashboard_Live_Data!G170</x:f>
        <x:v>75.46815017037277</x:v>
      </x:c>
    </x:row>
    <x:row r="172">
      <x:c r="A172" t="n">
        <x:f>Dashboard_Live_Data!D171</x:f>
        <x:v>24.5</x:v>
      </x:c>
      <x:c r="B172" t="n">
        <x:f>Dashboard_Live_Data!E171</x:f>
        <x:v>415.4369773442437</x:v>
      </x:c>
      <x:c r="C172" t="n">
        <x:f>Dashboard_Live_Data!D171</x:f>
        <x:v>24.5</x:v>
      </x:c>
      <x:c r="D172" t="n">
        <x:f>Dashboard_Live_Data!F171</x:f>
        <x:v>415.4369773442437</x:v>
      </x:c>
      <x:c r="E172" t="n">
        <x:f>Dashboard_Live_Data!D171</x:f>
        <x:v>24.5</x:v>
      </x:c>
      <x:c r="F172" t="n">
        <x:f>Dashboard_Live_Data!G171</x:f>
        <x:v>80.2881627342364</x:v>
      </x:c>
    </x:row>
    <x:row r="173">
      <x:c r="A173" t="n">
        <x:f>Dashboard_Live_Data!D172</x:f>
        <x:v>25</x:v>
      </x:c>
      <x:c r="B173" t="n">
        <x:f>Dashboard_Live_Data!E172</x:f>
        <x:v>418.8320748478676</x:v>
      </x:c>
      <x:c r="C173" t="n">
        <x:f>Dashboard_Live_Data!D172</x:f>
        <x:v>25</x:v>
      </x:c>
      <x:c r="D173" t="n">
        <x:f>Dashboard_Live_Data!F172</x:f>
        <x:v>418.8320748478676</x:v>
      </x:c>
      <x:c r="E173" t="n">
        <x:f>Dashboard_Live_Data!D172</x:f>
        <x:v>25</x:v>
      </x:c>
      <x:c r="F173" t="n">
        <x:f>Dashboard_Live_Data!G172</x:f>
        <x:v>61.498548518191555</x:v>
      </x:c>
    </x:row>
    <x:row r="174">
      <x:c r="A174" t="n">
        <x:f>Dashboard_Live_Data!D173</x:f>
        <x:v>25.5</x:v>
      </x:c>
      <x:c r="B174" t="n">
        <x:f>Dashboard_Live_Data!E173</x:f>
        <x:v>390.15691093629596</x:v>
      </x:c>
      <x:c r="C174" t="n">
        <x:f>Dashboard_Live_Data!D173</x:f>
        <x:v>25.5</x:v>
      </x:c>
      <x:c r="D174" t="n">
        <x:f>Dashboard_Live_Data!F173</x:f>
        <x:v>390.15691093629596</x:v>
      </x:c>
      <x:c r="E174" t="n">
        <x:f>Dashboard_Live_Data!D173</x:f>
        <x:v>25.5</x:v>
      </x:c>
      <x:c r="F174" t="n">
        <x:f>Dashboard_Live_Data!G173</x:f>
        <x:v>67.90188044896082</x:v>
      </x:c>
    </x:row>
    <x:row r="175">
      <x:c r="A175" t="n">
        <x:f>Dashboard_Live_Data!D174</x:f>
        <x:v>26</x:v>
      </x:c>
      <x:c r="B175" t="n">
        <x:f>Dashboard_Live_Data!E174</x:f>
        <x:v>387.3749410180904</x:v>
      </x:c>
      <x:c r="C175" t="n">
        <x:f>Dashboard_Live_Data!D174</x:f>
        <x:v>26</x:v>
      </x:c>
      <x:c r="D175" t="n">
        <x:f>Dashboard_Live_Data!F174</x:f>
        <x:v>387.3749410180904</x:v>
      </x:c>
      <x:c r="E175" t="n">
        <x:f>Dashboard_Live_Data!D174</x:f>
        <x:v>26</x:v>
      </x:c>
      <x:c r="F175" t="n">
        <x:f>Dashboard_Live_Data!G174</x:f>
        <x:v>65.03267186217182</x:v>
      </x:c>
    </x:row>
    <x:row r="176">
      <x:c r="A176" t="n">
        <x:f>Dashboard_Live_Data!D175</x:f>
        <x:v>26.5</x:v>
      </x:c>
      <x:c r="B176" t="n">
        <x:f>Dashboard_Live_Data!E175</x:f>
        <x:v>383.48713922986474</x:v>
      </x:c>
      <x:c r="C176" t="n">
        <x:f>Dashboard_Live_Data!D175</x:f>
        <x:v>26.5</x:v>
      </x:c>
      <x:c r="D176" t="n">
        <x:f>Dashboard_Live_Data!F175</x:f>
        <x:v>383.48713922986474</x:v>
      </x:c>
      <x:c r="E176" t="n">
        <x:f>Dashboard_Live_Data!D175</x:f>
        <x:v>26.5</x:v>
      </x:c>
      <x:c r="F176" t="n">
        <x:f>Dashboard_Live_Data!G175</x:f>
        <x:v>69.51659821200863</x:v>
      </x:c>
    </x:row>
    <x:row r="177">
      <x:c r="A177" t="n">
        <x:f>Dashboard_Live_Data!D176</x:f>
        <x:v>27</x:v>
      </x:c>
      <x:c r="B177" t="n">
        <x:f>Dashboard_Live_Data!E176</x:f>
        <x:v>346.2287328646241</x:v>
      </x:c>
      <x:c r="C177" t="n">
        <x:f>Dashboard_Live_Data!D176</x:f>
        <x:v>27</x:v>
      </x:c>
      <x:c r="D177" t="n">
        <x:f>Dashboard_Live_Data!F176</x:f>
        <x:v>346.2287328646241</x:v>
      </x:c>
      <x:c r="E177" t="n">
        <x:f>Dashboard_Live_Data!D176</x:f>
        <x:v>27</x:v>
      </x:c>
      <x:c r="F177" t="n">
        <x:f>Dashboard_Live_Data!G176</x:f>
        <x:v>64.45446968061479</x:v>
      </x:c>
    </x:row>
    <x:row r="178">
      <x:c r="A178" t="n">
        <x:f>Dashboard_Live_Data!D177</x:f>
        <x:v>27.5</x:v>
      </x:c>
      <x:c r="B178" t="n">
        <x:f>Dashboard_Live_Data!E177</x:f>
        <x:v>337.0351401860322</x:v>
      </x:c>
      <x:c r="C178" t="n">
        <x:f>Dashboard_Live_Data!D177</x:f>
        <x:v>27.5</x:v>
      </x:c>
      <x:c r="D178" t="n">
        <x:f>Dashboard_Live_Data!F177</x:f>
        <x:v>337.0351401860322</x:v>
      </x:c>
      <x:c r="E178" t="n">
        <x:f>Dashboard_Live_Data!D177</x:f>
        <x:v>27.5</x:v>
      </x:c>
      <x:c r="F178" t="n">
        <x:f>Dashboard_Live_Data!G177</x:f>
        <x:v>45.78588130375909</x:v>
      </x:c>
    </x:row>
    <x:row r="179">
      <x:c r="A179" t="n">
        <x:f>Dashboard_Live_Data!D178</x:f>
        <x:v>28</x:v>
      </x:c>
      <x:c r="B179" t="n">
        <x:f>Dashboard_Live_Data!E178</x:f>
        <x:v>312.18369818898617</x:v>
      </x:c>
      <x:c r="C179" t="n">
        <x:f>Dashboard_Live_Data!D178</x:f>
        <x:v>28</x:v>
      </x:c>
      <x:c r="D179" t="n">
        <x:f>Dashboard_Live_Data!F178</x:f>
        <x:v>312.18369818898617</x:v>
      </x:c>
      <x:c r="E179" t="n">
        <x:f>Dashboard_Live_Data!D178</x:f>
        <x:v>28</x:v>
      </x:c>
      <x:c r="F179" t="n">
        <x:f>Dashboard_Live_Data!G178</x:f>
        <x:v>58.94439177372493</x:v>
      </x:c>
    </x:row>
    <x:row r="180">
      <x:c r="A180" t="n">
        <x:f>Dashboard_Live_Data!D179</x:f>
        <x:v>28.5</x:v>
      </x:c>
      <x:c r="B180" t="n">
        <x:f>Dashboard_Live_Data!E179</x:f>
        <x:v>310.4659866511931</x:v>
      </x:c>
      <x:c r="C180" t="n">
        <x:f>Dashboard_Live_Data!D179</x:f>
        <x:v>28.5</x:v>
      </x:c>
      <x:c r="D180" t="n">
        <x:f>Dashboard_Live_Data!F179</x:f>
        <x:v>310.4659866511931</x:v>
      </x:c>
      <x:c r="E180" t="n">
        <x:f>Dashboard_Live_Data!D179</x:f>
        <x:v>28.5</x:v>
      </x:c>
      <x:c r="F180" t="n">
        <x:f>Dashboard_Live_Data!G179</x:f>
        <x:v>53.72705851492565</x:v>
      </x:c>
    </x:row>
    <x:row r="181">
      <x:c r="A181" t="n">
        <x:f>Dashboard_Live_Data!D180</x:f>
        <x:v>29</x:v>
      </x:c>
      <x:c r="B181" t="n">
        <x:f>Dashboard_Live_Data!E180</x:f>
        <x:v>283.98171018669603</x:v>
      </x:c>
      <x:c r="C181" t="n">
        <x:f>Dashboard_Live_Data!D180</x:f>
        <x:v>29</x:v>
      </x:c>
      <x:c r="D181" t="n">
        <x:f>Dashboard_Live_Data!F180</x:f>
        <x:v>283.98171018669603</x:v>
      </x:c>
      <x:c r="E181" t="n">
        <x:f>Dashboard_Live_Data!D180</x:f>
        <x:v>29</x:v>
      </x:c>
      <x:c r="F181" t="n">
        <x:f>Dashboard_Live_Data!G180</x:f>
        <x:v>29.362157595592716</x:v>
      </x:c>
    </x:row>
    <x:row r="182">
      <x:c r="A182" t="n">
        <x:f>Dashboard_Live_Data!D181</x:f>
        <x:v>29.5</x:v>
      </x:c>
      <x:c r="B182" t="n">
        <x:f>Dashboard_Live_Data!E181</x:f>
        <x:v>263.5246591496981</x:v>
      </x:c>
      <x:c r="C182" t="n">
        <x:f>Dashboard_Live_Data!D181</x:f>
        <x:v>29.5</x:v>
      </x:c>
      <x:c r="D182" t="n">
        <x:f>Dashboard_Live_Data!F181</x:f>
        <x:v>263.5246591496981</x:v>
      </x:c>
      <x:c r="E182" t="n">
        <x:f>Dashboard_Live_Data!D181</x:f>
        <x:v>29.5</x:v>
      </x:c>
      <x:c r="F182" t="n">
        <x:f>Dashboard_Live_Data!G181</x:f>
        <x:v>20.4458299890095</x:v>
      </x:c>
    </x:row>
    <x:row r="183">
      <x:c r="A183" t="n">
        <x:f>Dashboard_Live_Data!D182</x:f>
        <x:v>30</x:v>
      </x:c>
      <x:c r="B183" t="n">
        <x:f>Dashboard_Live_Data!E182</x:f>
        <x:v>258.3810354027646</x:v>
      </x:c>
      <x:c r="C183" t="n">
        <x:f>Dashboard_Live_Data!D182</x:f>
        <x:v>30</x:v>
      </x:c>
      <x:c r="D183" t="n">
        <x:f>Dashboard_Live_Data!F182</x:f>
        <x:v>258.3810354027646</x:v>
      </x:c>
      <x:c r="E183" t="n">
        <x:f>Dashboard_Live_Data!D182</x:f>
        <x:v>30</x:v>
      </x:c>
      <x:c r="F183" t="n">
        <x:f>Dashboard_Live_Data!G182</x:f>
        <x:v>11.879118514207924</x:v>
      </x:c>
    </x:row>
    <x:row r="184">
      <x:c r="A184" t="n">
        <x:f>Dashboard_Live_Data!D183</x:f>
        <x:v>30.5</x:v>
      </x:c>
      <x:c r="B184" t="n">
        <x:f>Dashboard_Live_Data!E183</x:f>
        <x:v>239.98613946224492</x:v>
      </x:c>
      <x:c r="C184" t="n">
        <x:f>Dashboard_Live_Data!D183</x:f>
        <x:v>30.5</x:v>
      </x:c>
      <x:c r="D184" t="n">
        <x:f>Dashboard_Live_Data!F183</x:f>
        <x:v>239.98613946224492</x:v>
      </x:c>
      <x:c r="E184" t="n">
        <x:f>Dashboard_Live_Data!D183</x:f>
        <x:v>30.5</x:v>
      </x:c>
      <x:c r="F184" t="n">
        <x:f>Dashboard_Live_Data!G183</x:f>
        <x:v>4.284803604386864</x:v>
      </x:c>
    </x:row>
    <x:row r="185">
      <x:c r="A185" t="n">
        <x:f>Dashboard_Live_Data!D184</x:f>
        <x:v>31</x:v>
      </x:c>
      <x:c r="B185" t="n">
        <x:f>Dashboard_Live_Data!E184</x:f>
        <x:v>239.58052305996605</x:v>
      </x:c>
      <x:c r="C185" t="n">
        <x:f>Dashboard_Live_Data!D184</x:f>
        <x:v>31</x:v>
      </x:c>
      <x:c r="D185" t="n">
        <x:f>Dashboard_Live_Data!F184</x:f>
        <x:v>239.58052305996605</x:v>
      </x:c>
      <x:c r="E185" t="n">
        <x:f>Dashboard_Live_Data!D184</x:f>
        <x:v>31</x:v>
      </x:c>
      <x:c r="F185" t="n">
        <x:f>Dashboard_Live_Data!G184</x:f>
        <x:v>18.692329061381155</x:v>
      </x:c>
    </x:row>
    <x:row r="186">
      <x:c r="A186" t="n">
        <x:f>Dashboard_Live_Data!D185</x:f>
        <x:v>31.5</x:v>
      </x:c>
      <x:c r="B186" t="n">
        <x:f>Dashboard_Live_Data!E185</x:f>
        <x:v>216.56157473369862</x:v>
      </x:c>
      <x:c r="C186" t="n">
        <x:f>Dashboard_Live_Data!D185</x:f>
        <x:v>31.5</x:v>
      </x:c>
      <x:c r="D186" t="n">
        <x:f>Dashboard_Live_Data!F185</x:f>
        <x:v>216.56157473369862</x:v>
      </x:c>
      <x:c r="E186" t="n">
        <x:f>Dashboard_Live_Data!D185</x:f>
        <x:v>31.5</x:v>
      </x:c>
      <x:c r="F186" t="n">
        <x:f>Dashboard_Live_Data!G185</x:f>
        <x:v>18.579807279306877</x:v>
      </x:c>
    </x:row>
    <x:row r="187">
      <x:c r="A187" t="n">
        <x:f>Dashboard_Live_Data!D186</x:f>
        <x:v>32</x:v>
      </x:c>
      <x:c r="B187" t="n">
        <x:f>Dashboard_Live_Data!E186</x:f>
        <x:v>222.43770342182788</x:v>
      </x:c>
      <x:c r="C187" t="n">
        <x:f>Dashboard_Live_Data!D186</x:f>
        <x:v>32</x:v>
      </x:c>
      <x:c r="D187" t="n">
        <x:f>Dashboard_Live_Data!F186</x:f>
        <x:v>222.43770342182788</x:v>
      </x:c>
      <x:c r="E187" t="n">
        <x:f>Dashboard_Live_Data!D186</x:f>
        <x:v>32</x:v>
      </x:c>
      <x:c r="F187" t="n">
        <x:f>Dashboard_Live_Data!G186</x:f>
        <x:v>-1.3588316603362678</x:v>
      </x:c>
    </x:row>
    <x:row r="188">
      <x:c r="A188" t="n">
        <x:f>Dashboard_Live_Data!D187</x:f>
        <x:v>32.5</x:v>
      </x:c>
      <x:c r="B188" t="n">
        <x:f>Dashboard_Live_Data!E187</x:f>
        <x:v>227.97180197677312</x:v>
      </x:c>
      <x:c r="C188" t="n">
        <x:f>Dashboard_Live_Data!D187</x:f>
        <x:v>32.5</x:v>
      </x:c>
      <x:c r="D188" t="n">
        <x:f>Dashboard_Live_Data!F187</x:f>
        <x:v>227.97180197677312</x:v>
      </x:c>
      <x:c r="E188" t="n">
        <x:f>Dashboard_Live_Data!D187</x:f>
        <x:v>32.5</x:v>
      </x:c>
      <x:c r="F188" t="n">
        <x:f>Dashboard_Live_Data!G187</x:f>
        <x:v>5.846843018322446</x:v>
      </x:c>
    </x:row>
    <x:row r="189">
      <x:c r="A189" t="n">
        <x:f>Dashboard_Live_Data!D188</x:f>
        <x:v>33</x:v>
      </x:c>
      <x:c r="B189" t="n">
        <x:f>Dashboard_Live_Data!E188</x:f>
        <x:v>226.0841822180117</x:v>
      </x:c>
      <x:c r="C189" t="n">
        <x:f>Dashboard_Live_Data!D188</x:f>
        <x:v>33</x:v>
      </x:c>
      <x:c r="D189" t="n">
        <x:f>Dashboard_Live_Data!F188</x:f>
        <x:v>226.0841822180117</x:v>
      </x:c>
      <x:c r="E189" t="n">
        <x:f>Dashboard_Live_Data!D188</x:f>
        <x:v>33</x:v>
      </x:c>
      <x:c r="F189" t="n">
        <x:f>Dashboard_Live_Data!G188</x:f>
        <x:v>-3.610290991247414</x:v>
      </x:c>
    </x:row>
    <x:row r="190">
      <x:c r="A190" t="n">
        <x:f>Dashboard_Live_Data!D189</x:f>
        <x:v>33.5</x:v>
      </x:c>
      <x:c r="B190" t="n">
        <x:f>Dashboard_Live_Data!E189</x:f>
        <x:v>226.23942491253771</x:v>
      </x:c>
      <x:c r="C190" t="n">
        <x:f>Dashboard_Live_Data!D189</x:f>
        <x:v>33.5</x:v>
      </x:c>
      <x:c r="D190" t="n">
        <x:f>Dashboard_Live_Data!F189</x:f>
        <x:v>226.23942491253771</x:v>
      </x:c>
      <x:c r="E190" t="n">
        <x:f>Dashboard_Live_Data!D189</x:f>
        <x:v>33.5</x:v>
      </x:c>
      <x:c r="F190" t="n">
        <x:f>Dashboard_Live_Data!G189</x:f>
        <x:v>2.8193818928466783</x:v>
      </x:c>
    </x:row>
    <x:row r="191">
      <x:c r="A191" t="n">
        <x:f>Dashboard_Live_Data!D190</x:f>
        <x:v>34</x:v>
      </x:c>
      <x:c r="B191" t="n">
        <x:f>Dashboard_Live_Data!E190</x:f>
        <x:v>243.2704274883201</x:v>
      </x:c>
      <x:c r="C191" t="n">
        <x:f>Dashboard_Live_Data!D190</x:f>
        <x:v>34</x:v>
      </x:c>
      <x:c r="D191" t="n">
        <x:f>Dashboard_Live_Data!F190</x:f>
        <x:v>243.2704274883201</x:v>
      </x:c>
      <x:c r="E191" t="n">
        <x:f>Dashboard_Live_Data!D190</x:f>
        <x:v>34</x:v>
      </x:c>
      <x:c r="F191" t="n">
        <x:f>Dashboard_Live_Data!G190</x:f>
        <x:v>9.90157819415245</x:v>
      </x:c>
    </x:row>
    <x:row r="192">
      <x:c r="A192" t="n">
        <x:f>Dashboard_Live_Data!D191</x:f>
        <x:v>34.5</x:v>
      </x:c>
      <x:c r="B192" t="n">
        <x:f>Dashboard_Live_Data!E191</x:f>
        <x:v>248.8414359782273</x:v>
      </x:c>
      <x:c r="C192" t="n">
        <x:f>Dashboard_Live_Data!D191</x:f>
        <x:v>34.5</x:v>
      </x:c>
      <x:c r="D192" t="n">
        <x:f>Dashboard_Live_Data!F191</x:f>
        <x:v>248.8414359782273</x:v>
      </x:c>
      <x:c r="E192" t="n">
        <x:f>Dashboard_Live_Data!D191</x:f>
        <x:v>34.5</x:v>
      </x:c>
      <x:c r="F192" t="n">
        <x:f>Dashboard_Live_Data!G191</x:f>
        <x:v>22.306190725387925</x:v>
      </x:c>
    </x:row>
    <x:row r="193">
      <x:c r="A193" t="n">
        <x:f>Dashboard_Live_Data!D192</x:f>
        <x:v>35</x:v>
      </x:c>
      <x:c r="B193" t="n">
        <x:f>Dashboard_Live_Data!E192</x:f>
        <x:v>242.00890812042311</x:v>
      </x:c>
      <x:c r="C193" t="n">
        <x:f>Dashboard_Live_Data!D192</x:f>
        <x:v>35</x:v>
      </x:c>
      <x:c r="D193" t="n">
        <x:f>Dashboard_Live_Data!F192</x:f>
        <x:v>242.00890812042311</x:v>
      </x:c>
      <x:c r="E193" t="n">
        <x:f>Dashboard_Live_Data!D192</x:f>
        <x:v>35</x:v>
      </x:c>
      <x:c r="F193" t="n">
        <x:f>Dashboard_Live_Data!G192</x:f>
        <x:v>28.92396994213728</x:v>
      </x:c>
    </x:row>
    <x:row r="194">
      <x:c r="A194" t="n">
        <x:f>Dashboard_Live_Data!D193</x:f>
        <x:v>35.5</x:v>
      </x:c>
      <x:c r="B194" t="n">
        <x:f>Dashboard_Live_Data!E193</x:f>
        <x:v>242.63788270086079</x:v>
      </x:c>
      <x:c r="C194" t="n">
        <x:f>Dashboard_Live_Data!D193</x:f>
        <x:v>35.5</x:v>
      </x:c>
      <x:c r="D194" t="n">
        <x:f>Dashboard_Live_Data!F193</x:f>
        <x:v>242.63788270086079</x:v>
      </x:c>
      <x:c r="E194" t="n">
        <x:f>Dashboard_Live_Data!D193</x:f>
        <x:v>35.5</x:v>
      </x:c>
      <x:c r="F194" t="n">
        <x:f>Dashboard_Live_Data!G193</x:f>
        <x:v>32.227616256478356</x:v>
      </x:c>
    </x:row>
    <x:row r="195">
      <x:c r="A195" t="n">
        <x:f>Dashboard_Live_Data!D194</x:f>
        <x:v>36</x:v>
      </x:c>
      <x:c r="B195" t="n">
        <x:f>Dashboard_Live_Data!E194</x:f>
        <x:v>251.8480330414438</x:v>
      </x:c>
      <x:c r="C195" t="n">
        <x:f>Dashboard_Live_Data!D194</x:f>
        <x:v>36</x:v>
      </x:c>
      <x:c r="D195" t="n">
        <x:f>Dashboard_Live_Data!F194</x:f>
        <x:v>251.8480330414438</x:v>
      </x:c>
      <x:c r="E195" t="n">
        <x:f>Dashboard_Live_Data!D194</x:f>
        <x:v>36</x:v>
      </x:c>
      <x:c r="F195" t="n">
        <x:f>Dashboard_Live_Data!G194</x:f>
        <x:v>45.422536466318</x:v>
      </x:c>
    </x:row>
    <x:row r="196">
      <x:c r="A196" t="n">
        <x:f>Dashboard_Live_Data!D195</x:f>
        <x:v>36.5</x:v>
      </x:c>
      <x:c r="B196" t="n">
        <x:f>Dashboard_Live_Data!E195</x:f>
        <x:v>274.3131350022337</x:v>
      </x:c>
      <x:c r="C196" t="n">
        <x:f>Dashboard_Live_Data!D195</x:f>
        <x:v>36.5</x:v>
      </x:c>
      <x:c r="D196" t="n">
        <x:f>Dashboard_Live_Data!F195</x:f>
        <x:v>274.3131350022337</x:v>
      </x:c>
      <x:c r="E196" t="n">
        <x:f>Dashboard_Live_Data!D195</x:f>
        <x:v>36.5</x:v>
      </x:c>
      <x:c r="F196" t="n">
        <x:f>Dashboard_Live_Data!G195</x:f>
        <x:v>44.98219479967033</x:v>
      </x:c>
    </x:row>
    <x:row r="197">
      <x:c r="A197" t="n">
        <x:f>Dashboard_Live_Data!D196</x:f>
        <x:v>37</x:v>
      </x:c>
      <x:c r="B197" t="n">
        <x:f>Dashboard_Live_Data!E196</x:f>
        <x:v>277.26991348245565</x:v>
      </x:c>
      <x:c r="C197" t="n">
        <x:f>Dashboard_Live_Data!D196</x:f>
        <x:v>37</x:v>
      </x:c>
      <x:c r="D197" t="n">
        <x:f>Dashboard_Live_Data!F196</x:f>
        <x:v>277.26991348245565</x:v>
      </x:c>
      <x:c r="E197" t="n">
        <x:f>Dashboard_Live_Data!D196</x:f>
        <x:v>37</x:v>
      </x:c>
      <x:c r="F197" t="n">
        <x:f>Dashboard_Live_Data!G196</x:f>
        <x:v>58.36098804305038</x:v>
      </x:c>
    </x:row>
    <x:row r="198">
      <x:c r="A198" t="n">
        <x:f>Dashboard_Live_Data!D197</x:f>
        <x:v>37.5</x:v>
      </x:c>
      <x:c r="B198" t="n">
        <x:f>Dashboard_Live_Data!E197</x:f>
        <x:v>280.6842863692354</x:v>
      </x:c>
      <x:c r="C198" t="n">
        <x:f>Dashboard_Live_Data!D197</x:f>
        <x:v>37.5</x:v>
      </x:c>
      <x:c r="D198" t="n">
        <x:f>Dashboard_Live_Data!F197</x:f>
        <x:v>280.6842863692354</x:v>
      </x:c>
      <x:c r="E198" t="n">
        <x:f>Dashboard_Live_Data!D197</x:f>
        <x:v>37.5</x:v>
      </x:c>
      <x:c r="F198" t="n">
        <x:f>Dashboard_Live_Data!G197</x:f>
        <x:v>56.08108474403666</x:v>
      </x:c>
    </x:row>
    <x:row r="199">
      <x:c r="A199" t="n">
        <x:f>Dashboard_Live_Data!D198</x:f>
        <x:v>38</x:v>
      </x:c>
      <x:c r="B199" t="n">
        <x:f>Dashboard_Live_Data!E198</x:f>
        <x:v>282.3717678695042</x:v>
      </x:c>
      <x:c r="C199" t="n">
        <x:f>Dashboard_Live_Data!D198</x:f>
        <x:v>38</x:v>
      </x:c>
      <x:c r="D199" t="n">
        <x:f>Dashboard_Live_Data!F198</x:f>
        <x:v>282.3717678695042</x:v>
      </x:c>
      <x:c r="E199" t="n">
        <x:f>Dashboard_Live_Data!D198</x:f>
        <x:v>38</x:v>
      </x:c>
      <x:c r="F199" t="n">
        <x:f>Dashboard_Live_Data!G198</x:f>
        <x:v>74.89136844725374</x:v>
      </x:c>
    </x:row>
    <x:row r="200">
      <x:c r="A200" t="n">
        <x:f>Dashboard_Live_Data!D199</x:f>
        <x:v>38.5</x:v>
      </x:c>
      <x:c r="B200" t="n">
        <x:f>Dashboard_Live_Data!E199</x:f>
        <x:v>311.18191933727104</x:v>
      </x:c>
      <x:c r="C200" t="n">
        <x:f>Dashboard_Live_Data!D199</x:f>
        <x:v>38.5</x:v>
      </x:c>
      <x:c r="D200" t="n">
        <x:f>Dashboard_Live_Data!F199</x:f>
        <x:v>311.18191933727104</x:v>
      </x:c>
      <x:c r="E200" t="n">
        <x:f>Dashboard_Live_Data!D199</x:f>
        <x:v>38.5</x:v>
      </x:c>
      <x:c r="F200" t="n">
        <x:f>Dashboard_Live_Data!G199</x:f>
        <x:v>81.22943665181958</x:v>
      </x:c>
    </x:row>
    <x:row r="201">
      <x:c r="A201" t="n">
        <x:f>Dashboard_Live_Data!D200</x:f>
        <x:v>39</x:v>
      </x:c>
      <x:c r="B201" t="n">
        <x:f>Dashboard_Live_Data!E200</x:f>
        <x:v>302.8435496777789</x:v>
      </x:c>
      <x:c r="C201" t="n">
        <x:f>Dashboard_Live_Data!D200</x:f>
        <x:v>39</x:v>
      </x:c>
      <x:c r="D201" t="n">
        <x:f>Dashboard_Live_Data!F200</x:f>
        <x:v>302.8435496777789</x:v>
      </x:c>
      <x:c r="E201" t="n">
        <x:f>Dashboard_Live_Data!D200</x:f>
        <x:v>39</x:v>
      </x:c>
      <x:c r="F201" t="n">
        <x:f>Dashboard_Live_Data!G200</x:f>
        <x:v>82.75771702731363</x:v>
      </x:c>
    </x:row>
    <x:row r="202">
      <x:c r="A202" t="n">
        <x:f>Dashboard_Live_Data!D201</x:f>
        <x:v>39.5</x:v>
      </x:c>
      <x:c r="B202" t="n">
        <x:f>Dashboard_Live_Data!E201</x:f>
        <x:v>298.92940490783735</x:v>
      </x:c>
      <x:c r="C202" t="n">
        <x:f>Dashboard_Live_Data!D201</x:f>
        <x:v>39.5</x:v>
      </x:c>
      <x:c r="D202" t="n">
        <x:f>Dashboard_Live_Data!F201</x:f>
        <x:v>298.92940490783735</x:v>
      </x:c>
      <x:c r="E202" t="n">
        <x:f>Dashboard_Live_Data!D201</x:f>
        <x:v>39.5</x:v>
      </x:c>
      <x:c r="F202" t="n">
        <x:f>Dashboard_Live_Data!G201</x:f>
        <x:v>76.31271490051972</x:v>
      </x:c>
    </x:row>
    <x:row r="203">
      <x:c r="A203" t="n">
        <x:f>Dashboard_Live_Data!D202</x:f>
        <x:v>40</x:v>
      </x:c>
      <x:c r="B203" t="n">
        <x:f>Dashboard_Live_Data!E202</x:f>
        <x:v>304.82117281231683</x:v>
      </x:c>
      <x:c r="C203" t="n">
        <x:f>Dashboard_Live_Data!D202</x:f>
        <x:v>40</x:v>
      </x:c>
      <x:c r="D203" t="n">
        <x:f>Dashboard_Live_Data!F202</x:f>
        <x:v>304.82117281231683</x:v>
      </x:c>
      <x:c r="E203" t="n">
        <x:f>Dashboard_Live_Data!D202</x:f>
        <x:v>40</x:v>
      </x:c>
      <x:c r="F203" t="n">
        <x:f>Dashboard_Live_Data!G202</x:f>
        <x:v>66.26609020115302</x:v>
      </x:c>
    </x:row>
    <x:row r="204">
      <x:c r="A204" t="n">
        <x:f>Dashboard_Live_Data!D203</x:f>
        <x:v>40.5</x:v>
      </x:c>
      <x:c r="B204" t="n">
        <x:f>Dashboard_Live_Data!E203</x:f>
        <x:v>300.6975060152245</x:v>
      </x:c>
      <x:c r="C204" t="n">
        <x:f>Dashboard_Live_Data!D203</x:f>
        <x:v>40.5</x:v>
      </x:c>
      <x:c r="D204" t="n">
        <x:f>Dashboard_Live_Data!F203</x:f>
        <x:v>300.6975060152245</x:v>
      </x:c>
      <x:c r="E204" t="n">
        <x:f>Dashboard_Live_Data!D203</x:f>
        <x:v>40.5</x:v>
      </x:c>
      <x:c r="F204" t="n">
        <x:f>Dashboard_Live_Data!G203</x:f>
        <x:v>60.152205166209214</x:v>
      </x:c>
    </x:row>
    <x:row r="205">
      <x:c r="A205" t="n">
        <x:f>Dashboard_Live_Data!D204</x:f>
        <x:v>41</x:v>
      </x:c>
      <x:c r="B205" t="n">
        <x:f>Dashboard_Live_Data!E204</x:f>
        <x:v>276.55710773836364</x:v>
      </x:c>
      <x:c r="C205" t="n">
        <x:f>Dashboard_Live_Data!D204</x:f>
        <x:v>41</x:v>
      </x:c>
      <x:c r="D205" t="n">
        <x:f>Dashboard_Live_Data!F204</x:f>
        <x:v>276.55710773836364</x:v>
      </x:c>
      <x:c r="E205" t="n">
        <x:f>Dashboard_Live_Data!D204</x:f>
        <x:v>41</x:v>
      </x:c>
      <x:c r="F205" t="n">
        <x:f>Dashboard_Live_Data!G204</x:f>
        <x:v>52.60933898915909</x:v>
      </x:c>
    </x:row>
    <x:row r="206">
      <x:c r="A206" t="n">
        <x:f>Dashboard_Live_Data!D205</x:f>
        <x:v>41.5</x:v>
      </x:c>
      <x:c r="B206" t="n">
        <x:f>Dashboard_Live_Data!E205</x:f>
        <x:v>269.21554101681534</x:v>
      </x:c>
      <x:c r="C206" t="n">
        <x:f>Dashboard_Live_Data!D205</x:f>
        <x:v>41.5</x:v>
      </x:c>
      <x:c r="D206" t="n">
        <x:f>Dashboard_Live_Data!F205</x:f>
        <x:v>269.21554101681534</x:v>
      </x:c>
      <x:c r="E206" t="n">
        <x:f>Dashboard_Live_Data!D205</x:f>
        <x:v>41.5</x:v>
      </x:c>
      <x:c r="F206" t="n">
        <x:f>Dashboard_Live_Data!G205</x:f>
        <x:v>58.38095189793533</x:v>
      </x:c>
    </x:row>
    <x:row r="207">
      <x:c r="A207" t="n">
        <x:f>Dashboard_Live_Data!D206</x:f>
        <x:v>42</x:v>
      </x:c>
      <x:c r="B207" t="n">
        <x:f>Dashboard_Live_Data!E206</x:f>
        <x:v>271.1262021129023</x:v>
      </x:c>
      <x:c r="C207" t="n">
        <x:f>Dashboard_Live_Data!D206</x:f>
        <x:v>42</x:v>
      </x:c>
      <x:c r="D207" t="n">
        <x:f>Dashboard_Live_Data!F206</x:f>
        <x:v>271.1262021129023</x:v>
      </x:c>
      <x:c r="E207" t="n">
        <x:f>Dashboard_Live_Data!D206</x:f>
        <x:v>42</x:v>
      </x:c>
      <x:c r="F207" t="n">
        <x:f>Dashboard_Live_Data!G206</x:f>
        <x:v>34.52124211278962</x:v>
      </x:c>
    </x:row>
    <x:row r="208">
      <x:c r="A208" t="n">
        <x:f>Dashboard_Live_Data!D207</x:f>
        <x:v>42.5</x:v>
      </x:c>
      <x:c r="B208" t="n">
        <x:f>Dashboard_Live_Data!E207</x:f>
        <x:v>259.7768551367322</x:v>
      </x:c>
      <x:c r="C208" t="n">
        <x:f>Dashboard_Live_Data!D207</x:f>
        <x:v>42.5</x:v>
      </x:c>
      <x:c r="D208" t="n">
        <x:f>Dashboard_Live_Data!F207</x:f>
        <x:v>259.7768551367322</x:v>
      </x:c>
      <x:c r="E208" t="n">
        <x:f>Dashboard_Live_Data!D207</x:f>
        <x:v>42.5</x:v>
      </x:c>
      <x:c r="F208" t="n">
        <x:f>Dashboard_Live_Data!G207</x:f>
        <x:v>40.25127636090155</x:v>
      </x:c>
    </x:row>
    <x:row r="209">
      <x:c r="A209" t="n">
        <x:f>Dashboard_Live_Data!D208</x:f>
        <x:v>43</x:v>
      </x:c>
      <x:c r="B209" t="n">
        <x:f>Dashboard_Live_Data!E208</x:f>
        <x:v>247.2629698422237</x:v>
      </x:c>
      <x:c r="C209" t="n">
        <x:f>Dashboard_Live_Data!D208</x:f>
        <x:v>43</x:v>
      </x:c>
      <x:c r="D209" t="n">
        <x:f>Dashboard_Live_Data!F208</x:f>
        <x:v>247.2629698422237</x:v>
      </x:c>
      <x:c r="E209" t="n">
        <x:f>Dashboard_Live_Data!D208</x:f>
        <x:v>43</x:v>
      </x:c>
      <x:c r="F209" t="n">
        <x:f>Dashboard_Live_Data!G208</x:f>
        <x:v>33.32797910139238</x:v>
      </x:c>
    </x:row>
    <x:row r="210">
      <x:c r="A210" t="n">
        <x:f>Dashboard_Live_Data!D209</x:f>
        <x:v>43.5</x:v>
      </x:c>
      <x:c r="B210" t="n">
        <x:f>Dashboard_Live_Data!E209</x:f>
        <x:v>225.35528260314678</x:v>
      </x:c>
      <x:c r="C210" t="n">
        <x:f>Dashboard_Live_Data!D209</x:f>
        <x:v>43.5</x:v>
      </x:c>
      <x:c r="D210" t="n">
        <x:f>Dashboard_Live_Data!F209</x:f>
        <x:v>225.35528260314678</x:v>
      </x:c>
      <x:c r="E210" t="n">
        <x:f>Dashboard_Live_Data!D209</x:f>
        <x:v>43.5</x:v>
      </x:c>
      <x:c r="F210" t="n">
        <x:f>Dashboard_Live_Data!G209</x:f>
        <x:v>20.522948331606614</x:v>
      </x:c>
    </x:row>
    <x:row r="211">
      <x:c r="A211" t="n">
        <x:f>Dashboard_Live_Data!D210</x:f>
        <x:v>44</x:v>
      </x:c>
      <x:c r="B211" t="n">
        <x:f>Dashboard_Live_Data!E210</x:f>
        <x:v>208.84015984832814</x:v>
      </x:c>
      <x:c r="C211" t="n">
        <x:f>Dashboard_Live_Data!D210</x:f>
        <x:v>44</x:v>
      </x:c>
      <x:c r="D211" t="n">
        <x:f>Dashboard_Live_Data!F210</x:f>
        <x:v>208.84015984832814</x:v>
      </x:c>
      <x:c r="E211" t="n">
        <x:f>Dashboard_Live_Data!D210</x:f>
        <x:v>44</x:v>
      </x:c>
      <x:c r="F211" t="n">
        <x:f>Dashboard_Live_Data!G210</x:f>
        <x:v>7.051899638170276</x:v>
      </x:c>
    </x:row>
    <x:row r="212">
      <x:c r="A212" t="n">
        <x:f>Dashboard_Live_Data!D211</x:f>
        <x:v>44.5</x:v>
      </x:c>
      <x:c r="B212" t="n">
        <x:f>Dashboard_Live_Data!E211</x:f>
        <x:v>178.96296340227542</x:v>
      </x:c>
      <x:c r="C212" t="n">
        <x:f>Dashboard_Live_Data!D211</x:f>
        <x:v>44.5</x:v>
      </x:c>
      <x:c r="D212" t="n">
        <x:f>Dashboard_Live_Data!F211</x:f>
        <x:v>178.96296340227542</x:v>
      </x:c>
      <x:c r="E212" t="n">
        <x:f>Dashboard_Live_Data!D211</x:f>
        <x:v>44.5</x:v>
      </x:c>
      <x:c r="F212" t="n">
        <x:f>Dashboard_Live_Data!G211</x:f>
        <x:v>-3.283716108943903</x:v>
      </x:c>
    </x:row>
    <x:row r="213">
      <x:c r="A213" t="n">
        <x:f>Dashboard_Live_Data!D212</x:f>
        <x:v>45</x:v>
      </x:c>
      <x:c r="B213" t="n">
        <x:f>Dashboard_Live_Data!E212</x:f>
        <x:v>165.26573251393552</x:v>
      </x:c>
      <x:c r="C213" t="n">
        <x:f>Dashboard_Live_Data!D212</x:f>
        <x:v>45</x:v>
      </x:c>
      <x:c r="D213" t="n">
        <x:f>Dashboard_Live_Data!F212</x:f>
        <x:v>165.26573251393552</x:v>
      </x:c>
      <x:c r="E213" t="n">
        <x:f>Dashboard_Live_Data!D212</x:f>
        <x:v>45</x:v>
      </x:c>
      <x:c r="F213" t="n">
        <x:f>Dashboard_Live_Data!G212</x:f>
        <x:v>-4.746207968267804</x:v>
      </x:c>
    </x:row>
    <x:row r="214">
      <x:c r="A214" t="n">
        <x:f>Dashboard_Live_Data!D213</x:f>
        <x:v>45.5</x:v>
      </x:c>
      <x:c r="B214" t="n">
        <x:f>Dashboard_Live_Data!E213</x:f>
        <x:v>168.78187987738474</x:v>
      </x:c>
      <x:c r="C214" t="n">
        <x:f>Dashboard_Live_Data!D213</x:f>
        <x:v>45.5</x:v>
      </x:c>
      <x:c r="D214" t="n">
        <x:f>Dashboard_Live_Data!F213</x:f>
        <x:v>168.78187987738474</x:v>
      </x:c>
      <x:c r="E214" t="n">
        <x:f>Dashboard_Live_Data!D213</x:f>
        <x:v>45.5</x:v>
      </x:c>
      <x:c r="F214" t="n">
        <x:f>Dashboard_Live_Data!G213</x:f>
        <x:v>-4.954776418919145</x:v>
      </x:c>
    </x:row>
    <x:row r="215">
      <x:c r="A215" t="n">
        <x:f>Dashboard_Live_Data!D214</x:f>
        <x:v>46</x:v>
      </x:c>
      <x:c r="B215" t="n">
        <x:f>Dashboard_Live_Data!E214</x:f>
        <x:v>147.2236511039814</x:v>
      </x:c>
      <x:c r="C215" t="n">
        <x:f>Dashboard_Live_Data!D214</x:f>
        <x:v>46</x:v>
      </x:c>
      <x:c r="D215" t="n">
        <x:f>Dashboard_Live_Data!F214</x:f>
        <x:v>147.2236511039814</x:v>
      </x:c>
      <x:c r="E215" t="n">
        <x:f>Dashboard_Live_Data!D214</x:f>
        <x:v>46</x:v>
      </x:c>
      <x:c r="F215" t="n">
        <x:f>Dashboard_Live_Data!G214</x:f>
        <x:v>-0.04819256513620118</x:v>
      </x:c>
    </x:row>
    <x:row r="216">
      <x:c r="A216" t="n">
        <x:f>Dashboard_Live_Data!D215</x:f>
        <x:v>46.5</x:v>
      </x:c>
      <x:c r="B216" t="n">
        <x:f>Dashboard_Live_Data!E215</x:f>
        <x:v>125.26409736726505</x:v>
      </x:c>
      <x:c r="C216" t="n">
        <x:f>Dashboard_Live_Data!D215</x:f>
        <x:v>46.5</x:v>
      </x:c>
      <x:c r="D216" t="n">
        <x:f>Dashboard_Live_Data!F215</x:f>
        <x:v>125.26409736726505</x:v>
      </x:c>
      <x:c r="E216" t="n">
        <x:f>Dashboard_Live_Data!D215</x:f>
        <x:v>46.5</x:v>
      </x:c>
      <x:c r="F216" t="n">
        <x:f>Dashboard_Live_Data!G215</x:f>
        <x:v>-12.32376640540756</x:v>
      </x:c>
    </x:row>
    <x:row r="217">
      <x:c r="A217" t="n">
        <x:f>Dashboard_Live_Data!D216</x:f>
        <x:v>47</x:v>
      </x:c>
      <x:c r="B217" t="n">
        <x:f>Dashboard_Live_Data!E216</x:f>
        <x:v>119.07484471636309</x:v>
      </x:c>
      <x:c r="C217" t="n">
        <x:f>Dashboard_Live_Data!D216</x:f>
        <x:v>47</x:v>
      </x:c>
      <x:c r="D217" t="n">
        <x:f>Dashboard_Live_Data!F216</x:f>
        <x:v>119.07484471636309</x:v>
      </x:c>
      <x:c r="E217" t="n">
        <x:f>Dashboard_Live_Data!D216</x:f>
        <x:v>47</x:v>
      </x:c>
      <x:c r="F217" t="n">
        <x:f>Dashboard_Live_Data!G216</x:f>
        <x:v>5.624733438492097</x:v>
      </x:c>
    </x:row>
    <x:row r="218">
      <x:c r="A218" t="n">
        <x:f>Dashboard_Live_Data!D217</x:f>
        <x:v>47.5</x:v>
      </x:c>
      <x:c r="B218" t="n">
        <x:f>Dashboard_Live_Data!E217</x:f>
        <x:v>107.75271022723112</x:v>
      </x:c>
      <x:c r="C218" t="n">
        <x:f>Dashboard_Live_Data!D217</x:f>
        <x:v>47.5</x:v>
      </x:c>
      <x:c r="D218" t="n">
        <x:f>Dashboard_Live_Data!F217</x:f>
        <x:v>107.75271022723112</x:v>
      </x:c>
      <x:c r="E218" t="n">
        <x:f>Dashboard_Live_Data!D217</x:f>
        <x:v>47.5</x:v>
      </x:c>
      <x:c r="F218" t="n">
        <x:f>Dashboard_Live_Data!G217</x:f>
        <x:v>4.725819493947935</x:v>
      </x:c>
    </x:row>
    <x:row r="219">
      <x:c r="A219" t="n">
        <x:f>Dashboard_Live_Data!D218</x:f>
        <x:v>48</x:v>
      </x:c>
      <x:c r="B219" t="n">
        <x:f>Dashboard_Live_Data!E218</x:f>
        <x:v>124.99715373468393</x:v>
      </x:c>
      <x:c r="C219" t="n">
        <x:f>Dashboard_Live_Data!D218</x:f>
        <x:v>48</x:v>
      </x:c>
      <x:c r="D219" t="n">
        <x:f>Dashboard_Live_Data!F218</x:f>
        <x:v>124.99715373468393</x:v>
      </x:c>
      <x:c r="E219" t="n">
        <x:f>Dashboard_Live_Data!D218</x:f>
        <x:v>48</x:v>
      </x:c>
      <x:c r="F219" t="n">
        <x:f>Dashboard_Live_Data!G218</x:f>
        <x:v>-9.076914728959792</x:v>
      </x:c>
    </x:row>
    <x:row r="220">
      <x:c r="A220" t="n">
        <x:f>Dashboard_Live_Data!D219</x:f>
        <x:v>48.5</x:v>
      </x:c>
      <x:c r="B220" t="n">
        <x:f>Dashboard_Live_Data!E219</x:f>
        <x:v>114.2648488799635</x:v>
      </x:c>
      <x:c r="C220" t="n">
        <x:f>Dashboard_Live_Data!D219</x:f>
        <x:v>48.5</x:v>
      </x:c>
      <x:c r="D220" t="n">
        <x:f>Dashboard_Live_Data!F219</x:f>
        <x:v>114.2648488799635</x:v>
      </x:c>
      <x:c r="E220" t="n">
        <x:f>Dashboard_Live_Data!D219</x:f>
        <x:v>48.5</x:v>
      </x:c>
      <x:c r="F220" t="n">
        <x:f>Dashboard_Live_Data!G219</x:f>
        <x:v>-2.0408727900443155</x:v>
      </x:c>
    </x:row>
    <x:row r="221">
      <x:c r="A221" t="n">
        <x:f>Dashboard_Live_Data!D220</x:f>
        <x:v>49</x:v>
      </x:c>
      <x:c r="B221" t="n">
        <x:f>Dashboard_Live_Data!E220</x:f>
        <x:v>109.54402369059221</x:v>
      </x:c>
      <x:c r="C221" t="n">
        <x:f>Dashboard_Live_Data!D220</x:f>
        <x:v>49</x:v>
      </x:c>
      <x:c r="D221" t="n">
        <x:f>Dashboard_Live_Data!F220</x:f>
        <x:v>109.54402369059221</x:v>
      </x:c>
      <x:c r="E221" t="n">
        <x:f>Dashboard_Live_Data!D220</x:f>
        <x:v>49</x:v>
      </x:c>
      <x:c r="F221" t="n">
        <x:f>Dashboard_Live_Data!G220</x:f>
        <x:v>10.43102720072224</x:v>
      </x:c>
    </x:row>
    <x:row r="222">
      <x:c r="A222" t="n">
        <x:f>Dashboard_Live_Data!D221</x:f>
        <x:v>49.5</x:v>
      </x:c>
      <x:c r="B222" t="n">
        <x:f>Dashboard_Live_Data!E221</x:f>
        <x:v>115.81874031490976</x:v>
      </x:c>
      <x:c r="C222" t="n">
        <x:f>Dashboard_Live_Data!D221</x:f>
        <x:v>49.5</x:v>
      </x:c>
      <x:c r="D222" t="n">
        <x:f>Dashboard_Live_Data!F221</x:f>
        <x:v>115.81874031490976</x:v>
      </x:c>
      <x:c r="E222" t="n">
        <x:f>Dashboard_Live_Data!D221</x:f>
        <x:v>49.5</x:v>
      </x:c>
      <x:c r="F222" t="n">
        <x:f>Dashboard_Live_Data!G221</x:f>
        <x:v>-2.2699304094542576</x:v>
      </x:c>
    </x:row>
    <x:row r="223">
      <x:c r="A223" t="n">
        <x:f>Dashboard_Live_Data!D222</x:f>
        <x:v>50</x:v>
      </x:c>
      <x:c r="B223" t="n">
        <x:f>Dashboard_Live_Data!E222</x:f>
        <x:v>115.23525161719914</x:v>
      </x:c>
      <x:c r="C223" t="n">
        <x:f>Dashboard_Live_Data!D222</x:f>
        <x:v>50</x:v>
      </x:c>
      <x:c r="D223" t="n">
        <x:f>Dashboard_Live_Data!F222</x:f>
        <x:v>115.23525161719914</x:v>
      </x:c>
      <x:c r="E223" t="n">
        <x:f>Dashboard_Live_Data!D222</x:f>
        <x:v>50</x:v>
      </x:c>
      <x:c r="F223" t="n">
        <x:f>Dashboard_Live_Data!G222</x:f>
        <x:v>8.17258837755962</x:v>
      </x:c>
    </x:row>
    <x:row r="224">
      <x:c r="A224" t="n">
        <x:f>Dashboard_Live_Data!D223</x:f>
        <x:v>50.5</x:v>
      </x:c>
      <x:c r="B224" t="n">
        <x:f>Dashboard_Live_Data!E223</x:f>
        <x:v>136.98620076238512</x:v>
      </x:c>
      <x:c r="C224" t="n">
        <x:f>Dashboard_Live_Data!D223</x:f>
        <x:v>50.5</x:v>
      </x:c>
      <x:c r="D224" t="n">
        <x:f>Dashboard_Live_Data!F223</x:f>
        <x:v>136.98620076238512</x:v>
      </x:c>
      <x:c r="E224" t="n">
        <x:f>Dashboard_Live_Data!D223</x:f>
        <x:v>50.5</x:v>
      </x:c>
      <x:c r="F224" t="n">
        <x:f>Dashboard_Live_Data!G223</x:f>
        <x:v>7.175411887622014</x:v>
      </x:c>
    </x:row>
    <x:row r="225">
      <x:c r="A225" t="n">
        <x:f>Dashboard_Live_Data!D224</x:f>
        <x:v>51</x:v>
      </x:c>
      <x:c r="B225" t="n">
        <x:f>Dashboard_Live_Data!E224</x:f>
        <x:v>137.08289632779307</x:v>
      </x:c>
      <x:c r="C225" t="n">
        <x:f>Dashboard_Live_Data!D224</x:f>
        <x:v>51</x:v>
      </x:c>
      <x:c r="D225" t="n">
        <x:f>Dashboard_Live_Data!F224</x:f>
        <x:v>137.08289632779307</x:v>
      </x:c>
      <x:c r="E225" t="n">
        <x:f>Dashboard_Live_Data!D224</x:f>
        <x:v>51</x:v>
      </x:c>
      <x:c r="F225" t="n">
        <x:f>Dashboard_Live_Data!G224</x:f>
        <x:v>11.525237738664625</x:v>
      </x:c>
    </x:row>
    <x:row r="226">
      <x:c r="A226" t="n">
        <x:f>Dashboard_Live_Data!D225</x:f>
        <x:v>51.5</x:v>
      </x:c>
      <x:c r="B226" t="n">
        <x:f>Dashboard_Live_Data!E225</x:f>
        <x:v>159.61831316527434</x:v>
      </x:c>
      <x:c r="C226" t="n">
        <x:f>Dashboard_Live_Data!D225</x:f>
        <x:v>51.5</x:v>
      </x:c>
      <x:c r="D226" t="n">
        <x:f>Dashboard_Live_Data!F225</x:f>
        <x:v>159.61831316527434</x:v>
      </x:c>
      <x:c r="E226" t="n">
        <x:f>Dashboard_Live_Data!D225</x:f>
        <x:v>51.5</x:v>
      </x:c>
      <x:c r="F226" t="n">
        <x:f>Dashboard_Live_Data!G225</x:f>
        <x:v>-4.550946531934956</x:v>
      </x:c>
    </x:row>
    <x:row r="227">
      <x:c r="A227" t="n">
        <x:f>Dashboard_Live_Data!D226</x:f>
        <x:v>52</x:v>
      </x:c>
      <x:c r="B227" t="n">
        <x:f>Dashboard_Live_Data!E226</x:f>
        <x:v>166.9931224443313</x:v>
      </x:c>
      <x:c r="C227" t="n">
        <x:f>Dashboard_Live_Data!D226</x:f>
        <x:v>52</x:v>
      </x:c>
      <x:c r="D227" t="n">
        <x:f>Dashboard_Live_Data!F226</x:f>
        <x:v>166.9931224443313</x:v>
      </x:c>
      <x:c r="E227" t="n">
        <x:f>Dashboard_Live_Data!D226</x:f>
        <x:v>52</x:v>
      </x:c>
      <x:c r="F227" t="n">
        <x:f>Dashboard_Live_Data!G226</x:f>
        <x:v>-7.85094902162108</x:v>
      </x:c>
    </x:row>
    <x:row r="228">
      <x:c r="A228" t="n">
        <x:f>Dashboard_Live_Data!D227</x:f>
        <x:v>52.5</x:v>
      </x:c>
      <x:c r="B228" t="n">
        <x:f>Dashboard_Live_Data!E227</x:f>
        <x:v>164.06842387185546</x:v>
      </x:c>
      <x:c r="C228" t="n">
        <x:f>Dashboard_Live_Data!D227</x:f>
        <x:v>52.5</x:v>
      </x:c>
      <x:c r="D228" t="n">
        <x:f>Dashboard_Live_Data!F227</x:f>
        <x:v>164.06842387185546</x:v>
      </x:c>
      <x:c r="E228" t="n">
        <x:f>Dashboard_Live_Data!D227</x:f>
        <x:v>52.5</x:v>
      </x:c>
      <x:c r="F228" t="n">
        <x:f>Dashboard_Live_Data!G227</x:f>
        <x:v>6.588346931916092</x:v>
      </x:c>
    </x:row>
    <x:row r="229">
      <x:c r="A229" t="n">
        <x:f>Dashboard_Live_Data!D228</x:f>
        <x:v>53</x:v>
      </x:c>
      <x:c r="B229" t="n">
        <x:f>Dashboard_Live_Data!E228</x:f>
        <x:v>183.5232809151917</x:v>
      </x:c>
      <x:c r="C229" t="n">
        <x:f>Dashboard_Live_Data!D228</x:f>
        <x:v>53</x:v>
      </x:c>
      <x:c r="D229" t="n">
        <x:f>Dashboard_Live_Data!F228</x:f>
        <x:v>183.5232809151917</x:v>
      </x:c>
      <x:c r="E229" t="n">
        <x:f>Dashboard_Live_Data!D228</x:f>
        <x:v>53</x:v>
      </x:c>
      <x:c r="F229" t="n">
        <x:f>Dashboard_Live_Data!G228</x:f>
        <x:v>4.508396540761183</x:v>
      </x:c>
    </x:row>
    <x:row r="230">
      <x:c r="A230" t="n">
        <x:f>Dashboard_Live_Data!D229</x:f>
        <x:v>53.5</x:v>
      </x:c>
      <x:c r="B230" t="n">
        <x:f>Dashboard_Live_Data!E229</x:f>
        <x:v>181.04186719105834</x:v>
      </x:c>
      <x:c r="C230" t="n">
        <x:f>Dashboard_Live_Data!D229</x:f>
        <x:v>53.5</x:v>
      </x:c>
      <x:c r="D230" t="n">
        <x:f>Dashboard_Live_Data!F229</x:f>
        <x:v>181.04186719105834</x:v>
      </x:c>
      <x:c r="E230" t="n">
        <x:f>Dashboard_Live_Data!D229</x:f>
        <x:v>53.5</x:v>
      </x:c>
      <x:c r="F230" t="n">
        <x:f>Dashboard_Live_Data!G229</x:f>
        <x:v>-0.1280560890739677</x:v>
      </x:c>
    </x:row>
    <x:row r="231">
      <x:c r="A231" t="n">
        <x:f>Dashboard_Live_Data!D230</x:f>
        <x:v>54</x:v>
      </x:c>
      <x:c r="B231" t="n">
        <x:f>Dashboard_Live_Data!E230</x:f>
        <x:v>181.54184215615243</x:v>
      </x:c>
      <x:c r="C231" t="n">
        <x:f>Dashboard_Live_Data!D230</x:f>
        <x:v>54</x:v>
      </x:c>
      <x:c r="D231" t="n">
        <x:f>Dashboard_Live_Data!F230</x:f>
        <x:v>181.54184215615243</x:v>
      </x:c>
      <x:c r="E231" t="n">
        <x:f>Dashboard_Live_Data!D230</x:f>
        <x:v>54</x:v>
      </x:c>
      <x:c r="F231" t="n">
        <x:f>Dashboard_Live_Data!G230</x:f>
        <x:v>-7.852837825142384</x:v>
      </x:c>
    </x:row>
    <x:row r="232">
      <x:c r="A232" t="n">
        <x:f>Dashboard_Live_Data!D231</x:f>
        <x:v>54.5</x:v>
      </x:c>
      <x:c r="B232" t="n">
        <x:f>Dashboard_Live_Data!E231</x:f>
        <x:v>176.67952286630316</x:v>
      </x:c>
      <x:c r="C232" t="n">
        <x:f>Dashboard_Live_Data!D231</x:f>
        <x:v>54.5</x:v>
      </x:c>
      <x:c r="D232" t="n">
        <x:f>Dashboard_Live_Data!F231</x:f>
        <x:v>176.67952286630316</x:v>
      </x:c>
      <x:c r="E232" t="n">
        <x:f>Dashboard_Live_Data!D231</x:f>
        <x:v>54.5</x:v>
      </x:c>
      <x:c r="F232" t="n">
        <x:f>Dashboard_Live_Data!G231</x:f>
        <x:v>-10.88592803052483</x:v>
      </x:c>
    </x:row>
    <x:row r="233">
      <x:c r="A233" t="n">
        <x:f>Dashboard_Live_Data!D232</x:f>
        <x:v>55</x:v>
      </x:c>
      <x:c r="B233" t="n">
        <x:f>Dashboard_Live_Data!E232</x:f>
        <x:v>188.50605986389118</x:v>
      </x:c>
      <x:c r="C233" t="n">
        <x:f>Dashboard_Live_Data!D232</x:f>
        <x:v>55</x:v>
      </x:c>
      <x:c r="D233" t="n">
        <x:f>Dashboard_Live_Data!F232</x:f>
        <x:v>188.50605986389118</x:v>
      </x:c>
      <x:c r="E233" t="n">
        <x:f>Dashboard_Live_Data!D232</x:f>
        <x:v>55</x:v>
      </x:c>
      <x:c r="F233" t="n">
        <x:f>Dashboard_Live_Data!G232</x:f>
        <x:v>-2.7391578251359494</x:v>
      </x:c>
    </x:row>
    <x:row r="234">
      <x:c r="A234" t="n">
        <x:f>Dashboard_Live_Data!D233</x:f>
        <x:v>55.5</x:v>
      </x:c>
      <x:c r="B234" t="n">
        <x:f>Dashboard_Live_Data!E233</x:f>
        <x:v>182.5522692746181</x:v>
      </x:c>
      <x:c r="C234" t="n">
        <x:f>Dashboard_Live_Data!D233</x:f>
        <x:v>55.5</x:v>
      </x:c>
      <x:c r="D234" t="n">
        <x:f>Dashboard_Live_Data!F233</x:f>
        <x:v>182.5522692746181</x:v>
      </x:c>
      <x:c r="E234" t="n">
        <x:f>Dashboard_Live_Data!D233</x:f>
        <x:v>55.5</x:v>
      </x:c>
      <x:c r="F234" t="n">
        <x:f>Dashboard_Live_Data!G233</x:f>
        <x:v>-6.538094280084824</x:v>
      </x:c>
    </x:row>
    <x:row r="235">
      <x:c r="A235" t="n">
        <x:f>Dashboard_Live_Data!D234</x:f>
        <x:v>56</x:v>
      </x:c>
      <x:c r="B235" t="n">
        <x:f>Dashboard_Live_Data!E234</x:f>
        <x:v>186.90390563143987</x:v>
      </x:c>
      <x:c r="C235" t="n">
        <x:f>Dashboard_Live_Data!D234</x:f>
        <x:v>56</x:v>
      </x:c>
      <x:c r="D235" t="n">
        <x:f>Dashboard_Live_Data!F234</x:f>
        <x:v>186.90390563143987</x:v>
      </x:c>
      <x:c r="E235" t="n">
        <x:f>Dashboard_Live_Data!D234</x:f>
        <x:v>56</x:v>
      </x:c>
      <x:c r="F235" t="n">
        <x:f>Dashboard_Live_Data!G234</x:f>
        <x:v>-4.357290177669684</x:v>
      </x:c>
    </x:row>
    <x:row r="236">
      <x:c r="A236" t="n">
        <x:f>Dashboard_Live_Data!D235</x:f>
        <x:v>56.5</x:v>
      </x:c>
      <x:c r="B236" t="n">
        <x:f>Dashboard_Live_Data!E235</x:f>
        <x:v>190.07062484954076</x:v>
      </x:c>
      <x:c r="C236" t="n">
        <x:f>Dashboard_Live_Data!D235</x:f>
        <x:v>56.5</x:v>
      </x:c>
      <x:c r="D236" t="n">
        <x:f>Dashboard_Live_Data!F235</x:f>
        <x:v>190.07062484954076</x:v>
      </x:c>
      <x:c r="E236" t="n">
        <x:f>Dashboard_Live_Data!D235</x:f>
        <x:v>56.5</x:v>
      </x:c>
      <x:c r="F236" t="n">
        <x:f>Dashboard_Live_Data!G235</x:f>
        <x:v>21.715435034758002</x:v>
      </x:c>
    </x:row>
    <x:row r="237">
      <x:c r="A237" t="n">
        <x:f>Dashboard_Live_Data!D236</x:f>
        <x:v>57</x:v>
      </x:c>
      <x:c r="B237" t="n">
        <x:f>Dashboard_Live_Data!E236</x:f>
        <x:v>200.68454527158707</x:v>
      </x:c>
      <x:c r="C237" t="n">
        <x:f>Dashboard_Live_Data!D236</x:f>
        <x:v>57</x:v>
      </x:c>
      <x:c r="D237" t="n">
        <x:f>Dashboard_Live_Data!F236</x:f>
        <x:v>200.68454527158707</x:v>
      </x:c>
      <x:c r="E237" t="n">
        <x:f>Dashboard_Live_Data!D236</x:f>
        <x:v>57</x:v>
      </x:c>
      <x:c r="F237" t="n">
        <x:f>Dashboard_Live_Data!G236</x:f>
        <x:v>18.4135707545088</x:v>
      </x:c>
    </x:row>
    <x:row r="238">
      <x:c r="A238" t="n">
        <x:f>Dashboard_Live_Data!D237</x:f>
        <x:v>57.5</x:v>
      </x:c>
      <x:c r="B238" t="n">
        <x:f>Dashboard_Live_Data!E237</x:f>
        <x:v>178.2777126906697</x:v>
      </x:c>
      <x:c r="C238" t="n">
        <x:f>Dashboard_Live_Data!D237</x:f>
        <x:v>57.5</x:v>
      </x:c>
      <x:c r="D238" t="n">
        <x:f>Dashboard_Live_Data!F237</x:f>
        <x:v>178.2777126906697</x:v>
      </x:c>
      <x:c r="E238" t="n">
        <x:f>Dashboard_Live_Data!D237</x:f>
        <x:v>57.5</x:v>
      </x:c>
      <x:c r="F238" t="n">
        <x:f>Dashboard_Live_Data!G237</x:f>
        <x:v>25.968776223167485</x:v>
      </x:c>
    </x:row>
    <x:row r="239">
      <x:c r="A239" t="n">
        <x:f>Dashboard_Live_Data!D238</x:f>
        <x:v>58</x:v>
      </x:c>
      <x:c r="B239" t="n">
        <x:f>Dashboard_Live_Data!E238</x:f>
        <x:v>194.52778179385766</x:v>
      </x:c>
      <x:c r="C239" t="n">
        <x:f>Dashboard_Live_Data!D238</x:f>
        <x:v>58</x:v>
      </x:c>
      <x:c r="D239" t="n">
        <x:f>Dashboard_Live_Data!F238</x:f>
        <x:v>194.52778179385766</x:v>
      </x:c>
      <x:c r="E239" t="n">
        <x:f>Dashboard_Live_Data!D238</x:f>
        <x:v>58</x:v>
      </x:c>
      <x:c r="F239" t="n">
        <x:f>Dashboard_Live_Data!G238</x:f>
        <x:v>30.070182113253747</x:v>
      </x:c>
    </x:row>
    <x:row r="240">
      <x:c r="A240" t="n">
        <x:f>Dashboard_Live_Data!D239</x:f>
        <x:v>58.5</x:v>
      </x:c>
      <x:c r="B240" t="n">
        <x:f>Dashboard_Live_Data!E239</x:f>
        <x:v>188.33221875951745</x:v>
      </x:c>
      <x:c r="C240" t="n">
        <x:f>Dashboard_Live_Data!D239</x:f>
        <x:v>58.5</x:v>
      </x:c>
      <x:c r="D240" t="n">
        <x:f>Dashboard_Live_Data!F239</x:f>
        <x:v>188.33221875951745</x:v>
      </x:c>
      <x:c r="E240" t="n">
        <x:f>Dashboard_Live_Data!D239</x:f>
        <x:v>58.5</x:v>
      </x:c>
      <x:c r="F240" t="n">
        <x:f>Dashboard_Live_Data!G239</x:f>
        <x:v>28.425297518081656</x:v>
      </x:c>
    </x:row>
    <x:row r="241">
      <x:c r="A241" t="n">
        <x:f>Dashboard_Live_Data!D240</x:f>
        <x:v>59</x:v>
      </x:c>
      <x:c r="B241" t="n">
        <x:f>Dashboard_Live_Data!E240</x:f>
        <x:v>193.74067782731254</x:v>
      </x:c>
      <x:c r="C241" t="n">
        <x:f>Dashboard_Live_Data!D240</x:f>
        <x:v>59</x:v>
      </x:c>
      <x:c r="D241" t="n">
        <x:f>Dashboard_Live_Data!F240</x:f>
        <x:v>193.74067782731254</x:v>
      </x:c>
      <x:c r="E241" t="n">
        <x:f>Dashboard_Live_Data!D240</x:f>
        <x:v>59</x:v>
      </x:c>
      <x:c r="F241" t="n">
        <x:f>Dashboard_Live_Data!G240</x:f>
        <x:v>25.687015205000044</x:v>
      </x:c>
    </x:row>
    <x:row r="242">
      <x:c r="A242" t="n">
        <x:f>Dashboard_Live_Data!D241</x:f>
        <x:v>59.5</x:v>
      </x:c>
      <x:c r="B242" t="n">
        <x:f>Dashboard_Live_Data!E241</x:f>
        <x:v>168.97901642333537</x:v>
      </x:c>
      <x:c r="C242" t="n">
        <x:f>Dashboard_Live_Data!D241</x:f>
        <x:v>59.5</x:v>
      </x:c>
      <x:c r="D242" t="n">
        <x:f>Dashboard_Live_Data!F241</x:f>
        <x:v>168.97901642333537</x:v>
      </x:c>
      <x:c r="E242" t="n">
        <x:f>Dashboard_Live_Data!D241</x:f>
        <x:v>59.5</x:v>
      </x:c>
      <x:c r="F242" t="n">
        <x:f>Dashboard_Live_Data!G241</x:f>
        <x:v>45.681577079364786</x:v>
      </x:c>
    </x:row>
    <x:row r="243">
      <x:c r="A243" t="n">
        <x:f>Dashboard_Live_Data!D242</x:f>
        <x:v>60</x:v>
      </x:c>
      <x:c r="B243" t="n">
        <x:f>Dashboard_Live_Data!E242</x:f>
        <x:v>179.34901119414707</x:v>
      </x:c>
      <x:c r="C243" t="n">
        <x:f>Dashboard_Live_Data!D242</x:f>
        <x:v>60</x:v>
      </x:c>
      <x:c r="D243" t="n">
        <x:f>Dashboard_Live_Data!F242</x:f>
        <x:v>179.34901119414707</x:v>
      </x:c>
      <x:c r="E243" t="n">
        <x:f>Dashboard_Live_Data!D242</x:f>
        <x:v>60</x:v>
      </x:c>
      <x:c r="F243" t="n">
        <x:f>Dashboard_Live_Data!G242</x:f>
        <x:v>31.89413090916895</x:v>
      </x:c>
    </x:row>
    <x:row r="246">
      <x:c r="A246" t="s">
        <x:v>704</x:v>
      </x:c>
    </x:row>
    <x:row r="247">
      <x:c r="A247" t="s">
        <x:v>705</x:v>
      </x:c>
      <x:c r="B247" t="s">
        <x:v>706</x:v>
      </x:c>
      <x:c r="C247" t="s">
        <x:v>707</x:v>
      </x:c>
      <x:c r="D247" t="s">
        <x:v>708</x:v>
      </x:c>
      <x:c r="E247" t="s">
        <x:v>709</x:v>
      </x:c>
      <x:c r="F247" t="s">
        <x:v>710</x:v>
      </x:c>
      <x:c r="G247" t="s">
        <x:v>711</x:v>
      </x:c>
      <x:c r="H247" t="s">
        <x:v>712</x:v>
      </x:c>
    </x:row>
    <x:row r="248">
      <x:c r="A248" t="n">
        <x:f>Dashboard_Live_Data!I2</x:f>
        <x:v>-1</x:v>
      </x:c>
      <x:c r="B248" t="n">
        <x:f>Dashboard_Live_Data!J2</x:f>
        <x:v>-28.60683575205121</x:v>
      </x:c>
      <x:c r="C248" t="n">
        <x:f>Dashboard_Live_Data!I2</x:f>
        <x:v>-1</x:v>
      </x:c>
      <x:c r="D248" t="n">
        <x:f>Dashboard_Live_Data!K2</x:f>
        <x:v>-95550.6968246352</x:v>
      </x:c>
      <x:c r="E248" t="n">
        <x:f>Dashboard_Live_Data!I2</x:f>
        <x:v>-1</x:v>
      </x:c>
      <x:c r="F248" t="n">
        <x:f>Dashboard_Live_Data!L2</x:f>
        <x:v>-192178.91313344726</x:v>
      </x:c>
      <x:c r="G248" t="n">
        <x:f>Dashboard_Live_Data!I2</x:f>
        <x:v>-1</x:v>
      </x:c>
      <x:c r="H248" t="n">
        <x:f>Dashboard_Live_Data!M2</x:f>
        <x:v>-196175.94007289349</x:v>
      </x:c>
    </x:row>
    <x:row r="249">
      <x:c r="A249" t="n">
        <x:f>Dashboard_Live_Data!I3</x:f>
        <x:v>-0.992</x:v>
      </x:c>
      <x:c r="B249" t="n">
        <x:f>Dashboard_Live_Data!J3</x:f>
        <x:v>-27.782863149590867</x:v>
      </x:c>
      <x:c r="C249" t="n">
        <x:f>Dashboard_Live_Data!I3</x:f>
        <x:v>-0.992</x:v>
      </x:c>
      <x:c r="D249" t="n">
        <x:f>Dashboard_Live_Data!K3</x:f>
        <x:v>-94429.87293064831</x:v>
      </x:c>
      <x:c r="E249" t="n">
        <x:f>Dashboard_Live_Data!I3</x:f>
        <x:v>-0.992</x:v>
      </x:c>
      <x:c r="F249" t="n">
        <x:f>Dashboard_Live_Data!L3</x:f>
        <x:v>-190472.55314770044</x:v>
      </x:c>
      <x:c r="G249" t="n">
        <x:f>Dashboard_Live_Data!I3</x:f>
        <x:v>-0.992</x:v>
      </x:c>
      <x:c r="H249" t="n">
        <x:f>Dashboard_Live_Data!M3</x:f>
        <x:v>-194464.73837065272</x:v>
      </x:c>
    </x:row>
    <x:row r="250">
      <x:c r="A250" t="n">
        <x:f>Dashboard_Live_Data!I4</x:f>
        <x:v>-0.983</x:v>
      </x:c>
      <x:c r="B250" t="n">
        <x:f>Dashboard_Live_Data!J4</x:f>
        <x:v>-26.877434485224512</x:v>
      </x:c>
      <x:c r="C250" t="n">
        <x:f>Dashboard_Live_Data!I4</x:f>
        <x:v>-0.983</x:v>
      </x:c>
      <x:c r="D250" t="n">
        <x:f>Dashboard_Live_Data!K4</x:f>
        <x:v>-93169.45002082347</x:v>
      </x:c>
      <x:c r="E250" t="n">
        <x:f>Dashboard_Live_Data!I4</x:f>
        <x:v>-0.983</x:v>
      </x:c>
      <x:c r="F250" t="n">
        <x:f>Dashboard_Live_Data!L4</x:f>
        <x:v>-188542.34891493866</x:v>
      </x:c>
      <x:c r="G250" t="n">
        <x:f>Dashboard_Live_Data!I4</x:f>
        <x:v>-0.983</x:v>
      </x:c>
      <x:c r="H250" t="n">
        <x:f>Dashboard_Live_Data!M4</x:f>
        <x:v>-192528.7589427015</x:v>
      </x:c>
    </x:row>
    <x:row r="251">
      <x:c r="A251" t="n">
        <x:f>Dashboard_Live_Data!I5</x:f>
        <x:v>-0.975</x:v>
      </x:c>
      <x:c r="B251" t="n">
        <x:f>Dashboard_Live_Data!J5</x:f>
        <x:v>-26.091469511469313</x:v>
      </x:c>
      <x:c r="C251" t="n">
        <x:f>Dashboard_Live_Data!I5</x:f>
        <x:v>-0.975</x:v>
      </x:c>
      <x:c r="D251" t="n">
        <x:f>Dashboard_Live_Data!K5</x:f>
        <x:v>-92049.59969520803</x:v>
      </x:c>
      <x:c r="E251" t="n">
        <x:f>Dashboard_Live_Data!I5</x:f>
        <x:v>-0.975</x:v>
      </x:c>
      <x:c r="F251" t="n">
        <x:f>Dashboard_Live_Data!L5</x:f>
        <x:v>-186817.33873453335</x:v>
      </x:c>
      <x:c r="G251" t="n">
        <x:f>Dashboard_Live_Data!I5</x:f>
        <x:v>-0.975</x:v>
      </x:c>
      <x:c r="H251" t="n">
        <x:f>Dashboard_Live_Data!M5</x:f>
        <x:v>-190798.31818207764</x:v>
      </x:c>
    </x:row>
    <x:row r="252">
      <x:c r="A252" t="n">
        <x:f>Dashboard_Live_Data!I6</x:f>
        <x:v>-0.967</x:v>
      </x:c>
      <x:c r="B252" t="n">
        <x:f>Dashboard_Live_Data!J6</x:f>
        <x:v>-25.322987391846254</x:v>
      </x:c>
      <x:c r="C252" t="n">
        <x:f>Dashboard_Live_Data!I6</x:f>
        <x:v>-0.967</x:v>
      </x:c>
      <x:c r="D252" t="n">
        <x:f>Dashboard_Live_Data!K6</x:f>
        <x:v>-90930.31855627525</x:v>
      </x:c>
      <x:c r="E252" t="n">
        <x:f>Dashboard_Live_Data!I6</x:f>
        <x:v>-0.967</x:v>
      </x:c>
      <x:c r="F252" t="n">
        <x:f>Dashboard_Live_Data!L6</x:f>
        <x:v>-185083.7019914568</x:v>
      </x:c>
      <x:c r="G252" t="n">
        <x:f>Dashboard_Live_Data!I6</x:f>
        <x:v>-0.967</x:v>
      </x:c>
      <x:c r="H252" t="n">
        <x:f>Dashboard_Live_Data!M6</x:f>
        <x:v>-189058.96620570074</x:v>
      </x:c>
    </x:row>
    <x:row r="253">
      <x:c r="A253" t="n">
        <x:f>Dashboard_Live_Data!I7</x:f>
        <x:v>-0.958</x:v>
      </x:c>
      <x:c r="B253" t="n">
        <x:f>Dashboard_Live_Data!J7</x:f>
        <x:v>-24.47902381513677</x:v>
      </x:c>
      <x:c r="C253" t="n">
        <x:f>Dashboard_Live_Data!I7</x:f>
        <x:v>-0.958</x:v>
      </x:c>
      <x:c r="D253" t="n">
        <x:f>Dashboard_Live_Data!K7</x:f>
        <x:v>-89671.89852079703</x:v>
      </x:c>
      <x:c r="E253" t="n">
        <x:f>Dashboard_Live_Data!I7</x:f>
        <x:v>-0.958</x:v>
      </x:c>
      <x:c r="F253" t="n">
        <x:f>Dashboard_Live_Data!L7</x:f>
        <x:v>-183123.17397563407</x:v>
      </x:c>
      <x:c r="G253" t="n">
        <x:f>Dashboard_Live_Data!I7</x:f>
        <x:v>-0.958</x:v>
      </x:c>
      <x:c r="H253" t="n">
        <x:f>Dashboard_Live_Data!M7</x:f>
        <x:v>-187091.66215917454</x:v>
      </x:c>
    </x:row>
    <x:row r="254">
      <x:c r="A254" t="n">
        <x:f>Dashboard_Live_Data!I8</x:f>
        <x:v>-0.95</x:v>
      </x:c>
      <x:c r="B254" t="n">
        <x:f>Dashboard_Live_Data!J8</x:f>
        <x:v>-23.746844660086936</x:v>
      </x:c>
      <x:c r="C254" t="n">
        <x:f>Dashboard_Live_Data!I8</x:f>
        <x:v>-0.95</x:v>
      </x:c>
      <x:c r="D254" t="n">
        <x:f>Dashboard_Live_Data!K8</x:f>
        <x:v>-88554.07088364325</x:v>
      </x:c>
      <x:c r="E254" t="n">
        <x:f>Dashboard_Live_Data!I8</x:f>
        <x:v>-0.95</x:v>
      </x:c>
      <x:c r="F254" t="n">
        <x:f>Dashboard_Live_Data!L8</x:f>
        <x:v>-181371.54200338566</x:v>
      </x:c>
      <x:c r="G254" t="n">
        <x:f>Dashboard_Live_Data!I8</x:f>
        <x:v>-0.95</x:v>
      </x:c>
      <x:c r="H254" t="n">
        <x:f>Dashboard_Live_Data!M8</x:f>
        <x:v>-185333.69359371395</x:v>
      </x:c>
    </x:row>
    <x:row r="255">
      <x:c r="A255" t="n">
        <x:f>Dashboard_Live_Data!I9</x:f>
        <x:v>-0.942</x:v>
      </x:c>
      <x:c r="B255" t="n">
        <x:f>Dashboard_Live_Data!J9</x:f>
        <x:v>-23.03135332022248</x:v>
      </x:c>
      <x:c r="C255" t="n">
        <x:f>Dashboard_Live_Data!I9</x:f>
        <x:v>-0.942</x:v>
      </x:c>
      <x:c r="D255" t="n">
        <x:f>Dashboard_Live_Data!K9</x:f>
        <x:v>-87437.04511505857</x:v>
      </x:c>
      <x:c r="E255" t="n">
        <x:f>Dashboard_Live_Data!I9</x:f>
        <x:v>-0.942</x:v>
      </x:c>
      <x:c r="F255" t="n">
        <x:f>Dashboard_Live_Data!L9</x:f>
        <x:v>-179611.60663962277</x:v>
      </x:c>
      <x:c r="G255" t="n">
        <x:f>Dashboard_Live_Data!I9</x:f>
        <x:v>-0.942</x:v>
      </x:c>
      <x:c r="H255" t="n">
        <x:f>Dashboard_Live_Data!M9</x:f>
        <x:v>-183567.12131353328</x:v>
      </x:c>
    </x:row>
    <x:row r="256">
      <x:c r="A256" t="n">
        <x:f>Dashboard_Live_Data!I10</x:f>
        <x:v>-0.933</x:v>
      </x:c>
      <x:c r="B256" t="n">
        <x:f>Dashboard_Live_Data!J10</x:f>
        <x:v>-22.246059825895372</x:v>
      </x:c>
      <x:c r="C256" t="n">
        <x:f>Dashboard_Live_Data!I10</x:f>
        <x:v>-0.933</x:v>
      </x:c>
      <x:c r="D256" t="n">
        <x:f>Dashboard_Live_Data!K10</x:f>
        <x:v>-86181.44608297395</x:v>
      </x:c>
      <x:c r="E256" t="n">
        <x:f>Dashboard_Live_Data!I10</x:f>
        <x:v>-0.933</x:v>
      </x:c>
      <x:c r="F256" t="n">
        <x:f>Dashboard_Live_Data!L10</x:f>
        <x:v>-177621.89133436125</x:v>
      </x:c>
      <x:c r="G256" t="n">
        <x:f>Dashboard_Live_Data!I10</x:f>
        <x:v>-0.933</x:v>
      </x:c>
      <x:c r="H256" t="n">
        <x:f>Dashboard_Live_Data!M10</x:f>
        <x:v>-181569.57405040326</x:v>
      </x:c>
    </x:row>
    <x:row r="257">
      <x:c r="A257" t="n">
        <x:f>Dashboard_Live_Data!I11</x:f>
        <x:v>-0.925</x:v>
      </x:c>
      <x:c r="B257" t="n">
        <x:f>Dashboard_Live_Data!J11</x:f>
        <x:v>-21.565197447271657</x:v>
      </x:c>
      <x:c r="C257" t="n">
        <x:f>Dashboard_Live_Data!I11</x:f>
        <x:v>-0.925</x:v>
      </x:c>
      <x:c r="D257" t="n">
        <x:f>Dashboard_Live_Data!K11</x:f>
        <x:v>-85066.38324979196</x:v>
      </x:c>
      <x:c r="E257" t="n">
        <x:f>Dashboard_Live_Data!I11</x:f>
        <x:v>-0.925</x:v>
      </x:c>
      <x:c r="F257" t="n">
        <x:f>Dashboard_Live_Data!L11</x:f>
        <x:v>-175844.68076899392</x:v>
      </x:c>
      <x:c r="G257" t="n">
        <x:f>Dashboard_Live_Data!I11</x:f>
        <x:v>-0.925</x:v>
      </x:c>
      <x:c r="H257" t="n">
        <x:f>Dashboard_Live_Data!M11</x:f>
        <x:v>-179785.07110087413</x:v>
      </x:c>
    </x:row>
    <x:row r="258">
      <x:c r="A258" t="n">
        <x:f>Dashboard_Live_Data!I12</x:f>
        <x:v>-0.917</x:v>
      </x:c>
      <x:c r="B258" t="n">
        <x:f>Dashboard_Live_Data!J12</x:f>
        <x:v>-20.90024248669988</x:v>
      </x:c>
      <x:c r="C258" t="n">
        <x:f>Dashboard_Live_Data!I12</x:f>
        <x:v>-0.917</x:v>
      </x:c>
      <x:c r="D258" t="n">
        <x:f>Dashboard_Live_Data!K12</x:f>
        <x:v>-83952.36924737085</x:v>
      </x:c>
      <x:c r="E258" t="n">
        <x:f>Dashboard_Live_Data!I12</x:f>
        <x:v>-0.917</x:v>
      </x:c>
      <x:c r="F258" t="n">
        <x:f>Dashboard_Live_Data!L12</x:f>
        <x:v>-174059.5218997983</x:v>
      </x:c>
      <x:c r="G258" t="n">
        <x:f>Dashboard_Live_Data!I12</x:f>
        <x:v>-0.917</x:v>
      </x:c>
      <x:c r="H258" t="n">
        <x:f>Dashboard_Live_Data!M12</x:f>
        <x:v>-177992.30309147586</x:v>
      </x:c>
    </x:row>
    <x:row r="259">
      <x:c r="A259" t="n">
        <x:f>Dashboard_Live_Data!I13</x:f>
        <x:v>-0.908</x:v>
      </x:c>
      <x:c r="B259" t="n">
        <x:f>Dashboard_Live_Data!J13</x:f>
        <x:v>-20.17087555141279</x:v>
      </x:c>
      <x:c r="C259" t="n">
        <x:f>Dashboard_Live_Data!I13</x:f>
        <x:v>-0.908</x:v>
      </x:c>
      <x:c r="D259" t="n">
        <x:f>Dashboard_Live_Data!K13</x:f>
        <x:v>-82700.4595564772</x:v>
      </x:c>
      <x:c r="E259" t="n">
        <x:f>Dashboard_Live_Data!I13</x:f>
        <x:v>-0.908</x:v>
      </x:c>
      <x:c r="F259" t="n">
        <x:f>Dashboard_Live_Data!L13</x:f>
        <x:v>-172041.86803726538</x:v>
      </x:c>
      <x:c r="G259" t="n">
        <x:f>Dashboard_Live_Data!I13</x:f>
        <x:v>-0.908</x:v>
      </x:c>
      <x:c r="H259" t="n">
        <x:f>Dashboard_Live_Data!M13</x:f>
        <x:v>-175965.70357183547</x:v>
      </x:c>
    </x:row>
    <x:row r="260">
      <x:c r="A260" t="n">
        <x:f>Dashboard_Live_Data!I14</x:f>
        <x:v>-0.9</x:v>
      </x:c>
      <x:c r="B260" t="n">
        <x:f>Dashboard_Live_Data!J14</x:f>
        <x:v>-19.538907124212074</x:v>
      </x:c>
      <x:c r="C260" t="n">
        <x:f>Dashboard_Live_Data!I14</x:f>
        <x:v>-0.9</x:v>
      </x:c>
      <x:c r="D260" t="n">
        <x:f>Dashboard_Live_Data!K14</x:f>
        <x:v>-81588.94913418307</x:v>
      </x:c>
      <x:c r="E260" t="n">
        <x:f>Dashboard_Live_Data!I14</x:f>
        <x:v>-0.9</x:v>
      </x:c>
      <x:c r="F260" t="n">
        <x:f>Dashboard_Live_Data!L14</x:f>
        <x:v>-170240.22471774745</x:v>
      </x:c>
      <x:c r="G260" t="n">
        <x:f>Dashboard_Live_Data!I14</x:f>
        <x:v>-0.9</x:v>
      </x:c>
      <x:c r="H260" t="n">
        <x:f>Dashboard_Live_Data!M14</x:f>
        <x:v>-174155.75991096892</x:v>
      </x:c>
    </x:row>
    <x:row r="261">
      <x:c r="A261" t="n">
        <x:f>Dashboard_Live_Data!I15</x:f>
        <x:v>-0.892</x:v>
      </x:c>
      <x:c r="B261" t="n">
        <x:f>Dashboard_Live_Data!J15</x:f>
        <x:v>-18.922080788589938</x:v>
      </x:c>
      <x:c r="C261" t="n">
        <x:f>Dashboard_Live_Data!I15</x:f>
        <x:v>-0.892</x:v>
      </x:c>
      <x:c r="D261" t="n">
        <x:f>Dashboard_Live_Data!K15</x:f>
        <x:v>-80478.7496070101</x:v>
      </x:c>
      <x:c r="E261" t="n">
        <x:f>Dashboard_Live_Data!I15</x:f>
        <x:v>-0.892</x:v>
      </x:c>
      <x:c r="F261" t="n">
        <x:f>Dashboard_Live_Data!L15</x:f>
        <x:v>-168431.02288308332</x:v>
      </x:c>
      <x:c r="G261" t="n">
        <x:f>Dashboard_Live_Data!I15</x:f>
        <x:v>-0.892</x:v>
      </x:c>
      <x:c r="H261" t="n">
        <x:f>Dashboard_Live_Data!M15</x:f>
        <x:v>-172337.9237806311</x:v>
      </x:c>
    </x:row>
    <x:row r="262">
      <x:c r="A262" t="n">
        <x:f>Dashboard_Live_Data!I16</x:f>
        <x:v>-0.883</x:v>
      </x:c>
      <x:c r="B262" t="n">
        <x:f>Dashboard_Live_Data!J16</x:f>
        <x:v>-18.245949870930872</x:v>
      </x:c>
      <x:c r="C262" t="n">
        <x:f>Dashboard_Live_Data!I16</x:f>
        <x:v>-0.883</x:v>
      </x:c>
      <x:c r="D262" t="n">
        <x:f>Dashboard_Live_Data!K16</x:f>
        <x:v>-79231.45069310423</x:v>
      </x:c>
      <x:c r="E262" t="n">
        <x:f>Dashboard_Live_Data!I16</x:f>
        <x:v>-0.883</x:v>
      </x:c>
      <x:c r="F262" t="n">
        <x:f>Dashboard_Live_Data!L16</x:f>
        <x:v>-166386.80122569614</x:v>
      </x:c>
      <x:c r="G262" t="n">
        <x:f>Dashboard_Live_Data!I16</x:f>
        <x:v>-0.883</x:v>
      </x:c>
      <x:c r="H262" t="n">
        <x:f>Dashboard_Live_Data!M16</x:f>
        <x:v>-170283.58230501943</x:v>
      </x:c>
    </x:row>
    <x:row r="263">
      <x:c r="A263" t="n">
        <x:f>Dashboard_Live_Data!I17</x:f>
        <x:v>-0.875</x:v>
      </x:c>
      <x:c r="B263" t="n">
        <x:f>Dashboard_Live_Data!J17</x:f>
        <x:v>-17.660500113955095</x:v>
      </x:c>
      <x:c r="C263" t="n">
        <x:f>Dashboard_Live_Data!I17</x:f>
        <x:v>-0.875</x:v>
      </x:c>
      <x:c r="D263" t="n">
        <x:f>Dashboard_Live_Data!K17</x:f>
        <x:v>-78124.32838336958</x:v>
      </x:c>
      <x:c r="E263" t="n">
        <x:f>Dashboard_Live_Data!I17</x:f>
        <x:v>-0.875</x:v>
      </x:c>
      <x:c r="F263" t="n">
        <x:f>Dashboard_Live_Data!L17</x:f>
        <x:v>-164561.98259931064</x:v>
      </x:c>
      <x:c r="G263" t="n">
        <x:f>Dashboard_Live_Data!I17</x:f>
        <x:v>-0.875</x:v>
      </x:c>
      <x:c r="H263" t="n">
        <x:f>Dashboard_Live_Data!M17</x:f>
        <x:v>-168449.4008262297</x:v>
      </x:c>
    </x:row>
    <x:row r="264">
      <x:c r="A264" t="n">
        <x:f>Dashboard_Live_Data!I18</x:f>
        <x:v>-0.867</x:v>
      </x:c>
      <x:c r="B264" t="n">
        <x:f>Dashboard_Live_Data!J18</x:f>
        <x:v>-17.089442616799715</x:v>
      </x:c>
      <x:c r="C264" t="n">
        <x:f>Dashboard_Live_Data!I18</x:f>
        <x:v>-0.867</x:v>
      </x:c>
      <x:c r="D264" t="n">
        <x:f>Dashboard_Live_Data!K18</x:f>
        <x:v>-77018.79498984448</x:v>
      </x:c>
      <x:c r="E264" t="n">
        <x:f>Dashboard_Live_Data!I18</x:f>
        <x:v>-0.867</x:v>
      </x:c>
      <x:c r="F264" t="n">
        <x:f>Dashboard_Live_Data!L18</x:f>
        <x:v>-162730.03298707734</x:v>
      </x:c>
      <x:c r="G264" t="n">
        <x:f>Dashboard_Live_Data!I18</x:f>
        <x:v>-0.867</x:v>
      </x:c>
      <x:c r="H264" t="n">
        <x:f>Dashboard_Live_Data!M18</x:f>
        <x:v>-166607.7364499004</x:v>
      </x:c>
    </x:row>
    <x:row r="265">
      <x:c r="A265" t="n">
        <x:f>Dashboard_Live_Data!I19</x:f>
        <x:v>-0.858</x:v>
      </x:c>
      <x:c r="B265" t="n">
        <x:f>Dashboard_Live_Data!J19</x:f>
        <x:v>-16.463911639531943</x:v>
      </x:c>
      <x:c r="C265" t="n">
        <x:f>Dashboard_Live_Data!I19</x:f>
        <x:v>-0.858</x:v>
      </x:c>
      <x:c r="D265" t="n">
        <x:f>Dashboard_Live_Data!K19</x:f>
        <x:v>-75777.08439083702</x:v>
      </x:c>
      <x:c r="E265" t="n">
        <x:f>Dashboard_Live_Data!I19</x:f>
        <x:v>-0.858</x:v>
      </x:c>
      <x:c r="F265" t="n">
        <x:f>Dashboard_Live_Data!L19</x:f>
        <x:v>-160660.7470162979</x:v>
      </x:c>
      <x:c r="G265" t="n">
        <x:f>Dashboard_Live_Data!I19</x:f>
        <x:v>-0.858</x:v>
      </x:c>
      <x:c r="H265" t="n">
        <x:f>Dashboard_Live_Data!M19</x:f>
        <x:v>-164527.09337077424</x:v>
      </x:c>
    </x:row>
    <x:row r="266">
      <x:c r="A266" t="n">
        <x:f>Dashboard_Live_Data!I20</x:f>
        <x:v>-0.85</x:v>
      </x:c>
      <x:c r="B266" t="n">
        <x:f>Dashboard_Live_Data!J20</x:f>
        <x:v>-15.922654129073635</x:v>
      </x:c>
      <x:c r="C266" t="n">
        <x:f>Dashboard_Live_Data!I20</x:f>
        <x:v>-0.85</x:v>
      </x:c>
      <x:c r="D266" t="n">
        <x:f>Dashboard_Live_Data!K20</x:f>
        <x:v>-74675.23669418608</x:v>
      </x:c>
      <x:c r="E266" t="n">
        <x:f>Dashboard_Live_Data!I20</x:f>
        <x:v>-0.85</x:v>
      </x:c>
      <x:c r="F266" t="n">
        <x:f>Dashboard_Live_Data!L20</x:f>
        <x:v>-158814.13192459266</x:v>
      </x:c>
      <x:c r="G266" t="n">
        <x:f>Dashboard_Live_Data!I20</x:f>
        <x:v>-0.85</x:v>
      </x:c>
      <x:c r="H266" t="n">
        <x:f>Dashboard_Live_Data!M20</x:f>
        <x:v>-162669.9960054315</x:v>
      </x:c>
    </x:row>
    <x:row r="267">
      <x:c r="A267" t="n">
        <x:f>Dashboard_Live_Data!I21</x:f>
        <x:v>-0.842</x:v>
      </x:c>
      <x:c r="B267" t="n">
        <x:f>Dashboard_Live_Data!J21</x:f>
        <x:v>-15.39505495210642</x:v>
      </x:c>
      <x:c r="C267" t="n">
        <x:f>Dashboard_Live_Data!I21</x:f>
        <x:v>-0.842</x:v>
      </x:c>
      <x:c r="D267" t="n">
        <x:f>Dashboard_Live_Data!K21</x:f>
        <x:v>-73575.27277737434</x:v>
      </x:c>
      <x:c r="E267" t="n">
        <x:f>Dashboard_Live_Data!I21</x:f>
        <x:v>-0.842</x:v>
      </x:c>
      <x:c r="F267" t="n">
        <x:f>Dashboard_Live_Data!L21</x:f>
        <x:v>-156960.85443111646</x:v>
      </x:c>
      <x:c r="G267" t="n">
        <x:f>Dashboard_Live_Data!I21</x:f>
        <x:v>-0.842</x:v>
      </x:c>
      <x:c r="H267" t="n">
        <x:f>Dashboard_Live_Data!M21</x:f>
        <x:v>-160805.86562780707</x:v>
      </x:c>
    </x:row>
    <x:row r="268">
      <x:c r="A268" t="n">
        <x:f>Dashboard_Live_Data!I22</x:f>
        <x:v>-0.833</x:v>
      </x:c>
      <x:c r="B268" t="n">
        <x:f>Dashboard_Live_Data!J22</x:f>
        <x:v>-14.817543761564139</x:v>
      </x:c>
      <x:c r="C268" t="n">
        <x:f>Dashboard_Live_Data!I22</x:f>
        <x:v>-0.833</x:v>
      </x:c>
      <x:c r="D268" t="n">
        <x:f>Dashboard_Live_Data!K22</x:f>
        <x:v>-72340.18724720042</x:v>
      </x:c>
      <x:c r="E268" t="n">
        <x:f>Dashboard_Live_Data!I22</x:f>
        <x:v>-0.833</x:v>
      </x:c>
      <x:c r="F268" t="n">
        <x:f>Dashboard_Live_Data!L22</x:f>
        <x:v>-154868.15200145353</x:v>
      </x:c>
      <x:c r="G268" t="n">
        <x:f>Dashboard_Live_Data!I22</x:f>
        <x:v>-0.833</x:v>
      </x:c>
      <x:c r="H268" t="n">
        <x:f>Dashboard_Live_Data!M22</x:f>
        <x:v>-158700.50306586787</x:v>
      </x:c>
    </x:row>
    <x:row r="269">
      <x:c r="A269" t="n">
        <x:f>Dashboard_Live_Data!I23</x:f>
        <x:v>-0.825</x:v>
      </x:c>
      <x:c r="B269" t="n">
        <x:f>Dashboard_Live_Data!J23</x:f>
        <x:v>-14.318202220481453</x:v>
      </x:c>
      <x:c r="C269" t="n">
        <x:f>Dashboard_Live_Data!I23</x:f>
        <x:v>-0.825</x:v>
      </x:c>
      <x:c r="D269" t="n">
        <x:f>Dashboard_Live_Data!K23</x:f>
        <x:v>-71244.55426280205</x:v>
      </x:c>
      <x:c r="E269" t="n">
        <x:f>Dashboard_Live_Data!I23</x:f>
        <x:v>-0.825</x:v>
      </x:c>
      <x:c r="F269" t="n">
        <x:f>Dashboard_Live_Data!L23</x:f>
        <x:v>-153001.25134490427</x:v>
      </x:c>
      <x:c r="G269" t="n">
        <x:f>Dashboard_Live_Data!I23</x:f>
        <x:v>-0.825</x:v>
      </x:c>
      <x:c r="H269" t="n">
        <x:f>Dashboard_Live_Data!M23</x:f>
        <x:v>-156821.9415170548</x:v>
      </x:c>
    </x:row>
    <x:row r="270">
      <x:c r="A270" t="n">
        <x:f>Dashboard_Live_Data!I24</x:f>
        <x:v>-0.817</x:v>
      </x:c>
      <x:c r="B270" t="n">
        <x:f>Dashboard_Live_Data!J24</x:f>
        <x:v>-13.831801402375277</x:v>
      </x:c>
      <x:c r="C270" t="n">
        <x:f>Dashboard_Live_Data!I24</x:f>
        <x:v>-0.817</x:v>
      </x:c>
      <x:c r="D270" t="n">
        <x:f>Dashboard_Live_Data!K24</x:f>
        <x:v>-70151.11767949266</x:v>
      </x:c>
      <x:c r="E270" t="n">
        <x:f>Dashboard_Live_Data!I24</x:f>
        <x:v>-0.817</x:v>
      </x:c>
      <x:c r="F270" t="n">
        <x:f>Dashboard_Live_Data!L24</x:f>
        <x:v>-151128.20153368788</x:v>
      </x:c>
      <x:c r="G270" t="n">
        <x:f>Dashboard_Live_Data!I24</x:f>
        <x:v>-0.817</x:v>
      </x:c>
      <x:c r="H270" t="n">
        <x:f>Dashboard_Live_Data!M24</x:f>
        <x:v>-154936.84079418762</x:v>
      </x:c>
    </x:row>
    <x:row r="271">
      <x:c r="A271" t="n">
        <x:f>Dashboard_Live_Data!I25</x:f>
        <x:v>-0.808</x:v>
      </x:c>
      <x:c r="B271" t="n">
        <x:f>Dashboard_Live_Data!J25</x:f>
        <x:v>-13.299787208880844</x:v>
      </x:c>
      <x:c r="C271" t="n">
        <x:f>Dashboard_Live_Data!I25</x:f>
        <x:v>-0.808</x:v>
      </x:c>
      <x:c r="D271" t="n">
        <x:f>Dashboard_Live_Data!K25</x:f>
        <x:v>-68923.75640485117</x:v>
      </x:c>
      <x:c r="E271" t="n">
        <x:f>Dashboard_Live_Data!I25</x:f>
        <x:v>-0.808</x:v>
      </x:c>
      <x:c r="F271" t="n">
        <x:f>Dashboard_Live_Data!L25</x:f>
        <x:v>-149013.88756056636</x:v>
      </x:c>
      <x:c r="G271" t="n">
        <x:f>Dashboard_Live_Data!I25</x:f>
        <x:v>-0.808</x:v>
      </x:c>
      <x:c r="H271" t="n">
        <x:f>Dashboard_Live_Data!M25</x:f>
        <x:v>-152808.49543699686</x:v>
      </x:c>
    </x:row>
    <x:row r="272">
      <x:c r="A272" t="n">
        <x:f>Dashboard_Live_Data!I26</x:f>
        <x:v>-0.8</x:v>
      </x:c>
      <x:c r="B272" t="n">
        <x:f>Dashboard_Live_Data!J26</x:f>
        <x:v>-12.84013677697476</x:v>
      </x:c>
      <x:c r="C272" t="n">
        <x:f>Dashboard_Live_Data!I26</x:f>
        <x:v>-0.8</x:v>
      </x:c>
      <x:c r="D272" t="n">
        <x:f>Dashboard_Live_Data!K26</x:f>
        <x:v>-67835.33471918713</x:v>
      </x:c>
      <x:c r="E272" t="n">
        <x:f>Dashboard_Live_Data!I26</x:f>
        <x:v>-0.8</x:v>
      </x:c>
      <x:c r="F272" t="n">
        <x:f>Dashboard_Live_Data!L26</x:f>
        <x:v>-147128.35590287362</x:v>
      </x:c>
      <x:c r="G272" t="n">
        <x:f>Dashboard_Live_Data!I26</x:f>
        <x:v>-0.8</x:v>
      </x:c>
      <x:c r="H272" t="n">
        <x:f>Dashboard_Live_Data!M26</x:f>
        <x:v>-150910.062898851</x:v>
      </x:c>
    </x:row>
    <x:row r="273">
      <x:c r="A273" t="n">
        <x:f>Dashboard_Live_Data!I27</x:f>
        <x:v>-0.792</x:v>
      </x:c>
      <x:c r="B273" t="n">
        <x:f>Dashboard_Live_Data!J27</x:f>
        <x:v>-12.392726180069985</x:v>
      </x:c>
      <x:c r="C273" t="n">
        <x:f>Dashboard_Live_Data!I27</x:f>
        <x:v>-0.792</x:v>
      </x:c>
      <x:c r="D273" t="n">
        <x:f>Dashboard_Live_Data!K27</x:f>
        <x:v>-66749.44075526144</x:v>
      </x:c>
      <x:c r="E273" t="n">
        <x:f>Dashboard_Live_Data!I27</x:f>
        <x:v>-0.792</x:v>
      </x:c>
      <x:c r="F273" t="n">
        <x:f>Dashboard_Live_Data!L27</x:f>
        <x:v>-145237.23692226937</x:v>
      </x:c>
      <x:c r="G273" t="n">
        <x:f>Dashboard_Live_Data!I27</x:f>
        <x:v>-0.792</x:v>
      </x:c>
      <x:c r="H273" t="n">
        <x:f>Dashboard_Live_Data!M27</x:f>
        <x:v>-149005.63294747777</x:v>
      </x:c>
    </x:row>
    <x:row r="274">
      <x:c r="A274" t="n">
        <x:f>Dashboard_Live_Data!I28</x:f>
        <x:v>-0.783</x:v>
      </x:c>
      <x:c r="B274" t="n">
        <x:f>Dashboard_Live_Data!J28</x:f>
        <x:v>-11.903744966717568</x:v>
      </x:c>
      <x:c r="C274" t="n">
        <x:f>Dashboard_Live_Data!I28</x:f>
        <x:v>-0.783</x:v>
      </x:c>
      <x:c r="D274" t="n">
        <x:f>Dashboard_Live_Data!K28</x:f>
        <x:v>-65530.96866610383</x:v>
      </x:c>
      <x:c r="E274" t="n">
        <x:f>Dashboard_Live_Data!I28</x:f>
        <x:v>-0.783</x:v>
      </x:c>
      <x:c r="F274" t="n">
        <x:f>Dashboard_Live_Data!L28</x:f>
        <x:v>-143103.2871715021</x:v>
      </x:c>
      <x:c r="G274" t="n">
        <x:f>Dashboard_Live_Data!I28</x:f>
        <x:v>-0.783</x:v>
      </x:c>
      <x:c r="H274" t="n">
        <x:f>Dashboard_Live_Data!M28</x:f>
        <x:v>-146856.21000814714</x:v>
      </x:c>
    </x:row>
    <x:row r="275">
      <x:c r="A275" t="n">
        <x:f>Dashboard_Live_Data!I29</x:f>
        <x:v>-0.775</x:v>
      </x:c>
      <x:c r="B275" t="n">
        <x:f>Dashboard_Live_Data!J29</x:f>
        <x:v>-11.481613456182458</x:v>
      </x:c>
      <x:c r="C275" t="n">
        <x:f>Dashboard_Live_Data!I29</x:f>
        <x:v>-0.775</x:v>
      </x:c>
      <x:c r="D275" t="n">
        <x:f>Dashboard_Live_Data!K29</x:f>
        <x:v>-64450.81432177829</x:v>
      </x:c>
      <x:c r="E275" t="n">
        <x:f>Dashboard_Live_Data!I29</x:f>
        <x:v>-0.775</x:v>
      </x:c>
      <x:c r="F275" t="n">
        <x:f>Dashboard_Live_Data!L29</x:f>
        <x:v>-141200.9353430962</x:v>
      </x:c>
      <x:c r="G275" t="n">
        <x:f>Dashboard_Live_Data!I29</x:f>
        <x:v>-0.775</x:v>
      </x:c>
      <x:c r="H275" t="n">
        <x:f>Dashboard_Live_Data!M29</x:f>
        <x:v>-144939.65393967155</x:v>
      </x:c>
    </x:row>
    <x:row r="276">
      <x:c r="A276" t="n">
        <x:f>Dashboard_Live_Data!I30</x:f>
        <x:v>-0.767</x:v>
      </x:c>
      <x:c r="B276" t="n">
        <x:f>Dashboard_Live_Data!J30</x:f>
        <x:v>-11.071038001998204</x:v>
      </x:c>
      <x:c r="C276" t="n">
        <x:f>Dashboard_Live_Data!I30</x:f>
        <x:v>-0.767</x:v>
      </x:c>
      <x:c r="D276" t="n">
        <x:f>Dashboard_Live_Data!K30</x:f>
        <x:v>-63373.53868446994</x:v>
      </x:c>
      <x:c r="E276" t="n">
        <x:f>Dashboard_Live_Data!I30</x:f>
        <x:v>-0.767</x:v>
      </x:c>
      <x:c r="F276" t="n">
        <x:f>Dashboard_Live_Data!L30</x:f>
        <x:v>-139293.61086167698</x:v>
      </x:c>
      <x:c r="G276" t="n">
        <x:f>Dashboard_Live_Data!I30</x:f>
        <x:v>-0.767</x:v>
      </x:c>
      <x:c r="H276" t="n">
        <x:f>Dashboard_Live_Data!M30</x:f>
        <x:v>-143017.69446274094</x:v>
      </x:c>
    </x:row>
    <x:row r="277">
      <x:c r="A277" t="n">
        <x:f>Dashboard_Live_Data!I31</x:f>
        <x:v>-0.758</x:v>
      </x:c>
      <x:c r="B277" t="n">
        <x:f>Dashboard_Live_Data!J31</x:f>
        <x:v>-10.622685923482095</x:v>
      </x:c>
      <x:c r="C277" t="n">
        <x:f>Dashboard_Live_Data!I31</x:f>
        <x:v>-0.758</x:v>
      </x:c>
      <x:c r="D277" t="n">
        <x:f>Dashboard_Live_Data!K31</x:f>
        <x:v>-62165.189846866764</x:v>
      </x:c>
      <x:c r="E277" t="n">
        <x:f>Dashboard_Live_Data!I31</x:f>
        <x:v>-0.758</x:v>
      </x:c>
      <x:c r="F277" t="n">
        <x:f>Dashboard_Live_Data!L31</x:f>
        <x:v>-137142.1869054523</x:v>
      </x:c>
      <x:c r="G277" t="n">
        <x:f>Dashboard_Live_Data!I31</x:f>
        <x:v>-0.758</x:v>
      </x:c>
      <x:c r="H277" t="n">
        <x:f>Dashboard_Live_Data!M31</x:f>
        <x:v>-140849.2828749542</x:v>
      </x:c>
    </x:row>
    <x:row r="278">
      <x:c r="A278" t="n">
        <x:f>Dashboard_Live_Data!I32</x:f>
        <x:v>-0.75</x:v>
      </x:c>
      <x:c r="B278" t="n">
        <x:f>Dashboard_Live_Data!J32</x:f>
        <x:v>-10.235955038383963</x:v>
      </x:c>
      <x:c r="C278" t="n">
        <x:f>Dashboard_Live_Data!I32</x:f>
        <x:v>-0.75</x:v>
      </x:c>
      <x:c r="D278" t="n">
        <x:f>Dashboard_Live_Data!K32</x:f>
        <x:v>-61094.421380709784</x:v>
      </x:c>
      <x:c r="E278" t="n">
        <x:f>Dashboard_Live_Data!I32</x:f>
        <x:v>-0.75</x:v>
      </x:c>
      <x:c r="F278" t="n">
        <x:f>Dashboard_Live_Data!L32</x:f>
        <x:v>-135224.99566257387</x:v>
      </x:c>
      <x:c r="G278" t="n">
        <x:f>Dashboard_Live_Data!I32</x:f>
        <x:v>-0.75</x:v>
      </x:c>
      <x:c r="H278" t="n">
        <x:f>Dashboard_Live_Data!M32</x:f>
        <x:v>-138916.5188951826</x:v>
      </x:c>
    </x:row>
    <x:row r="279">
      <x:c r="A279" t="n">
        <x:f>Dashboard_Live_Data!I33</x:f>
        <x:v>-0.742</x:v>
      </x:c>
      <x:c r="B279" t="n">
        <x:f>Dashboard_Live_Data!J33</x:f>
        <x:v>-9.86011393674653</x:v>
      </x:c>
      <x:c r="C279" t="n">
        <x:f>Dashboard_Live_Data!I33</x:f>
        <x:v>-0.742</x:v>
      </x:c>
      <x:c r="D279" t="n">
        <x:f>Dashboard_Live_Data!K33</x:f>
        <x:v>-60026.90325623649</x:v>
      </x:c>
      <x:c r="E279" t="n">
        <x:f>Dashboard_Live_Data!I33</x:f>
        <x:v>-0.742</x:v>
      </x:c>
      <x:c r="F279" t="n">
        <x:f>Dashboard_Live_Data!L33</x:f>
        <x:v>-133303.50387707393</x:v>
      </x:c>
      <x:c r="G279" t="n">
        <x:f>Dashboard_Live_Data!I33</x:f>
        <x:v>-0.742</x:v>
      </x:c>
      <x:c r="H279" t="n">
        <x:f>Dashboard_Live_Data!M33</x:f>
        <x:v>-136979.00244933416</x:v>
      </x:c>
    </x:row>
    <x:row r="280">
      <x:c r="A280" t="n">
        <x:f>Dashboard_Live_Data!I34</x:f>
        <x:v>-0.733</x:v>
      </x:c>
      <x:c r="B280" t="n">
        <x:f>Dashboard_Live_Data!J34</x:f>
        <x:v>-9.45004867322723</x:v>
      </x:c>
      <x:c r="C280" t="n">
        <x:f>Dashboard_Live_Data!I34</x:f>
        <x:v>-0.733</x:v>
      </x:c>
      <x:c r="D280" t="n">
        <x:f>Dashboard_Live_Data!K34</x:f>
        <x:v>-58829.98433378036</x:v>
      </x:c>
      <x:c r="E280" t="n">
        <x:f>Dashboard_Live_Data!I34</x:f>
        <x:v>-0.733</x:v>
      </x:c>
      <x:c r="F280" t="n">
        <x:f>Dashboard_Live_Data!L34</x:f>
        <x:v>-131136.96927609117</x:v>
      </x:c>
      <x:c r="G280" t="n">
        <x:f>Dashboard_Live_Data!I34</x:f>
        <x:v>-0.733</x:v>
      </x:c>
      <x:c r="H280" t="n">
        <x:f>Dashboard_Live_Data!M34</x:f>
        <x:v>-134793.89137103801</x:v>
      </x:c>
    </x:row>
    <x:row r="281">
      <x:c r="A281" t="n">
        <x:f>Dashboard_Live_Data!I35</x:f>
        <x:v>-0.725</x:v>
      </x:c>
      <x:c r="B281" t="n">
        <x:f>Dashboard_Live_Data!J35</x:f>
        <x:v>-9.096655219469085</x:v>
      </x:c>
      <x:c r="C281" t="n">
        <x:f>Dashboard_Live_Data!I35</x:f>
        <x:v>-0.725</x:v>
      </x:c>
      <x:c r="D281" t="n">
        <x:f>Dashboard_Live_Data!K35</x:f>
        <x:v>-57769.785871170316</x:v>
      </x:c>
      <x:c r="E281" t="n">
        <x:f>Dashboard_Live_Data!I35</x:f>
        <x:v>-0.725</x:v>
      </x:c>
      <x:c r="F281" t="n">
        <x:f>Dashboard_Live_Data!L35</x:f>
        <x:v>-129207.10406628711</x:v>
      </x:c>
      <x:c r="G281" t="n">
        <x:f>Dashboard_Live_Data!I35</x:f>
        <x:v>-0.725</x:v>
      </x:c>
      <x:c r="H281" t="n">
        <x:f>Dashboard_Live_Data!M35</x:f>
        <x:v>-132847.0183380536</x:v>
      </x:c>
    </x:row>
    <x:row r="282">
      <x:c r="A282" t="n">
        <x:f>Dashboard_Live_Data!I36</x:f>
        <x:v>-0.717</x:v>
      </x:c>
      <x:c r="B282" t="n">
        <x:f>Dashboard_Live_Data!J36</x:f>
        <x:v>-8.753503156986426</x:v>
      </x:c>
      <x:c r="C282" t="n">
        <x:f>Dashboard_Live_Data!I36</x:f>
        <x:v>-0.717</x:v>
      </x:c>
      <x:c r="D282" t="n">
        <x:f>Dashboard_Live_Data!K36</x:f>
        <x:v>-56713.23103390145</x:v>
      </x:c>
      <x:c r="E282" t="n">
        <x:f>Dashboard_Live_Data!I36</x:f>
        <x:v>-0.717</x:v>
      </x:c>
      <x:c r="F282" t="n">
        <x:f>Dashboard_Live_Data!L36</x:f>
        <x:v>-127273.6728305979</x:v>
      </x:c>
      <x:c r="G282" t="n">
        <x:f>Dashboard_Live_Data!I36</x:f>
        <x:v>-0.717</x:v>
      </x:c>
      <x:c r="H282" t="n">
        <x:f>Dashboard_Live_Data!M36</x:f>
        <x:v>-130896.10580357295</x:v>
      </x:c>
    </x:row>
    <x:row r="283">
      <x:c r="A283" t="n">
        <x:f>Dashboard_Live_Data!I37</x:f>
        <x:v>-0.708</x:v>
      </x:c>
      <x:c r="B283" t="n">
        <x:f>Dashboard_Live_Data!J37</x:f>
        <x:v>-8.379445258978194</x:v>
      </x:c>
      <x:c r="C283" t="n">
        <x:f>Dashboard_Live_Data!I37</x:f>
        <x:v>-0.708</x:v>
      </x:c>
      <x:c r="D283" t="n">
        <x:f>Dashboard_Live_Data!K37</x:f>
        <x:v>-55529.124801208105</x:v>
      </x:c>
      <x:c r="E283" t="n">
        <x:f>Dashboard_Live_Data!I37</x:f>
        <x:v>-0.708</x:v>
      </x:c>
      <x:c r="F283" t="n">
        <x:f>Dashboard_Live_Data!L37</x:f>
        <x:v>-125094.61059367191</x:v>
      </x:c>
      <x:c r="G283" t="n">
        <x:f>Dashboard_Live_Data!I37</x:f>
        <x:v>-0.708</x:v>
      </x:c>
      <x:c r="H283" t="n">
        <x:f>Dashboard_Live_Data!M37</x:f>
        <x:v>-128696.80249462565</x:v>
      </x:c>
    </x:row>
    <x:row r="284">
      <x:c r="A284" t="n">
        <x:f>Dashboard_Live_Data!I38</x:f>
        <x:v>-0.7</x:v>
      </x:c>
      <x:c r="B284" t="n">
        <x:f>Dashboard_Live_Data!J38</x:f>
        <x:v>-8.057382321536807</x:v>
      </x:c>
      <x:c r="C284" t="n">
        <x:f>Dashboard_Live_Data!I38</x:f>
        <x:v>-0.7</x:v>
      </x:c>
      <x:c r="D284" t="n">
        <x:f>Dashboard_Live_Data!K38</x:f>
        <x:v>-54480.74919119819</x:v>
      </x:c>
      <x:c r="E284" t="n">
        <x:f>Dashboard_Live_Data!I38</x:f>
        <x:v>-0.7</x:v>
      </x:c>
      <x:c r="F284" t="n">
        <x:f>Dashboard_Live_Data!L38</x:f>
        <x:v>-123154.43747008915</x:v>
      </x:c>
      <x:c r="G284" t="n">
        <x:f>Dashboard_Live_Data!I38</x:f>
        <x:v>-0.7</x:v>
      </x:c>
      <x:c r="H284" t="n">
        <x:f>Dashboard_Live_Data!M38</x:f>
        <x:v>-126738.11882360443</x:v>
      </x:c>
    </x:row>
    <x:row r="285">
      <x:c r="A285" t="n">
        <x:f>Dashboard_Live_Data!I39</x:f>
        <x:v>-0.692</x:v>
      </x:c>
      <x:c r="B285" t="n">
        <x:f>Dashboard_Live_Data!J39</x:f>
        <x:v>-7.744930637363723</x:v>
      </x:c>
      <x:c r="C285" t="n">
        <x:f>Dashboard_Live_Data!I39</x:f>
        <x:v>-0.692</x:v>
      </x:c>
      <x:c r="D285" t="n">
        <x:f>Dashboard_Live_Data!K39</x:f>
        <x:v>-53436.43314820457</x:v>
      </x:c>
      <x:c r="E285" t="n">
        <x:f>Dashboard_Live_Data!I39</x:f>
        <x:v>-0.692</x:v>
      </x:c>
      <x:c r="F285" t="n">
        <x:f>Dashboard_Live_Data!L39</x:f>
        <x:v>-121211.50058427514</x:v>
      </x:c>
      <x:c r="G285" t="n">
        <x:f>Dashboard_Live_Data!I39</x:f>
        <x:v>-0.692</x:v>
      </x:c>
      <x:c r="H285" t="n">
        <x:f>Dashboard_Live_Data!M39</x:f>
        <x:v>-124776.17612891932</x:v>
      </x:c>
    </x:row>
    <x:row r="286">
      <x:c r="A286" t="n">
        <x:f>Dashboard_Live_Data!I40</x:f>
        <x:v>-0.683</x:v>
      </x:c>
      <x:c r="B286" t="n">
        <x:f>Dashboard_Live_Data!J40</x:f>
        <x:v>-7.404664824446172</x:v>
      </x:c>
      <x:c r="C286" t="n">
        <x:f>Dashboard_Live_Data!I40</x:f>
        <x:v>-0.683</x:v>
      </x:c>
      <x:c r="D286" t="n">
        <x:f>Dashboard_Live_Data!K40</x:f>
        <x:v>-52266.60203742246</x:v>
      </x:c>
      <x:c r="E286" t="n">
        <x:f>Dashboard_Live_Data!I40</x:f>
        <x:v>-0.683</x:v>
      </x:c>
      <x:c r="F286" t="n">
        <x:f>Dashboard_Live_Data!L40</x:f>
        <x:v>-119022.73194468833</x:v>
      </x:c>
      <x:c r="G286" t="n">
        <x:f>Dashboard_Live_Data!I40</x:f>
        <x:v>-0.683</x:v>
      </x:c>
      <x:c r="H286" t="n">
        <x:f>Dashboard_Live_Data!M40</x:f>
        <x:v>-122565.42525707473</x:v>
      </x:c>
    </x:row>
    <x:row r="287">
      <x:c r="A287" t="n">
        <x:f>Dashboard_Live_Data!I41</x:f>
        <x:v>-0.675</x:v>
      </x:c>
      <x:c r="B287" t="n">
        <x:f>Dashboard_Live_Data!J41</x:f>
        <x:v>-7.111982920109767</x:v>
      </x:c>
      <x:c r="C287" t="n">
        <x:f>Dashboard_Live_Data!I41</x:f>
        <x:v>-0.675</x:v>
      </x:c>
      <x:c r="D287" t="n">
        <x:f>Dashboard_Live_Data!K41</x:f>
        <x:v>-51231.374010913656</x:v>
      </x:c>
      <x:c r="E287" t="n">
        <x:f>Dashboard_Live_Data!I41</x:f>
        <x:v>-0.675</x:v>
      </x:c>
      <x:c r="F287" t="n">
        <x:f>Dashboard_Live_Data!L41</x:f>
        <x:v>-117074.83465957025</x:v>
      </x:c>
      <x:c r="G287" t="n">
        <x:f>Dashboard_Live_Data!I41</x:f>
        <x:v>-0.675</x:v>
      </x:c>
      <x:c r="H287" t="n">
        <x:f>Dashboard_Live_Data!M41</x:f>
        <x:v>-120597.44652148281</x:v>
      </x:c>
    </x:row>
    <x:row r="288">
      <x:c r="A288" t="n">
        <x:f>Dashboard_Live_Data!I42</x:f>
        <x:v>-0.667</x:v>
      </x:c>
      <x:c r="B288" t="n">
        <x:f>Dashboard_Live_Data!J42</x:f>
        <x:v>-6.828300748499714</x:v>
      </x:c>
      <x:c r="C288" t="n">
        <x:f>Dashboard_Live_Data!I42</x:f>
        <x:v>-0.667</x:v>
      </x:c>
      <x:c r="D288" t="n">
        <x:f>Dashboard_Live_Data!K42</x:f>
        <x:v>-50200.64516336976</x:v>
      </x:c>
      <x:c r="E288" t="n">
        <x:f>Dashboard_Live_Data!I42</x:f>
        <x:v>-0.667</x:v>
      </x:c>
      <x:c r="F288" t="n">
        <x:f>Dashboard_Live_Data!L42</x:f>
        <x:v>-115125.04934461683</x:v>
      </x:c>
      <x:c r="G288" t="n">
        <x:f>Dashboard_Live_Data!I42</x:f>
        <x:v>-0.667</x:v>
      </x:c>
      <x:c r="H288" t="n">
        <x:f>Dashboard_Live_Data!M42</x:f>
        <x:v>-118627.06266188383</x:v>
      </x:c>
    </x:row>
    <x:row r="289">
      <x:c r="A289" t="n">
        <x:f>Dashboard_Live_Data!I43</x:f>
        <x:v>-0.658</x:v>
      </x:c>
      <x:c r="B289" t="n">
        <x:f>Dashboard_Live_Data!J43</x:f>
        <x:v>-6.51967719021377</x:v>
      </x:c>
      <x:c r="C289" t="n">
        <x:f>Dashboard_Live_Data!I43</x:f>
        <x:v>-0.658</x:v>
      </x:c>
      <x:c r="D289" t="n">
        <x:f>Dashboard_Live_Data!K43</x:f>
        <x:v>-49046.63482196539</x:v>
      </x:c>
      <x:c r="E289" t="n">
        <x:f>Dashboard_Live_Data!I43</x:f>
        <x:v>-0.658</x:v>
      </x:c>
      <x:c r="F289" t="n">
        <x:f>Dashboard_Live_Data!L43</x:f>
        <x:v>-112929.65387596696</x:v>
      </x:c>
      <x:c r="G289" t="n">
        <x:f>Dashboard_Live_Data!I43</x:f>
        <x:v>-0.658</x:v>
      </x:c>
      <x:c r="H289" t="n">
        <x:f>Dashboard_Live_Data!M43</x:f>
        <x:v>-116407.86707581821</x:v>
      </x:c>
    </x:row>
    <x:row r="290">
      <x:c r="A290" t="n">
        <x:f>Dashboard_Live_Data!I44</x:f>
        <x:v>-0.65</x:v>
      </x:c>
      <x:c r="B290" t="n">
        <x:f>Dashboard_Live_Data!J44</x:f>
        <x:v>-6.254485391421895</x:v>
      </x:c>
      <x:c r="C290" t="n">
        <x:f>Dashboard_Live_Data!I44</x:f>
        <x:v>-0.65</x:v>
      </x:c>
      <x:c r="D290" t="n">
        <x:f>Dashboard_Live_Data!K44</x:f>
        <x:v>-48025.954152811115</x:v>
      </x:c>
      <x:c r="E290" t="n">
        <x:f>Dashboard_Live_Data!I44</x:f>
        <x:v>-0.65</x:v>
      </x:c>
      <x:c r="F290" t="n">
        <x:f>Dashboard_Live_Data!L44</x:f>
        <x:v>-110976.85216755129</x:v>
      </x:c>
      <x:c r="G290" t="n">
        <x:f>Dashboard_Live_Data!I44</x:f>
        <x:v>-0.65</x:v>
      </x:c>
      <x:c r="H290" t="n">
        <x:f>Dashboard_Live_Data!M44</x:f>
        <x:v>-114433.34492030981</x:v>
      </x:c>
    </x:row>
    <x:row r="291">
      <x:c r="A291" t="n">
        <x:f>Dashboard_Live_Data!I45</x:f>
        <x:v>-0.642</x:v>
      </x:c>
      <x:c r="B291" t="n">
        <x:f>Dashboard_Live_Data!J45</x:f>
        <x:v>-5.997700776976217</x:v>
      </x:c>
      <x:c r="C291" t="n">
        <x:f>Dashboard_Live_Data!I45</x:f>
        <x:v>-0.642</x:v>
      </x:c>
      <x:c r="D291" t="n">
        <x:f>Dashboard_Live_Data!K45</x:f>
        <x:v>-47010.236953450076</x:v>
      </x:c>
      <x:c r="E291" t="n">
        <x:f>Dashboard_Live_Data!I45</x:f>
        <x:v>-0.642</x:v>
      </x:c>
      <x:c r="F291" t="n">
        <x:f>Dashboard_Live_Data!L45</x:f>
        <x:v>-109023.11773384287</x:v>
      </x:c>
      <x:c r="G291" t="n">
        <x:f>Dashboard_Live_Data!I45</x:f>
        <x:v>-0.642</x:v>
      </x:c>
      <x:c r="H291" t="n">
        <x:f>Dashboard_Live_Data!M45</x:f>
        <x:v>-112457.35129337231</x:v>
      </x:c>
    </x:row>
    <x:row r="292">
      <x:c r="A292" t="n">
        <x:f>Dashboard_Live_Data!I46</x:f>
        <x:v>-0.633</x:v>
      </x:c>
      <x:c r="B292" t="n">
        <x:f>Dashboard_Live_Data!J46</x:f>
        <x:v>-5.718636339065142</x:v>
      </x:c>
      <x:c r="C292" t="n">
        <x:f>Dashboard_Live_Data!I46</x:f>
        <x:v>-0.633</x:v>
      </x:c>
      <x:c r="D292" t="n">
        <x:f>Dashboard_Live_Data!K46</x:f>
        <x:v>-45873.67978905515</x:v>
      </x:c>
      <x:c r="E292" t="n">
        <x:f>Dashboard_Live_Data!I46</x:f>
        <x:v>-0.633</x:v>
      </x:c>
      <x:c r="F292" t="n">
        <x:f>Dashboard_Live_Data!L46</x:f>
        <x:v>-106824.4548063117</x:v>
      </x:c>
      <x:c r="G292" t="n">
        <x:f>Dashboard_Live_Data!I46</x:f>
        <x:v>-0.633</x:v>
      </x:c>
      <x:c r="H292" t="n">
        <x:f>Dashboard_Live_Data!M46</x:f>
        <x:v>-110232.99428005796</x:v>
      </x:c>
    </x:row>
    <x:row r="293">
      <x:c r="A293" t="n">
        <x:f>Dashboard_Live_Data!I47</x:f>
        <x:v>-0.625</x:v>
      </x:c>
      <x:c r="B293" t="n">
        <x:f>Dashboard_Live_Data!J47</x:f>
        <x:v>-5.479103372775171</x:v>
      </x:c>
      <x:c r="C293" t="n">
        <x:f>Dashboard_Live_Data!I47</x:f>
        <x:v>-0.625</x:v>
      </x:c>
      <x:c r="D293" t="n">
        <x:f>Dashboard_Live_Data!K47</x:f>
        <x:v>-44869.024435891464</x:v>
      </x:c>
      <x:c r="E293" t="n">
        <x:f>Dashboard_Live_Data!I47</x:f>
        <x:v>-0.625</x:v>
      </x:c>
      <x:c r="F293" t="n">
        <x:f>Dashboard_Live_Data!L47</x:f>
        <x:v>-104869.82387216578</x:v>
      </x:c>
      <x:c r="G293" t="n">
        <x:f>Dashboard_Live_Data!I47</x:f>
        <x:v>-0.625</x:v>
      </x:c>
      <x:c r="H293" t="n">
        <x:f>Dashboard_Live_Data!M47</x:f>
        <x:v>-108254.93665267841</x:v>
      </x:c>
    </x:row>
    <x:row r="294">
      <x:c r="A294" t="n">
        <x:f>Dashboard_Live_Data!I48</x:f>
        <x:v>-0.617</x:v>
      </x:c>
      <x:c r="B294" t="n">
        <x:f>Dashboard_Live_Data!J48</x:f>
        <x:v>-5.247404357237883</x:v>
      </x:c>
      <x:c r="C294" t="n">
        <x:f>Dashboard_Live_Data!I48</x:f>
        <x:v>-0.617</x:v>
      </x:c>
      <x:c r="D294" t="n">
        <x:f>Dashboard_Live_Data!K48</x:f>
        <x:v>-43869.822519638255</x:v>
      </x:c>
      <x:c r="E294" t="n">
        <x:f>Dashboard_Live_Data!I48</x:f>
        <x:v>-0.617</x:v>
      </x:c>
      <x:c r="F294" t="n">
        <x:f>Dashboard_Live_Data!L48</x:f>
        <x:v>-102915.30156679498</x:v>
      </x:c>
      <x:c r="G294" t="n">
        <x:f>Dashboard_Live_Data!I48</x:f>
        <x:v>-0.617</x:v>
      </x:c>
      <x:c r="H294" t="n">
        <x:f>Dashboard_Live_Data!M48</x:f>
        <x:v>-106276.4277099809</x:v>
      </x:c>
    </x:row>
    <x:row r="295">
      <x:c r="A295" t="n">
        <x:f>Dashboard_Live_Data!I49</x:f>
        <x:v>-0.608</x:v>
      </x:c>
      <x:c r="B295" t="n">
        <x:f>Dashboard_Live_Data!J49</x:f>
        <x:v>-4.995883813084447</x:v>
      </x:c>
      <x:c r="C295" t="n">
        <x:f>Dashboard_Live_Data!I49</x:f>
        <x:v>-0.608</x:v>
      </x:c>
      <x:c r="D295" t="n">
        <x:f>Dashboard_Live_Data!K49</x:f>
        <x:v>-42752.44120550476</x:v>
      </x:c>
      <x:c r="E295" t="n">
        <x:f>Dashboard_Live_Data!I49</x:f>
        <x:v>-0.608</x:v>
      </x:c>
      <x:c r="F295" t="n">
        <x:f>Dashboard_Live_Data!L49</x:f>
        <x:v>-100717.03311684405</x:v>
      </x:c>
      <x:c r="G295" t="n">
        <x:f>Dashboard_Live_Data!I49</x:f>
        <x:v>-0.608</x:v>
      </x:c>
      <x:c r="H295" t="n">
        <x:f>Dashboard_Live_Data!M49</x:f>
        <x:v>-104050.49672552577</x:v>
      </x:c>
    </x:row>
    <x:row r="296">
      <x:c r="A296" t="n">
        <x:f>Dashboard_Live_Data!I50</x:f>
        <x:v>-0.6</x:v>
      </x:c>
      <x:c r="B296" t="n">
        <x:f>Dashboard_Live_Data!J50</x:f>
        <x:v>-4.780239127223922</x:v>
      </x:c>
      <x:c r="C296" t="n">
        <x:f>Dashboard_Live_Data!I50</x:f>
        <x:v>-0.6</x:v>
      </x:c>
      <x:c r="D296" t="n">
        <x:f>Dashboard_Live_Data!K50</x:f>
        <x:v>-41765.370410184376</x:v>
      </x:c>
      <x:c r="E296" t="n">
        <x:f>Dashboard_Live_Data!I50</x:f>
        <x:v>-0.6</x:v>
      </x:c>
      <x:c r="F296" t="n">
        <x:f>Dashboard_Live_Data!L50</x:f>
        <x:v>-98763.92423983713</x:v>
      </x:c>
      <x:c r="G296" t="n">
        <x:f>Dashboard_Live_Data!I50</x:f>
        <x:v>-0.6</x:v>
      </x:c>
      <x:c r="H296" t="n">
        <x:f>Dashboard_Live_Data!M50</x:f>
        <x:v>-102072.18940950758</x:v>
      </x:c>
    </x:row>
    <x:row r="297">
      <x:c r="A297" t="n">
        <x:f>Dashboard_Live_Data!I51</x:f>
        <x:v>-0.592</x:v>
      </x:c>
      <x:c r="B297" t="n">
        <x:f>Dashboard_Live_Data!J51</x:f>
        <x:v>-4.571874809995052</x:v>
      </x:c>
      <x:c r="C297" t="n">
        <x:f>Dashboard_Live_Data!I51</x:f>
        <x:v>-0.592</x:v>
      </x:c>
      <x:c r="D297" t="n">
        <x:f>Dashboard_Live_Data!K51</x:f>
        <x:v>-40784.26967339727</x:v>
      </x:c>
      <x:c r="E297" t="n">
        <x:f>Dashboard_Live_Data!I51</x:f>
        <x:v>-0.592</x:v>
      </x:c>
      <x:c r="F297" t="n">
        <x:f>Dashboard_Live_Data!L51</x:f>
        <x:v>-96812.05822906003</x:v>
      </x:c>
      <x:c r="G297" t="n">
        <x:f>Dashboard_Live_Data!I51</x:f>
        <x:v>-0.592</x:v>
      </x:c>
      <x:c r="H297" t="n">
        <x:f>Dashboard_Live_Data!M51</x:f>
        <x:v>-100094.54459469678</x:v>
      </x:c>
    </x:row>
    <x:row r="298">
      <x:c r="A298" t="n">
        <x:f>Dashboard_Live_Data!I52</x:f>
        <x:v>-0.583</x:v>
      </x:c>
      <x:c r="B298" t="n">
        <x:f>Dashboard_Live_Data!J52</x:f>
        <x:v>-4.3459520128728855</x:v>
      </x:c>
      <x:c r="C298" t="n">
        <x:f>Dashboard_Live_Data!I52</x:f>
        <x:v>-0.583</x:v>
      </x:c>
      <x:c r="D298" t="n">
        <x:f>Dashboard_Live_Data!K52</x:f>
        <x:v>-39687.88058628065</x:v>
      </x:c>
      <x:c r="E298" t="n">
        <x:f>Dashboard_Live_Data!I52</x:f>
        <x:v>-0.583</x:v>
      </x:c>
      <x:c r="F298" t="n">
        <x:f>Dashboard_Live_Data!L52</x:f>
        <x:v>-94618.1727807392</x:v>
      </x:c>
      <x:c r="G298" t="n">
        <x:f>Dashboard_Live_Data!I52</x:f>
        <x:v>-0.583</x:v>
      </x:c>
      <x:c r="H298" t="n">
        <x:f>Dashboard_Live_Data!M52</x:f>
        <x:v>-97870.95642178808</x:v>
      </x:c>
    </x:row>
    <x:row r="299">
      <x:c r="A299" t="n">
        <x:f>Dashboard_Live_Data!I53</x:f>
        <x:v>-0.575</x:v>
      </x:c>
      <x:c r="B299" t="n">
        <x:f>Dashboard_Live_Data!J53</x:f>
        <x:v>-4.152486814658005</x:v>
      </x:c>
      <x:c r="C299" t="n">
        <x:f>Dashboard_Live_Data!I53</x:f>
        <x:v>-0.575</x:v>
      </x:c>
      <x:c r="D299" t="n">
        <x:f>Dashboard_Live_Data!K53</x:f>
        <x:v>-38720.03790348412</x:v>
      </x:c>
      <x:c r="E299" t="n">
        <x:f>Dashboard_Live_Data!I53</x:f>
        <x:v>-0.575</x:v>
      </x:c>
      <x:c r="F299" t="n">
        <x:f>Dashboard_Live_Data!L53</x:f>
        <x:v>-92670.23504071141</x:v>
      </x:c>
      <x:c r="G299" t="n">
        <x:f>Dashboard_Live_Data!I53</x:f>
        <x:v>-0.575</x:v>
      </x:c>
      <x:c r="H299" t="n">
        <x:f>Dashboard_Live_Data!M53</x:f>
        <x:v>-95895.98581265062</x:v>
      </x:c>
    </x:row>
    <x:row r="300">
      <x:c r="A300" t="n">
        <x:f>Dashboard_Live_Data!I54</x:f>
        <x:v>-0.567</x:v>
      </x:c>
      <x:c r="B300" t="n">
        <x:f>Dashboard_Live_Data!J54</x:f>
        <x:v>-3.965768378529674</x:v>
      </x:c>
      <x:c r="C300" t="n">
        <x:f>Dashboard_Live_Data!I54</x:f>
        <x:v>-0.567</x:v>
      </x:c>
      <x:c r="D300" t="n">
        <x:f>Dashboard_Live_Data!K54</x:f>
        <x:v>-37758.709506009036</x:v>
      </x:c>
      <x:c r="E300" t="n">
        <x:f>Dashboard_Live_Data!I54</x:f>
        <x:v>-0.567</x:v>
      </x:c>
      <x:c r="F300" t="n">
        <x:f>Dashboard_Live_Data!L54</x:f>
        <x:v>-90724.77444856224</x:v>
      </x:c>
      <x:c r="G300" t="n">
        <x:f>Dashboard_Live_Data!I54</x:f>
        <x:v>-0.567</x:v>
      </x:c>
      <x:c r="H300" t="n">
        <x:f>Dashboard_Live_Data!M54</x:f>
        <x:v>-93922.89271885809</x:v>
      </x:c>
    </x:row>
    <x:row r="301">
      <x:c r="A301" t="n">
        <x:f>Dashboard_Live_Data!I55</x:f>
        <x:v>-0.558</x:v>
      </x:c>
      <x:c r="B301" t="n">
        <x:f>Dashboard_Live_Data!J55</x:f>
        <x:v>-3.763567414630188</x:v>
      </x:c>
      <x:c r="C301" t="n">
        <x:f>Dashboard_Live_Data!I55</x:f>
        <x:v>-0.558</x:v>
      </x:c>
      <x:c r="D301" t="n">
        <x:f>Dashboard_Live_Data!K55</x:f>
        <x:v>-36685.22606722001</x:v>
      </x:c>
      <x:c r="E301" t="n">
        <x:f>Dashboard_Live_Data!I55</x:f>
        <x:v>-0.558</x:v>
      </x:c>
      <x:c r="F301" t="n">
        <x:f>Dashboard_Live_Data!L55</x:f>
        <x:v>-88539.61228230709</x:v>
      </x:c>
      <x:c r="G301" t="n">
        <x:f>Dashboard_Live_Data!I55</x:f>
        <x:v>-0.558</x:v>
      </x:c>
      <x:c r="H301" t="n">
        <x:f>Dashboard_Live_Data!M55</x:f>
        <x:v>-91705.91995911699</x:v>
      </x:c>
    </x:row>
    <x:row r="302">
      <x:c r="A302" t="n">
        <x:f>Dashboard_Live_Data!I56</x:f>
        <x:v>-0.55</x:v>
      </x:c>
      <x:c r="B302" t="n">
        <x:f>Dashboard_Live_Data!J56</x:f>
        <x:v>-3.590635671074324</x:v>
      </x:c>
      <x:c r="C302" t="n">
        <x:f>Dashboard_Live_Data!I56</x:f>
        <x:v>-0.55</x:v>
      </x:c>
      <x:c r="D302" t="n">
        <x:f>Dashboard_Live_Data!K56</x:f>
        <x:v>-35738.342299056225</x:v>
      </x:c>
      <x:c r="E302" t="n">
        <x:f>Dashboard_Live_Data!I56</x:f>
        <x:v>-0.55</x:v>
      </x:c>
      <x:c r="F302" t="n">
        <x:f>Dashboard_Live_Data!L56</x:f>
        <x:v>-86600.81524649766</x:v>
      </x:c>
      <x:c r="G302" t="n">
        <x:f>Dashboard_Live_Data!I56</x:f>
        <x:v>-0.55</x:v>
      </x:c>
      <x:c r="H302" t="n">
        <x:f>Dashboard_Live_Data!M56</x:f>
        <x:v>-89738.19699014083</x:v>
      </x:c>
    </x:row>
    <x:row r="303">
      <x:c r="A303" t="n">
        <x:f>Dashboard_Live_Data!I57</x:f>
        <x:v>-0.542</x:v>
      </x:c>
      <x:c r="B303" t="n">
        <x:f>Dashboard_Live_Data!J57</x:f>
        <x:v>-3.423937371721422</x:v>
      </x:c>
      <x:c r="C303" t="n">
        <x:f>Dashboard_Live_Data!I57</x:f>
        <x:v>-0.542</x:v>
      </x:c>
      <x:c r="D303" t="n">
        <x:f>Dashboard_Live_Data!K57</x:f>
        <x:v>-34798.54556291022</x:v>
      </x:c>
      <x:c r="E303" t="n">
        <x:f>Dashboard_Live_Data!I57</x:f>
        <x:v>-0.542</x:v>
      </x:c>
      <x:c r="F303" t="n">
        <x:f>Dashboard_Live_Data!L57</x:f>
        <x:v>-84665.83712834844</x:v>
      </x:c>
      <x:c r="G303" t="n">
        <x:f>Dashboard_Live_Data!I57</x:f>
        <x:v>-0.542</x:v>
      </x:c>
      <x:c r="H303" t="n">
        <x:f>Dashboard_Live_Data!M57</x:f>
        <x:v>-87773.67562430885</x:v>
      </x:c>
    </x:row>
    <x:row r="304">
      <x:c r="A304" t="n">
        <x:f>Dashboard_Live_Data!I58</x:f>
        <x:v>-0.533</x:v>
      </x:c>
      <x:c r="B304" t="n">
        <x:f>Dashboard_Live_Data!J58</x:f>
        <x:v>-3.243653659340225</x:v>
      </x:c>
      <x:c r="C304" t="n">
        <x:f>Dashboard_Live_Data!I58</x:f>
        <x:v>-0.533</x:v>
      </x:c>
      <x:c r="D304" t="n">
        <x:f>Dashboard_Live_Data!K58</x:f>
        <x:v>-33749.98145308542</x:v>
      </x:c>
      <x:c r="E304" t="n">
        <x:f>Dashboard_Live_Data!I58</x:f>
        <x:v>-0.533</x:v>
      </x:c>
      <x:c r="F304" t="n">
        <x:f>Dashboard_Live_Data!L58</x:f>
        <x:v>-82494.11644292489</x:v>
      </x:c>
      <x:c r="G304" t="n">
        <x:f>Dashboard_Live_Data!I58</x:f>
        <x:v>-0.533</x:v>
      </x:c>
      <x:c r="H304" t="n">
        <x:f>Dashboard_Live_Data!M58</x:f>
        <x:v>-85567.97437946271</x:v>
      </x:c>
    </x:row>
    <x:row r="305">
      <x:c r="A305" t="n">
        <x:f>Dashboard_Live_Data!I59</x:f>
        <x:v>-0.525</x:v>
      </x:c>
      <x:c r="B305" t="n">
        <x:f>Dashboard_Live_Data!J59</x:f>
        <x:v>-3.089673071670859</x:v>
      </x:c>
      <x:c r="C305" t="n">
        <x:f>Dashboard_Live_Data!I59</x:f>
        <x:v>-0.525</x:v>
      </x:c>
      <x:c r="D305" t="n">
        <x:f>Dashboard_Live_Data!K59</x:f>
        <x:v>-32825.87746268808</x:v>
      </x:c>
      <x:c r="E305" t="n">
        <x:f>Dashboard_Live_Data!I59</x:f>
        <x:v>-0.525</x:v>
      </x:c>
      <x:c r="F305" t="n">
        <x:f>Dashboard_Live_Data!L59</x:f>
        <x:v>-80568.7736811837</x:v>
      </x:c>
      <x:c r="G305" t="n">
        <x:f>Dashboard_Live_Data!I59</x:f>
        <x:v>-0.525</x:v>
      </x:c>
      <x:c r="H305" t="n">
        <x:f>Dashboard_Live_Data!M59</x:f>
        <x:v>-83611.75944718669</x:v>
      </x:c>
    </x:row>
    <x:row r="306">
      <x:c r="A306" t="n">
        <x:f>Dashboard_Live_Data!I60</x:f>
        <x:v>-0.517</x:v>
      </x:c>
      <x:c r="B306" t="n">
        <x:f>Dashboard_Live_Data!J60</x:f>
        <x:v>-2.941433207470027</x:v>
      </x:c>
      <x:c r="C306" t="n">
        <x:f>Dashboard_Live_Data!I60</x:f>
        <x:v>-0.517</x:v>
      </x:c>
      <x:c r="D306" t="n">
        <x:f>Dashboard_Live_Data!K60</x:f>
        <x:v>-31909.46264160071</x:v>
      </x:c>
      <x:c r="E306" t="n">
        <x:f>Dashboard_Live_Data!I60</x:f>
        <x:v>-0.517</x:v>
      </x:c>
      <x:c r="F306" t="n">
        <x:f>Dashboard_Live_Data!L60</x:f>
        <x:v>-78648.70676173814</x:v>
      </x:c>
      <x:c r="G306" t="n">
        <x:f>Dashboard_Live_Data!I60</x:f>
        <x:v>-0.517</x:v>
      </x:c>
      <x:c r="H306" t="n">
        <x:f>Dashboard_Live_Data!M60</x:f>
        <x:v>-81660.18743462116</x:v>
      </x:c>
    </x:row>
    <x:row r="307">
      <x:c r="A307" t="n">
        <x:f>Dashboard_Live_Data!I61</x:f>
        <x:v>-0.508</x:v>
      </x:c>
      <x:c r="B307" t="n">
        <x:f>Dashboard_Live_Data!J61</x:f>
        <x:v>-2.7813345652473345</x:v>
      </x:c>
      <x:c r="C307" t="n">
        <x:f>Dashboard_Live_Data!I61</x:f>
        <x:v>-0.508</x:v>
      </x:c>
      <x:c r="D307" t="n">
        <x:f>Dashboard_Live_Data!K61</x:f>
        <x:v>-30887.93486067957</x:v>
      </x:c>
      <x:c r="E307" t="n">
        <x:f>Dashboard_Live_Data!I61</x:f>
        <x:v>-0.508</x:v>
      </x:c>
      <x:c r="F307" t="n">
        <x:f>Dashboard_Live_Data!L61</x:f>
        <x:v>-76495.55061689255</x:v>
      </x:c>
      <x:c r="G307" t="n">
        <x:f>Dashboard_Live_Data!I61</x:f>
        <x:v>-0.508</x:v>
      </x:c>
      <x:c r="H307" t="n">
        <x:f>Dashboard_Live_Data!M61</x:f>
        <x:v>-79470.82596585053</x:v>
      </x:c>
    </x:row>
    <x:row r="308">
      <x:c r="A308" t="n">
        <x:f>Dashboard_Live_Data!I62</x:f>
        <x:v>-0.5</x:v>
      </x:c>
      <x:c r="B308" t="n">
        <x:f>Dashboard_Live_Data!J62</x:f>
        <x:v>-2.6447875068229223</x:v>
      </x:c>
      <x:c r="C308" t="n">
        <x:f>Dashboard_Live_Data!I62</x:f>
        <x:v>-0.5</x:v>
      </x:c>
      <x:c r="D308" t="n">
        <x:f>Dashboard_Live_Data!K62</x:f>
        <x:v>-29988.524239953986</x:v>
      </x:c>
      <x:c r="E308" t="n">
        <x:f>Dashboard_Live_Data!I62</x:f>
        <x:v>-0.5</x:v>
      </x:c>
      <x:c r="F308" t="n">
        <x:f>Dashboard_Live_Data!L62</x:f>
        <x:v>-74588.34383380503</x:v>
      </x:c>
      <x:c r="G308" t="n">
        <x:f>Dashboard_Live_Data!I62</x:f>
        <x:v>-0.5</x:v>
      </x:c>
      <x:c r="H308" t="n">
        <x:f>Dashboard_Live_Data!M62</x:f>
        <x:v>-77530.75464681152</x:v>
      </x:c>
    </x:row>
    <x:row r="309">
      <x:c r="A309" t="n">
        <x:f>Dashboard_Live_Data!I63</x:f>
        <x:v>-0.492</x:v>
      </x:c>
      <x:c r="B309" t="n">
        <x:f>Dashboard_Live_Data!J63</x:f>
        <x:v>-2.513509340354176</x:v>
      </x:c>
      <x:c r="C309" t="n">
        <x:f>Dashboard_Live_Data!I63</x:f>
        <x:v>-0.492</x:v>
      </x:c>
      <x:c r="D309" t="n">
        <x:f>Dashboard_Live_Data!K63</x:f>
        <x:v>-29097.435135520733</x:v>
      </x:c>
      <x:c r="E309" t="n">
        <x:f>Dashboard_Live_Data!I63</x:f>
        <x:v>-0.492</x:v>
      </x:c>
      <x:c r="F309" t="n">
        <x:f>Dashboard_Live_Data!L63</x:f>
        <x:v>-72687.99278310628</x:v>
      </x:c>
      <x:c r="G309" t="n">
        <x:f>Dashboard_Live_Data!I63</x:f>
        <x:v>-0.492</x:v>
      </x:c>
      <x:c r="H309" t="n">
        <x:f>Dashboard_Live_Data!M63</x:f>
        <x:v>-75596.89314596457</x:v>
      </x:c>
    </x:row>
    <x:row r="310">
      <x:c r="A310" t="n">
        <x:f>Dashboard_Live_Data!I64</x:f>
        <x:v>-0.483</x:v>
      </x:c>
      <x:c r="B310" t="n">
        <x:f>Dashboard_Live_Data!J64</x:f>
        <x:v>-2.371937016364882</x:v>
      </x:c>
      <x:c r="C310" t="n">
        <x:f>Dashboard_Live_Data!I64</x:f>
        <x:v>-0.483</x:v>
      </x:c>
      <x:c r="D310" t="n">
        <x:f>Dashboard_Live_Data!K64</x:f>
        <x:v>-28105.166881478122</x:v>
      </x:c>
      <x:c r="E310" t="n">
        <x:f>Dashboard_Live_Data!I64</x:f>
        <x:v>-0.483</x:v>
      </x:c>
      <x:c r="F310" t="n">
        <x:f>Dashboard_Live_Data!L64</x:f>
        <x:v>-70558.9565452948</x:v>
      </x:c>
      <x:c r="G310" t="n">
        <x:f>Dashboard_Live_Data!I64</x:f>
        <x:v>-0.483</x:v>
      </x:c>
      <x:c r="H310" t="n">
        <x:f>Dashboard_Live_Data!M64</x:f>
        <x:v>-73429.38122625276</x:v>
      </x:c>
    </x:row>
    <x:row r="311">
      <x:c r="A311" t="n">
        <x:f>Dashboard_Live_Data!I65</x:f>
        <x:v>-0.475</x:v>
      </x:c>
      <x:c r="B311" t="n">
        <x:f>Dashboard_Live_Data!J65</x:f>
        <x:v>-2.251371436165755</x:v>
      </x:c>
      <x:c r="C311" t="n">
        <x:f>Dashboard_Live_Data!I65</x:f>
        <x:v>-0.475</x:v>
      </x:c>
      <x:c r="D311" t="n">
        <x:f>Dashboard_Live_Data!K65</x:f>
        <x:v>-27232.458450313294</x:v>
      </x:c>
      <x:c r="E311" t="n">
        <x:f>Dashboard_Live_Data!I65</x:f>
        <x:v>-0.475</x:v>
      </x:c>
      <x:c r="F311" t="n">
        <x:f>Dashboard_Live_Data!L65</x:f>
        <x:v>-68674.96006151366</x:v>
      </x:c>
      <x:c r="G311" t="n">
        <x:f>Dashboard_Live_Data!I65</x:f>
        <x:v>-0.475</x:v>
      </x:c>
      <x:c r="H311" t="n">
        <x:f>Dashboard_Live_Data!M65</x:f>
        <x:v>-71510.49050705163</x:v>
      </x:c>
    </x:row>
    <x:row r="312">
      <x:c r="A312" t="n">
        <x:f>Dashboard_Live_Data!I66</x:f>
        <x:v>-0.467</x:v>
      </x:c>
      <x:c r="B312" t="n">
        <x:f>Dashboard_Live_Data!J66</x:f>
        <x:v>-2.13562408544135</x:v>
      </x:c>
      <x:c r="C312" t="n">
        <x:f>Dashboard_Live_Data!I66</x:f>
        <x:v>-0.467</x:v>
      </x:c>
      <x:c r="D312" t="n">
        <x:f>Dashboard_Live_Data!K66</x:f>
        <x:v>-26368.73485292532</x:v>
      </x:c>
      <x:c r="E312" t="n">
        <x:f>Dashboard_Live_Data!I66</x:f>
        <x:v>-0.467</x:v>
      </x:c>
      <x:c r="F312" t="n">
        <x:f>Dashboard_Live_Data!L66</x:f>
        <x:v>-66799.53002109205</x:v>
      </x:c>
      <x:c r="G312" t="n">
        <x:f>Dashboard_Live_Data!I66</x:f>
        <x:v>-0.467</x:v>
      </x:c>
      <x:c r="H312" t="n">
        <x:f>Dashboard_Live_Data!M66</x:f>
        <x:v>-69599.51053278937</x:v>
      </x:c>
    </x:row>
    <x:row r="313">
      <x:c r="A313" t="n">
        <x:f>Dashboard_Live_Data!I67</x:f>
        <x:v>-0.458</x:v>
      </x:c>
      <x:c r="B313" t="n">
        <x:f>Dashboard_Live_Data!J67</x:f>
        <x:v>-2.0109937508048006</x:v>
      </x:c>
      <x:c r="C313" t="n">
        <x:f>Dashboard_Live_Data!I67</x:f>
        <x:v>-0.458</x:v>
      </x:c>
      <x:c r="D313" t="n">
        <x:f>Dashboard_Live_Data!K67</x:f>
        <x:v>-25408.05819572629</x:v>
      </x:c>
      <x:c r="E313" t="n">
        <x:f>Dashboard_Live_Data!I67</x:f>
        <x:v>-0.458</x:v>
      </x:c>
      <x:c r="F313" t="n">
        <x:f>Dashboard_Live_Data!L67</x:f>
        <x:v>-64700.62896395361</x:v>
      </x:c>
      <x:c r="G313" t="n">
        <x:f>Dashboard_Live_Data!I67</x:f>
        <x:v>-0.458</x:v>
      </x:c>
      <x:c r="H313" t="n">
        <x:f>Dashboard_Live_Data!M67</x:f>
        <x:v>-67459.82912343887</x:v>
      </x:c>
    </x:row>
    <x:row r="314">
      <x:c r="A314" t="n">
        <x:f>Dashboard_Live_Data!I68</x:f>
        <x:v>-0.45</x:v>
      </x:c>
      <x:c r="B314" t="n">
        <x:f>Dashboard_Live_Data!J68</x:f>
        <x:v>-1.9050240415085682</x:v>
      </x:c>
      <x:c r="C314" t="n">
        <x:f>Dashboard_Live_Data!I68</x:f>
        <x:v>-0.45</x:v>
      </x:c>
      <x:c r="D314" t="n">
        <x:f>Dashboard_Live_Data!K68</x:f>
        <x:v>-24564.158312691114</x:v>
      </x:c>
      <x:c r="E314" t="n">
        <x:f>Dashboard_Live_Data!I68</x:f>
        <x:v>-0.45</x:v>
      </x:c>
      <x:c r="F314" t="n">
        <x:f>Dashboard_Live_Data!L68</x:f>
        <x:v>-62845.33421508742</x:v>
      </x:c>
      <x:c r="G314" t="n">
        <x:f>Dashboard_Live_Data!I68</x:f>
        <x:v>-0.45</x:v>
      </x:c>
      <x:c r="H314" t="n">
        <x:f>Dashboard_Live_Data!M68</x:f>
        <x:v>-65567.5837894667</x:v>
      </x:c>
    </x:row>
    <x:row r="315">
      <x:c r="A315" t="n">
        <x:f>Dashboard_Live_Data!I69</x:f>
        <x:v>-0.442</x:v>
      </x:c>
      <x:c r="B315" t="n">
        <x:f>Dashboard_Live_Data!J69</x:f>
        <x:v>-1.8034433360094226</x:v>
      </x:c>
      <x:c r="C315" t="n">
        <x:f>Dashboard_Live_Data!I69</x:f>
        <x:v>-0.442</x:v>
      </x:c>
      <x:c r="D315" t="n">
        <x:f>Dashboard_Live_Data!K69</x:f>
        <x:v>-23729.938248077422</x:v>
      </x:c>
      <x:c r="E315" t="n">
        <x:f>Dashboard_Live_Data!I69</x:f>
        <x:v>-0.442</x:v>
      </x:c>
      <x:c r="F315" t="n">
        <x:f>Dashboard_Live_Data!L69</x:f>
        <x:v>-61000.45522179082</x:v>
      </x:c>
      <x:c r="G315" t="n">
        <x:f>Dashboard_Live_Data!I69</x:f>
        <x:v>-0.442</x:v>
      </x:c>
      <x:c r="H315" t="n">
        <x:f>Dashboard_Live_Data!M69</x:f>
        <x:v>-63685.092564364764</x:v>
      </x:c>
    </x:row>
    <x:row r="316">
      <x:c r="A316" t="n">
        <x:f>Dashboard_Live_Data!I70</x:f>
        <x:v>-0.433</x:v>
      </x:c>
      <x:c r="B316" t="n">
        <x:f>Dashboard_Live_Data!J70</x:f>
        <x:v>-1.6942460296072568</x:v>
      </x:c>
      <x:c r="C316" t="n">
        <x:f>Dashboard_Live_Data!I70</x:f>
        <x:v>-0.433</x:v>
      </x:c>
      <x:c r="D316" t="n">
        <x:f>Dashboard_Live_Data!K70</x:f>
        <x:v>-22803.296578072208</x:v>
      </x:c>
      <x:c r="E316" t="n">
        <x:f>Dashboard_Live_Data!I70</x:f>
        <x:v>-0.433</x:v>
      </x:c>
      <x:c r="F316" t="n">
        <x:f>Dashboard_Live_Data!L70</x:f>
        <x:v>-58938.19185999589</x:v>
      </x:c>
      <x:c r="G316" t="n">
        <x:f>Dashboard_Live_Data!I70</x:f>
        <x:v>-0.433</x:v>
      </x:c>
      <x:c r="H316" t="n">
        <x:f>Dashboard_Live_Data!M70</x:f>
        <x:v>-61579.723356260394</x:v>
      </x:c>
    </x:row>
    <x:row r="317">
      <x:c r="A317" t="n">
        <x:f>Dashboard_Live_Data!I71</x:f>
        <x:v>-0.425</x:v>
      </x:c>
      <x:c r="B317" t="n">
        <x:f>Dashboard_Live_Data!J71</x:f>
        <x:v>-1.601553853415453</x:v>
      </x:c>
      <x:c r="C317" t="n">
        <x:f>Dashboard_Live_Data!I71</x:f>
        <x:v>-0.425</x:v>
      </x:c>
      <x:c r="D317" t="n">
        <x:f>Dashboard_Live_Data!K71</x:f>
        <x:v>-21990.41124452041</x:v>
      </x:c>
      <x:c r="E317" t="n">
        <x:f>Dashboard_Live_Data!I71</x:f>
        <x:v>-0.425</x:v>
      </x:c>
      <x:c r="F317" t="n">
        <x:f>Dashboard_Live_Data!L71</x:f>
        <x:v>-57117.53151668291</x:v>
      </x:c>
      <x:c r="G317" t="n">
        <x:f>Dashboard_Live_Data!I71</x:f>
        <x:v>-0.425</x:v>
      </x:c>
      <x:c r="H317" t="n">
        <x:f>Dashboard_Live_Data!M71</x:f>
        <x:v>-59720.04210248677</x:v>
      </x:c>
    </x:row>
    <x:row r="318">
      <x:c r="A318" t="n">
        <x:f>Dashboard_Live_Data!I72</x:f>
        <x:v>-0.417</x:v>
      </x:c>
      <x:c r="B318" t="n">
        <x:f>Dashboard_Live_Data!J72</x:f>
        <x:v>-1.512843152252799</x:v>
      </x:c>
      <x:c r="C318" t="n">
        <x:f>Dashboard_Live_Data!I72</x:f>
        <x:v>-0.417</x:v>
      </x:c>
      <x:c r="D318" t="n">
        <x:f>Dashboard_Live_Data!K72</x:f>
        <x:v>-21187.933007764404</x:v>
      </x:c>
      <x:c r="E318" t="n">
        <x:f>Dashboard_Live_Data!I72</x:f>
        <x:v>-0.417</x:v>
      </x:c>
      <x:c r="F318" t="n">
        <x:f>Dashboard_Live_Data!L72</x:f>
        <x:v>-55309.28240772686</x:v>
      </x:c>
      <x:c r="G318" t="n">
        <x:f>Dashboard_Live_Data!I72</x:f>
        <x:v>-0.417</x:v>
      </x:c>
      <x:c r="H318" t="n">
        <x:f>Dashboard_Live_Data!M72</x:f>
        <x:v>-57872.108972824644</x:v>
      </x:c>
    </x:row>
    <x:row r="319">
      <x:c r="A319" t="n">
        <x:f>Dashboard_Live_Data!I73</x:f>
        <x:v>-0.408</x:v>
      </x:c>
      <x:c r="B319" t="n">
        <x:f>Dashboard_Live_Data!J73</x:f>
        <x:v>-1.4176461878619193</x:v>
      </x:c>
      <x:c r="C319" t="n">
        <x:f>Dashboard_Live_Data!I73</x:f>
        <x:v>-0.408</x:v>
      </x:c>
      <x:c r="D319" t="n">
        <x:f>Dashboard_Live_Data!K73</x:f>
        <x:v>-20297.883237372946</x:v>
      </x:c>
      <x:c r="E319" t="n">
        <x:f>Dashboard_Live_Data!I73</x:f>
        <x:v>-0.408</x:v>
      </x:c>
      <x:c r="F319" t="n">
        <x:f>Dashboard_Live_Data!L73</x:f>
        <x:v>-53290.67307252447</x:v>
      </x:c>
      <x:c r="G319" t="n">
        <x:f>Dashboard_Live_Data!I73</x:f>
        <x:v>-0.408</x:v>
      </x:c>
      <x:c r="H319" t="n">
        <x:f>Dashboard_Live_Data!M73</x:f>
        <x:v>-55808.06323941442</x:v>
      </x:c>
    </x:row>
    <x:row r="320">
      <x:c r="A320" t="n">
        <x:f>Dashboard_Live_Data!I74</x:f>
        <x:v>-0.4</x:v>
      </x:c>
      <x:c r="B320" t="n">
        <x:f>Dashboard_Live_Data!J74</x:f>
        <x:v>-1.3369812749583616</x:v>
      </x:c>
      <x:c r="C320" t="n">
        <x:f>Dashboard_Live_Data!I74</x:f>
        <x:v>-0.4</x:v>
      </x:c>
      <x:c r="D320" t="n">
        <x:f>Dashboard_Live_Data!K74</x:f>
        <x:v>-19518.31997454776</x:v>
      </x:c>
      <x:c r="E320" t="n">
        <x:f>Dashboard_Live_Data!I74</x:f>
        <x:v>-0.4</x:v>
      </x:c>
      <x:c r="F320" t="n">
        <x:f>Dashboard_Live_Data!L74</x:f>
        <x:v>-51511.04432508859</x:v>
      </x:c>
      <x:c r="G320" t="n">
        <x:f>Dashboard_Live_Data!I74</x:f>
        <x:v>-0.4</x:v>
      </x:c>
      <x:c r="H320" t="n">
        <x:f>Dashboard_Live_Data!M74</x:f>
        <x:v>-53987.34398363595</x:v>
      </x:c>
    </x:row>
    <x:row r="321">
      <x:c r="A321" t="n">
        <x:f>Dashboard_Live_Data!I75</x:f>
        <x:v>-0.392</x:v>
      </x:c>
      <x:c r="B321" t="n">
        <x:f>Dashboard_Live_Data!J75</x:f>
        <x:v>-1.2599122492363222</x:v>
      </x:c>
      <x:c r="C321" t="n">
        <x:f>Dashboard_Live_Data!I75</x:f>
        <x:v>-0.392</x:v>
      </x:c>
      <x:c r="D321" t="n">
        <x:f>Dashboard_Live_Data!K75</x:f>
        <x:v>-18749.923928481905</x:v>
      </x:c>
      <x:c r="E321" t="n">
        <x:f>Dashboard_Live_Data!I75</x:f>
        <x:v>-0.392</x:v>
      </x:c>
      <x:c r="F321" t="n">
        <x:f>Dashboard_Live_Data!L75</x:f>
        <x:v>-49745.97565061512</x:v>
      </x:c>
      <x:c r="G321" t="n">
        <x:f>Dashboard_Live_Data!I75</x:f>
        <x:v>-0.392</x:v>
      </x:c>
      <x:c r="H321" t="n">
        <x:f>Dashboard_Live_Data!M75</x:f>
        <x:v>-52180.525354744386</x:v>
      </x:c>
    </x:row>
    <x:row r="322">
      <x:c r="A322" t="n">
        <x:f>Dashboard_Live_Data!I76</x:f>
        <x:v>-0.383</x:v>
      </x:c>
      <x:c r="B322" t="n">
        <x:f>Dashboard_Live_Data!J76</x:f>
        <x:v>-1.1773600760669751</x:v>
      </x:c>
      <x:c r="C322" t="n">
        <x:f>Dashboard_Live_Data!I76</x:f>
        <x:v>-0.383</x:v>
      </x:c>
      <x:c r="D322" t="n">
        <x:f>Dashboard_Live_Data!K76</x:f>
        <x:v>-17899.13841594477</x:v>
      </x:c>
      <x:c r="E322" t="n">
        <x:f>Dashboard_Live_Data!I76</x:f>
        <x:v>-0.383</x:v>
      </x:c>
      <x:c r="F322" t="n">
        <x:f>Dashboard_Live_Data!L76</x:f>
        <x:v>-47778.57575572333</x:v>
      </x:c>
      <x:c r="G322" t="n">
        <x:f>Dashboard_Live_Data!I76</x:f>
        <x:v>-0.383</x:v>
      </x:c>
      <x:c r="H322" t="n">
        <x:f>Dashboard_Live_Data!M76</x:f>
        <x:v>-50165.37147333971</x:v>
      </x:c>
    </x:row>
    <x:row r="323">
      <x:c r="A323" t="n">
        <x:f>Dashboard_Live_Data!I77</x:f>
        <x:v>-0.375</x:v>
      </x:c>
      <x:c r="B323" t="n">
        <x:f>Dashboard_Live_Data!J77</x:f>
        <x:v>-1.1075409744717035</x:v>
      </x:c>
      <x:c r="C323" t="n">
        <x:f>Dashboard_Live_Data!I77</x:f>
        <x:v>-0.375</x:v>
      </x:c>
      <x:c r="D323" t="n">
        <x:f>Dashboard_Live_Data!K77</x:f>
        <x:v>-17155.30788033462</x:v>
      </x:c>
      <x:c r="E323" t="n">
        <x:f>Dashboard_Live_Data!I77</x:f>
        <x:v>-0.375</x:v>
      </x:c>
      <x:c r="F323" t="n">
        <x:f>Dashboard_Live_Data!L77</x:f>
        <x:v>-46046.86225919663</x:v>
      </x:c>
      <x:c r="G323" t="n">
        <x:f>Dashboard_Live_Data!I77</x:f>
        <x:v>-0.375</x:v>
      </x:c>
      <x:c r="H323" t="n">
        <x:f>Dashboard_Live_Data!M77</x:f>
        <x:v>-48390.51527485564</x:v>
      </x:c>
    </x:row>
    <x:row r="324">
      <x:c r="A324" t="n">
        <x:f>Dashboard_Live_Data!I78</x:f>
        <x:v>-0.367</x:v>
      </x:c>
      <x:c r="B324" t="n">
        <x:f>Dashboard_Live_Data!J78</x:f>
        <x:v>-1.0409543459660426</x:v>
      </x:c>
      <x:c r="C324" t="n">
        <x:f>Dashboard_Live_Data!I78</x:f>
        <x:v>-0.367</x:v>
      </x:c>
      <x:c r="D324" t="n">
        <x:f>Dashboard_Live_Data!K78</x:f>
        <x:v>-16423.437974026107</x:v>
      </x:c>
      <x:c r="E324" t="n">
        <x:f>Dashboard_Live_Data!I78</x:f>
        <x:v>-0.367</x:v>
      </x:c>
      <x:c r="F324" t="n">
        <x:f>Dashboard_Live_Data!L78</x:f>
        <x:v>-44332.01768741841</x:v>
      </x:c>
      <x:c r="G324" t="n">
        <x:f>Dashboard_Live_Data!I78</x:f>
        <x:v>-0.367</x:v>
      </x:c>
      <x:c r="H324" t="n">
        <x:f>Dashboard_Live_Data!M78</x:f>
        <x:v>-46631.87794663328</x:v>
      </x:c>
    </x:row>
    <x:row r="325">
      <x:c r="A325" t="n">
        <x:f>Dashboard_Live_Data!I79</x:f>
        <x:v>-0.358</x:v>
      </x:c>
      <x:c r="B325" t="n">
        <x:f>Dashboard_Live_Data!J79</x:f>
        <x:v>-0.9697693759256936</x:v>
      </x:c>
      <x:c r="C325" t="n">
        <x:f>Dashboard_Live_Data!I79</x:f>
        <x:v>-0.358</x:v>
      </x:c>
      <x:c r="D325" t="n">
        <x:f>Dashboard_Live_Data!K79</x:f>
        <x:v>-15614.70610330964</x:v>
      </x:c>
      <x:c r="E325" t="n">
        <x:f>Dashboard_Live_Data!I79</x:f>
        <x:v>-0.358</x:v>
      </x:c>
      <x:c r="F325" t="n">
        <x:f>Dashboard_Live_Data!L79</x:f>
        <x:v>-42423.945096951415</x:v>
      </x:c>
      <x:c r="G325" t="n">
        <x:f>Dashboard_Live_Data!I79</x:f>
        <x:v>-0.358</x:v>
      </x:c>
      <x:c r="H325" t="n">
        <x:f>Dashboard_Live_Data!M79</x:f>
        <x:v>-44673.766867657614</x:v>
      </x:c>
    </x:row>
    <x:row r="326">
      <x:c r="A326" t="n">
        <x:f>Dashboard_Live_Data!I80</x:f>
        <x:v>-0.35</x:v>
      </x:c>
      <x:c r="B326" t="n">
        <x:f>Dashboard_Live_Data!J80</x:f>
        <x:v>-0.9096841644008009</x:v>
      </x:c>
      <x:c r="C326" t="n">
        <x:f>Dashboard_Live_Data!I80</x:f>
        <x:v>-0.35</x:v>
      </x:c>
      <x:c r="D326" t="n">
        <x:f>Dashboard_Live_Data!K80</x:f>
        <x:v>-14909.123361914171</x:v>
      </x:c>
      <x:c r="E326" t="n">
        <x:f>Dashboard_Live_Data!I80</x:f>
        <x:v>-0.35</x:v>
      </x:c>
      <x:c r="F326" t="n">
        <x:f>Dashboard_Live_Data!L80</x:f>
        <x:v>-40747.537049505336</x:v>
      </x:c>
      <x:c r="G326" t="n">
        <x:f>Dashboard_Live_Data!I80</x:f>
        <x:v>-0.35</x:v>
      </x:c>
      <x:c r="H326" t="n">
        <x:f>Dashboard_Live_Data!M80</x:f>
        <x:v>-42952.19979250127</x:v>
      </x:c>
    </x:row>
    <x:row r="327">
      <x:c r="A327" t="n">
        <x:f>Dashboard_Live_Data!I81</x:f>
        <x:v>-0.342</x:v>
      </x:c>
      <x:c r="B327" t="n">
        <x:f>Dashboard_Live_Data!J81</x:f>
        <x:v>-0.8524904108952569</x:v>
      </x:c>
      <x:c r="C327" t="n">
        <x:f>Dashboard_Live_Data!I81</x:f>
        <x:v>-0.342</x:v>
      </x:c>
      <x:c r="D327" t="n">
        <x:f>Dashboard_Live_Data!K81</x:f>
        <x:v>-14216.32826550211</x:v>
      </x:c>
      <x:c r="E327" t="n">
        <x:f>Dashboard_Live_Data!I81</x:f>
        <x:v>-0.342</x:v>
      </x:c>
      <x:c r="F327" t="n">
        <x:f>Dashboard_Live_Data!L81</x:f>
        <x:v>-39090.472738230674</x:v>
      </x:c>
      <x:c r="G327" t="n">
        <x:f>Dashboard_Live_Data!I81</x:f>
        <x:v>-0.342</x:v>
      </x:c>
      <x:c r="H327" t="n">
        <x:f>Dashboard_Live_Data!M81</x:f>
        <x:v>-41249.342022155164</x:v>
      </x:c>
    </x:row>
    <x:row r="328">
      <x:c r="A328" t="n">
        <x:f>Dashboard_Live_Data!I82</x:f>
        <x:v>-0.333</x:v>
      </x:c>
      <x:c r="B328" t="n">
        <x:f>Dashboard_Live_Data!J82</x:f>
        <x:v>-0.791473780832689</x:v>
      </x:c>
      <x:c r="C328" t="n">
        <x:f>Dashboard_Live_Data!I82</x:f>
        <x:v>-0.333</x:v>
      </x:c>
      <x:c r="D328" t="n">
        <x:f>Dashboard_Live_Data!K82</x:f>
        <x:v>-13452.55752473721</x:v>
      </x:c>
      <x:c r="E328" t="n">
        <x:f>Dashboard_Live_Data!I82</x:f>
        <x:v>-0.333</x:v>
      </x:c>
      <x:c r="F328" t="n">
        <x:f>Dashboard_Live_Data!L82</x:f>
        <x:v>-37250.42865196269</x:v>
      </x:c>
      <x:c r="G328" t="n">
        <x:f>Dashboard_Live_Data!I82</x:f>
        <x:v>-0.333</x:v>
      </x:c>
      <x:c r="H328" t="n">
        <x:f>Dashboard_Live_Data!M82</x:f>
        <x:v>-39357.02991700129</x:v>
      </x:c>
    </x:row>
    <x:row r="329">
      <x:c r="A329" t="n">
        <x:f>Dashboard_Live_Data!I83</x:f>
        <x:v>-0.325</x:v>
      </x:c>
      <x:c r="B329" t="n">
        <x:f>Dashboard_Live_Data!J83</x:f>
        <x:v>-0.7400807499819848</x:v>
      </x:c>
      <x:c r="C329" t="n">
        <x:f>Dashboard_Live_Data!I83</x:f>
        <x:v>-0.325</x:v>
      </x:c>
      <x:c r="D329" t="n">
        <x:f>Dashboard_Live_Data!K83</x:f>
        <x:v>-12787.842801368242</x:v>
      </x:c>
      <x:c r="E329" t="n">
        <x:f>Dashboard_Live_Data!I83</x:f>
        <x:v>-0.325</x:v>
      </x:c>
      <x:c r="F329" t="n">
        <x:f>Dashboard_Live_Data!L83</x:f>
        <x:v>-35637.24050020533</x:v>
      </x:c>
      <x:c r="G329" t="n">
        <x:f>Dashboard_Live_Data!I83</x:f>
        <x:v>-0.325</x:v>
      </x:c>
      <x:c r="H329" t="n">
        <x:f>Dashboard_Live_Data!M83</x:f>
        <x:v>-37696.722160192</x:v>
      </x:c>
    </x:row>
    <x:row r="330">
      <x:c r="A330" t="n">
        <x:f>Dashboard_Live_Data!I84</x:f>
        <x:v>-0.317</x:v>
      </x:c>
      <x:c r="B330" t="n">
        <x:f>Dashboard_Live_Data!J84</x:f>
        <x:v>-0.6912607618419315</x:v>
      </x:c>
      <x:c r="C330" t="n">
        <x:f>Dashboard_Live_Data!I84</x:f>
        <x:v>-0.317</x:v>
      </x:c>
      <x:c r="D330" t="n">
        <x:f>Dashboard_Live_Data!K84</x:f>
        <x:v>-12136.776407525518</x:v>
      </x:c>
      <x:c r="E330" t="n">
        <x:f>Dashboard_Live_Data!I84</x:f>
        <x:v>-0.317</x:v>
      </x:c>
      <x:c r="F330" t="n">
        <x:f>Dashboard_Live_Data!L84</x:f>
        <x:v>-34046.04194794646</x:v>
      </x:c>
      <x:c r="G330" t="n">
        <x:f>Dashboard_Live_Data!I84</x:f>
        <x:v>-0.317</x:v>
      </x:c>
      <x:c r="H330" t="n">
        <x:f>Dashboard_Live_Data!M84</x:f>
        <x:v>-36057.79176290192</x:v>
      </x:c>
    </x:row>
    <x:row r="331">
      <x:c r="A331" t="n">
        <x:f>Dashboard_Live_Data!I85</x:f>
        <x:v>-0.308</x:v>
      </x:c>
      <x:c r="B331" t="n">
        <x:f>Dashboard_Live_Data!J85</x:f>
        <x:v>-0.6392930692547907</x:v>
      </x:c>
      <x:c r="C331" t="n">
        <x:f>Dashboard_Live_Data!I85</x:f>
        <x:v>-0.308</x:v>
      </x:c>
      <x:c r="D331" t="n">
        <x:f>Dashboard_Live_Data!K85</x:f>
        <x:v>-11420.992588521869</x:v>
      </x:c>
      <x:c r="E331" t="n">
        <x:f>Dashboard_Live_Data!I85</x:f>
        <x:v>-0.308</x:v>
      </x:c>
      <x:c r="F331" t="n">
        <x:f>Dashboard_Live_Data!L85</x:f>
        <x:v>-32283.3287901734</x:v>
      </x:c>
      <x:c r="G331" t="n">
        <x:f>Dashboard_Live_Data!I85</x:f>
        <x:v>-0.308</x:v>
      </x:c>
      <x:c r="H331" t="n">
        <x:f>Dashboard_Live_Data!M85</x:f>
        <x:v>-34240.659083493854</x:v>
      </x:c>
    </x:row>
    <x:row r="332">
      <x:c r="A332" t="n">
        <x:f>Dashboard_Live_Data!I86</x:f>
        <x:v>-0.3</x:v>
      </x:c>
      <x:c r="B332" t="n">
        <x:f>Dashboard_Live_Data!J86</x:f>
        <x:v>-0.5956213488765343</x:v>
      </x:c>
      <x:c r="C332" t="n">
        <x:f>Dashboard_Live_Data!I86</x:f>
        <x:v>-0.3</x:v>
      </x:c>
      <x:c r="D332" t="n">
        <x:f>Dashboard_Live_Data!K86</x:f>
        <x:v>-10799.871032643307</x:v>
      </x:c>
      <x:c r="E332" t="n">
        <x:f>Dashboard_Live_Data!I86</x:f>
        <x:v>-0.3</x:v>
      </x:c>
      <x:c r="F332" t="n">
        <x:f>Dashboard_Live_Data!L86</x:f>
        <x:v>-30741.8141453946</x:v>
      </x:c>
      <x:c r="G332" t="n">
        <x:f>Dashboard_Live_Data!I86</x:f>
        <x:v>-0.3</x:v>
      </x:c>
      <x:c r="H332" t="n">
        <x:f>Dashboard_Live_Data!M86</x:f>
        <x:v>-32650.140682705838</x:v>
      </x:c>
    </x:row>
    <x:row r="333">
      <x:c r="A333" t="n">
        <x:f>Dashboard_Live_Data!I87</x:f>
        <x:v>-0.292</x:v>
      </x:c>
      <x:c r="B333" t="n">
        <x:f>Dashboard_Live_Data!J87</x:f>
        <x:v>-0.554227051803764</x:v>
      </x:c>
      <x:c r="C333" t="n">
        <x:f>Dashboard_Live_Data!I87</x:f>
        <x:v>-0.292</x:v>
      </x:c>
      <x:c r="D333" t="n">
        <x:f>Dashboard_Live_Data!K87</x:f>
        <x:v>-10193.291736298073</x:v>
      </x:c>
      <x:c r="E333" t="n">
        <x:f>Dashboard_Live_Data!I87</x:f>
        <x:v>-0.292</x:v>
      </x:c>
      <x:c r="F333" t="n">
        <x:f>Dashboard_Live_Data!L87</x:f>
        <x:v>-29225.110156037</x:v>
      </x:c>
      <x:c r="G333" t="n">
        <x:f>Dashboard_Live_Data!I87</x:f>
        <x:v>-0.292</x:v>
      </x:c>
      <x:c r="H333" t="n">
        <x:f>Dashboard_Live_Data!M87</x:f>
        <x:v>-31083.849529375264</x:v>
      </x:c>
    </x:row>
    <x:row r="334">
      <x:c r="A334" t="n">
        <x:f>Dashboard_Live_Data!I88</x:f>
        <x:v>-0.283</x:v>
      </x:c>
      <x:c r="B334" t="n">
        <x:f>Dashboard_Live_Data!J88</x:f>
        <x:v>-0.5102690384285324</x:v>
      </x:c>
      <x:c r="C334" t="n">
        <x:f>Dashboard_Live_Data!I88</x:f>
        <x:v>-0.283</x:v>
      </x:c>
      <x:c r="D334" t="n">
        <x:f>Dashboard_Live_Data!K88</x:f>
        <x:v>-9528.637373909565</x:v>
      </x:c>
      <x:c r="E334" t="n">
        <x:f>Dashboard_Live_Data!I88</x:f>
        <x:v>-0.283</x:v>
      </x:c>
      <x:c r="F334" t="n">
        <x:f>Dashboard_Live_Data!L88</x:f>
        <x:v>-27549.64613181504</x:v>
      </x:c>
      <x:c r="G334" t="n">
        <x:f>Dashboard_Live_Data!I88</x:f>
        <x:v>-0.283</x:v>
      </x:c>
      <x:c r="H334" t="n">
        <x:f>Dashboard_Live_Data!M88</x:f>
        <x:v>-29351.91580166448</x:v>
      </x:c>
    </x:row>
    <x:row r="335">
      <x:c r="A335" t="n">
        <x:f>Dashboard_Live_Data!I89</x:f>
        <x:v>-0.275</x:v>
      </x:c>
      <x:c r="B335" t="n">
        <x:f>Dashboard_Live_Data!J89</x:f>
        <x:v>-0.4734191912100414</x:v>
      </x:c>
      <x:c r="C335" t="n">
        <x:f>Dashboard_Live_Data!I89</x:f>
        <x:v>-0.275</x:v>
      </x:c>
      <x:c r="D335" t="n">
        <x:f>Dashboard_Live_Data!K89</x:f>
        <x:v>-8953.936813090862</x:v>
      </x:c>
      <x:c r="E335" t="n">
        <x:f>Dashboard_Live_Data!I89</x:f>
        <x:v>-0.275</x:v>
      </x:c>
      <x:c r="F335" t="n">
        <x:f>Dashboard_Live_Data!L89</x:f>
        <x:v>-26088.809681649203</x:v>
      </x:c>
      <x:c r="G335" t="n">
        <x:f>Dashboard_Live_Data!I89</x:f>
        <x:v>-0.275</x:v>
      </x:c>
      <x:c r="H335" t="n">
        <x:f>Dashboard_Live_Data!M89</x:f>
        <x:v>-27840.288392506118</x:v>
      </x:c>
    </x:row>
    <x:row r="336">
      <x:c r="A336" t="n">
        <x:f>Dashboard_Live_Data!I90</x:f>
        <x:v>-0.267</x:v>
      </x:c>
      <x:c r="B336" t="n">
        <x:f>Dashboard_Live_Data!J90</x:f>
        <x:v>-0.43857412502381976</x:v>
      </x:c>
      <x:c r="C336" t="n">
        <x:f>Dashboard_Live_Data!I90</x:f>
        <x:v>-0.267</x:v>
      </x:c>
      <x:c r="D336" t="n">
        <x:f>Dashboard_Live_Data!K90</x:f>
        <x:v>-8394.704215810816</x:v>
      </x:c>
      <x:c r="E336" t="n">
        <x:f>Dashboard_Live_Data!I90</x:f>
        <x:v>-0.267</x:v>
      </x:c>
      <x:c r="F336" t="n">
        <x:f>Dashboard_Live_Data!L90</x:f>
        <x:v>-24655.783322873118</x:v>
      </x:c>
      <x:c r="G336" t="n">
        <x:f>Dashboard_Live_Data!I90</x:f>
        <x:v>-0.267</x:v>
      </x:c>
      <x:c r="H336" t="n">
        <x:f>Dashboard_Live_Data!M90</x:f>
        <x:v>-26355.92282022885</x:v>
      </x:c>
    </x:row>
    <x:row r="337">
      <x:c r="A337" t="n">
        <x:f>Dashboard_Live_Data!I91</x:f>
        <x:v>-0.258</x:v>
      </x:c>
      <x:c r="B337" t="n">
        <x:f>Dashboard_Live_Data!J91</x:f>
        <x:v>-0.4016673031354685</x:v>
      </x:c>
      <x:c r="C337" t="n">
        <x:f>Dashboard_Live_Data!I91</x:f>
        <x:v>-0.258</x:v>
      </x:c>
      <x:c r="D337" t="n">
        <x:f>Dashboard_Live_Data!K91</x:f>
        <x:v>-7784.433251420131</x:v>
      </x:c>
      <x:c r="E337" t="n">
        <x:f>Dashboard_Live_Data!I91</x:f>
        <x:v>-0.258</x:v>
      </x:c>
      <x:c r="F337" t="n">
        <x:f>Dashboard_Live_Data!L91</x:f>
        <x:v>-23078.113644632846</x:v>
      </x:c>
      <x:c r="G337" t="n">
        <x:f>Dashboard_Live_Data!I91</x:f>
        <x:v>-0.258</x:v>
      </x:c>
      <x:c r="H337" t="n">
        <x:f>Dashboard_Live_Data!M91</x:f>
        <x:v>-24719.85672730935</x:v>
      </x:c>
    </x:row>
    <x:row r="338">
      <x:c r="A338" t="n">
        <x:f>Dashboard_Live_Data!I92</x:f>
        <x:v>-0.25</x:v>
      </x:c>
      <x:c r="B338" t="n">
        <x:f>Dashboard_Live_Data!J92</x:f>
        <x:v>-0.37081187517208036</x:v>
      </x:c>
      <x:c r="C338" t="n">
        <x:f>Dashboard_Live_Data!I92</x:f>
        <x:v>-0.25</x:v>
      </x:c>
      <x:c r="D338" t="n">
        <x:f>Dashboard_Live_Data!K92</x:f>
        <x:v>-7259.077562381237</x:v>
      </x:c>
      <x:c r="E338" t="n">
        <x:f>Dashboard_Live_Data!I92</x:f>
        <x:v>-0.25</x:v>
      </x:c>
      <x:c r="F338" t="n">
        <x:f>Dashboard_Live_Data!L92</x:f>
        <x:v>-21707.520208299306</x:v>
      </x:c>
      <x:c r="G338" t="n">
        <x:f>Dashboard_Live_Data!I92</x:f>
        <x:v>-0.25</x:v>
      </x:c>
      <x:c r="H338" t="n">
        <x:f>Dashboard_Live_Data!M92</x:f>
        <x:v>-23296.801058357276</x:v>
      </x:c>
    </x:row>
    <x:row r="339">
      <x:c r="A339" t="n">
        <x:f>Dashboard_Live_Data!I93</x:f>
        <x:v>-0.242</x:v>
      </x:c>
      <x:c r="B339" t="n">
        <x:f>Dashboard_Live_Data!J93</x:f>
        <x:v>-0.3417117286797975</x:v>
      </x:c>
      <x:c r="C339" t="n">
        <x:f>Dashboard_Live_Data!I93</x:f>
        <x:v>-0.242</x:v>
      </x:c>
      <x:c r="D339" t="n">
        <x:f>Dashboard_Live_Data!K93</x:f>
        <x:v>-6750.1435304916085</x:v>
      </x:c>
      <x:c r="E339" t="n">
        <x:f>Dashboard_Live_Data!I93</x:f>
        <x:v>-0.242</x:v>
      </x:c>
      <x:c r="F339" t="n">
        <x:f>Dashboard_Live_Data!L93</x:f>
        <x:v>-20367.91707237235</x:v>
      </x:c>
      <x:c r="G339" t="n">
        <x:f>Dashboard_Live_Data!I93</x:f>
        <x:v>-0.242</x:v>
      </x:c>
      <x:c r="H339" t="n">
        <x:f>Dashboard_Live_Data!M93</x:f>
        <x:v>-21904.22804430117</x:v>
      </x:c>
    </x:row>
    <x:row r="340">
      <x:c r="A340" t="n">
        <x:f>Dashboard_Live_Data!I94</x:f>
        <x:v>-0.233</x:v>
      </x:c>
      <x:c r="B340" t="n">
        <x:f>Dashboard_Live_Data!J94</x:f>
        <x:v>-0.3109789747541072</x:v>
      </x:c>
      <x:c r="C340" t="n">
        <x:f>Dashboard_Live_Data!I94</x:f>
        <x:v>-0.233</x:v>
      </x:c>
      <x:c r="D340" t="n">
        <x:f>Dashboard_Live_Data!K94</x:f>
        <x:v>-6197.6076393513285</x:v>
      </x:c>
      <x:c r="E340" t="n">
        <x:f>Dashboard_Live_Data!I94</x:f>
        <x:v>-0.233</x:v>
      </x:c>
      <x:c r="F340" t="n">
        <x:f>Dashboard_Live_Data!L94</x:f>
        <x:v>-18899.22242547247</x:v>
      </x:c>
      <x:c r="G340" t="n">
        <x:f>Dashboard_Live_Data!I94</x:f>
        <x:v>-0.233</x:v>
      </x:c>
      <x:c r="H340" t="n">
        <x:f>Dashboard_Live_Data!M94</x:f>
        <x:v>-20375.352826851115</x:v>
      </x:c>
    </x:row>
    <x:row r="341">
      <x:c r="A341" t="n">
        <x:f>Dashboard_Live_Data!I95</x:f>
        <x:v>-0.225</x:v>
      </x:c>
      <x:c r="B341" t="n">
        <x:f>Dashboard_Live_Data!J95</x:f>
        <x:v>-0.28536299915617747</x:v>
      </x:c>
      <x:c r="C341" t="n">
        <x:f>Dashboard_Live_Data!I95</x:f>
        <x:v>-0.225</x:v>
      </x:c>
      <x:c r="D341" t="n">
        <x:f>Dashboard_Live_Data!K95</x:f>
        <x:v>-5724.600396393598</x:v>
      </x:c>
      <x:c r="E341" t="n">
        <x:f>Dashboard_Live_Data!I95</x:f>
        <x:v>-0.225</x:v>
      </x:c>
      <x:c r="F341" t="n">
        <x:f>Dashboard_Live_Data!L95</x:f>
        <x:v>-17629.00388090052</x:v>
      </x:c>
      <x:c r="G341" t="n">
        <x:f>Dashboard_Live_Data!I95</x:f>
        <x:v>-0.225</x:v>
      </x:c>
      <x:c r="H341" t="n">
        <x:f>Dashboard_Live_Data!M95</x:f>
        <x:v>-19051.132271649607</x:v>
      </x:c>
    </x:row>
    <x:row r="342">
      <x:c r="A342" t="n">
        <x:f>Dashboard_Live_Data!I96</x:f>
        <x:v>-0.217</x:v>
      </x:c>
      <x:c r="B342" t="n">
        <x:f>Dashboard_Live_Data!J96</x:f>
        <x:v>-0.26127610188143535</x:v>
      </x:c>
      <x:c r="C342" t="n">
        <x:f>Dashboard_Live_Data!I96</x:f>
        <x:v>-0.217</x:v>
      </x:c>
      <x:c r="D342" t="n">
        <x:f>Dashboard_Live_Data!K96</x:f>
        <x:v>-5268.987544536823</x:v>
      </x:c>
      <x:c r="E342" t="n">
        <x:f>Dashboard_Live_Data!I96</x:f>
        <x:v>-0.217</x:v>
      </x:c>
      <x:c r="F342" t="n">
        <x:f>Dashboard_Live_Data!L96</x:f>
        <x:v>-16393.138607990768</x:v>
      </x:c>
      <x:c r="G342" t="n">
        <x:f>Dashboard_Live_Data!I96</x:f>
        <x:v>-0.217</x:v>
      </x:c>
      <x:c r="H342" t="n">
        <x:f>Dashboard_Live_Data!M96</x:f>
        <x:v>-17760.80185039583</x:v>
      </x:c>
    </x:row>
    <x:row r="343">
      <x:c r="A343" t="n">
        <x:f>Dashboard_Live_Data!I97</x:f>
        <x:v>-0.208</x:v>
      </x:c>
      <x:c r="B343" t="n">
        <x:f>Dashboard_Live_Data!J97</x:f>
        <x:v>-0.23592219111435497</x:v>
      </x:c>
      <x:c r="C343" t="n">
        <x:f>Dashboard_Live_Data!I97</x:f>
        <x:v>-0.208</x:v>
      </x:c>
      <x:c r="D343" t="n">
        <x:f>Dashboard_Live_Data!K97</x:f>
        <x:v>-4777.603842826582</x:v>
      </x:c>
      <x:c r="E343" t="n">
        <x:f>Dashboard_Live_Data!I97</x:f>
        <x:v>-0.208</x:v>
      </x:c>
      <x:c r="F343" t="n">
        <x:f>Dashboard_Live_Data!L97</x:f>
        <x:v>-15045.242230124342</x:v>
      </x:c>
      <x:c r="G343" t="n">
        <x:f>Dashboard_Live_Data!I97</x:f>
        <x:v>-0.208</x:v>
      </x:c>
      <x:c r="H343" t="n">
        <x:f>Dashboard_Live_Data!M97</x:f>
        <x:v>-16351.096914099966</x:v>
      </x:c>
    </x:row>
    <x:row r="344">
      <x:c r="A344" t="n">
        <x:f>Dashboard_Live_Data!I98</x:f>
        <x:v>-0.2</x:v>
      </x:c>
      <x:c r="B344" t="n">
        <x:f>Dashboard_Live_Data!J98</x:f>
        <x:v>-0.21486365220766857</x:v>
      </x:c>
      <x:c r="C344" t="n">
        <x:f>Dashboard_Live_Data!I98</x:f>
        <x:v>-0.2</x:v>
      </x:c>
      <x:c r="D344" t="n">
        <x:f>Dashboard_Live_Data!K98</x:f>
        <x:v>-4359.990199988479</x:v>
      </x:c>
      <x:c r="E344" t="n">
        <x:f>Dashboard_Live_Data!I98</x:f>
        <x:v>-0.2</x:v>
      </x:c>
      <x:c r="F344" t="n">
        <x:f>Dashboard_Live_Data!L98</x:f>
        <x:v>-13886.103797269352</x:v>
      </x:c>
      <x:c r="G344" t="n">
        <x:f>Dashboard_Live_Data!I98</x:f>
        <x:v>-0.2</x:v>
      </x:c>
      <x:c r="H344" t="n">
        <x:f>Dashboard_Live_Data!M98</x:f>
        <x:v>-15136.55814203358</x:v>
      </x:c>
    </x:row>
    <x:row r="345">
      <x:c r="A345" t="n">
        <x:f>Dashboard_Live_Data!I99</x:f>
        <x:v>-0.192</x:v>
      </x:c>
      <x:c r="B345" t="n">
        <x:f>Dashboard_Live_Data!J99</x:f>
        <x:v>-0.1951314257202057</x:v>
      </x:c>
      <x:c r="C345" t="n">
        <x:f>Dashboard_Live_Data!I99</x:f>
        <x:v>-0.192</x:v>
      </x:c>
      <x:c r="D345" t="n">
        <x:f>Dashboard_Live_Data!K99</x:f>
        <x:v>-3960.742176330219</x:v>
      </x:c>
      <x:c r="E345" t="n">
        <x:f>Dashboard_Live_Data!I99</x:f>
        <x:v>-0.192</x:v>
      </x:c>
      <x:c r="F345" t="n">
        <x:f>Dashboard_Live_Data!L99</x:f>
        <x:v>-12764.866565310112</x:v>
      </x:c>
      <x:c r="G345" t="n">
        <x:f>Dashboard_Live_Data!I99</x:f>
        <x:v>-0.192</x:v>
      </x:c>
      <x:c r="H345" t="n">
        <x:f>Dashboard_Live_Data!M99</x:f>
        <x:v>-13959.5036406426</x:v>
      </x:c>
    </x:row>
    <x:row r="346">
      <x:c r="A346" t="n">
        <x:f>Dashboard_Live_Data!I100</x:f>
        <x:v>-0.183</x:v>
      </x:c>
      <x:c r="B346" t="n">
        <x:f>Dashboard_Live_Data!J100</x:f>
        <x:v>-0.17444351947665382</x:v>
      </x:c>
      <x:c r="C346" t="n">
        <x:f>Dashboard_Live_Data!I100</x:f>
        <x:v>-0.183</x:v>
      </x:c>
      <x:c r="D346" t="n">
        <x:f>Dashboard_Live_Data!K100</x:f>
        <x:v>-3533.9191182778195</x:v>
      </x:c>
      <x:c r="E346" t="n">
        <x:f>Dashboard_Live_Data!I100</x:f>
        <x:v>-0.183</x:v>
      </x:c>
      <x:c r="F346" t="n">
        <x:f>Dashboard_Live_Data!L100</x:f>
        <x:v>-11550.242027722496</x:v>
      </x:c>
      <x:c r="G346" t="n">
        <x:f>Dashboard_Live_Data!I100</x:f>
        <x:v>-0.183</x:v>
      </x:c>
      <x:c r="H346" t="n">
        <x:f>Dashboard_Live_Data!M100</x:f>
        <x:v>-12681.604714695779</x:v>
      </x:c>
    </x:row>
    <x:row r="347">
      <x:c r="A347" t="n">
        <x:f>Dashboard_Live_Data!I101</x:f>
        <x:v>-0.175</x:v>
      </x:c>
      <x:c r="B347" t="n">
        <x:f>Dashboard_Live_Data!J101</x:f>
        <x:v>-0.15733377440119511</x:v>
      </x:c>
      <x:c r="C347" t="n">
        <x:f>Dashboard_Live_Data!I101</x:f>
        <x:v>-0.175</x:v>
      </x:c>
      <x:c r="D347" t="n">
        <x:f>Dashboard_Live_Data!K101</x:f>
        <x:v>-3174.698779983293</x:v>
      </x:c>
      <x:c r="E347" t="n">
        <x:f>Dashboard_Live_Data!I101</x:f>
        <x:v>-0.175</x:v>
      </x:c>
      <x:c r="F347" t="n">
        <x:f>Dashboard_Live_Data!L101</x:f>
        <x:v>-10513.46974524825</x:v>
      </x:c>
      <x:c r="G347" t="n">
        <x:f>Dashboard_Live_Data!I101</x:f>
        <x:v>-0.175</x:v>
      </x:c>
      <x:c r="H347" t="n">
        <x:f>Dashboard_Live_Data!M101</x:f>
        <x:v>-11588.17818289464</x:v>
      </x:c>
    </x:row>
    <x:row r="348">
      <x:c r="A348" t="n">
        <x:f>Dashboard_Live_Data!I102</x:f>
        <x:v>-0.167</x:v>
      </x:c>
      <x:c r="B348" t="n">
        <x:f>Dashboard_Live_Data!J102</x:f>
        <x:v>-0.14137113236063215</x:v>
      </x:c>
      <x:c r="C348" t="n">
        <x:f>Dashboard_Live_Data!I102</x:f>
        <x:v>-0.167</x:v>
      </x:c>
      <x:c r="D348" t="n">
        <x:f>Dashboard_Live_Data!K102</x:f>
        <x:v>-2834.7671819467178</x:v>
      </x:c>
      <x:c r="E348" t="n">
        <x:f>Dashboard_Live_Data!I102</x:f>
        <x:v>-0.167</x:v>
      </x:c>
      <x:c r="F348" t="n">
        <x:f>Dashboard_Live_Data!L102</x:f>
        <x:v>-9518.334244312478</x:v>
      </x:c>
      <x:c r="G348" t="n">
        <x:f>Dashboard_Live_Data!I102</x:f>
        <x:v>-0.167</x:v>
      </x:c>
      <x:c r="H348" t="n">
        <x:f>Dashboard_Live_Data!M102</x:f>
        <x:v>-10536.017531248719</x:v>
      </x:c>
    </x:row>
    <x:row r="349">
      <x:c r="A349" t="n">
        <x:f>Dashboard_Live_Data!I103</x:f>
        <x:v>-0.158</x:v>
      </x:c>
      <x:c r="B349" t="n">
        <x:f>Dashboard_Live_Data!J103</x:f>
        <x:v>-0.12471921807230046</x:v>
      </x:c>
      <x:c r="C349" t="n">
        <x:f>Dashboard_Live_Data!I103</x:f>
        <x:v>-0.158</x:v>
      </x:c>
      <x:c r="D349" t="n">
        <x:f>Dashboard_Live_Data!K103</x:f>
        <x:v>-2475.736579407454</x:v>
      </x:c>
      <x:c r="E349" t="n">
        <x:f>Dashboard_Live_Data!I103</x:f>
        <x:v>-0.158</x:v>
      </x:c>
      <x:c r="F349" t="n">
        <x:f>Dashboard_Live_Data!L103</x:f>
        <x:v>-8450.11460672399</x:v>
      </x:c>
      <x:c r="G349" t="n">
        <x:f>Dashboard_Live_Data!I103</x:f>
        <x:v>-0.158</x:v>
      </x:c>
      <x:c r="H349" t="n">
        <x:f>Dashboard_Live_Data!M103</x:f>
        <x:v>-9403.219768093775</x:v>
      </x:c>
    </x:row>
    <x:row r="350">
      <x:c r="A350" t="n">
        <x:f>Dashboard_Live_Data!I104</x:f>
        <x:v>-0.15</x:v>
      </x:c>
      <x:c r="B350" t="n">
        <x:f>Dashboard_Live_Data!J104</x:f>
        <x:v>-0.11102336728663431</x:v>
      </x:c>
      <x:c r="C350" t="n">
        <x:f>Dashboard_Live_Data!I104</x:f>
        <x:v>-0.15</x:v>
      </x:c>
      <x:c r="D350" t="n">
        <x:f>Dashboard_Live_Data!K104</x:f>
        <x:v>-2177.6671843117474</x:v>
      </x:c>
      <x:c r="E350" t="n">
        <x:f>Dashboard_Live_Data!I104</x:f>
        <x:v>-0.15</x:v>
      </x:c>
      <x:c r="F350" t="n">
        <x:f>Dashboard_Live_Data!L104</x:f>
        <x:v>-7547.5826717634845</x:v>
      </x:c>
      <x:c r="G350" t="n">
        <x:f>Dashboard_Live_Data!I104</x:f>
        <x:v>-0.15</x:v>
      </x:c>
      <x:c r="H350" t="n">
        <x:f>Dashboard_Live_Data!M104</x:f>
        <x:v>-8442.924503822665</x:v>
      </x:c>
    </x:row>
    <x:row r="351">
      <x:c r="A351" t="n">
        <x:f>Dashboard_Live_Data!I105</x:f>
        <x:v>-0.142</x:v>
      </x:c>
      <x:c r="B351" t="n">
        <x:f>Dashboard_Live_Data!J105</x:f>
        <x:v>-0.09831908205035234</x:v>
      </x:c>
      <x:c r="C351" t="n">
        <x:f>Dashboard_Live_Data!I105</x:f>
        <x:v>-0.142</x:v>
      </x:c>
      <x:c r="D351" t="n">
        <x:f>Dashboard_Live_Data!K105</x:f>
        <x:v>-1899.6570192596373</x:v>
      </x:c>
      <x:c r="E351" t="n">
        <x:f>Dashboard_Live_Data!I105</x:f>
        <x:v>-0.142</x:v>
      </x:c>
      <x:c r="F351" t="n">
        <x:f>Dashboard_Live_Data!L105</x:f>
        <x:v>-6690.610806332428</x:v>
      </x:c>
      <x:c r="G351" t="n">
        <x:f>Dashboard_Live_Data!I105</x:f>
        <x:v>-0.142</x:v>
      </x:c>
      <x:c r="H351" t="n">
        <x:f>Dashboard_Live_Data!M105</x:f>
        <x:v>-7527.867382246135</x:v>
      </x:c>
    </x:row>
    <x:row r="352">
      <x:c r="A352" t="n">
        <x:f>Dashboard_Live_Data!I106</x:f>
        <x:v>-0.133</x:v>
      </x:c>
      <x:c r="B352" t="n">
        <x:f>Dashboard_Live_Data!J106</x:f>
        <x:v>-0.08515635971855318</x:v>
      </x:c>
      <x:c r="C352" t="n">
        <x:f>Dashboard_Live_Data!I106</x:f>
        <x:v>-0.133</x:v>
      </x:c>
      <x:c r="D352" t="n">
        <x:f>Dashboard_Live_Data!K106</x:f>
        <x:v>-1611.097851974435</x:v>
      </x:c>
      <x:c r="E352" t="n">
        <x:f>Dashboard_Live_Data!I106</x:f>
        <x:v>-0.133</x:v>
      </x:c>
      <x:c r="F352" t="n">
        <x:f>Dashboard_Live_Data!L106</x:f>
        <x:v>-5782.586392976991</x:v>
      </x:c>
      <x:c r="G352" t="n">
        <x:f>Dashboard_Live_Data!I106</x:f>
        <x:v>-0.133</x:v>
      </x:c>
      <x:c r="H352" t="n">
        <x:f>Dashboard_Live_Data!M106</x:f>
        <x:v>-6554.136414658264</x:v>
      </x:c>
    </x:row>
    <x:row r="353">
      <x:c r="A353" t="n">
        <x:f>Dashboard_Live_Data!I107</x:f>
        <x:v>-0.125</x:v>
      </x:c>
      <x:c r="B353" t="n">
        <x:f>Dashboard_Live_Data!J107</x:f>
        <x:v>-0.07441357867173792</x:v>
      </x:c>
      <x:c r="C353" t="n">
        <x:f>Dashboard_Live_Data!I107</x:f>
        <x:v>-0.125</x:v>
      </x:c>
      <x:c r="D353" t="n">
        <x:f>Dashboard_Live_Data!K107</x:f>
        <x:v>-1376.257653004077</x:v>
      </x:c>
      <x:c r="E353" t="n">
        <x:f>Dashboard_Live_Data!I107</x:f>
        <x:v>-0.125</x:v>
      </x:c>
      <x:c r="F353" t="n">
        <x:f>Dashboard_Live_Data!L107</x:f>
        <x:v>-5026.741503405137</x:v>
      </x:c>
      <x:c r="G353" t="n">
        <x:f>Dashboard_Live_Data!I107</x:f>
        <x:v>-0.125</x:v>
      </x:c>
      <x:c r="H353" t="n">
        <x:f>Dashboard_Live_Data!M107</x:f>
        <x:v>-5739.591971731104</x:v>
      </x:c>
    </x:row>
    <x:row r="354">
      <x:c r="A354" t="n">
        <x:f>Dashboard_Live_Data!I108</x:f>
        <x:v>-0.117</x:v>
      </x:c>
      <x:c r="B354" t="n">
        <x:f>Dashboard_Live_Data!J108</x:f>
        <x:v>-0.06453059099612801</x:v>
      </x:c>
      <x:c r="C354" t="n">
        <x:f>Dashboard_Live_Data!I108</x:f>
        <x:v>-0.117</x:v>
      </x:c>
      <x:c r="D354" t="n">
        <x:f>Dashboard_Live_Data!K108</x:f>
        <x:v>-1161.8662425758666</x:v>
      </x:c>
      <x:c r="E354" t="n">
        <x:f>Dashboard_Live_Data!I108</x:f>
        <x:v>-0.117</x:v>
      </x:c>
      <x:c r="F354" t="n">
        <x:f>Dashboard_Live_Data!L108</x:f>
        <x:v>-4320.543295968455</x:v>
      </x:c>
      <x:c r="G354" t="n">
        <x:f>Dashboard_Live_Data!I108</x:f>
        <x:v>-0.117</x:v>
      </x:c>
      <x:c r="H354" t="n">
        <x:f>Dashboard_Live_Data!M108</x:f>
        <x:v>-4974.4518534386225</x:v>
      </x:c>
    </x:row>
    <x:row r="355">
      <x:c r="A355" t="n">
        <x:f>Dashboard_Live_Data!I109</x:f>
        <x:v>-0.108</x:v>
      </x:c>
      <x:c r="B355" t="n">
        <x:f>Dashboard_Live_Data!J109</x:f>
        <x:v>-0.05439381022904399</x:v>
      </x:c>
      <x:c r="C355" t="n">
        <x:f>Dashboard_Live_Data!I109</x:f>
        <x:v>-0.108</x:v>
      </x:c>
      <x:c r="D355" t="n">
        <x:f>Dashboard_Live_Data!K109</x:f>
        <x:v>-945.0864313584152</x:v>
      </x:c>
      <x:c r="E355" t="n">
        <x:f>Dashboard_Live_Data!I109</x:f>
        <x:v>-0.108</x:v>
      </x:c>
      <x:c r="F355" t="n">
        <x:f>Dashboard_Live_Data!L109</x:f>
        <x:v>-3587.063067524843</x:v>
      </x:c>
      <x:c r="G355" t="n">
        <x:f>Dashboard_Live_Data!I109</x:f>
        <x:v>-0.108</x:v>
      </x:c>
      <x:c r="H355" t="n">
        <x:f>Dashboard_Live_Data!M109</x:f>
        <x:v>-4174.431723955735</x:v>
      </x:c>
    </x:row>
    <x:row r="356">
      <x:c r="A356" t="n">
        <x:f>Dashboard_Live_Data!I110</x:f>
        <x:v>-0.1</x:v>
      </x:c>
      <x:c r="B356" t="n">
        <x:f>Dashboard_Live_Data!J110</x:f>
        <x:v>-0.04621763118234412</x:v>
      </x:c>
      <x:c r="C356" t="n">
        <x:f>Dashboard_Live_Data!I110</x:f>
        <x:v>-0.1</x:v>
      </x:c>
      <x:c r="D356" t="n">
        <x:f>Dashboard_Live_Data!K110</x:f>
        <x:v>-773.9404461593731</x:v>
      </x:c>
      <x:c r="E356" t="n">
        <x:f>Dashboard_Live_Data!I110</x:f>
        <x:v>-0.1</x:v>
      </x:c>
      <x:c r="F356" t="n">
        <x:f>Dashboard_Live_Data!L110</x:f>
        <x:v>-2990.7521080161314</x:v>
      </x:c>
      <x:c r="G356" t="n">
        <x:f>Dashboard_Live_Data!I110</x:f>
        <x:v>-0.1</x:v>
      </x:c>
      <x:c r="H356" t="n">
        <x:f>Dashboard_Live_Data!M110</x:f>
        <x:v>-3518.8494159470647</x:v>
      </x:c>
    </x:row>
    <x:row r="357">
      <x:c r="A357" t="n">
        <x:f>Dashboard_Live_Data!I111</x:f>
        <x:v>-0.092</x:v>
      </x:c>
      <x:c r="B357" t="n">
        <x:f>Dashboard_Live_Data!J111</x:f>
        <x:v>-0.038793322623632776</x:v>
      </x:c>
      <x:c r="C357" t="n">
        <x:f>Dashboard_Live_Data!I111</x:f>
        <x:v>-0.092</x:v>
      </x:c>
      <x:c r="D357" t="n">
        <x:f>Dashboard_Live_Data!K111</x:f>
        <x:v>-622.7876519774909</x:v>
      </x:c>
      <x:c r="E357" t="n">
        <x:f>Dashboard_Live_Data!I111</x:f>
        <x:v>-0.092</x:v>
      </x:c>
      <x:c r="F357" t="n">
        <x:f>Dashboard_Live_Data!L111</x:f>
        <x:v>-2448.174221919682</x:v>
      </x:c>
      <x:c r="G357" t="n">
        <x:f>Dashboard_Live_Data!I111</x:f>
        <x:v>-0.092</x:v>
      </x:c>
      <x:c r="H357" t="n">
        <x:f>Dashboard_Live_Data!M111</x:f>
        <x:v>-2916.9995331569153</x:v>
      </x:c>
    </x:row>
    <x:row r="358">
      <x:c r="A358" t="n">
        <x:f>Dashboard_Live_Data!I112</x:f>
        <x:v>-0.083</x:v>
      </x:c>
      <x:c r="B358" t="n">
        <x:f>Dashboard_Live_Data!J112</x:f>
        <x:v>-0.031303072409855304</x:v>
      </x:c>
      <x:c r="C358" t="n">
        <x:f>Dashboard_Live_Data!I112</x:f>
        <x:v>-0.083</x:v>
      </x:c>
      <x:c r="D358" t="n">
        <x:f>Dashboard_Live_Data!K112</x:f>
        <x:v>-476.0772849904715</x:v>
      </x:c>
      <x:c r="E358" t="n">
        <x:f>Dashboard_Live_Data!I112</x:f>
        <x:v>-0.083</x:v>
      </x:c>
      <x:c r="F358" t="n">
        <x:f>Dashboard_Live_Data!L112</x:f>
        <x:v>-1903.505948859045</x:v>
      </x:c>
      <x:c r="G358" t="n">
        <x:f>Dashboard_Live_Data!I112</x:f>
        <x:v>-0.083</x:v>
      </x:c>
      <x:c r="H358" t="n">
        <x:f>Dashboard_Live_Data!M112</x:f>
        <x:v>-2305.8725854526674</x:v>
      </x:c>
    </x:row>
    <x:row r="359">
      <x:c r="A359" t="n">
        <x:f>Dashboard_Live_Data!I113</x:f>
        <x:v>-0.075</x:v>
      </x:c>
      <x:c r="B359" t="n">
        <x:f>Dashboard_Live_Data!J113</x:f>
        <x:v>-0.025381627713954913</x:v>
      </x:c>
      <x:c r="C359" t="n">
        <x:f>Dashboard_Live_Data!I113</x:f>
        <x:v>-0.075</x:v>
      </x:c>
      <x:c r="D359" t="n">
        <x:f>Dashboard_Live_Data!K113</x:f>
        <x:v>-365.6858715468552</x:v>
      </x:c>
      <x:c r="E359" t="n">
        <x:f>Dashboard_Live_Data!I113</x:f>
        <x:v>-0.075</x:v>
      </x:c>
      <x:c r="F359" t="n">
        <x:f>Dashboard_Live_Data!L113</x:f>
        <x:v>-1478.9642244424758</x:v>
      </x:c>
      <x:c r="G359" t="n">
        <x:f>Dashboard_Live_Data!I113</x:f>
        <x:v>-0.075</x:v>
      </x:c>
      <x:c r="H359" t="n">
        <x:f>Dashboard_Live_Data!M113</x:f>
        <x:v>-1822.7678078152858</x:v>
      </x:c>
    </x:row>
    <x:row r="360">
      <x:c r="A360" t="n">
        <x:f>Dashboard_Live_Data!I114</x:f>
        <x:v>-0.067</x:v>
      </x:c>
      <x:c r="B360" t="n">
        <x:f>Dashboard_Live_Data!J114</x:f>
        <x:v>-0.02012804017840608</x:v>
      </x:c>
      <x:c r="C360" t="n">
        <x:f>Dashboard_Live_Data!I114</x:f>
        <x:v>-0.067</x:v>
      </x:c>
      <x:c r="D360" t="n">
        <x:f>Dashboard_Live_Data!K114</x:f>
        <x:v>-273.20619150514904</x:v>
      </x:c>
      <x:c r="E360" t="n">
        <x:f>Dashboard_Live_Data!I114</x:f>
        <x:v>-0.067</x:v>
      </x:c>
      <x:c r="F360" t="n">
        <x:f>Dashboard_Live_Data!L114</x:f>
        <x:v>-1111.366579203488</x:v>
      </x:c>
      <x:c r="G360" t="n">
        <x:f>Dashboard_Live_Data!I114</x:f>
        <x:v>-0.067</x:v>
      </x:c>
      <x:c r="H360" t="n">
        <x:f>Dashboard_Live_Data!M114</x:f>
        <x:v>-1397.552072156148</x:v>
      </x:c>
    </x:row>
    <x:row r="361">
      <x:c r="A361" t="n">
        <x:f>Dashboard_Live_Data!I115</x:f>
        <x:v>-0.058</x:v>
      </x:c>
      <x:c r="B361" t="n">
        <x:f>Dashboard_Live_Data!J115</x:f>
        <x:v>-0.014988976835297763</x:v>
      </x:c>
      <x:c r="C361" t="n">
        <x:f>Dashboard_Live_Data!I115</x:f>
        <x:v>-0.058</x:v>
      </x:c>
      <x:c r="D361" t="n">
        <x:f>Dashboard_Live_Data!K115</x:f>
        <x:v>-189.13531467878693</x:v>
      </x:c>
      <x:c r="E361" t="n">
        <x:f>Dashboard_Live_Data!I115</x:f>
        <x:v>-0.058</x:v>
      </x:c>
      <x:c r="F361" t="n">
        <x:f>Dashboard_Live_Data!L115</x:f>
        <x:v>-766.3118882481267</x:v>
      </x:c>
      <x:c r="G361" t="n">
        <x:f>Dashboard_Live_Data!I115</x:f>
        <x:v>-0.058</x:v>
      </x:c>
      <x:c r="H361" t="n">
        <x:f>Dashboard_Live_Data!M115</x:f>
        <x:v>-989.6747178815604</x:v>
      </x:c>
    </x:row>
    <x:row r="362">
      <x:c r="A362" t="n">
        <x:f>Dashboard_Live_Data!I116</x:f>
        <x:v>-0.05</x:v>
      </x:c>
      <x:c r="B362" t="n">
        <x:f>Dashboard_Live_Data!J116</x:f>
        <x:v>-0.011085185236197503</x:v>
      </x:c>
      <x:c r="C362" t="n">
        <x:f>Dashboard_Live_Data!I116</x:f>
        <x:v>-0.05</x:v>
      </x:c>
      <x:c r="D362" t="n">
        <x:f>Dashboard_Live_Data!K116</x:f>
        <x:v>-130.5838257490177</x:v>
      </x:c>
      <x:c r="E362" t="n">
        <x:f>Dashboard_Live_Data!I116</x:f>
        <x:v>-0.05</x:v>
      </x:c>
      <x:c r="F362" t="n">
        <x:f>Dashboard_Live_Data!L116</x:f>
        <x:v>-520.010223424264</x:v>
      </x:c>
      <x:c r="G362" t="n">
        <x:f>Dashboard_Live_Data!I116</x:f>
        <x:v>-0.05</x:v>
      </x:c>
      <x:c r="H362" t="n">
        <x:f>Dashboard_Live_Data!M116</x:f>
        <x:v>-690.4618564313296</x:v>
      </x:c>
    </x:row>
    <x:row r="363">
      <x:c r="A363" t="n">
        <x:f>Dashboard_Live_Data!I117</x:f>
        <x:v>-0.042</x:v>
      </x:c>
      <x:c r="B363" t="n">
        <x:f>Dashboard_Live_Data!J117</x:f>
        <x:v>-0.007789207541122778</x:v>
      </x:c>
      <x:c r="C363" t="n">
        <x:f>Dashboard_Live_Data!I117</x:f>
        <x:v>-0.042</x:v>
      </x:c>
      <x:c r="D363" t="n">
        <x:f>Dashboard_Live_Data!K117</x:f>
        <x:v>-85.53253798029891</x:v>
      </x:c>
      <x:c r="E363" t="n">
        <x:f>Dashboard_Live_Data!I117</x:f>
        <x:v>-0.042</x:v>
      </x:c>
      <x:c r="F363" t="n">
        <x:f>Dashboard_Live_Data!L117</x:f>
        <x:v>-328.85027552274187</x:v>
      </x:c>
      <x:c r="G363" t="n">
        <x:f>Dashboard_Live_Data!I117</x:f>
        <x:v>-0.042</x:v>
      </x:c>
      <x:c r="H363" t="n">
        <x:f>Dashboard_Live_Data!M117</x:f>
        <x:v>-450.68761011315837</x:v>
      </x:c>
    </x:row>
    <x:row r="364">
      <x:c r="A364" t="n">
        <x:f>Dashboard_Live_Data!I118</x:f>
        <x:v>-0.033</x:v>
      </x:c>
      <x:c r="B364" t="n">
        <x:f>Dashboard_Live_Data!J118</x:f>
        <x:v>-0.00479024185108301</x:v>
      </x:c>
      <x:c r="C364" t="n">
        <x:f>Dashboard_Live_Data!I118</x:f>
        <x:v>-0.033</x:v>
      </x:c>
      <x:c r="D364" t="n">
        <x:f>Dashboard_Live_Data!K118</x:f>
        <x:v>-48.70715008078969</x:v>
      </x:c>
      <x:c r="E364" t="n">
        <x:f>Dashboard_Live_Data!I118</x:f>
        <x:v>-0.033</x:v>
      </x:c>
      <x:c r="F364" t="n">
        <x:f>Dashboard_Live_Data!L118</x:f>
        <x:v>-175.28477054044197</x:v>
      </x:c>
      <x:c r="G364" t="n">
        <x:f>Dashboard_Live_Data!I118</x:f>
        <x:v>-0.033</x:v>
      </x:c>
      <x:c r="H364" t="n">
        <x:f>Dashboard_Live_Data!M118</x:f>
        <x:v>-249.93122636938642</x:v>
      </x:c>
    </x:row>
    <x:row r="365">
      <x:c r="A365" t="n">
        <x:f>Dashboard_Live_Data!I119</x:f>
        <x:v>-0.025</x:v>
      </x:c>
      <x:c r="B365" t="n">
        <x:f>Dashboard_Live_Data!J119</x:f>
        <x:v>-0.0027419606900593863</x:v>
      </x:c>
      <x:c r="C365" t="n">
        <x:f>Dashboard_Live_Data!I119</x:f>
        <x:v>-0.025</x:v>
      </x:c>
      <x:c r="D365" t="n">
        <x:f>Dashboard_Live_Data!K119</x:f>
        <x:v>-26.20922916708696</x:v>
      </x:c>
      <x:c r="E365" t="n">
        <x:f>Dashboard_Live_Data!I119</x:f>
        <x:v>-0.025</x:v>
      </x:c>
      <x:c r="F365" t="n">
        <x:f>Dashboard_Live_Data!L119</x:f>
        <x:v>-86.79473246431189</x:v>
      </x:c>
      <x:c r="G365" t="n">
        <x:f>Dashboard_Live_Data!I119</x:f>
        <x:v>-0.025</x:v>
      </x:c>
      <x:c r="H365" t="n">
        <x:f>Dashboard_Live_Data!M119</x:f>
        <x:v>-128.3739092290234</x:v>
      </x:c>
    </x:row>
    <x:row r="366">
      <x:c r="A366" t="n">
        <x:f>Dashboard_Live_Data!I120</x:f>
        <x:v>-0.017</x:v>
      </x:c>
      <x:c r="B366" t="n">
        <x:f>Dashboard_Live_Data!J120</x:f>
        <x:v>-0.0012654526615278883</x:v>
      </x:c>
      <x:c r="C366" t="n">
        <x:f>Dashboard_Live_Data!I120</x:f>
        <x:v>-0.017</x:v>
      </x:c>
      <x:c r="D366" t="n">
        <x:f>Dashboard_Live_Data!K120</x:f>
        <x:v>-11.501173772391667</x:v>
      </x:c>
      <x:c r="E366" t="n">
        <x:f>Dashboard_Live_Data!I120</x:f>
        <x:v>-0.017</x:v>
      </x:c>
      <x:c r="F366" t="n">
        <x:f>Dashboard_Live_Data!L120</x:f>
        <x:v>-34.56744155919023</x:v>
      </x:c>
      <x:c r="G366" t="n">
        <x:f>Dashboard_Live_Data!I120</x:f>
        <x:v>-0.017</x:v>
      </x:c>
      <x:c r="H366" t="n">
        <x:f>Dashboard_Live_Data!M120</x:f>
        <x:v>-52.890554438504296</x:v>
      </x:c>
    </x:row>
    <x:row r="367">
      <x:c r="A367" t="n">
        <x:f>Dashboard_Live_Data!I121</x:f>
        <x:v>-0.008</x:v>
      </x:c>
      <x:c r="B367" t="n">
        <x:f>Dashboard_Live_Data!J121</x:f>
        <x:v>-0.0002798786321136504</x:v>
      </x:c>
      <x:c r="C367" t="n">
        <x:f>Dashboard_Live_Data!I121</x:f>
        <x:v>-0.008</x:v>
      </x:c>
      <x:c r="D367" t="n">
        <x:f>Dashboard_Live_Data!K121</x:f>
        <x:v>-2.4515400940208565</x:v>
      </x:c>
      <x:c r="E367" t="n">
        <x:f>Dashboard_Live_Data!I121</x:f>
        <x:v>-0.008</x:v>
      </x:c>
      <x:c r="F367" t="n">
        <x:f>Dashboard_Live_Data!L121</x:f>
        <x:v>-6.7016754171791035</x:v>
      </x:c>
      <x:c r="G367" t="n">
        <x:f>Dashboard_Live_Data!I121</x:f>
        <x:v>-0.008</x:v>
      </x:c>
      <x:c r="H367" t="n">
        <x:f>Dashboard_Live_Data!M121</x:f>
        <x:v>-10.54136055730396</x:v>
      </x:c>
    </x:row>
    <x:row r="368">
      <x:c r="A368" t="n">
        <x:f>Dashboard_Live_Data!I122</x:f>
        <x:v>0</x:v>
      </x:c>
      <x:c r="B368" t="n">
        <x:f>Dashboard_Live_Data!J122</x:f>
        <x:v>0</x:v>
      </x:c>
      <x:c r="C368" t="n">
        <x:f>Dashboard_Live_Data!I122</x:f>
        <x:v>0</x:v>
      </x:c>
      <x:c r="D368" t="n">
        <x:f>Dashboard_Live_Data!K122</x:f>
        <x:v>0</x:v>
      </x:c>
      <x:c r="E368" t="n">
        <x:f>Dashboard_Live_Data!I122</x:f>
        <x:v>0</x:v>
      </x:c>
      <x:c r="F368" t="n">
        <x:f>Dashboard_Live_Data!L122</x:f>
        <x:v>0</x:v>
      </x:c>
      <x:c r="G368" t="n">
        <x:f>Dashboard_Live_Data!I122</x:f>
        <x:v>0</x:v>
      </x:c>
      <x:c r="H368" t="n">
        <x:f>Dashboard_Live_Data!M122</x:f>
        <x:v>0</x:v>
      </x:c>
    </x:row>
    <x:row r="369">
      <x:c r="A369" t="n">
        <x:f>Dashboard_Live_Data!I123</x:f>
        <x:v>0.008</x:v>
      </x:c>
      <x:c r="B369" t="n">
        <x:f>Dashboard_Live_Data!J123</x:f>
        <x:v>-0.0002798786321136504</x:v>
      </x:c>
      <x:c r="C369" t="n">
        <x:f>Dashboard_Live_Data!I123</x:f>
        <x:v>0.008</x:v>
      </x:c>
      <x:c r="D369" t="n">
        <x:f>Dashboard_Live_Data!K123</x:f>
        <x:v>-2.4515400940208565</x:v>
      </x:c>
      <x:c r="E369" t="n">
        <x:f>Dashboard_Live_Data!I123</x:f>
        <x:v>0.008</x:v>
      </x:c>
      <x:c r="F369" t="n">
        <x:f>Dashboard_Live_Data!L123</x:f>
        <x:v>-6.7016754171791035</x:v>
      </x:c>
      <x:c r="G369" t="n">
        <x:f>Dashboard_Live_Data!I123</x:f>
        <x:v>0.008</x:v>
      </x:c>
      <x:c r="H369" t="n">
        <x:f>Dashboard_Live_Data!M123</x:f>
        <x:v>-10.54136055730396</x:v>
      </x:c>
    </x:row>
    <x:row r="370">
      <x:c r="A370" t="n">
        <x:f>Dashboard_Live_Data!I124</x:f>
        <x:v>0.017</x:v>
      </x:c>
      <x:c r="B370" t="n">
        <x:f>Dashboard_Live_Data!J124</x:f>
        <x:v>-0.0012654526615278883</x:v>
      </x:c>
      <x:c r="C370" t="n">
        <x:f>Dashboard_Live_Data!I124</x:f>
        <x:v>0.017</x:v>
      </x:c>
      <x:c r="D370" t="n">
        <x:f>Dashboard_Live_Data!K124</x:f>
        <x:v>-11.501173772391667</x:v>
      </x:c>
      <x:c r="E370" t="n">
        <x:f>Dashboard_Live_Data!I124</x:f>
        <x:v>0.017</x:v>
      </x:c>
      <x:c r="F370" t="n">
        <x:f>Dashboard_Live_Data!L124</x:f>
        <x:v>-34.56744155918659</x:v>
      </x:c>
      <x:c r="G370" t="n">
        <x:f>Dashboard_Live_Data!I124</x:f>
        <x:v>0.017</x:v>
      </x:c>
      <x:c r="H370" t="n">
        <x:f>Dashboard_Live_Data!M124</x:f>
        <x:v>-52.89055443850248</x:v>
      </x:c>
    </x:row>
    <x:row r="371">
      <x:c r="A371" t="n">
        <x:f>Dashboard_Live_Data!I125</x:f>
        <x:v>0.025</x:v>
      </x:c>
      <x:c r="B371" t="n">
        <x:f>Dashboard_Live_Data!J125</x:f>
        <x:v>-0.0027419606900593863</x:v>
      </x:c>
      <x:c r="C371" t="n">
        <x:f>Dashboard_Live_Data!I125</x:f>
        <x:v>0.025</x:v>
      </x:c>
      <x:c r="D371" t="n">
        <x:f>Dashboard_Live_Data!K125</x:f>
        <x:v>-26.20922916708696</x:v>
      </x:c>
      <x:c r="E371" t="n">
        <x:f>Dashboard_Live_Data!I125</x:f>
        <x:v>0.025</x:v>
      </x:c>
      <x:c r="F371" t="n">
        <x:f>Dashboard_Live_Data!L125</x:f>
        <x:v>-86.79473246430734</x:v>
      </x:c>
      <x:c r="G371" t="n">
        <x:f>Dashboard_Live_Data!I125</x:f>
        <x:v>0.025</x:v>
      </x:c>
      <x:c r="H371" t="n">
        <x:f>Dashboard_Live_Data!M125</x:f>
        <x:v>-128.37390922901977</x:v>
      </x:c>
    </x:row>
    <x:row r="372">
      <x:c r="A372" t="n">
        <x:f>Dashboard_Live_Data!I126</x:f>
        <x:v>0.033</x:v>
      </x:c>
      <x:c r="B372" t="n">
        <x:f>Dashboard_Live_Data!J126</x:f>
        <x:v>-0.00479024185108301</x:v>
      </x:c>
      <x:c r="C372" t="n">
        <x:f>Dashboard_Live_Data!I126</x:f>
        <x:v>0.033</x:v>
      </x:c>
      <x:c r="D372" t="n">
        <x:f>Dashboard_Live_Data!K126</x:f>
        <x:v>-48.70715008078969</x:v>
      </x:c>
      <x:c r="E372" t="n">
        <x:f>Dashboard_Live_Data!I126</x:f>
        <x:v>0.033</x:v>
      </x:c>
      <x:c r="F372" t="n">
        <x:f>Dashboard_Live_Data!L126</x:f>
        <x:v>-175.28477054044197</x:v>
      </x:c>
      <x:c r="G372" t="n">
        <x:f>Dashboard_Live_Data!I126</x:f>
        <x:v>0.033</x:v>
      </x:c>
      <x:c r="H372" t="n">
        <x:f>Dashboard_Live_Data!M126</x:f>
        <x:v>-249.93122636938642</x:v>
      </x:c>
    </x:row>
    <x:row r="373">
      <x:c r="A373" t="n">
        <x:f>Dashboard_Live_Data!I127</x:f>
        <x:v>0.042</x:v>
      </x:c>
      <x:c r="B373" t="n">
        <x:f>Dashboard_Live_Data!J127</x:f>
        <x:v>-0.007789207541122778</x:v>
      </x:c>
      <x:c r="C373" t="n">
        <x:f>Dashboard_Live_Data!I127</x:f>
        <x:v>0.042</x:v>
      </x:c>
      <x:c r="D373" t="n">
        <x:f>Dashboard_Live_Data!K127</x:f>
        <x:v>-85.53253798029891</x:v>
      </x:c>
      <x:c r="E373" t="n">
        <x:f>Dashboard_Live_Data!I127</x:f>
        <x:v>0.042</x:v>
      </x:c>
      <x:c r="F373" t="n">
        <x:f>Dashboard_Live_Data!L127</x:f>
        <x:v>-328.85027552274187</x:v>
      </x:c>
      <x:c r="G373" t="n">
        <x:f>Dashboard_Live_Data!I127</x:f>
        <x:v>0.042</x:v>
      </x:c>
      <x:c r="H373" t="n">
        <x:f>Dashboard_Live_Data!M127</x:f>
        <x:v>-450.68761011315837</x:v>
      </x:c>
    </x:row>
    <x:row r="374">
      <x:c r="A374" t="n">
        <x:f>Dashboard_Live_Data!I128</x:f>
        <x:v>0.05</x:v>
      </x:c>
      <x:c r="B374" t="n">
        <x:f>Dashboard_Live_Data!J128</x:f>
        <x:v>-0.011085185236197503</x:v>
      </x:c>
      <x:c r="C374" t="n">
        <x:f>Dashboard_Live_Data!I128</x:f>
        <x:v>0.05</x:v>
      </x:c>
      <x:c r="D374" t="n">
        <x:f>Dashboard_Live_Data!K128</x:f>
        <x:v>-130.5838257490177</x:v>
      </x:c>
      <x:c r="E374" t="n">
        <x:f>Dashboard_Live_Data!I128</x:f>
        <x:v>0.05</x:v>
      </x:c>
      <x:c r="F374" t="n">
        <x:f>Dashboard_Live_Data!L128</x:f>
        <x:v>-520.010223424264</x:v>
      </x:c>
      <x:c r="G374" t="n">
        <x:f>Dashboard_Live_Data!I128</x:f>
        <x:v>0.05</x:v>
      </x:c>
      <x:c r="H374" t="n">
        <x:f>Dashboard_Live_Data!M128</x:f>
        <x:v>-690.4618564313296</x:v>
      </x:c>
    </x:row>
    <x:row r="375">
      <x:c r="A375" t="n">
        <x:f>Dashboard_Live_Data!I129</x:f>
        <x:v>0.058</x:v>
      </x:c>
      <x:c r="B375" t="n">
        <x:f>Dashboard_Live_Data!J129</x:f>
        <x:v>-0.014988976835297763</x:v>
      </x:c>
      <x:c r="C375" t="n">
        <x:f>Dashboard_Live_Data!I129</x:f>
        <x:v>0.058</x:v>
      </x:c>
      <x:c r="D375" t="n">
        <x:f>Dashboard_Live_Data!K129</x:f>
        <x:v>-189.13531467878693</x:v>
      </x:c>
      <x:c r="E375" t="n">
        <x:f>Dashboard_Live_Data!I129</x:f>
        <x:v>0.058</x:v>
      </x:c>
      <x:c r="F375" t="n">
        <x:f>Dashboard_Live_Data!L129</x:f>
        <x:v>-766.3118882481267</x:v>
      </x:c>
      <x:c r="G375" t="n">
        <x:f>Dashboard_Live_Data!I129</x:f>
        <x:v>0.058</x:v>
      </x:c>
      <x:c r="H375" t="n">
        <x:f>Dashboard_Live_Data!M129</x:f>
        <x:v>-989.6747178815604</x:v>
      </x:c>
    </x:row>
    <x:row r="376">
      <x:c r="A376" t="n">
        <x:f>Dashboard_Live_Data!I130</x:f>
        <x:v>0.067</x:v>
      </x:c>
      <x:c r="B376" t="n">
        <x:f>Dashboard_Live_Data!J130</x:f>
        <x:v>-0.02012804017840608</x:v>
      </x:c>
      <x:c r="C376" t="n">
        <x:f>Dashboard_Live_Data!I130</x:f>
        <x:v>0.067</x:v>
      </x:c>
      <x:c r="D376" t="n">
        <x:f>Dashboard_Live_Data!K130</x:f>
        <x:v>-273.20619150514904</x:v>
      </x:c>
      <x:c r="E376" t="n">
        <x:f>Dashboard_Live_Data!I130</x:f>
        <x:v>0.067</x:v>
      </x:c>
      <x:c r="F376" t="n">
        <x:f>Dashboard_Live_Data!L130</x:f>
        <x:v>-1111.366579203488</x:v>
      </x:c>
      <x:c r="G376" t="n">
        <x:f>Dashboard_Live_Data!I130</x:f>
        <x:v>0.067</x:v>
      </x:c>
      <x:c r="H376" t="n">
        <x:f>Dashboard_Live_Data!M130</x:f>
        <x:v>-1397.552072156148</x:v>
      </x:c>
    </x:row>
    <x:row r="377">
      <x:c r="A377" t="n">
        <x:f>Dashboard_Live_Data!I131</x:f>
        <x:v>0.075</x:v>
      </x:c>
      <x:c r="B377" t="n">
        <x:f>Dashboard_Live_Data!J131</x:f>
        <x:v>-0.025381627713954913</x:v>
      </x:c>
      <x:c r="C377" t="n">
        <x:f>Dashboard_Live_Data!I131</x:f>
        <x:v>0.075</x:v>
      </x:c>
      <x:c r="D377" t="n">
        <x:f>Dashboard_Live_Data!K131</x:f>
        <x:v>-365.6858715468552</x:v>
      </x:c>
      <x:c r="E377" t="n">
        <x:f>Dashboard_Live_Data!I131</x:f>
        <x:v>0.075</x:v>
      </x:c>
      <x:c r="F377" t="n">
        <x:f>Dashboard_Live_Data!L131</x:f>
        <x:v>-1478.9642244424758</x:v>
      </x:c>
      <x:c r="G377" t="n">
        <x:f>Dashboard_Live_Data!I131</x:f>
        <x:v>0.075</x:v>
      </x:c>
      <x:c r="H377" t="n">
        <x:f>Dashboard_Live_Data!M131</x:f>
        <x:v>-1822.7678078152858</x:v>
      </x:c>
    </x:row>
    <x:row r="378">
      <x:c r="A378" t="n">
        <x:f>Dashboard_Live_Data!I132</x:f>
        <x:v>0.083</x:v>
      </x:c>
      <x:c r="B378" t="n">
        <x:f>Dashboard_Live_Data!J132</x:f>
        <x:v>-0.031303072409855304</x:v>
      </x:c>
      <x:c r="C378" t="n">
        <x:f>Dashboard_Live_Data!I132</x:f>
        <x:v>0.083</x:v>
      </x:c>
      <x:c r="D378" t="n">
        <x:f>Dashboard_Live_Data!K132</x:f>
        <x:v>-476.0772849904715</x:v>
      </x:c>
      <x:c r="E378" t="n">
        <x:f>Dashboard_Live_Data!I132</x:f>
        <x:v>0.083</x:v>
      </x:c>
      <x:c r="F378" t="n">
        <x:f>Dashboard_Live_Data!L132</x:f>
        <x:v>-1903.505948859045</x:v>
      </x:c>
      <x:c r="G378" t="n">
        <x:f>Dashboard_Live_Data!I132</x:f>
        <x:v>0.083</x:v>
      </x:c>
      <x:c r="H378" t="n">
        <x:f>Dashboard_Live_Data!M132</x:f>
        <x:v>-2305.8725854526674</x:v>
      </x:c>
    </x:row>
    <x:row r="379">
      <x:c r="A379" t="n">
        <x:f>Dashboard_Live_Data!I133</x:f>
        <x:v>0.092</x:v>
      </x:c>
      <x:c r="B379" t="n">
        <x:f>Dashboard_Live_Data!J133</x:f>
        <x:v>-0.038793322623632776</x:v>
      </x:c>
      <x:c r="C379" t="n">
        <x:f>Dashboard_Live_Data!I133</x:f>
        <x:v>0.092</x:v>
      </x:c>
      <x:c r="D379" t="n">
        <x:f>Dashboard_Live_Data!K133</x:f>
        <x:v>-622.7876519774909</x:v>
      </x:c>
      <x:c r="E379" t="n">
        <x:f>Dashboard_Live_Data!I133</x:f>
        <x:v>0.092</x:v>
      </x:c>
      <x:c r="F379" t="n">
        <x:f>Dashboard_Live_Data!L133</x:f>
        <x:v>-2448.174221919682</x:v>
      </x:c>
      <x:c r="G379" t="n">
        <x:f>Dashboard_Live_Data!I133</x:f>
        <x:v>0.092</x:v>
      </x:c>
      <x:c r="H379" t="n">
        <x:f>Dashboard_Live_Data!M133</x:f>
        <x:v>-2916.9995331569153</x:v>
      </x:c>
    </x:row>
    <x:row r="380">
      <x:c r="A380" t="n">
        <x:f>Dashboard_Live_Data!I134</x:f>
        <x:v>0.1</x:v>
      </x:c>
      <x:c r="B380" t="n">
        <x:f>Dashboard_Live_Data!J134</x:f>
        <x:v>-0.04621763118234412</x:v>
      </x:c>
      <x:c r="C380" t="n">
        <x:f>Dashboard_Live_Data!I134</x:f>
        <x:v>0.1</x:v>
      </x:c>
      <x:c r="D380" t="n">
        <x:f>Dashboard_Live_Data!K134</x:f>
        <x:v>-773.9404461593822</x:v>
      </x:c>
      <x:c r="E380" t="n">
        <x:f>Dashboard_Live_Data!I134</x:f>
        <x:v>0.1</x:v>
      </x:c>
      <x:c r="F380" t="n">
        <x:f>Dashboard_Live_Data!L134</x:f>
        <x:v>-2990.7521080161423</x:v>
      </x:c>
      <x:c r="G380" t="n">
        <x:f>Dashboard_Live_Data!I134</x:f>
        <x:v>0.1</x:v>
      </x:c>
      <x:c r="H380" t="n">
        <x:f>Dashboard_Live_Data!M134</x:f>
        <x:v>-3518.8494159470793</x:v>
      </x:c>
    </x:row>
    <x:row r="381">
      <x:c r="A381" t="n">
        <x:f>Dashboard_Live_Data!I135</x:f>
        <x:v>0.108</x:v>
      </x:c>
      <x:c r="B381" t="n">
        <x:f>Dashboard_Live_Data!J135</x:f>
        <x:v>-0.05439381022904399</x:v>
      </x:c>
      <x:c r="C381" t="n">
        <x:f>Dashboard_Live_Data!I135</x:f>
        <x:v>0.108</x:v>
      </x:c>
      <x:c r="D381" t="n">
        <x:f>Dashboard_Live_Data!K135</x:f>
        <x:v>-945.0864313584188</x:v>
      </x:c>
      <x:c r="E381" t="n">
        <x:f>Dashboard_Live_Data!I135</x:f>
        <x:v>0.108</x:v>
      </x:c>
      <x:c r="F381" t="n">
        <x:f>Dashboard_Live_Data!L135</x:f>
        <x:v>-3587.0630675248613</x:v>
      </x:c>
      <x:c r="G381" t="n">
        <x:f>Dashboard_Live_Data!I135</x:f>
        <x:v>0.108</x:v>
      </x:c>
      <x:c r="H381" t="n">
        <x:f>Dashboard_Live_Data!M135</x:f>
        <x:v>-4174.4317239557495</x:v>
      </x:c>
    </x:row>
    <x:row r="382">
      <x:c r="A382" t="n">
        <x:f>Dashboard_Live_Data!I136</x:f>
        <x:v>0.117</x:v>
      </x:c>
      <x:c r="B382" t="n">
        <x:f>Dashboard_Live_Data!J136</x:f>
        <x:v>-0.06453059099612801</x:v>
      </x:c>
      <x:c r="C382" t="n">
        <x:f>Dashboard_Live_Data!I136</x:f>
        <x:v>0.117</x:v>
      </x:c>
      <x:c r="D382" t="n">
        <x:f>Dashboard_Live_Data!K136</x:f>
        <x:v>-1161.8662425758666</x:v>
      </x:c>
      <x:c r="E382" t="n">
        <x:f>Dashboard_Live_Data!I136</x:f>
        <x:v>0.117</x:v>
      </x:c>
      <x:c r="F382" t="n">
        <x:f>Dashboard_Live_Data!L136</x:f>
        <x:v>-4320.543295968455</x:v>
      </x:c>
      <x:c r="G382" t="n">
        <x:f>Dashboard_Live_Data!I136</x:f>
        <x:v>0.117</x:v>
      </x:c>
      <x:c r="H382" t="n">
        <x:f>Dashboard_Live_Data!M136</x:f>
        <x:v>-4974.4518534386225</x:v>
      </x:c>
    </x:row>
    <x:row r="383">
      <x:c r="A383" t="n">
        <x:f>Dashboard_Live_Data!I137</x:f>
        <x:v>0.125</x:v>
      </x:c>
      <x:c r="B383" t="n">
        <x:f>Dashboard_Live_Data!J137</x:f>
        <x:v>-0.07441357867173792</x:v>
      </x:c>
      <x:c r="C383" t="n">
        <x:f>Dashboard_Live_Data!I137</x:f>
        <x:v>0.125</x:v>
      </x:c>
      <x:c r="D383" t="n">
        <x:f>Dashboard_Live_Data!K137</x:f>
        <x:v>-1376.257653004077</x:v>
      </x:c>
      <x:c r="E383" t="n">
        <x:f>Dashboard_Live_Data!I137</x:f>
        <x:v>0.125</x:v>
      </x:c>
      <x:c r="F383" t="n">
        <x:f>Dashboard_Live_Data!L137</x:f>
        <x:v>-5026.741503405137</x:v>
      </x:c>
      <x:c r="G383" t="n">
        <x:f>Dashboard_Live_Data!I137</x:f>
        <x:v>0.125</x:v>
      </x:c>
      <x:c r="H383" t="n">
        <x:f>Dashboard_Live_Data!M137</x:f>
        <x:v>-5739.591971731104</x:v>
      </x:c>
    </x:row>
    <x:row r="384">
      <x:c r="A384" t="n">
        <x:f>Dashboard_Live_Data!I138</x:f>
        <x:v>0.133</x:v>
      </x:c>
      <x:c r="B384" t="n">
        <x:f>Dashboard_Live_Data!J138</x:f>
        <x:v>-0.08515635971855318</x:v>
      </x:c>
      <x:c r="C384" t="n">
        <x:f>Dashboard_Live_Data!I138</x:f>
        <x:v>0.133</x:v>
      </x:c>
      <x:c r="D384" t="n">
        <x:f>Dashboard_Live_Data!K138</x:f>
        <x:v>-1611.097851974435</x:v>
      </x:c>
      <x:c r="E384" t="n">
        <x:f>Dashboard_Live_Data!I138</x:f>
        <x:v>0.133</x:v>
      </x:c>
      <x:c r="F384" t="n">
        <x:f>Dashboard_Live_Data!L138</x:f>
        <x:v>-5782.586392976991</x:v>
      </x:c>
      <x:c r="G384" t="n">
        <x:f>Dashboard_Live_Data!I138</x:f>
        <x:v>0.133</x:v>
      </x:c>
      <x:c r="H384" t="n">
        <x:f>Dashboard_Live_Data!M138</x:f>
        <x:v>-6554.136414658264</x:v>
      </x:c>
    </x:row>
    <x:row r="385">
      <x:c r="A385" t="n">
        <x:f>Dashboard_Live_Data!I139</x:f>
        <x:v>0.142</x:v>
      </x:c>
      <x:c r="B385" t="n">
        <x:f>Dashboard_Live_Data!J139</x:f>
        <x:v>-0.09831908205035234</x:v>
      </x:c>
      <x:c r="C385" t="n">
        <x:f>Dashboard_Live_Data!I139</x:f>
        <x:v>0.142</x:v>
      </x:c>
      <x:c r="D385" t="n">
        <x:f>Dashboard_Live_Data!K139</x:f>
        <x:v>-1899.6570192596264</x:v>
      </x:c>
      <x:c r="E385" t="n">
        <x:f>Dashboard_Live_Data!I139</x:f>
        <x:v>0.142</x:v>
      </x:c>
      <x:c r="F385" t="n">
        <x:f>Dashboard_Live_Data!L139</x:f>
        <x:v>-6690.6108063344145</x:v>
      </x:c>
      <x:c r="G385" t="n">
        <x:f>Dashboard_Live_Data!I139</x:f>
        <x:v>0.142</x:v>
      </x:c>
      <x:c r="H385" t="n">
        <x:f>Dashboard_Live_Data!M139</x:f>
        <x:v>-7527.867382244032</x:v>
      </x:c>
    </x:row>
    <x:row r="386">
      <x:c r="A386" t="n">
        <x:f>Dashboard_Live_Data!I140</x:f>
        <x:v>0.15</x:v>
      </x:c>
      <x:c r="B386" t="n">
        <x:f>Dashboard_Live_Data!J140</x:f>
        <x:v>-0.11102336728663431</x:v>
      </x:c>
      <x:c r="C386" t="n">
        <x:f>Dashboard_Live_Data!I140</x:f>
        <x:v>0.15</x:v>
      </x:c>
      <x:c r="D386" t="n">
        <x:f>Dashboard_Live_Data!K140</x:f>
        <x:v>-2177.66718431174</x:v>
      </x:c>
      <x:c r="E386" t="n">
        <x:f>Dashboard_Live_Data!I140</x:f>
        <x:v>0.15</x:v>
      </x:c>
      <x:c r="F386" t="n">
        <x:f>Dashboard_Live_Data!L140</x:f>
        <x:v>-7547.58267176729</x:v>
      </x:c>
      <x:c r="G386" t="n">
        <x:f>Dashboard_Live_Data!I140</x:f>
        <x:v>0.15</x:v>
      </x:c>
      <x:c r="H386" t="n">
        <x:f>Dashboard_Live_Data!M140</x:f>
        <x:v>-8442.924503822644</x:v>
      </x:c>
    </x:row>
    <x:row r="387">
      <x:c r="A387" t="n">
        <x:f>Dashboard_Live_Data!I141</x:f>
        <x:v>0.158</x:v>
      </x:c>
      <x:c r="B387" t="n">
        <x:f>Dashboard_Live_Data!J141</x:f>
        <x:v>-0.12471921807230046</x:v>
      </x:c>
      <x:c r="C387" t="n">
        <x:f>Dashboard_Live_Data!I141</x:f>
        <x:v>0.158</x:v>
      </x:c>
      <x:c r="D387" t="n">
        <x:f>Dashboard_Live_Data!K141</x:f>
        <x:v>-2475.736579407454</x:v>
      </x:c>
      <x:c r="E387" t="n">
        <x:f>Dashboard_Live_Data!I141</x:f>
        <x:v>0.158</x:v>
      </x:c>
      <x:c r="F387" t="n">
        <x:f>Dashboard_Live_Data!L141</x:f>
        <x:v>-8450.11460672399</x:v>
      </x:c>
      <x:c r="G387" t="n">
        <x:f>Dashboard_Live_Data!I141</x:f>
        <x:v>0.158</x:v>
      </x:c>
      <x:c r="H387" t="n">
        <x:f>Dashboard_Live_Data!M141</x:f>
        <x:v>-9403.219768093775</x:v>
      </x:c>
    </x:row>
    <x:row r="388">
      <x:c r="A388" t="n">
        <x:f>Dashboard_Live_Data!I142</x:f>
        <x:v>0.167</x:v>
      </x:c>
      <x:c r="B388" t="n">
        <x:f>Dashboard_Live_Data!J142</x:f>
        <x:v>-0.14137113236063215</x:v>
      </x:c>
      <x:c r="C388" t="n">
        <x:f>Dashboard_Live_Data!I142</x:f>
        <x:v>0.167</x:v>
      </x:c>
      <x:c r="D388" t="n">
        <x:f>Dashboard_Live_Data!K142</x:f>
        <x:v>-2834.7671819467178</x:v>
      </x:c>
      <x:c r="E388" t="n">
        <x:f>Dashboard_Live_Data!I142</x:f>
        <x:v>0.167</x:v>
      </x:c>
      <x:c r="F388" t="n">
        <x:f>Dashboard_Live_Data!L142</x:f>
        <x:v>-9518.334244312478</x:v>
      </x:c>
      <x:c r="G388" t="n">
        <x:f>Dashboard_Live_Data!I142</x:f>
        <x:v>0.167</x:v>
      </x:c>
      <x:c r="H388" t="n">
        <x:f>Dashboard_Live_Data!M142</x:f>
        <x:v>-10536.017531248719</x:v>
      </x:c>
    </x:row>
    <x:row r="389">
      <x:c r="A389" t="n">
        <x:f>Dashboard_Live_Data!I143</x:f>
        <x:v>0.175</x:v>
      </x:c>
      <x:c r="B389" t="n">
        <x:f>Dashboard_Live_Data!J143</x:f>
        <x:v>-0.15733377440119511</x:v>
      </x:c>
      <x:c r="C389" t="n">
        <x:f>Dashboard_Live_Data!I143</x:f>
        <x:v>0.175</x:v>
      </x:c>
      <x:c r="D389" t="n">
        <x:f>Dashboard_Live_Data!K143</x:f>
        <x:v>-3174.698779983293</x:v>
      </x:c>
      <x:c r="E389" t="n">
        <x:f>Dashboard_Live_Data!I143</x:f>
        <x:v>0.175</x:v>
      </x:c>
      <x:c r="F389" t="n">
        <x:f>Dashboard_Live_Data!L143</x:f>
        <x:v>-10513.46974524825</x:v>
      </x:c>
      <x:c r="G389" t="n">
        <x:f>Dashboard_Live_Data!I143</x:f>
        <x:v>0.175</x:v>
      </x:c>
      <x:c r="H389" t="n">
        <x:f>Dashboard_Live_Data!M143</x:f>
        <x:v>-11588.17818289464</x:v>
      </x:c>
    </x:row>
    <x:row r="390">
      <x:c r="A390" t="n">
        <x:f>Dashboard_Live_Data!I144</x:f>
        <x:v>0.183</x:v>
      </x:c>
      <x:c r="B390" t="n">
        <x:f>Dashboard_Live_Data!J144</x:f>
        <x:v>-0.17444351947665382</x:v>
      </x:c>
      <x:c r="C390" t="n">
        <x:f>Dashboard_Live_Data!I144</x:f>
        <x:v>0.183</x:v>
      </x:c>
      <x:c r="D390" t="n">
        <x:f>Dashboard_Live_Data!K144</x:f>
        <x:v>-3533.9191182778195</x:v>
      </x:c>
      <x:c r="E390" t="n">
        <x:f>Dashboard_Live_Data!I144</x:f>
        <x:v>0.183</x:v>
      </x:c>
      <x:c r="F390" t="n">
        <x:f>Dashboard_Live_Data!L144</x:f>
        <x:v>-11550.242027722496</x:v>
      </x:c>
      <x:c r="G390" t="n">
        <x:f>Dashboard_Live_Data!I144</x:f>
        <x:v>0.183</x:v>
      </x:c>
      <x:c r="H390" t="n">
        <x:f>Dashboard_Live_Data!M144</x:f>
        <x:v>-12681.604714695779</x:v>
      </x:c>
    </x:row>
    <x:row r="391">
      <x:c r="A391" t="n">
        <x:f>Dashboard_Live_Data!I145</x:f>
        <x:v>0.192</x:v>
      </x:c>
      <x:c r="B391" t="n">
        <x:f>Dashboard_Live_Data!J145</x:f>
        <x:v>-0.1951314257202057</x:v>
      </x:c>
      <x:c r="C391" t="n">
        <x:f>Dashboard_Live_Data!I145</x:f>
        <x:v>0.192</x:v>
      </x:c>
      <x:c r="D391" t="n">
        <x:f>Dashboard_Live_Data!K145</x:f>
        <x:v>-3960.742176330219</x:v>
      </x:c>
      <x:c r="E391" t="n">
        <x:f>Dashboard_Live_Data!I145</x:f>
        <x:v>0.192</x:v>
      </x:c>
      <x:c r="F391" t="n">
        <x:f>Dashboard_Live_Data!L145</x:f>
        <x:v>-12764.866565310112</x:v>
      </x:c>
      <x:c r="G391" t="n">
        <x:f>Dashboard_Live_Data!I145</x:f>
        <x:v>0.192</x:v>
      </x:c>
      <x:c r="H391" t="n">
        <x:f>Dashboard_Live_Data!M145</x:f>
        <x:v>-13959.5036406426</x:v>
      </x:c>
    </x:row>
    <x:row r="392">
      <x:c r="A392" t="n">
        <x:f>Dashboard_Live_Data!I146</x:f>
        <x:v>0.2</x:v>
      </x:c>
      <x:c r="B392" t="n">
        <x:f>Dashboard_Live_Data!J146</x:f>
        <x:v>-0.21486365220766857</x:v>
      </x:c>
      <x:c r="C392" t="n">
        <x:f>Dashboard_Live_Data!I146</x:f>
        <x:v>0.2</x:v>
      </x:c>
      <x:c r="D392" t="n">
        <x:f>Dashboard_Live_Data!K146</x:f>
        <x:v>-4359.990199988479</x:v>
      </x:c>
      <x:c r="E392" t="n">
        <x:f>Dashboard_Live_Data!I146</x:f>
        <x:v>0.2</x:v>
      </x:c>
      <x:c r="F392" t="n">
        <x:f>Dashboard_Live_Data!L146</x:f>
        <x:v>-13886.103797269352</x:v>
      </x:c>
      <x:c r="G392" t="n">
        <x:f>Dashboard_Live_Data!I146</x:f>
        <x:v>0.2</x:v>
      </x:c>
      <x:c r="H392" t="n">
        <x:f>Dashboard_Live_Data!M146</x:f>
        <x:v>-15136.55814203358</x:v>
      </x:c>
    </x:row>
    <x:row r="393">
      <x:c r="A393" t="n">
        <x:f>Dashboard_Live_Data!I147</x:f>
        <x:v>0.208</x:v>
      </x:c>
      <x:c r="B393" t="n">
        <x:f>Dashboard_Live_Data!J147</x:f>
        <x:v>-0.23592219111435497</x:v>
      </x:c>
      <x:c r="C393" t="n">
        <x:f>Dashboard_Live_Data!I147</x:f>
        <x:v>0.208</x:v>
      </x:c>
      <x:c r="D393" t="n">
        <x:f>Dashboard_Live_Data!K147</x:f>
        <x:v>-4777.603842826582</x:v>
      </x:c>
      <x:c r="E393" t="n">
        <x:f>Dashboard_Live_Data!I147</x:f>
        <x:v>0.208</x:v>
      </x:c>
      <x:c r="F393" t="n">
        <x:f>Dashboard_Live_Data!L147</x:f>
        <x:v>-15045.242230124342</x:v>
      </x:c>
      <x:c r="G393" t="n">
        <x:f>Dashboard_Live_Data!I147</x:f>
        <x:v>0.208</x:v>
      </x:c>
      <x:c r="H393" t="n">
        <x:f>Dashboard_Live_Data!M147</x:f>
        <x:v>-16351.096914099966</x:v>
      </x:c>
    </x:row>
    <x:row r="394">
      <x:c r="A394" t="n">
        <x:f>Dashboard_Live_Data!I148</x:f>
        <x:v>0.217</x:v>
      </x:c>
      <x:c r="B394" t="n">
        <x:f>Dashboard_Live_Data!J148</x:f>
        <x:v>-0.26127610188143535</x:v>
      </x:c>
      <x:c r="C394" t="n">
        <x:f>Dashboard_Live_Data!I148</x:f>
        <x:v>0.217</x:v>
      </x:c>
      <x:c r="D394" t="n">
        <x:f>Dashboard_Live_Data!K148</x:f>
        <x:v>-5268.987544536823</x:v>
      </x:c>
      <x:c r="E394" t="n">
        <x:f>Dashboard_Live_Data!I148</x:f>
        <x:v>0.217</x:v>
      </x:c>
      <x:c r="F394" t="n">
        <x:f>Dashboard_Live_Data!L148</x:f>
        <x:v>-16393.138607990768</x:v>
      </x:c>
      <x:c r="G394" t="n">
        <x:f>Dashboard_Live_Data!I148</x:f>
        <x:v>0.217</x:v>
      </x:c>
      <x:c r="H394" t="n">
        <x:f>Dashboard_Live_Data!M148</x:f>
        <x:v>-17760.80185039583</x:v>
      </x:c>
    </x:row>
    <x:row r="395">
      <x:c r="A395" t="n">
        <x:f>Dashboard_Live_Data!I149</x:f>
        <x:v>0.225</x:v>
      </x:c>
      <x:c r="B395" t="n">
        <x:f>Dashboard_Live_Data!J149</x:f>
        <x:v>-0.28536299915617747</x:v>
      </x:c>
      <x:c r="C395" t="n">
        <x:f>Dashboard_Live_Data!I149</x:f>
        <x:v>0.225</x:v>
      </x:c>
      <x:c r="D395" t="n">
        <x:f>Dashboard_Live_Data!K149</x:f>
        <x:v>-5724.6003963936055</x:v>
      </x:c>
      <x:c r="E395" t="n">
        <x:f>Dashboard_Live_Data!I149</x:f>
        <x:v>0.225</x:v>
      </x:c>
      <x:c r="F395" t="n">
        <x:f>Dashboard_Live_Data!L149</x:f>
        <x:v>-17629.00388090196</x:v>
      </x:c>
      <x:c r="G395" t="n">
        <x:f>Dashboard_Live_Data!I149</x:f>
        <x:v>0.225</x:v>
      </x:c>
      <x:c r="H395" t="n">
        <x:f>Dashboard_Live_Data!M149</x:f>
        <x:v>-19051.13227164834</x:v>
      </x:c>
    </x:row>
    <x:row r="396">
      <x:c r="A396" t="n">
        <x:f>Dashboard_Live_Data!I150</x:f>
        <x:v>0.233</x:v>
      </x:c>
      <x:c r="B396" t="n">
        <x:f>Dashboard_Live_Data!J150</x:f>
        <x:v>-0.3109789747541072</x:v>
      </x:c>
      <x:c r="C396" t="n">
        <x:f>Dashboard_Live_Data!I150</x:f>
        <x:v>0.233</x:v>
      </x:c>
      <x:c r="D396" t="n">
        <x:f>Dashboard_Live_Data!K150</x:f>
        <x:v>-6197.607639351343</x:v>
      </x:c>
      <x:c r="E396" t="n">
        <x:f>Dashboard_Live_Data!I150</x:f>
        <x:v>0.233</x:v>
      </x:c>
      <x:c r="F396" t="n">
        <x:f>Dashboard_Live_Data!L150</x:f>
        <x:v>-18899.2224254725</x:v>
      </x:c>
      <x:c r="G396" t="n">
        <x:f>Dashboard_Live_Data!I150</x:f>
        <x:v>0.233</x:v>
      </x:c>
      <x:c r="H396" t="n">
        <x:f>Dashboard_Live_Data!M150</x:f>
        <x:v>-20375.352826851158</x:v>
      </x:c>
    </x:row>
    <x:row r="397">
      <x:c r="A397" t="n">
        <x:f>Dashboard_Live_Data!I151</x:f>
        <x:v>0.242</x:v>
      </x:c>
      <x:c r="B397" t="n">
        <x:f>Dashboard_Live_Data!J151</x:f>
        <x:v>-0.3417117286797975</x:v>
      </x:c>
      <x:c r="C397" t="n">
        <x:f>Dashboard_Live_Data!I151</x:f>
        <x:v>0.242</x:v>
      </x:c>
      <x:c r="D397" t="n">
        <x:f>Dashboard_Live_Data!K151</x:f>
        <x:v>-6750.1435304916085</x:v>
      </x:c>
      <x:c r="E397" t="n">
        <x:f>Dashboard_Live_Data!I151</x:f>
        <x:v>0.242</x:v>
      </x:c>
      <x:c r="F397" t="n">
        <x:f>Dashboard_Live_Data!L151</x:f>
        <x:v>-20367.91707237235</x:v>
      </x:c>
      <x:c r="G397" t="n">
        <x:f>Dashboard_Live_Data!I151</x:f>
        <x:v>0.242</x:v>
      </x:c>
      <x:c r="H397" t="n">
        <x:f>Dashboard_Live_Data!M151</x:f>
        <x:v>-21904.22804430117</x:v>
      </x:c>
    </x:row>
    <x:row r="398">
      <x:c r="A398" t="n">
        <x:f>Dashboard_Live_Data!I152</x:f>
        <x:v>0.25</x:v>
      </x:c>
      <x:c r="B398" t="n">
        <x:f>Dashboard_Live_Data!J152</x:f>
        <x:v>-0.37081187517208036</x:v>
      </x:c>
      <x:c r="C398" t="n">
        <x:f>Dashboard_Live_Data!I152</x:f>
        <x:v>0.25</x:v>
      </x:c>
      <x:c r="D398" t="n">
        <x:f>Dashboard_Live_Data!K152</x:f>
        <x:v>-7259.077562381237</x:v>
      </x:c>
      <x:c r="E398" t="n">
        <x:f>Dashboard_Live_Data!I152</x:f>
        <x:v>0.25</x:v>
      </x:c>
      <x:c r="F398" t="n">
        <x:f>Dashboard_Live_Data!L152</x:f>
        <x:v>-21707.520208299306</x:v>
      </x:c>
      <x:c r="G398" t="n">
        <x:f>Dashboard_Live_Data!I152</x:f>
        <x:v>0.25</x:v>
      </x:c>
      <x:c r="H398" t="n">
        <x:f>Dashboard_Live_Data!M152</x:f>
        <x:v>-23296.801058357276</x:v>
      </x:c>
    </x:row>
    <x:row r="399">
      <x:c r="A399" t="n">
        <x:f>Dashboard_Live_Data!I153</x:f>
        <x:v>0.258</x:v>
      </x:c>
      <x:c r="B399" t="n">
        <x:f>Dashboard_Live_Data!J153</x:f>
        <x:v>-0.4016673031354685</x:v>
      </x:c>
      <x:c r="C399" t="n">
        <x:f>Dashboard_Live_Data!I153</x:f>
        <x:v>0.258</x:v>
      </x:c>
      <x:c r="D399" t="n">
        <x:f>Dashboard_Live_Data!K153</x:f>
        <x:v>-7784.433251420131</x:v>
      </x:c>
      <x:c r="E399" t="n">
        <x:f>Dashboard_Live_Data!I153</x:f>
        <x:v>0.258</x:v>
      </x:c>
      <x:c r="F399" t="n">
        <x:f>Dashboard_Live_Data!L153</x:f>
        <x:v>-23078.113644632846</x:v>
      </x:c>
      <x:c r="G399" t="n">
        <x:f>Dashboard_Live_Data!I153</x:f>
        <x:v>0.258</x:v>
      </x:c>
      <x:c r="H399" t="n">
        <x:f>Dashboard_Live_Data!M153</x:f>
        <x:v>-24719.85672730935</x:v>
      </x:c>
    </x:row>
    <x:row r="400">
      <x:c r="A400" t="n">
        <x:f>Dashboard_Live_Data!I154</x:f>
        <x:v>0.267</x:v>
      </x:c>
      <x:c r="B400" t="n">
        <x:f>Dashboard_Live_Data!J154</x:f>
        <x:v>-0.43857412502381976</x:v>
      </x:c>
      <x:c r="C400" t="n">
        <x:f>Dashboard_Live_Data!I154</x:f>
        <x:v>0.267</x:v>
      </x:c>
      <x:c r="D400" t="n">
        <x:f>Dashboard_Live_Data!K154</x:f>
        <x:v>-8394.704215810802</x:v>
      </x:c>
      <x:c r="E400" t="n">
        <x:f>Dashboard_Live_Data!I154</x:f>
        <x:v>0.267</x:v>
      </x:c>
      <x:c r="F400" t="n">
        <x:f>Dashboard_Live_Data!L154</x:f>
        <x:v>-24655.78332287309</x:v>
      </x:c>
      <x:c r="G400" t="n">
        <x:f>Dashboard_Live_Data!I154</x:f>
        <x:v>0.267</x:v>
      </x:c>
      <x:c r="H400" t="n">
        <x:f>Dashboard_Live_Data!M154</x:f>
        <x:v>-26355.92282022882</x:v>
      </x:c>
    </x:row>
    <x:row r="401">
      <x:c r="A401" t="n">
        <x:f>Dashboard_Live_Data!I155</x:f>
        <x:v>0.275</x:v>
      </x:c>
      <x:c r="B401" t="n">
        <x:f>Dashboard_Live_Data!J155</x:f>
        <x:v>-0.4734191912100414</x:v>
      </x:c>
      <x:c r="C401" t="n">
        <x:f>Dashboard_Live_Data!I155</x:f>
        <x:v>0.275</x:v>
      </x:c>
      <x:c r="D401" t="n">
        <x:f>Dashboard_Live_Data!K155</x:f>
        <x:v>-8953.936813088847</x:v>
      </x:c>
      <x:c r="E401" t="n">
        <x:f>Dashboard_Live_Data!I155</x:f>
        <x:v>0.275</x:v>
      </x:c>
      <x:c r="F401" t="n">
        <x:f>Dashboard_Live_Data!L155</x:f>
        <x:v>-26088.80968164916</x:v>
      </x:c>
      <x:c r="G401" t="n">
        <x:f>Dashboard_Live_Data!I155</x:f>
        <x:v>0.275</x:v>
      </x:c>
      <x:c r="H401" t="n">
        <x:f>Dashboard_Live_Data!M155</x:f>
        <x:v>-27840.28839250606</x:v>
      </x:c>
    </x:row>
    <x:row r="402">
      <x:c r="A402" t="n">
        <x:f>Dashboard_Live_Data!I156</x:f>
        <x:v>0.283</x:v>
      </x:c>
      <x:c r="B402" t="n">
        <x:f>Dashboard_Live_Data!J156</x:f>
        <x:v>-0.5102690384285324</x:v>
      </x:c>
      <x:c r="C402" t="n">
        <x:f>Dashboard_Live_Data!I156</x:f>
        <x:v>0.283</x:v>
      </x:c>
      <x:c r="D402" t="n">
        <x:f>Dashboard_Live_Data!K156</x:f>
        <x:v>-9528.637373909558</x:v>
      </x:c>
      <x:c r="E402" t="n">
        <x:f>Dashboard_Live_Data!I156</x:f>
        <x:v>0.283</x:v>
      </x:c>
      <x:c r="F402" t="n">
        <x:f>Dashboard_Live_Data!L156</x:f>
        <x:v>-27549.646131814996</x:v>
      </x:c>
      <x:c r="G402" t="n">
        <x:f>Dashboard_Live_Data!I156</x:f>
        <x:v>0.283</x:v>
      </x:c>
      <x:c r="H402" t="n">
        <x:f>Dashboard_Live_Data!M156</x:f>
        <x:v>-29351.91580166442</x:v>
      </x:c>
    </x:row>
    <x:row r="403">
      <x:c r="A403" t="n">
        <x:f>Dashboard_Live_Data!I157</x:f>
        <x:v>0.292</x:v>
      </x:c>
      <x:c r="B403" t="n">
        <x:f>Dashboard_Live_Data!J157</x:f>
        <x:v>-0.554227051803764</x:v>
      </x:c>
      <x:c r="C403" t="n">
        <x:f>Dashboard_Live_Data!I157</x:f>
        <x:v>0.292</x:v>
      </x:c>
      <x:c r="D403" t="n">
        <x:f>Dashboard_Live_Data!K157</x:f>
        <x:v>-10193.291736298088</x:v>
      </x:c>
      <x:c r="E403" t="n">
        <x:f>Dashboard_Live_Data!I157</x:f>
        <x:v>0.292</x:v>
      </x:c>
      <x:c r="F403" t="n">
        <x:f>Dashboard_Live_Data!L157</x:f>
        <x:v>-29225.110156036026</x:v>
      </x:c>
      <x:c r="G403" t="n">
        <x:f>Dashboard_Live_Data!I157</x:f>
        <x:v>0.292</x:v>
      </x:c>
      <x:c r="H403" t="n">
        <x:f>Dashboard_Live_Data!M157</x:f>
        <x:v>-31083.84952937637</x:v>
      </x:c>
    </x:row>
    <x:row r="404">
      <x:c r="A404" t="n">
        <x:f>Dashboard_Live_Data!I158</x:f>
        <x:v>0.3</x:v>
      </x:c>
      <x:c r="B404" t="n">
        <x:f>Dashboard_Live_Data!J158</x:f>
        <x:v>-0.5956213488765343</x:v>
      </x:c>
      <x:c r="C404" t="n">
        <x:f>Dashboard_Live_Data!I158</x:f>
        <x:v>0.3</x:v>
      </x:c>
      <x:c r="D404" t="n">
        <x:f>Dashboard_Live_Data!K158</x:f>
        <x:v>-10799.871032643307</x:v>
      </x:c>
      <x:c r="E404" t="n">
        <x:f>Dashboard_Live_Data!I158</x:f>
        <x:v>0.3</x:v>
      </x:c>
      <x:c r="F404" t="n">
        <x:f>Dashboard_Live_Data!L158</x:f>
        <x:v>-30741.8141453946</x:v>
      </x:c>
      <x:c r="G404" t="n">
        <x:f>Dashboard_Live_Data!I158</x:f>
        <x:v>0.3</x:v>
      </x:c>
      <x:c r="H404" t="n">
        <x:f>Dashboard_Live_Data!M158</x:f>
        <x:v>-32650.140682705838</x:v>
      </x:c>
    </x:row>
    <x:row r="405">
      <x:c r="A405" t="n">
        <x:f>Dashboard_Live_Data!I159</x:f>
        <x:v>0.308</x:v>
      </x:c>
      <x:c r="B405" t="n">
        <x:f>Dashboard_Live_Data!J159</x:f>
        <x:v>-0.6392930692547907</x:v>
      </x:c>
      <x:c r="C405" t="n">
        <x:f>Dashboard_Live_Data!I159</x:f>
        <x:v>0.308</x:v>
      </x:c>
      <x:c r="D405" t="n">
        <x:f>Dashboard_Live_Data!K159</x:f>
        <x:v>-11420.992588521869</x:v>
      </x:c>
      <x:c r="E405" t="n">
        <x:f>Dashboard_Live_Data!I159</x:f>
        <x:v>0.308</x:v>
      </x:c>
      <x:c r="F405" t="n">
        <x:f>Dashboard_Live_Data!L159</x:f>
        <x:v>-32283.3287901734</x:v>
      </x:c>
      <x:c r="G405" t="n">
        <x:f>Dashboard_Live_Data!I159</x:f>
        <x:v>0.308</x:v>
      </x:c>
      <x:c r="H405" t="n">
        <x:f>Dashboard_Live_Data!M159</x:f>
        <x:v>-34240.659083493854</x:v>
      </x:c>
    </x:row>
    <x:row r="406">
      <x:c r="A406" t="n">
        <x:f>Dashboard_Live_Data!I160</x:f>
        <x:v>0.317</x:v>
      </x:c>
      <x:c r="B406" t="n">
        <x:f>Dashboard_Live_Data!J160</x:f>
        <x:v>-0.6912607618419315</x:v>
      </x:c>
      <x:c r="C406" t="n">
        <x:f>Dashboard_Live_Data!I160</x:f>
        <x:v>0.317</x:v>
      </x:c>
      <x:c r="D406" t="n">
        <x:f>Dashboard_Live_Data!K160</x:f>
        <x:v>-12136.776407525518</x:v>
      </x:c>
      <x:c r="E406" t="n">
        <x:f>Dashboard_Live_Data!I160</x:f>
        <x:v>0.317</x:v>
      </x:c>
      <x:c r="F406" t="n">
        <x:f>Dashboard_Live_Data!L160</x:f>
        <x:v>-34046.04194794646</x:v>
      </x:c>
      <x:c r="G406" t="n">
        <x:f>Dashboard_Live_Data!I160</x:f>
        <x:v>0.317</x:v>
      </x:c>
      <x:c r="H406" t="n">
        <x:f>Dashboard_Live_Data!M160</x:f>
        <x:v>-36057.79176290192</x:v>
      </x:c>
    </x:row>
    <x:row r="407">
      <x:c r="A407" t="n">
        <x:f>Dashboard_Live_Data!I161</x:f>
        <x:v>0.325</x:v>
      </x:c>
      <x:c r="B407" t="n">
        <x:f>Dashboard_Live_Data!J161</x:f>
        <x:v>-0.7400807499819848</x:v>
      </x:c>
      <x:c r="C407" t="n">
        <x:f>Dashboard_Live_Data!I161</x:f>
        <x:v>0.325</x:v>
      </x:c>
      <x:c r="D407" t="n">
        <x:f>Dashboard_Live_Data!K161</x:f>
        <x:v>-12787.842801368242</x:v>
      </x:c>
      <x:c r="E407" t="n">
        <x:f>Dashboard_Live_Data!I161</x:f>
        <x:v>0.325</x:v>
      </x:c>
      <x:c r="F407" t="n">
        <x:f>Dashboard_Live_Data!L161</x:f>
        <x:v>-35637.24050020533</x:v>
      </x:c>
      <x:c r="G407" t="n">
        <x:f>Dashboard_Live_Data!I161</x:f>
        <x:v>0.325</x:v>
      </x:c>
      <x:c r="H407" t="n">
        <x:f>Dashboard_Live_Data!M161</x:f>
        <x:v>-37696.722160192</x:v>
      </x:c>
    </x:row>
    <x:row r="408">
      <x:c r="A408" t="n">
        <x:f>Dashboard_Live_Data!I162</x:f>
        <x:v>0.333</x:v>
      </x:c>
      <x:c r="B408" t="n">
        <x:f>Dashboard_Live_Data!J162</x:f>
        <x:v>-0.791473780832689</x:v>
      </x:c>
      <x:c r="C408" t="n">
        <x:f>Dashboard_Live_Data!I162</x:f>
        <x:v>0.333</x:v>
      </x:c>
      <x:c r="D408" t="n">
        <x:f>Dashboard_Live_Data!K162</x:f>
        <x:v>-13452.557524737189</x:v>
      </x:c>
      <x:c r="E408" t="n">
        <x:f>Dashboard_Live_Data!I162</x:f>
        <x:v>0.333</x:v>
      </x:c>
      <x:c r="F408" t="n">
        <x:f>Dashboard_Live_Data!L162</x:f>
        <x:v>-37250.42865196265</x:v>
      </x:c>
      <x:c r="G408" t="n">
        <x:f>Dashboard_Live_Data!I162</x:f>
        <x:v>0.333</x:v>
      </x:c>
      <x:c r="H408" t="n">
        <x:f>Dashboard_Live_Data!M162</x:f>
        <x:v>-39357.029917001244</x:v>
      </x:c>
    </x:row>
    <x:row r="409">
      <x:c r="A409" t="n">
        <x:f>Dashboard_Live_Data!I163</x:f>
        <x:v>0.342</x:v>
      </x:c>
      <x:c r="B409" t="n">
        <x:f>Dashboard_Live_Data!J163</x:f>
        <x:v>-0.8524904108952569</x:v>
      </x:c>
      <x:c r="C409" t="n">
        <x:f>Dashboard_Live_Data!I163</x:f>
        <x:v>0.342</x:v>
      </x:c>
      <x:c r="D409" t="n">
        <x:f>Dashboard_Live_Data!K163</x:f>
        <x:v>-14216.328265502132</x:v>
      </x:c>
      <x:c r="E409" t="n">
        <x:f>Dashboard_Live_Data!I163</x:f>
        <x:v>0.342</x:v>
      </x:c>
      <x:c r="F409" t="n">
        <x:f>Dashboard_Live_Data!L163</x:f>
        <x:v>-39090.47273823073</x:v>
      </x:c>
      <x:c r="G409" t="n">
        <x:f>Dashboard_Live_Data!I163</x:f>
        <x:v>0.342</x:v>
      </x:c>
      <x:c r="H409" t="n">
        <x:f>Dashboard_Live_Data!M163</x:f>
        <x:v>-41249.34202215604</x:v>
      </x:c>
    </x:row>
    <x:row r="410">
      <x:c r="A410" t="n">
        <x:f>Dashboard_Live_Data!I164</x:f>
        <x:v>0.35</x:v>
      </x:c>
      <x:c r="B410" t="n">
        <x:f>Dashboard_Live_Data!J164</x:f>
        <x:v>-0.9096841644008009</x:v>
      </x:c>
      <x:c r="C410" t="n">
        <x:f>Dashboard_Live_Data!I164</x:f>
        <x:v>0.35</x:v>
      </x:c>
      <x:c r="D410" t="n">
        <x:f>Dashboard_Live_Data!K164</x:f>
        <x:v>-14909.123361914171</x:v>
      </x:c>
      <x:c r="E410" t="n">
        <x:f>Dashboard_Live_Data!I164</x:f>
        <x:v>0.35</x:v>
      </x:c>
      <x:c r="F410" t="n">
        <x:f>Dashboard_Live_Data!L164</x:f>
        <x:v>-40747.537049505336</x:v>
      </x:c>
      <x:c r="G410" t="n">
        <x:f>Dashboard_Live_Data!I164</x:f>
        <x:v>0.35</x:v>
      </x:c>
      <x:c r="H410" t="n">
        <x:f>Dashboard_Live_Data!M164</x:f>
        <x:v>-42952.19979250127</x:v>
      </x:c>
    </x:row>
    <x:row r="411">
      <x:c r="A411" t="n">
        <x:f>Dashboard_Live_Data!I165</x:f>
        <x:v>0.358</x:v>
      </x:c>
      <x:c r="B411" t="n">
        <x:f>Dashboard_Live_Data!J165</x:f>
        <x:v>-0.9697693759256936</x:v>
      </x:c>
      <x:c r="C411" t="n">
        <x:f>Dashboard_Live_Data!I165</x:f>
        <x:v>0.358</x:v>
      </x:c>
      <x:c r="D411" t="n">
        <x:f>Dashboard_Live_Data!K165</x:f>
        <x:v>-15614.706103309647</x:v>
      </x:c>
      <x:c r="E411" t="n">
        <x:f>Dashboard_Live_Data!I165</x:f>
        <x:v>0.358</x:v>
      </x:c>
      <x:c r="F411" t="n">
        <x:f>Dashboard_Live_Data!L165</x:f>
        <x:v>-42423.945096951444</x:v>
      </x:c>
      <x:c r="G411" t="n">
        <x:f>Dashboard_Live_Data!I165</x:f>
        <x:v>0.358</x:v>
      </x:c>
      <x:c r="H411" t="n">
        <x:f>Dashboard_Live_Data!M165</x:f>
        <x:v>-44673.76686765764</x:v>
      </x:c>
    </x:row>
    <x:row r="412">
      <x:c r="A412" t="n">
        <x:f>Dashboard_Live_Data!I166</x:f>
        <x:v>0.367</x:v>
      </x:c>
      <x:c r="B412" t="n">
        <x:f>Dashboard_Live_Data!J166</x:f>
        <x:v>-1.0409543459660426</x:v>
      </x:c>
      <x:c r="C412" t="n">
        <x:f>Dashboard_Live_Data!I166</x:f>
        <x:v>0.367</x:v>
      </x:c>
      <x:c r="D412" t="n">
        <x:f>Dashboard_Live_Data!K166</x:f>
        <x:v>-16423.437974027576</x:v>
      </x:c>
      <x:c r="E412" t="n">
        <x:f>Dashboard_Live_Data!I166</x:f>
        <x:v>0.367</x:v>
      </x:c>
      <x:c r="F412" t="n">
        <x:f>Dashboard_Live_Data!L166</x:f>
        <x:v>-44332.01768741835</x:v>
      </x:c>
      <x:c r="G412" t="n">
        <x:f>Dashboard_Live_Data!I166</x:f>
        <x:v>0.367</x:v>
      </x:c>
      <x:c r="H412" t="n">
        <x:f>Dashboard_Live_Data!M166</x:f>
        <x:v>-46631.87794663398</x:v>
      </x:c>
    </x:row>
    <x:row r="413">
      <x:c r="A413" t="n">
        <x:f>Dashboard_Live_Data!I167</x:f>
        <x:v>0.375</x:v>
      </x:c>
      <x:c r="B413" t="n">
        <x:f>Dashboard_Live_Data!J167</x:f>
        <x:v>-1.1075409744717035</x:v>
      </x:c>
      <x:c r="C413" t="n">
        <x:f>Dashboard_Live_Data!I167</x:f>
        <x:v>0.375</x:v>
      </x:c>
      <x:c r="D413" t="n">
        <x:f>Dashboard_Live_Data!K167</x:f>
        <x:v>-17155.30788033462</x:v>
      </x:c>
      <x:c r="E413" t="n">
        <x:f>Dashboard_Live_Data!I167</x:f>
        <x:v>0.375</x:v>
      </x:c>
      <x:c r="F413" t="n">
        <x:f>Dashboard_Live_Data!L167</x:f>
        <x:v>-46046.86225919663</x:v>
      </x:c>
      <x:c r="G413" t="n">
        <x:f>Dashboard_Live_Data!I167</x:f>
        <x:v>0.375</x:v>
      </x:c>
      <x:c r="H413" t="n">
        <x:f>Dashboard_Live_Data!M167</x:f>
        <x:v>-48390.51527485564</x:v>
      </x:c>
    </x:row>
    <x:row r="414">
      <x:c r="A414" t="n">
        <x:f>Dashboard_Live_Data!I168</x:f>
        <x:v>0.383</x:v>
      </x:c>
      <x:c r="B414" t="n">
        <x:f>Dashboard_Live_Data!J168</x:f>
        <x:v>-1.1773600760669751</x:v>
      </x:c>
      <x:c r="C414" t="n">
        <x:f>Dashboard_Live_Data!I168</x:f>
        <x:v>0.383</x:v>
      </x:c>
      <x:c r="D414" t="n">
        <x:f>Dashboard_Live_Data!K168</x:f>
        <x:v>-17899.1384159448</x:v>
      </x:c>
      <x:c r="E414" t="n">
        <x:f>Dashboard_Live_Data!I168</x:f>
        <x:v>0.383</x:v>
      </x:c>
      <x:c r="F414" t="n">
        <x:f>Dashboard_Live_Data!L168</x:f>
        <x:v>-47778.5757557234</x:v>
      </x:c>
      <x:c r="G414" t="n">
        <x:f>Dashboard_Live_Data!I168</x:f>
        <x:v>0.383</x:v>
      </x:c>
      <x:c r="H414" t="n">
        <x:f>Dashboard_Live_Data!M168</x:f>
        <x:v>-50165.37147334049</x:v>
      </x:c>
    </x:row>
    <x:row r="415">
      <x:c r="A415" t="n">
        <x:f>Dashboard_Live_Data!I169</x:f>
        <x:v>0.392</x:v>
      </x:c>
      <x:c r="B415" t="n">
        <x:f>Dashboard_Live_Data!J169</x:f>
        <x:v>-1.2599122492363222</x:v>
      </x:c>
      <x:c r="C415" t="n">
        <x:f>Dashboard_Live_Data!I169</x:f>
        <x:v>0.392</x:v>
      </x:c>
      <x:c r="D415" t="n">
        <x:f>Dashboard_Live_Data!K169</x:f>
        <x:v>-18749.92392848187</x:v>
      </x:c>
      <x:c r="E415" t="n">
        <x:f>Dashboard_Live_Data!I169</x:f>
        <x:v>0.392</x:v>
      </x:c>
      <x:c r="F415" t="n">
        <x:f>Dashboard_Live_Data!L169</x:f>
        <x:v>-49745.97565061507</x:v>
      </x:c>
      <x:c r="G415" t="n">
        <x:f>Dashboard_Live_Data!I169</x:f>
        <x:v>0.392</x:v>
      </x:c>
      <x:c r="H415" t="n">
        <x:f>Dashboard_Live_Data!M169</x:f>
        <x:v>-52180.52535474431</x:v>
      </x:c>
    </x:row>
    <x:row r="416">
      <x:c r="A416" t="n">
        <x:f>Dashboard_Live_Data!I170</x:f>
        <x:v>0.4</x:v>
      </x:c>
      <x:c r="B416" t="n">
        <x:f>Dashboard_Live_Data!J170</x:f>
        <x:v>-1.3369812749583616</x:v>
      </x:c>
      <x:c r="C416" t="n">
        <x:f>Dashboard_Live_Data!I170</x:f>
        <x:v>0.4</x:v>
      </x:c>
      <x:c r="D416" t="n">
        <x:f>Dashboard_Live_Data!K170</x:f>
        <x:v>-19518.31997454776</x:v>
      </x:c>
      <x:c r="E416" t="n">
        <x:f>Dashboard_Live_Data!I170</x:f>
        <x:v>0.4</x:v>
      </x:c>
      <x:c r="F416" t="n">
        <x:f>Dashboard_Live_Data!L170</x:f>
        <x:v>-51511.04432508859</x:v>
      </x:c>
      <x:c r="G416" t="n">
        <x:f>Dashboard_Live_Data!I170</x:f>
        <x:v>0.4</x:v>
      </x:c>
      <x:c r="H416" t="n">
        <x:f>Dashboard_Live_Data!M170</x:f>
        <x:v>-53987.34398363595</x:v>
      </x:c>
    </x:row>
    <x:row r="417">
      <x:c r="A417" t="n">
        <x:f>Dashboard_Live_Data!I171</x:f>
        <x:v>0.408</x:v>
      </x:c>
      <x:c r="B417" t="n">
        <x:f>Dashboard_Live_Data!J171</x:f>
        <x:v>-1.4176461878619193</x:v>
      </x:c>
      <x:c r="C417" t="n">
        <x:f>Dashboard_Live_Data!I171</x:f>
        <x:v>0.408</x:v>
      </x:c>
      <x:c r="D417" t="n">
        <x:f>Dashboard_Live_Data!K171</x:f>
        <x:v>-20297.88323737291</x:v>
      </x:c>
      <x:c r="E417" t="n">
        <x:f>Dashboard_Live_Data!I171</x:f>
        <x:v>0.408</x:v>
      </x:c>
      <x:c r="F417" t="n">
        <x:f>Dashboard_Live_Data!L171</x:f>
        <x:v>-53290.67307252441</x:v>
      </x:c>
      <x:c r="G417" t="n">
        <x:f>Dashboard_Live_Data!I171</x:f>
        <x:v>0.408</x:v>
      </x:c>
      <x:c r="H417" t="n">
        <x:f>Dashboard_Live_Data!M171</x:f>
        <x:v>-55808.06323941368</x:v>
      </x:c>
    </x:row>
    <x:row r="418">
      <x:c r="A418" t="n">
        <x:f>Dashboard_Live_Data!I172</x:f>
        <x:v>0.417</x:v>
      </x:c>
      <x:c r="B418" t="n">
        <x:f>Dashboard_Live_Data!J172</x:f>
        <x:v>-1.512843152252799</x:v>
      </x:c>
      <x:c r="C418" t="n">
        <x:f>Dashboard_Live_Data!I172</x:f>
        <x:v>0.417</x:v>
      </x:c>
      <x:c r="D418" t="n">
        <x:f>Dashboard_Live_Data!K172</x:f>
        <x:v>-21187.93300776442</x:v>
      </x:c>
      <x:c r="E418" t="n">
        <x:f>Dashboard_Live_Data!I172</x:f>
        <x:v>0.417</x:v>
      </x:c>
      <x:c r="F418" t="n">
        <x:f>Dashboard_Live_Data!L172</x:f>
        <x:v>-55309.2824077269</x:v>
      </x:c>
      <x:c r="G418" t="n">
        <x:f>Dashboard_Live_Data!I172</x:f>
        <x:v>0.417</x:v>
      </x:c>
      <x:c r="H418" t="n">
        <x:f>Dashboard_Live_Data!M172</x:f>
        <x:v>-57872.10897282533</x:v>
      </x:c>
    </x:row>
    <x:row r="419">
      <x:c r="A419" t="n">
        <x:f>Dashboard_Live_Data!I173</x:f>
        <x:v>0.425</x:v>
      </x:c>
      <x:c r="B419" t="n">
        <x:f>Dashboard_Live_Data!J173</x:f>
        <x:v>-1.601553853415453</x:v>
      </x:c>
      <x:c r="C419" t="n">
        <x:f>Dashboard_Live_Data!I173</x:f>
        <x:v>0.425</x:v>
      </x:c>
      <x:c r="D419" t="n">
        <x:f>Dashboard_Live_Data!K173</x:f>
        <x:v>-21990.4112445204</x:v>
      </x:c>
      <x:c r="E419" t="n">
        <x:f>Dashboard_Live_Data!I173</x:f>
        <x:v>0.425</x:v>
      </x:c>
      <x:c r="F419" t="n">
        <x:f>Dashboard_Live_Data!L173</x:f>
        <x:v>-57117.531516682895</x:v>
      </x:c>
      <x:c r="G419" t="n">
        <x:f>Dashboard_Live_Data!I173</x:f>
        <x:v>0.425</x:v>
      </x:c>
      <x:c r="H419" t="n">
        <x:f>Dashboard_Live_Data!M173</x:f>
        <x:v>-59720.04210248674</x:v>
      </x:c>
    </x:row>
    <x:row r="420">
      <x:c r="A420" t="n">
        <x:f>Dashboard_Live_Data!I174</x:f>
        <x:v>0.433</x:v>
      </x:c>
      <x:c r="B420" t="n">
        <x:f>Dashboard_Live_Data!J174</x:f>
        <x:v>-1.6942460296072568</x:v>
      </x:c>
      <x:c r="C420" t="n">
        <x:f>Dashboard_Live_Data!I174</x:f>
        <x:v>0.433</x:v>
      </x:c>
      <x:c r="D420" t="n">
        <x:f>Dashboard_Live_Data!K174</x:f>
        <x:v>-22803.296578072215</x:v>
      </x:c>
      <x:c r="E420" t="n">
        <x:f>Dashboard_Live_Data!I174</x:f>
        <x:v>0.433</x:v>
      </x:c>
      <x:c r="F420" t="n">
        <x:f>Dashboard_Live_Data!L174</x:f>
        <x:v>-58938.1918599959</x:v>
      </x:c>
      <x:c r="G420" t="n">
        <x:f>Dashboard_Live_Data!I174</x:f>
        <x:v>0.433</x:v>
      </x:c>
      <x:c r="H420" t="n">
        <x:f>Dashboard_Live_Data!M174</x:f>
        <x:v>-61579.72335626042</x:v>
      </x:c>
    </x:row>
    <x:row r="421">
      <x:c r="A421" t="n">
        <x:f>Dashboard_Live_Data!I175</x:f>
        <x:v>0.442</x:v>
      </x:c>
      <x:c r="B421" t="n">
        <x:f>Dashboard_Live_Data!J175</x:f>
        <x:v>-1.8034433360094226</x:v>
      </x:c>
      <x:c r="C421" t="n">
        <x:f>Dashboard_Live_Data!I175</x:f>
        <x:v>0.442</x:v>
      </x:c>
      <x:c r="D421" t="n">
        <x:f>Dashboard_Live_Data!K175</x:f>
        <x:v>-23729.938248077415</x:v>
      </x:c>
      <x:c r="E421" t="n">
        <x:f>Dashboard_Live_Data!I175</x:f>
        <x:v>0.442</x:v>
      </x:c>
      <x:c r="F421" t="n">
        <x:f>Dashboard_Live_Data!L175</x:f>
        <x:v>-61000.45522179079</x:v>
      </x:c>
      <x:c r="G421" t="n">
        <x:f>Dashboard_Live_Data!I175</x:f>
        <x:v>0.442</x:v>
      </x:c>
      <x:c r="H421" t="n">
        <x:f>Dashboard_Live_Data!M175</x:f>
        <x:v>-63685.09256436417</x:v>
      </x:c>
    </x:row>
    <x:row r="422">
      <x:c r="A422" t="n">
        <x:f>Dashboard_Live_Data!I176</x:f>
        <x:v>0.45</x:v>
      </x:c>
      <x:c r="B422" t="n">
        <x:f>Dashboard_Live_Data!J176</x:f>
        <x:v>-1.9050240415085682</x:v>
      </x:c>
      <x:c r="C422" t="n">
        <x:f>Dashboard_Live_Data!I176</x:f>
        <x:v>0.45</x:v>
      </x:c>
      <x:c r="D422" t="n">
        <x:f>Dashboard_Live_Data!K176</x:f>
        <x:v>-24564.15831269113</x:v>
      </x:c>
      <x:c r="E422" t="n">
        <x:f>Dashboard_Live_Data!I176</x:f>
        <x:v>0.45</x:v>
      </x:c>
      <x:c r="F422" t="n">
        <x:f>Dashboard_Live_Data!L176</x:f>
        <x:v>-62845.33421508745</x:v>
      </x:c>
      <x:c r="G422" t="n">
        <x:f>Dashboard_Live_Data!I176</x:f>
        <x:v>0.45</x:v>
      </x:c>
      <x:c r="H422" t="n">
        <x:f>Dashboard_Live_Data!M176</x:f>
        <x:v>-65567.58378946672</x:v>
      </x:c>
    </x:row>
    <x:row r="423">
      <x:c r="A423" t="n">
        <x:f>Dashboard_Live_Data!I177</x:f>
        <x:v>0.458</x:v>
      </x:c>
      <x:c r="B423" t="n">
        <x:f>Dashboard_Live_Data!J177</x:f>
        <x:v>-2.0109937508048006</x:v>
      </x:c>
      <x:c r="C423" t="n">
        <x:f>Dashboard_Live_Data!I177</x:f>
        <x:v>0.458</x:v>
      </x:c>
      <x:c r="D423" t="n">
        <x:f>Dashboard_Live_Data!K177</x:f>
        <x:v>-25408.058195726262</x:v>
      </x:c>
      <x:c r="E423" t="n">
        <x:f>Dashboard_Live_Data!I177</x:f>
        <x:v>0.458</x:v>
      </x:c>
      <x:c r="F423" t="n">
        <x:f>Dashboard_Live_Data!L177</x:f>
        <x:v>-64700.62896395409</x:v>
      </x:c>
      <x:c r="G423" t="n">
        <x:f>Dashboard_Live_Data!I177</x:f>
        <x:v>0.458</x:v>
      </x:c>
      <x:c r="H423" t="n">
        <x:f>Dashboard_Live_Data!M177</x:f>
        <x:v>-67459.8291234388</x:v>
      </x:c>
    </x:row>
    <x:row r="424">
      <x:c r="A424" t="n">
        <x:f>Dashboard_Live_Data!I178</x:f>
        <x:v>0.467</x:v>
      </x:c>
      <x:c r="B424" t="n">
        <x:f>Dashboard_Live_Data!J178</x:f>
        <x:v>-2.13562408544135</x:v>
      </x:c>
      <x:c r="C424" t="n">
        <x:f>Dashboard_Live_Data!I178</x:f>
        <x:v>0.467</x:v>
      </x:c>
      <x:c r="D424" t="n">
        <x:f>Dashboard_Live_Data!K178</x:f>
        <x:v>-26368.734852925336</x:v>
      </x:c>
      <x:c r="E424" t="n">
        <x:f>Dashboard_Live_Data!I178</x:f>
        <x:v>0.467</x:v>
      </x:c>
      <x:c r="F424" t="n">
        <x:f>Dashboard_Live_Data!L178</x:f>
        <x:v>-66799.5300210921</x:v>
      </x:c>
      <x:c r="G424" t="n">
        <x:f>Dashboard_Live_Data!I178</x:f>
        <x:v>0.467</x:v>
      </x:c>
      <x:c r="H424" t="n">
        <x:f>Dashboard_Live_Data!M178</x:f>
        <x:v>-69599.51053278941</x:v>
      </x:c>
    </x:row>
    <x:row r="425">
      <x:c r="A425" t="n">
        <x:f>Dashboard_Live_Data!I179</x:f>
        <x:v>0.475</x:v>
      </x:c>
      <x:c r="B425" t="n">
        <x:f>Dashboard_Live_Data!J179</x:f>
        <x:v>-2.251371436165755</x:v>
      </x:c>
      <x:c r="C425" t="n">
        <x:f>Dashboard_Live_Data!I179</x:f>
        <x:v>0.475</x:v>
      </x:c>
      <x:c r="D425" t="n">
        <x:f>Dashboard_Live_Data!K179</x:f>
        <x:v>-27232.458450313294</x:v>
      </x:c>
      <x:c r="E425" t="n">
        <x:f>Dashboard_Live_Data!I179</x:f>
        <x:v>0.475</x:v>
      </x:c>
      <x:c r="F425" t="n">
        <x:f>Dashboard_Live_Data!L179</x:f>
        <x:v>-68674.96006151366</x:v>
      </x:c>
      <x:c r="G425" t="n">
        <x:f>Dashboard_Live_Data!I179</x:f>
        <x:v>0.475</x:v>
      </x:c>
      <x:c r="H425" t="n">
        <x:f>Dashboard_Live_Data!M179</x:f>
        <x:v>-71510.49050705163</x:v>
      </x:c>
    </x:row>
    <x:row r="426">
      <x:c r="A426" t="n">
        <x:f>Dashboard_Live_Data!I180</x:f>
        <x:v>0.483</x:v>
      </x:c>
      <x:c r="B426" t="n">
        <x:f>Dashboard_Live_Data!J180</x:f>
        <x:v>-2.371937016364882</x:v>
      </x:c>
      <x:c r="C426" t="n">
        <x:f>Dashboard_Live_Data!I180</x:f>
        <x:v>0.483</x:v>
      </x:c>
      <x:c r="D426" t="n">
        <x:f>Dashboard_Live_Data!K180</x:f>
        <x:v>-28105.166881475925</x:v>
      </x:c>
      <x:c r="E426" t="n">
        <x:f>Dashboard_Live_Data!I180</x:f>
        <x:v>0.483</x:v>
      </x:c>
      <x:c r="F426" t="n">
        <x:f>Dashboard_Live_Data!L180</x:f>
        <x:v>-70558.95654529486</x:v>
      </x:c>
      <x:c r="G426" t="n">
        <x:f>Dashboard_Live_Data!I180</x:f>
        <x:v>0.483</x:v>
      </x:c>
      <x:c r="H426" t="n">
        <x:f>Dashboard_Live_Data!M180</x:f>
        <x:v>-73429.38122625335</x:v>
      </x:c>
    </x:row>
    <x:row r="427">
      <x:c r="A427" t="n">
        <x:f>Dashboard_Live_Data!I181</x:f>
        <x:v>0.492</x:v>
      </x:c>
      <x:c r="B427" t="n">
        <x:f>Dashboard_Live_Data!J181</x:f>
        <x:v>-2.513509340354176</x:v>
      </x:c>
      <x:c r="C427" t="n">
        <x:f>Dashboard_Live_Data!I181</x:f>
        <x:v>0.492</x:v>
      </x:c>
      <x:c r="D427" t="n">
        <x:f>Dashboard_Live_Data!K181</x:f>
        <x:v>-29097.435135520704</x:v>
      </x:c>
      <x:c r="E427" t="n">
        <x:f>Dashboard_Live_Data!I181</x:f>
        <x:v>0.492</x:v>
      </x:c>
      <x:c r="F427" t="n">
        <x:f>Dashboard_Live_Data!L181</x:f>
        <x:v>-72687.99278310622</x:v>
      </x:c>
      <x:c r="G427" t="n">
        <x:f>Dashboard_Live_Data!I181</x:f>
        <x:v>0.492</x:v>
      </x:c>
      <x:c r="H427" t="n">
        <x:f>Dashboard_Live_Data!M181</x:f>
        <x:v>-75596.89314596399</x:v>
      </x:c>
    </x:row>
    <x:row r="428">
      <x:c r="A428" t="n">
        <x:f>Dashboard_Live_Data!I182</x:f>
        <x:v>0.5</x:v>
      </x:c>
      <x:c r="B428" t="n">
        <x:f>Dashboard_Live_Data!J182</x:f>
        <x:v>-2.6447875068229223</x:v>
      </x:c>
      <x:c r="C428" t="n">
        <x:f>Dashboard_Live_Data!I182</x:f>
        <x:v>0.5</x:v>
      </x:c>
      <x:c r="D428" t="n">
        <x:f>Dashboard_Live_Data!K182</x:f>
        <x:v>-29988.524239953986</x:v>
      </x:c>
      <x:c r="E428" t="n">
        <x:f>Dashboard_Live_Data!I182</x:f>
        <x:v>0.5</x:v>
      </x:c>
      <x:c r="F428" t="n">
        <x:f>Dashboard_Live_Data!L182</x:f>
        <x:v>-74588.34383380503</x:v>
      </x:c>
      <x:c r="G428" t="n">
        <x:f>Dashboard_Live_Data!I182</x:f>
        <x:v>0.5</x:v>
      </x:c>
      <x:c r="H428" t="n">
        <x:f>Dashboard_Live_Data!M182</x:f>
        <x:v>-77530.75464681152</x:v>
      </x:c>
    </x:row>
    <x:row r="429">
      <x:c r="A429" t="n">
        <x:f>Dashboard_Live_Data!I183</x:f>
        <x:v>0.508</x:v>
      </x:c>
      <x:c r="B429" t="n">
        <x:f>Dashboard_Live_Data!J183</x:f>
        <x:v>-2.7813345652473345</x:v>
      </x:c>
      <x:c r="C429" t="n">
        <x:f>Dashboard_Live_Data!I183</x:f>
        <x:v>0.508</x:v>
      </x:c>
      <x:c r="D429" t="n">
        <x:f>Dashboard_Live_Data!K183</x:f>
        <x:v>-30887.934860679583</x:v>
      </x:c>
      <x:c r="E429" t="n">
        <x:f>Dashboard_Live_Data!I183</x:f>
        <x:v>0.508</x:v>
      </x:c>
      <x:c r="F429" t="n">
        <x:f>Dashboard_Live_Data!L183</x:f>
        <x:v>-76495.55061689264</x:v>
      </x:c>
      <x:c r="G429" t="n">
        <x:f>Dashboard_Live_Data!I183</x:f>
        <x:v>0.508</x:v>
      </x:c>
      <x:c r="H429" t="n">
        <x:f>Dashboard_Live_Data!M183</x:f>
        <x:v>-79470.82596585111</x:v>
      </x:c>
    </x:row>
    <x:row r="430">
      <x:c r="A430" t="n">
        <x:f>Dashboard_Live_Data!I184</x:f>
        <x:v>0.517</x:v>
      </x:c>
      <x:c r="B430" t="n">
        <x:f>Dashboard_Live_Data!J184</x:f>
        <x:v>-2.941433207470027</x:v>
      </x:c>
      <x:c r="C430" t="n">
        <x:f>Dashboard_Live_Data!I184</x:f>
        <x:v>0.517</x:v>
      </x:c>
      <x:c r="D430" t="n">
        <x:f>Dashboard_Live_Data!K184</x:f>
        <x:v>-31909.462641600694</x:v>
      </x:c>
      <x:c r="E430" t="n">
        <x:f>Dashboard_Live_Data!I184</x:f>
        <x:v>0.517</x:v>
      </x:c>
      <x:c r="F430" t="n">
        <x:f>Dashboard_Live_Data!L184</x:f>
        <x:v>-78648.70676173811</x:v>
      </x:c>
      <x:c r="G430" t="n">
        <x:f>Dashboard_Live_Data!I184</x:f>
        <x:v>0.517</x:v>
      </x:c>
      <x:c r="H430" t="n">
        <x:f>Dashboard_Live_Data!M184</x:f>
        <x:v>-81660.1874346211</x:v>
      </x:c>
    </x:row>
    <x:row r="431">
      <x:c r="A431" t="n">
        <x:f>Dashboard_Live_Data!I185</x:f>
        <x:v>0.525</x:v>
      </x:c>
      <x:c r="B431" t="n">
        <x:f>Dashboard_Live_Data!J185</x:f>
        <x:v>-3.089673071670859</x:v>
      </x:c>
      <x:c r="C431" t="n">
        <x:f>Dashboard_Live_Data!I185</x:f>
        <x:v>0.525</x:v>
      </x:c>
      <x:c r="D431" t="n">
        <x:f>Dashboard_Live_Data!K185</x:f>
        <x:v>-32825.87746268808</x:v>
      </x:c>
      <x:c r="E431" t="n">
        <x:f>Dashboard_Live_Data!I185</x:f>
        <x:v>0.525</x:v>
      </x:c>
      <x:c r="F431" t="n">
        <x:f>Dashboard_Live_Data!L185</x:f>
        <x:v>-80568.7736811837</x:v>
      </x:c>
      <x:c r="G431" t="n">
        <x:f>Dashboard_Live_Data!I185</x:f>
        <x:v>0.525</x:v>
      </x:c>
      <x:c r="H431" t="n">
        <x:f>Dashboard_Live_Data!M185</x:f>
        <x:v>-83611.75944718669</x:v>
      </x:c>
    </x:row>
    <x:row r="432">
      <x:c r="A432" t="n">
        <x:f>Dashboard_Live_Data!I186</x:f>
        <x:v>0.533</x:v>
      </x:c>
      <x:c r="B432" t="n">
        <x:f>Dashboard_Live_Data!J186</x:f>
        <x:v>-3.243653659340225</x:v>
      </x:c>
      <x:c r="C432" t="n">
        <x:f>Dashboard_Live_Data!I186</x:f>
        <x:v>0.533</x:v>
      </x:c>
      <x:c r="D432" t="n">
        <x:f>Dashboard_Live_Data!K186</x:f>
        <x:v>-33749.98145308635</x:v>
      </x:c>
      <x:c r="E432" t="n">
        <x:f>Dashboard_Live_Data!I186</x:f>
        <x:v>0.533</x:v>
      </x:c>
      <x:c r="F432" t="n">
        <x:f>Dashboard_Live_Data!L186</x:f>
        <x:v>-82494.11644292518</x:v>
      </x:c>
      <x:c r="G432" t="n">
        <x:f>Dashboard_Live_Data!I186</x:f>
        <x:v>0.533</x:v>
      </x:c>
      <x:c r="H432" t="n">
        <x:f>Dashboard_Live_Data!M186</x:f>
        <x:v>-85567.97437946207</x:v>
      </x:c>
    </x:row>
    <x:row r="433">
      <x:c r="A433" t="n">
        <x:f>Dashboard_Live_Data!I187</x:f>
        <x:v>0.542</x:v>
      </x:c>
      <x:c r="B433" t="n">
        <x:f>Dashboard_Live_Data!J187</x:f>
        <x:v>-3.423937371721422</x:v>
      </x:c>
      <x:c r="C433" t="n">
        <x:f>Dashboard_Live_Data!I187</x:f>
        <x:v>0.542</x:v>
      </x:c>
      <x:c r="D433" t="n">
        <x:f>Dashboard_Live_Data!K187</x:f>
        <x:v>-34798.54556291025</x:v>
      </x:c>
      <x:c r="E433" t="n">
        <x:f>Dashboard_Live_Data!I187</x:f>
        <x:v>0.542</x:v>
      </x:c>
      <x:c r="F433" t="n">
        <x:f>Dashboard_Live_Data!L187</x:f>
        <x:v>-84665.8371283485</x:v>
      </x:c>
      <x:c r="G433" t="n">
        <x:f>Dashboard_Live_Data!I187</x:f>
        <x:v>0.542</x:v>
      </x:c>
      <x:c r="H433" t="n">
        <x:f>Dashboard_Live_Data!M187</x:f>
        <x:v>-87773.67562430893</x:v>
      </x:c>
    </x:row>
    <x:row r="434">
      <x:c r="A434" t="n">
        <x:f>Dashboard_Live_Data!I188</x:f>
        <x:v>0.55</x:v>
      </x:c>
      <x:c r="B434" t="n">
        <x:f>Dashboard_Live_Data!J188</x:f>
        <x:v>-3.590635671074324</x:v>
      </x:c>
      <x:c r="C434" t="n">
        <x:f>Dashboard_Live_Data!I188</x:f>
        <x:v>0.55</x:v>
      </x:c>
      <x:c r="D434" t="n">
        <x:f>Dashboard_Live_Data!K188</x:f>
        <x:v>-35738.342299056225</x:v>
      </x:c>
      <x:c r="E434" t="n">
        <x:f>Dashboard_Live_Data!I188</x:f>
        <x:v>0.55</x:v>
      </x:c>
      <x:c r="F434" t="n">
        <x:f>Dashboard_Live_Data!L188</x:f>
        <x:v>-86600.81524649766</x:v>
      </x:c>
      <x:c r="G434" t="n">
        <x:f>Dashboard_Live_Data!I188</x:f>
        <x:v>0.55</x:v>
      </x:c>
      <x:c r="H434" t="n">
        <x:f>Dashboard_Live_Data!M188</x:f>
        <x:v>-89738.19699014083</x:v>
      </x:c>
    </x:row>
    <x:row r="435">
      <x:c r="A435" t="n">
        <x:f>Dashboard_Live_Data!I189</x:f>
        <x:v>0.558</x:v>
      </x:c>
      <x:c r="B435" t="n">
        <x:f>Dashboard_Live_Data!J189</x:f>
        <x:v>-3.763567414630188</x:v>
      </x:c>
      <x:c r="C435" t="n">
        <x:f>Dashboard_Live_Data!I189</x:f>
        <x:v>0.558</x:v>
      </x:c>
      <x:c r="D435" t="n">
        <x:f>Dashboard_Live_Data!K189</x:f>
        <x:v>-36685.22606722002</x:v>
      </x:c>
      <x:c r="E435" t="n">
        <x:f>Dashboard_Live_Data!I189</x:f>
        <x:v>0.558</x:v>
      </x:c>
      <x:c r="F435" t="n">
        <x:f>Dashboard_Live_Data!L189</x:f>
        <x:v>-88539.61228230715</x:v>
      </x:c>
      <x:c r="G435" t="n">
        <x:f>Dashboard_Live_Data!I189</x:f>
        <x:v>0.558</x:v>
      </x:c>
      <x:c r="H435" t="n">
        <x:f>Dashboard_Live_Data!M189</x:f>
        <x:v>-91705.91995911617</x:v>
      </x:c>
    </x:row>
    <x:row r="436">
      <x:c r="A436" t="n">
        <x:f>Dashboard_Live_Data!I190</x:f>
        <x:v>0.567</x:v>
      </x:c>
      <x:c r="B436" t="n">
        <x:f>Dashboard_Live_Data!J190</x:f>
        <x:v>-3.965768378529674</x:v>
      </x:c>
      <x:c r="C436" t="n">
        <x:f>Dashboard_Live_Data!I190</x:f>
        <x:v>0.567</x:v>
      </x:c>
      <x:c r="D436" t="n">
        <x:f>Dashboard_Live_Data!K190</x:f>
        <x:v>-37758.70950600899</x:v>
      </x:c>
      <x:c r="E436" t="n">
        <x:f>Dashboard_Live_Data!I190</x:f>
        <x:v>0.567</x:v>
      </x:c>
      <x:c r="F436" t="n">
        <x:f>Dashboard_Live_Data!L190</x:f>
        <x:v>-90724.77444856253</x:v>
      </x:c>
      <x:c r="G436" t="n">
        <x:f>Dashboard_Live_Data!I190</x:f>
        <x:v>0.567</x:v>
      </x:c>
      <x:c r="H436" t="n">
        <x:f>Dashboard_Live_Data!M190</x:f>
        <x:v>-93922.89271885797</x:v>
      </x:c>
    </x:row>
    <x:row r="437">
      <x:c r="A437" t="n">
        <x:f>Dashboard_Live_Data!I191</x:f>
        <x:v>0.575</x:v>
      </x:c>
      <x:c r="B437" t="n">
        <x:f>Dashboard_Live_Data!J191</x:f>
        <x:v>-4.152486814658005</x:v>
      </x:c>
      <x:c r="C437" t="n">
        <x:f>Dashboard_Live_Data!I191</x:f>
        <x:v>0.575</x:v>
      </x:c>
      <x:c r="D437" t="n">
        <x:f>Dashboard_Live_Data!K191</x:f>
        <x:v>-38720.0379034832</x:v>
      </x:c>
      <x:c r="E437" t="n">
        <x:f>Dashboard_Live_Data!I191</x:f>
        <x:v>0.575</x:v>
      </x:c>
      <x:c r="F437" t="n">
        <x:f>Dashboard_Live_Data!L191</x:f>
        <x:v>-92670.23504071141</x:v>
      </x:c>
      <x:c r="G437" t="n">
        <x:f>Dashboard_Live_Data!I191</x:f>
        <x:v>0.575</x:v>
      </x:c>
      <x:c r="H437" t="n">
        <x:f>Dashboard_Live_Data!M191</x:f>
        <x:v>-95895.98581265062</x:v>
      </x:c>
    </x:row>
    <x:row r="438">
      <x:c r="A438" t="n">
        <x:f>Dashboard_Live_Data!I192</x:f>
        <x:v>0.583</x:v>
      </x:c>
      <x:c r="B438" t="n">
        <x:f>Dashboard_Live_Data!J192</x:f>
        <x:v>-4.3459520128728855</x:v>
      </x:c>
      <x:c r="C438" t="n">
        <x:f>Dashboard_Live_Data!I192</x:f>
        <x:v>0.583</x:v>
      </x:c>
      <x:c r="D438" t="n">
        <x:f>Dashboard_Live_Data!K192</x:f>
        <x:v>-39687.88058628062</x:v>
      </x:c>
      <x:c r="E438" t="n">
        <x:f>Dashboard_Live_Data!I192</x:f>
        <x:v>0.583</x:v>
      </x:c>
      <x:c r="F438" t="n">
        <x:f>Dashboard_Live_Data!L192</x:f>
        <x:v>-94618.17278073911</x:v>
      </x:c>
      <x:c r="G438" t="n">
        <x:f>Dashboard_Live_Data!I192</x:f>
        <x:v>0.583</x:v>
      </x:c>
      <x:c r="H438" t="n">
        <x:f>Dashboard_Live_Data!M192</x:f>
        <x:v>-97870.95642178803</x:v>
      </x:c>
    </x:row>
    <x:row r="439">
      <x:c r="A439" t="n">
        <x:f>Dashboard_Live_Data!I193</x:f>
        <x:v>0.592</x:v>
      </x:c>
      <x:c r="B439" t="n">
        <x:f>Dashboard_Live_Data!J193</x:f>
        <x:v>-4.571874809995052</x:v>
      </x:c>
      <x:c r="C439" t="n">
        <x:f>Dashboard_Live_Data!I193</x:f>
        <x:v>0.592</x:v>
      </x:c>
      <x:c r="D439" t="n">
        <x:f>Dashboard_Live_Data!K193</x:f>
        <x:v>-40784.26967339731</x:v>
      </x:c>
      <x:c r="E439" t="n">
        <x:f>Dashboard_Live_Data!I193</x:f>
        <x:v>0.592</x:v>
      </x:c>
      <x:c r="F439" t="n">
        <x:f>Dashboard_Live_Data!L193</x:f>
        <x:v>-96812.05822906029</x:v>
      </x:c>
      <x:c r="G439" t="n">
        <x:f>Dashboard_Live_Data!I193</x:f>
        <x:v>0.592</x:v>
      </x:c>
      <x:c r="H439" t="n">
        <x:f>Dashboard_Live_Data!M193</x:f>
        <x:v>-100094.54459469789</x:v>
      </x:c>
    </x:row>
    <x:row r="440">
      <x:c r="A440" t="n">
        <x:f>Dashboard_Live_Data!I194</x:f>
        <x:v>0.6</x:v>
      </x:c>
      <x:c r="B440" t="n">
        <x:f>Dashboard_Live_Data!J194</x:f>
        <x:v>-4.780239127223922</x:v>
      </x:c>
      <x:c r="C440" t="n">
        <x:f>Dashboard_Live_Data!I194</x:f>
        <x:v>0.6</x:v>
      </x:c>
      <x:c r="D440" t="n">
        <x:f>Dashboard_Live_Data!K194</x:f>
        <x:v>-41765.370410184376</x:v>
      </x:c>
      <x:c r="E440" t="n">
        <x:f>Dashboard_Live_Data!I194</x:f>
        <x:v>0.6</x:v>
      </x:c>
      <x:c r="F440" t="n">
        <x:f>Dashboard_Live_Data!L194</x:f>
        <x:v>-98763.92423983713</x:v>
      </x:c>
      <x:c r="G440" t="n">
        <x:f>Dashboard_Live_Data!I194</x:f>
        <x:v>0.6</x:v>
      </x:c>
      <x:c r="H440" t="n">
        <x:f>Dashboard_Live_Data!M194</x:f>
        <x:v>-102072.18940950758</x:v>
      </x:c>
    </x:row>
    <x:row r="441">
      <x:c r="A441" t="n">
        <x:f>Dashboard_Live_Data!I195</x:f>
        <x:v>0.608</x:v>
      </x:c>
      <x:c r="B441" t="n">
        <x:f>Dashboard_Live_Data!J195</x:f>
        <x:v>-4.995883813084447</x:v>
      </x:c>
      <x:c r="C441" t="n">
        <x:f>Dashboard_Live_Data!I195</x:f>
        <x:v>0.608</x:v>
      </x:c>
      <x:c r="D441" t="n">
        <x:f>Dashboard_Live_Data!K195</x:f>
        <x:v>-42752.441205505645</x:v>
      </x:c>
      <x:c r="E441" t="n">
        <x:f>Dashboard_Live_Data!I195</x:f>
        <x:v>0.608</x:v>
      </x:c>
      <x:c r="F441" t="n">
        <x:f>Dashboard_Live_Data!L195</x:f>
        <x:v>-100717.0331168441</x:v>
      </x:c>
      <x:c r="G441" t="n">
        <x:f>Dashboard_Live_Data!I195</x:f>
        <x:v>0.608</x:v>
      </x:c>
      <x:c r="H441" t="n">
        <x:f>Dashboard_Live_Data!M195</x:f>
        <x:v>-104050.49672552545</x:v>
      </x:c>
    </x:row>
    <x:row r="442">
      <x:c r="A442" t="n">
        <x:f>Dashboard_Live_Data!I196</x:f>
        <x:v>0.617</x:v>
      </x:c>
      <x:c r="B442" t="n">
        <x:f>Dashboard_Live_Data!J196</x:f>
        <x:v>-5.247404357237883</x:v>
      </x:c>
      <x:c r="C442" t="n">
        <x:f>Dashboard_Live_Data!I196</x:f>
        <x:v>0.617</x:v>
      </x:c>
      <x:c r="D442" t="n">
        <x:f>Dashboard_Live_Data!K196</x:f>
        <x:v>-43869.822519639056</x:v>
      </x:c>
      <x:c r="E442" t="n">
        <x:f>Dashboard_Live_Data!I196</x:f>
        <x:v>0.617</x:v>
      </x:c>
      <x:c r="F442" t="n">
        <x:f>Dashboard_Live_Data!L196</x:f>
        <x:v>-102915.30156679449</x:v>
      </x:c>
      <x:c r="G442" t="n">
        <x:f>Dashboard_Live_Data!I196</x:f>
        <x:v>0.617</x:v>
      </x:c>
      <x:c r="H442" t="n">
        <x:f>Dashboard_Live_Data!M196</x:f>
        <x:v>-106276.42770998081</x:v>
      </x:c>
    </x:row>
    <x:row r="443">
      <x:c r="A443" t="n">
        <x:f>Dashboard_Live_Data!I197</x:f>
        <x:v>0.625</x:v>
      </x:c>
      <x:c r="B443" t="n">
        <x:f>Dashboard_Live_Data!J197</x:f>
        <x:v>-5.479103372775171</x:v>
      </x:c>
      <x:c r="C443" t="n">
        <x:f>Dashboard_Live_Data!I197</x:f>
        <x:v>0.625</x:v>
      </x:c>
      <x:c r="D443" t="n">
        <x:f>Dashboard_Live_Data!K197</x:f>
        <x:v>-44869.024435891464</x:v>
      </x:c>
      <x:c r="E443" t="n">
        <x:f>Dashboard_Live_Data!I197</x:f>
        <x:v>0.625</x:v>
      </x:c>
      <x:c r="F443" t="n">
        <x:f>Dashboard_Live_Data!L197</x:f>
        <x:v>-104869.82387216578</x:v>
      </x:c>
      <x:c r="G443" t="n">
        <x:f>Dashboard_Live_Data!I197</x:f>
        <x:v>0.625</x:v>
      </x:c>
      <x:c r="H443" t="n">
        <x:f>Dashboard_Live_Data!M197</x:f>
        <x:v>-108254.93665267841</x:v>
      </x:c>
    </x:row>
    <x:row r="444">
      <x:c r="A444" t="n">
        <x:f>Dashboard_Live_Data!I198</x:f>
        <x:v>0.633</x:v>
      </x:c>
      <x:c r="B444" t="n">
        <x:f>Dashboard_Live_Data!J198</x:f>
        <x:v>-5.718636339065142</x:v>
      </x:c>
      <x:c r="C444" t="n">
        <x:f>Dashboard_Live_Data!I198</x:f>
        <x:v>0.633</x:v>
      </x:c>
      <x:c r="D444" t="n">
        <x:f>Dashboard_Live_Data!K198</x:f>
        <x:v>-45873.67978905518</x:v>
      </x:c>
      <x:c r="E444" t="n">
        <x:f>Dashboard_Live_Data!I198</x:f>
        <x:v>0.633</x:v>
      </x:c>
      <x:c r="F444" t="n">
        <x:f>Dashboard_Live_Data!L198</x:f>
        <x:v>-106824.4548063119</x:v>
      </x:c>
      <x:c r="G444" t="n">
        <x:f>Dashboard_Live_Data!I198</x:f>
        <x:v>0.633</x:v>
      </x:c>
      <x:c r="H444" t="n">
        <x:f>Dashboard_Live_Data!M198</x:f>
        <x:v>-110232.99428005761</x:v>
      </x:c>
    </x:row>
    <x:row r="445">
      <x:c r="A445" t="n">
        <x:f>Dashboard_Live_Data!I199</x:f>
        <x:v>0.642</x:v>
      </x:c>
      <x:c r="B445" t="n">
        <x:f>Dashboard_Live_Data!J199</x:f>
        <x:v>-5.997700776976217</x:v>
      </x:c>
      <x:c r="C445" t="n">
        <x:f>Dashboard_Live_Data!I199</x:f>
        <x:v>0.642</x:v>
      </x:c>
      <x:c r="D445" t="n">
        <x:f>Dashboard_Live_Data!K199</x:f>
        <x:v>-47010.23695345006</x:v>
      </x:c>
      <x:c r="E445" t="n">
        <x:f>Dashboard_Live_Data!I199</x:f>
        <x:v>0.642</x:v>
      </x:c>
      <x:c r="F445" t="n">
        <x:f>Dashboard_Live_Data!L199</x:f>
        <x:v>-109023.11773384197</x:v>
      </x:c>
      <x:c r="G445" t="n">
        <x:f>Dashboard_Live_Data!I199</x:f>
        <x:v>0.642</x:v>
      </x:c>
      <x:c r="H445" t="n">
        <x:f>Dashboard_Live_Data!M199</x:f>
        <x:v>-112457.3512933722</x:v>
      </x:c>
    </x:row>
    <x:row r="446">
      <x:c r="A446" t="n">
        <x:f>Dashboard_Live_Data!I200</x:f>
        <x:v>0.65</x:v>
      </x:c>
      <x:c r="B446" t="n">
        <x:f>Dashboard_Live_Data!J200</x:f>
        <x:v>-6.254485391421895</x:v>
      </x:c>
      <x:c r="C446" t="n">
        <x:f>Dashboard_Live_Data!I200</x:f>
        <x:v>0.65</x:v>
      </x:c>
      <x:c r="D446" t="n">
        <x:f>Dashboard_Live_Data!K200</x:f>
        <x:v>-48025.954152811115</x:v>
      </x:c>
      <x:c r="E446" t="n">
        <x:f>Dashboard_Live_Data!I200</x:f>
        <x:v>0.65</x:v>
      </x:c>
      <x:c r="F446" t="n">
        <x:f>Dashboard_Live_Data!L200</x:f>
        <x:v>-110976.85216755129</x:v>
      </x:c>
      <x:c r="G446" t="n">
        <x:f>Dashboard_Live_Data!I200</x:f>
        <x:v>0.65</x:v>
      </x:c>
      <x:c r="H446" t="n">
        <x:f>Dashboard_Live_Data!M200</x:f>
        <x:v>-114433.34492030981</x:v>
      </x:c>
    </x:row>
    <x:row r="447">
      <x:c r="A447" t="n">
        <x:f>Dashboard_Live_Data!I201</x:f>
        <x:v>0.658</x:v>
      </x:c>
      <x:c r="B447" t="n">
        <x:f>Dashboard_Live_Data!J201</x:f>
        <x:v>-6.51967719021377</x:v>
      </x:c>
      <x:c r="C447" t="n">
        <x:f>Dashboard_Live_Data!I201</x:f>
        <x:v>0.658</x:v>
      </x:c>
      <x:c r="D447" t="n">
        <x:f>Dashboard_Live_Data!K201</x:f>
        <x:v>-49046.63482196606</x:v>
      </x:c>
      <x:c r="E447" t="n">
        <x:f>Dashboard_Live_Data!I201</x:f>
        <x:v>0.658</x:v>
      </x:c>
      <x:c r="F447" t="n">
        <x:f>Dashboard_Live_Data!L201</x:f>
        <x:v>-112929.65387596656</x:v>
      </x:c>
      <x:c r="G447" t="n">
        <x:f>Dashboard_Live_Data!I201</x:f>
        <x:v>0.658</x:v>
      </x:c>
      <x:c r="H447" t="n">
        <x:f>Dashboard_Live_Data!M201</x:f>
        <x:v>-116407.86707581836</x:v>
      </x:c>
    </x:row>
    <x:row r="448">
      <x:c r="A448" t="n">
        <x:f>Dashboard_Live_Data!I202</x:f>
        <x:v>0.667</x:v>
      </x:c>
      <x:c r="B448" t="n">
        <x:f>Dashboard_Live_Data!J202</x:f>
        <x:v>-6.828300748499714</x:v>
      </x:c>
      <x:c r="C448" t="n">
        <x:f>Dashboard_Live_Data!I202</x:f>
        <x:v>0.667</x:v>
      </x:c>
      <x:c r="D448" t="n">
        <x:f>Dashboard_Live_Data!K202</x:f>
        <x:v>-50200.64516336979</x:v>
      </x:c>
      <x:c r="E448" t="n">
        <x:f>Dashboard_Live_Data!I202</x:f>
        <x:v>0.667</x:v>
      </x:c>
      <x:c r="F448" t="n">
        <x:f>Dashboard_Live_Data!L202</x:f>
        <x:v>-115125.04934461691</x:v>
      </x:c>
      <x:c r="G448" t="n">
        <x:f>Dashboard_Live_Data!I202</x:f>
        <x:v>0.667</x:v>
      </x:c>
      <x:c r="H448" t="n">
        <x:f>Dashboard_Live_Data!M202</x:f>
        <x:v>-118627.06266188357</x:v>
      </x:c>
    </x:row>
    <x:row r="449">
      <x:c r="A449" t="n">
        <x:f>Dashboard_Live_Data!I203</x:f>
        <x:v>0.675</x:v>
      </x:c>
      <x:c r="B449" t="n">
        <x:f>Dashboard_Live_Data!J203</x:f>
        <x:v>-7.111982920109767</x:v>
      </x:c>
      <x:c r="C449" t="n">
        <x:f>Dashboard_Live_Data!I203</x:f>
        <x:v>0.675</x:v>
      </x:c>
      <x:c r="D449" t="n">
        <x:f>Dashboard_Live_Data!K203</x:f>
        <x:v>-51231.374010913656</x:v>
      </x:c>
      <x:c r="E449" t="n">
        <x:f>Dashboard_Live_Data!I203</x:f>
        <x:v>0.675</x:v>
      </x:c>
      <x:c r="F449" t="n">
        <x:f>Dashboard_Live_Data!L203</x:f>
        <x:v>-117074.83465957025</x:v>
      </x:c>
      <x:c r="G449" t="n">
        <x:f>Dashboard_Live_Data!I203</x:f>
        <x:v>0.675</x:v>
      </x:c>
      <x:c r="H449" t="n">
        <x:f>Dashboard_Live_Data!M203</x:f>
        <x:v>-120597.44652148281</x:v>
      </x:c>
    </x:row>
    <x:row r="450">
      <x:c r="A450" t="n">
        <x:f>Dashboard_Live_Data!I204</x:f>
        <x:v>0.683</x:v>
      </x:c>
      <x:c r="B450" t="n">
        <x:f>Dashboard_Live_Data!J204</x:f>
        <x:v>-7.404664824446172</x:v>
      </x:c>
      <x:c r="C450" t="n">
        <x:f>Dashboard_Live_Data!I204</x:f>
        <x:v>0.683</x:v>
      </x:c>
      <x:c r="D450" t="n">
        <x:f>Dashboard_Live_Data!K204</x:f>
        <x:v>-52266.60203742246</x:v>
      </x:c>
      <x:c r="E450" t="n">
        <x:f>Dashboard_Live_Data!I204</x:f>
        <x:v>0.683</x:v>
      </x:c>
      <x:c r="F450" t="n">
        <x:f>Dashboard_Live_Data!L204</x:f>
        <x:v>-119022.73194468833</x:v>
      </x:c>
      <x:c r="G450" t="n">
        <x:f>Dashboard_Live_Data!I204</x:f>
        <x:v>0.683</x:v>
      </x:c>
      <x:c r="H450" t="n">
        <x:f>Dashboard_Live_Data!M204</x:f>
        <x:v>-122565.42525707473</x:v>
      </x:c>
    </x:row>
    <x:row r="451">
      <x:c r="A451" t="n">
        <x:f>Dashboard_Live_Data!I205</x:f>
        <x:v>0.692</x:v>
      </x:c>
      <x:c r="B451" t="n">
        <x:f>Dashboard_Live_Data!J205</x:f>
        <x:v>-7.744930637363723</x:v>
      </x:c>
      <x:c r="C451" t="n">
        <x:f>Dashboard_Live_Data!I205</x:f>
        <x:v>0.692</x:v>
      </x:c>
      <x:c r="D451" t="n">
        <x:f>Dashboard_Live_Data!K205</x:f>
        <x:v>-53436.43314820457</x:v>
      </x:c>
      <x:c r="E451" t="n">
        <x:f>Dashboard_Live_Data!I205</x:f>
        <x:v>0.692</x:v>
      </x:c>
      <x:c r="F451" t="n">
        <x:f>Dashboard_Live_Data!L205</x:f>
        <x:v>-121211.50058427514</x:v>
      </x:c>
      <x:c r="G451" t="n">
        <x:f>Dashboard_Live_Data!I205</x:f>
        <x:v>0.692</x:v>
      </x:c>
      <x:c r="H451" t="n">
        <x:f>Dashboard_Live_Data!M205</x:f>
        <x:v>-124776.17612891932</x:v>
      </x:c>
    </x:row>
    <x:row r="452">
      <x:c r="A452" t="n">
        <x:f>Dashboard_Live_Data!I206</x:f>
        <x:v>0.7</x:v>
      </x:c>
      <x:c r="B452" t="n">
        <x:f>Dashboard_Live_Data!J206</x:f>
        <x:v>-8.057382321536807</x:v>
      </x:c>
      <x:c r="C452" t="n">
        <x:f>Dashboard_Live_Data!I206</x:f>
        <x:v>0.7</x:v>
      </x:c>
      <x:c r="D452" t="n">
        <x:f>Dashboard_Live_Data!K206</x:f>
        <x:v>-54480.74919119819</x:v>
      </x:c>
      <x:c r="E452" t="n">
        <x:f>Dashboard_Live_Data!I206</x:f>
        <x:v>0.7</x:v>
      </x:c>
      <x:c r="F452" t="n">
        <x:f>Dashboard_Live_Data!L206</x:f>
        <x:v>-123154.43747008915</x:v>
      </x:c>
      <x:c r="G452" t="n">
        <x:f>Dashboard_Live_Data!I206</x:f>
        <x:v>0.7</x:v>
      </x:c>
      <x:c r="H452" t="n">
        <x:f>Dashboard_Live_Data!M206</x:f>
        <x:v>-126738.11882360443</x:v>
      </x:c>
    </x:row>
    <x:row r="453">
      <x:c r="A453" t="n">
        <x:f>Dashboard_Live_Data!I207</x:f>
        <x:v>0.708</x:v>
      </x:c>
      <x:c r="B453" t="n">
        <x:f>Dashboard_Live_Data!J207</x:f>
        <x:v>-8.379445258978194</x:v>
      </x:c>
      <x:c r="C453" t="n">
        <x:f>Dashboard_Live_Data!I207</x:f>
        <x:v>0.708</x:v>
      </x:c>
      <x:c r="D453" t="n">
        <x:f>Dashboard_Live_Data!K207</x:f>
        <x:v>-55529.124801208076</x:v>
      </x:c>
      <x:c r="E453" t="n">
        <x:f>Dashboard_Live_Data!I207</x:f>
        <x:v>0.708</x:v>
      </x:c>
      <x:c r="F453" t="n">
        <x:f>Dashboard_Live_Data!L207</x:f>
        <x:v>-125094.61059367246</x:v>
      </x:c>
      <x:c r="G453" t="n">
        <x:f>Dashboard_Live_Data!I207</x:f>
        <x:v>0.708</x:v>
      </x:c>
      <x:c r="H453" t="n">
        <x:f>Dashboard_Live_Data!M207</x:f>
        <x:v>-128696.80249462544</x:v>
      </x:c>
    </x:row>
    <x:row r="454">
      <x:c r="A454" t="n">
        <x:f>Dashboard_Live_Data!I208</x:f>
        <x:v>0.717</x:v>
      </x:c>
      <x:c r="B454" t="n">
        <x:f>Dashboard_Live_Data!J208</x:f>
        <x:v>-8.753503156986426</x:v>
      </x:c>
      <x:c r="C454" t="n">
        <x:f>Dashboard_Live_Data!I208</x:f>
        <x:v>0.717</x:v>
      </x:c>
      <x:c r="D454" t="n">
        <x:f>Dashboard_Live_Data!K208</x:f>
        <x:v>-56713.231033901524</x:v>
      </x:c>
      <x:c r="E454" t="n">
        <x:f>Dashboard_Live_Data!I208</x:f>
        <x:v>0.717</x:v>
      </x:c>
      <x:c r="F454" t="n">
        <x:f>Dashboard_Live_Data!L208</x:f>
        <x:v>-127273.67283059817</x:v>
      </x:c>
      <x:c r="G454" t="n">
        <x:f>Dashboard_Live_Data!I208</x:f>
        <x:v>0.717</x:v>
      </x:c>
      <x:c r="H454" t="n">
        <x:f>Dashboard_Live_Data!M208</x:f>
        <x:v>-130896.1058035729</x:v>
      </x:c>
    </x:row>
    <x:row r="455">
      <x:c r="A455" t="n">
        <x:f>Dashboard_Live_Data!I209</x:f>
        <x:v>0.725</x:v>
      </x:c>
      <x:c r="B455" t="n">
        <x:f>Dashboard_Live_Data!J209</x:f>
        <x:v>-9.096655219469085</x:v>
      </x:c>
      <x:c r="C455" t="n">
        <x:f>Dashboard_Live_Data!I209</x:f>
        <x:v>0.725</x:v>
      </x:c>
      <x:c r="D455" t="n">
        <x:f>Dashboard_Live_Data!K209</x:f>
        <x:v>-57769.785871170316</x:v>
      </x:c>
      <x:c r="E455" t="n">
        <x:f>Dashboard_Live_Data!I209</x:f>
        <x:v>0.725</x:v>
      </x:c>
      <x:c r="F455" t="n">
        <x:f>Dashboard_Live_Data!L209</x:f>
        <x:v>-129207.10406628711</x:v>
      </x:c>
      <x:c r="G455" t="n">
        <x:f>Dashboard_Live_Data!I209</x:f>
        <x:v>0.725</x:v>
      </x:c>
      <x:c r="H455" t="n">
        <x:f>Dashboard_Live_Data!M209</x:f>
        <x:v>-132847.0183380536</x:v>
      </x:c>
    </x:row>
    <x:row r="456">
      <x:c r="A456" t="n">
        <x:f>Dashboard_Live_Data!I210</x:f>
        <x:v>0.733</x:v>
      </x:c>
      <x:c r="B456" t="n">
        <x:f>Dashboard_Live_Data!J210</x:f>
        <x:v>-9.45004867322723</x:v>
      </x:c>
      <x:c r="C456" t="n">
        <x:f>Dashboard_Live_Data!I210</x:f>
        <x:v>0.733</x:v>
      </x:c>
      <x:c r="D456" t="n">
        <x:f>Dashboard_Live_Data!K210</x:f>
        <x:v>-58829.984333780376</x:v>
      </x:c>
      <x:c r="E456" t="n">
        <x:f>Dashboard_Live_Data!I210</x:f>
        <x:v>0.733</x:v>
      </x:c>
      <x:c r="F456" t="n">
        <x:f>Dashboard_Live_Data!L210</x:f>
        <x:v>-131136.96927609123</x:v>
      </x:c>
      <x:c r="G456" t="n">
        <x:f>Dashboard_Live_Data!I210</x:f>
        <x:v>0.733</x:v>
      </x:c>
      <x:c r="H456" t="n">
        <x:f>Dashboard_Live_Data!M210</x:f>
        <x:v>-134793.8913710381</x:v>
      </x:c>
    </x:row>
    <x:row r="457">
      <x:c r="A457" t="n">
        <x:f>Dashboard_Live_Data!I211</x:f>
        <x:v>0.742</x:v>
      </x:c>
      <x:c r="B457" t="n">
        <x:f>Dashboard_Live_Data!J211</x:f>
        <x:v>-9.86011393674653</x:v>
      </x:c>
      <x:c r="C457" t="n">
        <x:f>Dashboard_Live_Data!I211</x:f>
        <x:v>0.742</x:v>
      </x:c>
      <x:c r="D457" t="n">
        <x:f>Dashboard_Live_Data!K211</x:f>
        <x:v>-60026.903256236474</x:v>
      </x:c>
      <x:c r="E457" t="n">
        <x:f>Dashboard_Live_Data!I211</x:f>
        <x:v>0.742</x:v>
      </x:c>
      <x:c r="F457" t="n">
        <x:f>Dashboard_Live_Data!L211</x:f>
        <x:v>-133303.50387707388</x:v>
      </x:c>
      <x:c r="G457" t="n">
        <x:f>Dashboard_Live_Data!I211</x:f>
        <x:v>0.742</x:v>
      </x:c>
      <x:c r="H457" t="n">
        <x:f>Dashboard_Live_Data!M211</x:f>
        <x:v>-136979.00244933437</x:v>
      </x:c>
    </x:row>
    <x:row r="458">
      <x:c r="A458" t="n">
        <x:f>Dashboard_Live_Data!I212</x:f>
        <x:v>0.75</x:v>
      </x:c>
      <x:c r="B458" t="n">
        <x:f>Dashboard_Live_Data!J212</x:f>
        <x:v>-10.235955038383963</x:v>
      </x:c>
      <x:c r="C458" t="n">
        <x:f>Dashboard_Live_Data!I212</x:f>
        <x:v>0.75</x:v>
      </x:c>
      <x:c r="D458" t="n">
        <x:f>Dashboard_Live_Data!K212</x:f>
        <x:v>-61094.421380709784</x:v>
      </x:c>
      <x:c r="E458" t="n">
        <x:f>Dashboard_Live_Data!I212</x:f>
        <x:v>0.75</x:v>
      </x:c>
      <x:c r="F458" t="n">
        <x:f>Dashboard_Live_Data!L212</x:f>
        <x:v>-135224.99566257387</x:v>
      </x:c>
      <x:c r="G458" t="n">
        <x:f>Dashboard_Live_Data!I212</x:f>
        <x:v>0.75</x:v>
      </x:c>
      <x:c r="H458" t="n">
        <x:f>Dashboard_Live_Data!M212</x:f>
        <x:v>-138916.5188951826</x:v>
      </x:c>
    </x:row>
    <x:row r="459">
      <x:c r="A459" t="n">
        <x:f>Dashboard_Live_Data!I213</x:f>
        <x:v>0.758</x:v>
      </x:c>
      <x:c r="B459" t="n">
        <x:f>Dashboard_Live_Data!J213</x:f>
        <x:v>-10.622685923482095</x:v>
      </x:c>
      <x:c r="C459" t="n">
        <x:f>Dashboard_Live_Data!I213</x:f>
        <x:v>0.758</x:v>
      </x:c>
      <x:c r="D459" t="n">
        <x:f>Dashboard_Live_Data!K213</x:f>
        <x:v>-62165.18984686682</x:v>
      </x:c>
      <x:c r="E459" t="n">
        <x:f>Dashboard_Live_Data!I213</x:f>
        <x:v>0.758</x:v>
      </x:c>
      <x:c r="F459" t="n">
        <x:f>Dashboard_Live_Data!L213</x:f>
        <x:v>-137142.1869054522</x:v>
      </x:c>
      <x:c r="G459" t="n">
        <x:f>Dashboard_Live_Data!I213</x:f>
        <x:v>0.758</x:v>
      </x:c>
      <x:c r="H459" t="n">
        <x:f>Dashboard_Live_Data!M213</x:f>
        <x:v>-140849.28287495405</x:v>
      </x:c>
    </x:row>
    <x:row r="460">
      <x:c r="A460" t="n">
        <x:f>Dashboard_Live_Data!I214</x:f>
        <x:v>0.767</x:v>
      </x:c>
      <x:c r="B460" t="n">
        <x:f>Dashboard_Live_Data!J214</x:f>
        <x:v>-11.071038001998204</x:v>
      </x:c>
      <x:c r="C460" t="n">
        <x:f>Dashboard_Live_Data!I214</x:f>
        <x:v>0.767</x:v>
      </x:c>
      <x:c r="D460" t="n">
        <x:f>Dashboard_Live_Data!K214</x:f>
        <x:v>-63373.53868446988</x:v>
      </x:c>
      <x:c r="E460" t="n">
        <x:f>Dashboard_Live_Data!I214</x:f>
        <x:v>0.767</x:v>
      </x:c>
      <x:c r="F460" t="n">
        <x:f>Dashboard_Live_Data!L214</x:f>
        <x:v>-139293.61086167686</x:v>
      </x:c>
      <x:c r="G460" t="n">
        <x:f>Dashboard_Live_Data!I214</x:f>
        <x:v>0.767</x:v>
      </x:c>
      <x:c r="H460" t="n">
        <x:f>Dashboard_Live_Data!M214</x:f>
        <x:v>-143017.6944627408</x:v>
      </x:c>
    </x:row>
    <x:row r="461">
      <x:c r="A461" t="n">
        <x:f>Dashboard_Live_Data!I215</x:f>
        <x:v>0.775</x:v>
      </x:c>
      <x:c r="B461" t="n">
        <x:f>Dashboard_Live_Data!J215</x:f>
        <x:v>-11.481613456182458</x:v>
      </x:c>
      <x:c r="C461" t="n">
        <x:f>Dashboard_Live_Data!I215</x:f>
        <x:v>0.775</x:v>
      </x:c>
      <x:c r="D461" t="n">
        <x:f>Dashboard_Live_Data!K215</x:f>
        <x:v>-64450.81432177829</x:v>
      </x:c>
      <x:c r="E461" t="n">
        <x:f>Dashboard_Live_Data!I215</x:f>
        <x:v>0.775</x:v>
      </x:c>
      <x:c r="F461" t="n">
        <x:f>Dashboard_Live_Data!L215</x:f>
        <x:v>-141200.9353430962</x:v>
      </x:c>
      <x:c r="G461" t="n">
        <x:f>Dashboard_Live_Data!I215</x:f>
        <x:v>0.775</x:v>
      </x:c>
      <x:c r="H461" t="n">
        <x:f>Dashboard_Live_Data!M215</x:f>
        <x:v>-144939.65393967155</x:v>
      </x:c>
    </x:row>
    <x:row r="462">
      <x:c r="A462" t="n">
        <x:f>Dashboard_Live_Data!I216</x:f>
        <x:v>0.783</x:v>
      </x:c>
      <x:c r="B462" t="n">
        <x:f>Dashboard_Live_Data!J216</x:f>
        <x:v>-11.903744966717568</x:v>
      </x:c>
      <x:c r="C462" t="n">
        <x:f>Dashboard_Live_Data!I216</x:f>
        <x:v>0.783</x:v>
      </x:c>
      <x:c r="D462" t="n">
        <x:f>Dashboard_Live_Data!K216</x:f>
        <x:v>-65530.96866610306</x:v>
      </x:c>
      <x:c r="E462" t="n">
        <x:f>Dashboard_Live_Data!I216</x:f>
        <x:v>0.783</x:v>
      </x:c>
      <x:c r="F462" t="n">
        <x:f>Dashboard_Live_Data!L216</x:f>
        <x:v>-143103.28717150204</x:v>
      </x:c>
      <x:c r="G462" t="n">
        <x:f>Dashboard_Live_Data!I216</x:f>
        <x:v>0.783</x:v>
      </x:c>
      <x:c r="H462" t="n">
        <x:f>Dashboard_Live_Data!M216</x:f>
        <x:v>-146856.2100081469</x:v>
      </x:c>
    </x:row>
    <x:row r="463">
      <x:c r="A463" t="n">
        <x:f>Dashboard_Live_Data!I217</x:f>
        <x:v>0.792</x:v>
      </x:c>
      <x:c r="B463" t="n">
        <x:f>Dashboard_Live_Data!J217</x:f>
        <x:v>-12.392726180069985</x:v>
      </x:c>
      <x:c r="C463" t="n">
        <x:f>Dashboard_Live_Data!I217</x:f>
        <x:v>0.792</x:v>
      </x:c>
      <x:c r="D463" t="n">
        <x:f>Dashboard_Live_Data!K217</x:f>
        <x:v>-66749.44075526152</x:v>
      </x:c>
      <x:c r="E463" t="n">
        <x:f>Dashboard_Live_Data!I217</x:f>
        <x:v>0.792</x:v>
      </x:c>
      <x:c r="F463" t="n">
        <x:f>Dashboard_Live_Data!L217</x:f>
        <x:v>-145237.23692226943</x:v>
      </x:c>
      <x:c r="G463" t="n">
        <x:f>Dashboard_Live_Data!I217</x:f>
        <x:v>0.792</x:v>
      </x:c>
      <x:c r="H463" t="n">
        <x:f>Dashboard_Live_Data!M217</x:f>
        <x:v>-149005.63294747737</x:v>
      </x:c>
    </x:row>
    <x:row r="464">
      <x:c r="A464" t="n">
        <x:f>Dashboard_Live_Data!I218</x:f>
        <x:v>0.8</x:v>
      </x:c>
      <x:c r="B464" t="n">
        <x:f>Dashboard_Live_Data!J218</x:f>
        <x:v>-12.84013677697476</x:v>
      </x:c>
      <x:c r="C464" t="n">
        <x:f>Dashboard_Live_Data!I218</x:f>
        <x:v>0.8</x:v>
      </x:c>
      <x:c r="D464" t="n">
        <x:f>Dashboard_Live_Data!K218</x:f>
        <x:v>-67835.33471918713</x:v>
      </x:c>
      <x:c r="E464" t="n">
        <x:f>Dashboard_Live_Data!I218</x:f>
        <x:v>0.8</x:v>
      </x:c>
      <x:c r="F464" t="n">
        <x:f>Dashboard_Live_Data!L218</x:f>
        <x:v>-147128.35590287362</x:v>
      </x:c>
      <x:c r="G464" t="n">
        <x:f>Dashboard_Live_Data!I218</x:f>
        <x:v>0.8</x:v>
      </x:c>
      <x:c r="H464" t="n">
        <x:f>Dashboard_Live_Data!M218</x:f>
        <x:v>-150910.062898851</x:v>
      </x:c>
    </x:row>
    <x:row r="465">
      <x:c r="A465" t="n">
        <x:f>Dashboard_Live_Data!I219</x:f>
        <x:v>0.808</x:v>
      </x:c>
      <x:c r="B465" t="n">
        <x:f>Dashboard_Live_Data!J219</x:f>
        <x:v>-13.299787208880844</x:v>
      </x:c>
      <x:c r="C465" t="n">
        <x:f>Dashboard_Live_Data!I219</x:f>
        <x:v>0.808</x:v>
      </x:c>
      <x:c r="D465" t="n">
        <x:f>Dashboard_Live_Data!K219</x:f>
        <x:v>-68923.75640485117</x:v>
      </x:c>
      <x:c r="E465" t="n">
        <x:f>Dashboard_Live_Data!I219</x:f>
        <x:v>0.808</x:v>
      </x:c>
      <x:c r="F465" t="n">
        <x:f>Dashboard_Live_Data!L219</x:f>
        <x:v>-149013.88756056636</x:v>
      </x:c>
      <x:c r="G465" t="n">
        <x:f>Dashboard_Live_Data!I219</x:f>
        <x:v>0.808</x:v>
      </x:c>
      <x:c r="H465" t="n">
        <x:f>Dashboard_Live_Data!M219</x:f>
        <x:v>-152808.49543699686</x:v>
      </x:c>
    </x:row>
    <x:row r="466">
      <x:c r="A466" t="n">
        <x:f>Dashboard_Live_Data!I220</x:f>
        <x:v>0.817</x:v>
      </x:c>
      <x:c r="B466" t="n">
        <x:f>Dashboard_Live_Data!J220</x:f>
        <x:v>-13.831801402375277</x:v>
      </x:c>
      <x:c r="C466" t="n">
        <x:f>Dashboard_Live_Data!I220</x:f>
        <x:v>0.817</x:v>
      </x:c>
      <x:c r="D466" t="n">
        <x:f>Dashboard_Live_Data!K220</x:f>
        <x:v>-70151.11767949266</x:v>
      </x:c>
      <x:c r="E466" t="n">
        <x:f>Dashboard_Live_Data!I220</x:f>
        <x:v>0.817</x:v>
      </x:c>
      <x:c r="F466" t="n">
        <x:f>Dashboard_Live_Data!L220</x:f>
        <x:v>-151128.20153368788</x:v>
      </x:c>
      <x:c r="G466" t="n">
        <x:f>Dashboard_Live_Data!I220</x:f>
        <x:v>0.817</x:v>
      </x:c>
      <x:c r="H466" t="n">
        <x:f>Dashboard_Live_Data!M220</x:f>
        <x:v>-154936.84079418762</x:v>
      </x:c>
    </x:row>
    <x:row r="467">
      <x:c r="A467" t="n">
        <x:f>Dashboard_Live_Data!I221</x:f>
        <x:v>0.825</x:v>
      </x:c>
      <x:c r="B467" t="n">
        <x:f>Dashboard_Live_Data!J221</x:f>
        <x:v>-14.318202220481453</x:v>
      </x:c>
      <x:c r="C467" t="n">
        <x:f>Dashboard_Live_Data!I221</x:f>
        <x:v>0.825</x:v>
      </x:c>
      <x:c r="D467" t="n">
        <x:f>Dashboard_Live_Data!K221</x:f>
        <x:v>-71244.55426280205</x:v>
      </x:c>
      <x:c r="E467" t="n">
        <x:f>Dashboard_Live_Data!I221</x:f>
        <x:v>0.825</x:v>
      </x:c>
      <x:c r="F467" t="n">
        <x:f>Dashboard_Live_Data!L221</x:f>
        <x:v>-153001.25134490427</x:v>
      </x:c>
      <x:c r="G467" t="n">
        <x:f>Dashboard_Live_Data!I221</x:f>
        <x:v>0.825</x:v>
      </x:c>
      <x:c r="H467" t="n">
        <x:f>Dashboard_Live_Data!M221</x:f>
        <x:v>-156821.9415170548</x:v>
      </x:c>
    </x:row>
    <x:row r="468">
      <x:c r="A468" t="n">
        <x:f>Dashboard_Live_Data!I222</x:f>
        <x:v>0.833</x:v>
      </x:c>
      <x:c r="B468" t="n">
        <x:f>Dashboard_Live_Data!J222</x:f>
        <x:v>-14.817543761564139</x:v>
      </x:c>
      <x:c r="C468" t="n">
        <x:f>Dashboard_Live_Data!I222</x:f>
        <x:v>0.833</x:v>
      </x:c>
      <x:c r="D468" t="n">
        <x:f>Dashboard_Live_Data!K222</x:f>
        <x:v>-72340.18724720035</x:v>
      </x:c>
      <x:c r="E468" t="n">
        <x:f>Dashboard_Live_Data!I222</x:f>
        <x:v>0.833</x:v>
      </x:c>
      <x:c r="F468" t="n">
        <x:f>Dashboard_Live_Data!L222</x:f>
        <x:v>-154868.1520014535</x:v>
      </x:c>
      <x:c r="G468" t="n">
        <x:f>Dashboard_Live_Data!I222</x:f>
        <x:v>0.833</x:v>
      </x:c>
      <x:c r="H468" t="n">
        <x:f>Dashboard_Live_Data!M222</x:f>
        <x:v>-158700.503065868</x:v>
      </x:c>
    </x:row>
    <x:row r="469">
      <x:c r="A469" t="n">
        <x:f>Dashboard_Live_Data!I223</x:f>
        <x:v>0.842</x:v>
      </x:c>
      <x:c r="B469" t="n">
        <x:f>Dashboard_Live_Data!J223</x:f>
        <x:v>-15.39505495210642</x:v>
      </x:c>
      <x:c r="C469" t="n">
        <x:f>Dashboard_Live_Data!I223</x:f>
        <x:v>0.842</x:v>
      </x:c>
      <x:c r="D469" t="n">
        <x:f>Dashboard_Live_Data!K223</x:f>
        <x:v>-73575.27277737437</x:v>
      </x:c>
      <x:c r="E469" t="n">
        <x:f>Dashboard_Live_Data!I223</x:f>
        <x:v>0.842</x:v>
      </x:c>
      <x:c r="F469" t="n">
        <x:f>Dashboard_Live_Data!L223</x:f>
        <x:v>-156960.85443111658</x:v>
      </x:c>
      <x:c r="G469" t="n">
        <x:f>Dashboard_Live_Data!I223</x:f>
        <x:v>0.842</x:v>
      </x:c>
      <x:c r="H469" t="n">
        <x:f>Dashboard_Live_Data!M223</x:f>
        <x:v>-160805.86562780722</x:v>
      </x:c>
    </x:row>
    <x:row r="470">
      <x:c r="A470" t="n">
        <x:f>Dashboard_Live_Data!I224</x:f>
        <x:v>0.85</x:v>
      </x:c>
      <x:c r="B470" t="n">
        <x:f>Dashboard_Live_Data!J224</x:f>
        <x:v>-15.922654129073635</x:v>
      </x:c>
      <x:c r="C470" t="n">
        <x:f>Dashboard_Live_Data!I224</x:f>
        <x:v>0.85</x:v>
      </x:c>
      <x:c r="D470" t="n">
        <x:f>Dashboard_Live_Data!K224</x:f>
        <x:v>-74675.23669418608</x:v>
      </x:c>
      <x:c r="E470" t="n">
        <x:f>Dashboard_Live_Data!I224</x:f>
        <x:v>0.85</x:v>
      </x:c>
      <x:c r="F470" t="n">
        <x:f>Dashboard_Live_Data!L224</x:f>
        <x:v>-158814.13192459266</x:v>
      </x:c>
      <x:c r="G470" t="n">
        <x:f>Dashboard_Live_Data!I224</x:f>
        <x:v>0.85</x:v>
      </x:c>
      <x:c r="H470" t="n">
        <x:f>Dashboard_Live_Data!M224</x:f>
        <x:v>-162669.9960054315</x:v>
      </x:c>
    </x:row>
    <x:row r="471">
      <x:c r="A471" t="n">
        <x:f>Dashboard_Live_Data!I225</x:f>
        <x:v>0.858</x:v>
      </x:c>
      <x:c r="B471" t="n">
        <x:f>Dashboard_Live_Data!J225</x:f>
        <x:v>-16.463911639531943</x:v>
      </x:c>
      <x:c r="C471" t="n">
        <x:f>Dashboard_Live_Data!I225</x:f>
        <x:v>0.858</x:v>
      </x:c>
      <x:c r="D471" t="n">
        <x:f>Dashboard_Live_Data!K225</x:f>
        <x:v>-75777.08439083706</x:v>
      </x:c>
      <x:c r="E471" t="n">
        <x:f>Dashboard_Live_Data!I225</x:f>
        <x:v>0.858</x:v>
      </x:c>
      <x:c r="F471" t="n">
        <x:f>Dashboard_Live_Data!L225</x:f>
        <x:v>-160660.74701629803</x:v>
      </x:c>
      <x:c r="G471" t="n">
        <x:f>Dashboard_Live_Data!I225</x:f>
        <x:v>0.858</x:v>
      </x:c>
      <x:c r="H471" t="n">
        <x:f>Dashboard_Live_Data!M225</x:f>
        <x:v>-164527.0933707741</x:v>
      </x:c>
    </x:row>
    <x:row r="472">
      <x:c r="A472" t="n">
        <x:f>Dashboard_Live_Data!I226</x:f>
        <x:v>0.867</x:v>
      </x:c>
      <x:c r="B472" t="n">
        <x:f>Dashboard_Live_Data!J226</x:f>
        <x:v>-17.089442616799715</x:v>
      </x:c>
      <x:c r="C472" t="n">
        <x:f>Dashboard_Live_Data!I226</x:f>
        <x:v>0.867</x:v>
      </x:c>
      <x:c r="D472" t="n">
        <x:f>Dashboard_Live_Data!K226</x:f>
        <x:v>-77018.79498984448</x:v>
      </x:c>
      <x:c r="E472" t="n">
        <x:f>Dashboard_Live_Data!I226</x:f>
        <x:v>0.867</x:v>
      </x:c>
      <x:c r="F472" t="n">
        <x:f>Dashboard_Live_Data!L226</x:f>
        <x:v>-162730.03298707728</x:v>
      </x:c>
      <x:c r="G472" t="n">
        <x:f>Dashboard_Live_Data!I226</x:f>
        <x:v>0.867</x:v>
      </x:c>
      <x:c r="H472" t="n">
        <x:f>Dashboard_Live_Data!M226</x:f>
        <x:v>-166607.73644990035</x:v>
      </x:c>
    </x:row>
    <x:row r="473">
      <x:c r="A473" t="n">
        <x:f>Dashboard_Live_Data!I227</x:f>
        <x:v>0.875</x:v>
      </x:c>
      <x:c r="B473" t="n">
        <x:f>Dashboard_Live_Data!J227</x:f>
        <x:v>-17.660500113955095</x:v>
      </x:c>
      <x:c r="C473" t="n">
        <x:f>Dashboard_Live_Data!I227</x:f>
        <x:v>0.875</x:v>
      </x:c>
      <x:c r="D473" t="n">
        <x:f>Dashboard_Live_Data!K227</x:f>
        <x:v>-78124.32838336958</x:v>
      </x:c>
      <x:c r="E473" t="n">
        <x:f>Dashboard_Live_Data!I227</x:f>
        <x:v>0.875</x:v>
      </x:c>
      <x:c r="F473" t="n">
        <x:f>Dashboard_Live_Data!L227</x:f>
        <x:v>-164561.98259931064</x:v>
      </x:c>
      <x:c r="G473" t="n">
        <x:f>Dashboard_Live_Data!I227</x:f>
        <x:v>0.875</x:v>
      </x:c>
      <x:c r="H473" t="n">
        <x:f>Dashboard_Live_Data!M227</x:f>
        <x:v>-168449.4008262297</x:v>
      </x:c>
    </x:row>
    <x:row r="474">
      <x:c r="A474" t="n">
        <x:f>Dashboard_Live_Data!I228</x:f>
        <x:v>0.883</x:v>
      </x:c>
      <x:c r="B474" t="n">
        <x:f>Dashboard_Live_Data!J228</x:f>
        <x:v>-18.245949870930872</x:v>
      </x:c>
      <x:c r="C474" t="n">
        <x:f>Dashboard_Live_Data!I228</x:f>
        <x:v>0.883</x:v>
      </x:c>
      <x:c r="D474" t="n">
        <x:f>Dashboard_Live_Data!K228</x:f>
        <x:v>-79231.45069310427</x:v>
      </x:c>
      <x:c r="E474" t="n">
        <x:f>Dashboard_Live_Data!I228</x:f>
        <x:v>0.883</x:v>
      </x:c>
      <x:c r="F474" t="n">
        <x:f>Dashboard_Live_Data!L228</x:f>
        <x:v>-166386.8012256964</x:v>
      </x:c>
      <x:c r="G474" t="n">
        <x:f>Dashboard_Live_Data!I228</x:f>
        <x:v>0.883</x:v>
      </x:c>
      <x:c r="H474" t="n">
        <x:f>Dashboard_Live_Data!M228</x:f>
        <x:v>-170283.5823050193</x:v>
      </x:c>
    </x:row>
    <x:row r="475">
      <x:c r="A475" t="n">
        <x:f>Dashboard_Live_Data!I229</x:f>
        <x:v>0.892</x:v>
      </x:c>
      <x:c r="B475" t="n">
        <x:f>Dashboard_Live_Data!J229</x:f>
        <x:v>-18.922080788589938</x:v>
      </x:c>
      <x:c r="C475" t="n">
        <x:f>Dashboard_Live_Data!I229</x:f>
        <x:v>0.892</x:v>
      </x:c>
      <x:c r="D475" t="n">
        <x:f>Dashboard_Live_Data!K229</x:f>
        <x:v>-80478.74960701005</x:v>
      </x:c>
      <x:c r="E475" t="n">
        <x:f>Dashboard_Live_Data!I229</x:f>
        <x:v>0.892</x:v>
      </x:c>
      <x:c r="F475" t="n">
        <x:f>Dashboard_Live_Data!L229</x:f>
        <x:v>-168431.02288308344</x:v>
      </x:c>
      <x:c r="G475" t="n">
        <x:f>Dashboard_Live_Data!I229</x:f>
        <x:v>0.892</x:v>
      </x:c>
      <x:c r="H475" t="n">
        <x:f>Dashboard_Live_Data!M229</x:f>
        <x:v>-172337.92378063095</x:v>
      </x:c>
    </x:row>
    <x:row r="476">
      <x:c r="A476" t="n">
        <x:f>Dashboard_Live_Data!I230</x:f>
        <x:v>0.9</x:v>
      </x:c>
      <x:c r="B476" t="n">
        <x:f>Dashboard_Live_Data!J230</x:f>
        <x:v>-19.538907124212074</x:v>
      </x:c>
      <x:c r="C476" t="n">
        <x:f>Dashboard_Live_Data!I230</x:f>
        <x:v>0.9</x:v>
      </x:c>
      <x:c r="D476" t="n">
        <x:f>Dashboard_Live_Data!K230</x:f>
        <x:v>-81588.94913418307</x:v>
      </x:c>
      <x:c r="E476" t="n">
        <x:f>Dashboard_Live_Data!I230</x:f>
        <x:v>0.9</x:v>
      </x:c>
      <x:c r="F476" t="n">
        <x:f>Dashboard_Live_Data!L230</x:f>
        <x:v>-170240.22471774745</x:v>
      </x:c>
      <x:c r="G476" t="n">
        <x:f>Dashboard_Live_Data!I230</x:f>
        <x:v>0.9</x:v>
      </x:c>
      <x:c r="H476" t="n">
        <x:f>Dashboard_Live_Data!M230</x:f>
        <x:v>-174155.75991096892</x:v>
      </x:c>
    </x:row>
    <x:row r="477">
      <x:c r="A477" t="n">
        <x:f>Dashboard_Live_Data!I231</x:f>
        <x:v>0.908</x:v>
      </x:c>
      <x:c r="B477" t="n">
        <x:f>Dashboard_Live_Data!J231</x:f>
        <x:v>-20.17087555141279</x:v>
      </x:c>
      <x:c r="C477" t="n">
        <x:f>Dashboard_Live_Data!I231</x:f>
        <x:v>0.908</x:v>
      </x:c>
      <x:c r="D477" t="n">
        <x:f>Dashboard_Live_Data!K231</x:f>
        <x:v>-82700.45955647714</x:v>
      </x:c>
      <x:c r="E477" t="n">
        <x:f>Dashboard_Live_Data!I231</x:f>
        <x:v>0.908</x:v>
      </x:c>
      <x:c r="F477" t="n">
        <x:f>Dashboard_Live_Data!L231</x:f>
        <x:v>-172041.86803726552</x:v>
      </x:c>
      <x:c r="G477" t="n">
        <x:f>Dashboard_Live_Data!I231</x:f>
        <x:v>0.908</x:v>
      </x:c>
      <x:c r="H477" t="n">
        <x:f>Dashboard_Live_Data!M231</x:f>
        <x:v>-175965.70357183574</x:v>
      </x:c>
    </x:row>
    <x:row r="478">
      <x:c r="A478" t="n">
        <x:f>Dashboard_Live_Data!I232</x:f>
        <x:v>0.917</x:v>
      </x:c>
      <x:c r="B478" t="n">
        <x:f>Dashboard_Live_Data!J232</x:f>
        <x:v>-20.90024248669988</x:v>
      </x:c>
      <x:c r="C478" t="n">
        <x:f>Dashboard_Live_Data!I232</x:f>
        <x:v>0.917</x:v>
      </x:c>
      <x:c r="D478" t="n">
        <x:f>Dashboard_Live_Data!K232</x:f>
        <x:v>-83952.36924737085</x:v>
      </x:c>
      <x:c r="E478" t="n">
        <x:f>Dashboard_Live_Data!I232</x:f>
        <x:v>0.917</x:v>
      </x:c>
      <x:c r="F478" t="n">
        <x:f>Dashboard_Live_Data!L232</x:f>
        <x:v>-174059.52189979836</x:v>
      </x:c>
      <x:c r="G478" t="n">
        <x:f>Dashboard_Live_Data!I232</x:f>
        <x:v>0.917</x:v>
      </x:c>
      <x:c r="H478" t="n">
        <x:f>Dashboard_Live_Data!M232</x:f>
        <x:v>-177992.30309147591</x:v>
      </x:c>
    </x:row>
    <x:row r="479">
      <x:c r="A479" t="n">
        <x:f>Dashboard_Live_Data!I233</x:f>
        <x:v>0.925</x:v>
      </x:c>
      <x:c r="B479" t="n">
        <x:f>Dashboard_Live_Data!J233</x:f>
        <x:v>-21.565197447271657</x:v>
      </x:c>
      <x:c r="C479" t="n">
        <x:f>Dashboard_Live_Data!I233</x:f>
        <x:v>0.925</x:v>
      </x:c>
      <x:c r="D479" t="n">
        <x:f>Dashboard_Live_Data!K233</x:f>
        <x:v>-85066.38324979196</x:v>
      </x:c>
      <x:c r="E479" t="n">
        <x:f>Dashboard_Live_Data!I233</x:f>
        <x:v>0.925</x:v>
      </x:c>
      <x:c r="F479" t="n">
        <x:f>Dashboard_Live_Data!L233</x:f>
        <x:v>-175844.68076899392</x:v>
      </x:c>
      <x:c r="G479" t="n">
        <x:f>Dashboard_Live_Data!I233</x:f>
        <x:v>0.925</x:v>
      </x:c>
      <x:c r="H479" t="n">
        <x:f>Dashboard_Live_Data!M233</x:f>
        <x:v>-179785.07110087413</x:v>
      </x:c>
    </x:row>
    <x:row r="480">
      <x:c r="A480" t="n">
        <x:f>Dashboard_Live_Data!I234</x:f>
        <x:v>0.933</x:v>
      </x:c>
      <x:c r="B480" t="n">
        <x:f>Dashboard_Live_Data!J234</x:f>
        <x:v>-22.246059825895372</x:v>
      </x:c>
      <x:c r="C480" t="n">
        <x:f>Dashboard_Live_Data!I234</x:f>
        <x:v>0.933</x:v>
      </x:c>
      <x:c r="D480" t="n">
        <x:f>Dashboard_Live_Data!K234</x:f>
        <x:v>-86181.44608297395</x:v>
      </x:c>
      <x:c r="E480" t="n">
        <x:f>Dashboard_Live_Data!I234</x:f>
        <x:v>0.933</x:v>
      </x:c>
      <x:c r="F480" t="n">
        <x:f>Dashboard_Live_Data!L234</x:f>
        <x:v>-177621.89133436125</x:v>
      </x:c>
      <x:c r="G480" t="n">
        <x:f>Dashboard_Live_Data!I234</x:f>
        <x:v>0.933</x:v>
      </x:c>
      <x:c r="H480" t="n">
        <x:f>Dashboard_Live_Data!M234</x:f>
        <x:v>-181569.57405040326</x:v>
      </x:c>
    </x:row>
    <x:row r="481">
      <x:c r="A481" t="n">
        <x:f>Dashboard_Live_Data!I235</x:f>
        <x:v>0.942</x:v>
      </x:c>
      <x:c r="B481" t="n">
        <x:f>Dashboard_Live_Data!J235</x:f>
        <x:v>-23.03135332022248</x:v>
      </x:c>
      <x:c r="C481" t="n">
        <x:f>Dashboard_Live_Data!I235</x:f>
        <x:v>0.942</x:v>
      </x:c>
      <x:c r="D481" t="n">
        <x:f>Dashboard_Live_Data!K235</x:f>
        <x:v>-87437.04511505857</x:v>
      </x:c>
      <x:c r="E481" t="n">
        <x:f>Dashboard_Live_Data!I235</x:f>
        <x:v>0.942</x:v>
      </x:c>
      <x:c r="F481" t="n">
        <x:f>Dashboard_Live_Data!L235</x:f>
        <x:v>-179611.60663962277</x:v>
      </x:c>
      <x:c r="G481" t="n">
        <x:f>Dashboard_Live_Data!I235</x:f>
        <x:v>0.942</x:v>
      </x:c>
      <x:c r="H481" t="n">
        <x:f>Dashboard_Live_Data!M235</x:f>
        <x:v>-183567.12131353328</x:v>
      </x:c>
    </x:row>
    <x:row r="482">
      <x:c r="A482" t="n">
        <x:f>Dashboard_Live_Data!I236</x:f>
        <x:v>0.95</x:v>
      </x:c>
      <x:c r="B482" t="n">
        <x:f>Dashboard_Live_Data!J236</x:f>
        <x:v>-23.746844660086936</x:v>
      </x:c>
      <x:c r="C482" t="n">
        <x:f>Dashboard_Live_Data!I236</x:f>
        <x:v>0.95</x:v>
      </x:c>
      <x:c r="D482" t="n">
        <x:f>Dashboard_Live_Data!K236</x:f>
        <x:v>-88554.07088364325</x:v>
      </x:c>
      <x:c r="E482" t="n">
        <x:f>Dashboard_Live_Data!I236</x:f>
        <x:v>0.95</x:v>
      </x:c>
      <x:c r="F482" t="n">
        <x:f>Dashboard_Live_Data!L236</x:f>
        <x:v>-181371.54200338566</x:v>
      </x:c>
      <x:c r="G482" t="n">
        <x:f>Dashboard_Live_Data!I236</x:f>
        <x:v>0.95</x:v>
      </x:c>
      <x:c r="H482" t="n">
        <x:f>Dashboard_Live_Data!M236</x:f>
        <x:v>-185333.69359371395</x:v>
      </x:c>
    </x:row>
    <x:row r="483">
      <x:c r="A483" t="n">
        <x:f>Dashboard_Live_Data!I237</x:f>
        <x:v>0.958</x:v>
      </x:c>
      <x:c r="B483" t="n">
        <x:f>Dashboard_Live_Data!J237</x:f>
        <x:v>-24.47902381513677</x:v>
      </x:c>
      <x:c r="C483" t="n">
        <x:f>Dashboard_Live_Data!I237</x:f>
        <x:v>0.958</x:v>
      </x:c>
      <x:c r="D483" t="n">
        <x:f>Dashboard_Live_Data!K237</x:f>
        <x:v>-89671.89852079697</x:v>
      </x:c>
      <x:c r="E483" t="n">
        <x:f>Dashboard_Live_Data!I237</x:f>
        <x:v>0.958</x:v>
      </x:c>
      <x:c r="F483" t="n">
        <x:f>Dashboard_Live_Data!L237</x:f>
        <x:v>-183123.17397563395</x:v>
      </x:c>
      <x:c r="G483" t="n">
        <x:f>Dashboard_Live_Data!I237</x:f>
        <x:v>0.958</x:v>
      </x:c>
      <x:c r="H483" t="n">
        <x:f>Dashboard_Live_Data!M237</x:f>
        <x:v>-187091.6621591744</x:v>
      </x:c>
    </x:row>
    <x:row r="484">
      <x:c r="A484" t="n">
        <x:f>Dashboard_Live_Data!I238</x:f>
        <x:v>0.967</x:v>
      </x:c>
      <x:c r="B484" t="n">
        <x:f>Dashboard_Live_Data!J238</x:f>
        <x:v>-25.322987391846254</x:v>
      </x:c>
      <x:c r="C484" t="n">
        <x:f>Dashboard_Live_Data!I238</x:f>
        <x:v>0.967</x:v>
      </x:c>
      <x:c r="D484" t="n">
        <x:f>Dashboard_Live_Data!K238</x:f>
        <x:v>-90930.31855627532</x:v>
      </x:c>
      <x:c r="E484" t="n">
        <x:f>Dashboard_Live_Data!I238</x:f>
        <x:v>0.967</x:v>
      </x:c>
      <x:c r="F484" t="n">
        <x:f>Dashboard_Live_Data!L238</x:f>
        <x:v>-185083.70199145714</x:v>
      </x:c>
      <x:c r="G484" t="n">
        <x:f>Dashboard_Live_Data!I238</x:f>
        <x:v>0.967</x:v>
      </x:c>
      <x:c r="H484" t="n">
        <x:f>Dashboard_Live_Data!M238</x:f>
        <x:v>-189058.9662057004</x:v>
      </x:c>
    </x:row>
    <x:row r="485">
      <x:c r="A485" t="n">
        <x:f>Dashboard_Live_Data!I239</x:f>
        <x:v>0.975</x:v>
      </x:c>
      <x:c r="B485" t="n">
        <x:f>Dashboard_Live_Data!J239</x:f>
        <x:v>-26.091469511469313</x:v>
      </x:c>
      <x:c r="C485" t="n">
        <x:f>Dashboard_Live_Data!I239</x:f>
        <x:v>0.975</x:v>
      </x:c>
      <x:c r="D485" t="n">
        <x:f>Dashboard_Live_Data!K239</x:f>
        <x:v>-92049.59969520803</x:v>
      </x:c>
      <x:c r="E485" t="n">
        <x:f>Dashboard_Live_Data!I239</x:f>
        <x:v>0.975</x:v>
      </x:c>
      <x:c r="F485" t="n">
        <x:f>Dashboard_Live_Data!L239</x:f>
        <x:v>-186817.33873453335</x:v>
      </x:c>
      <x:c r="G485" t="n">
        <x:f>Dashboard_Live_Data!I239</x:f>
        <x:v>0.975</x:v>
      </x:c>
      <x:c r="H485" t="n">
        <x:f>Dashboard_Live_Data!M239</x:f>
        <x:v>-190798.31818207764</x:v>
      </x:c>
    </x:row>
    <x:row r="486">
      <x:c r="A486" t="n">
        <x:f>Dashboard_Live_Data!I240</x:f>
        <x:v>0.983</x:v>
      </x:c>
      <x:c r="B486" t="n">
        <x:f>Dashboard_Live_Data!J240</x:f>
        <x:v>-26.877434485224512</x:v>
      </x:c>
      <x:c r="C486" t="n">
        <x:f>Dashboard_Live_Data!I240</x:f>
        <x:v>0.983</x:v>
      </x:c>
      <x:c r="D486" t="n">
        <x:f>Dashboard_Live_Data!K240</x:f>
        <x:v>-93169.45002082353</x:v>
      </x:c>
      <x:c r="E486" t="n">
        <x:f>Dashboard_Live_Data!I240</x:f>
        <x:v>0.983</x:v>
      </x:c>
      <x:c r="F486" t="n">
        <x:f>Dashboard_Live_Data!L240</x:f>
        <x:v>-188542.34891493848</x:v>
      </x:c>
      <x:c r="G486" t="n">
        <x:f>Dashboard_Live_Data!I240</x:f>
        <x:v>0.983</x:v>
      </x:c>
      <x:c r="H486" t="n">
        <x:f>Dashboard_Live_Data!M240</x:f>
        <x:v>-192528.7589427018</x:v>
      </x:c>
    </x:row>
    <x:row r="487">
      <x:c r="A487" t="n">
        <x:f>Dashboard_Live_Data!I241</x:f>
        <x:v>0.992</x:v>
      </x:c>
      <x:c r="B487" t="n">
        <x:f>Dashboard_Live_Data!J241</x:f>
        <x:v>-27.782863149590867</x:v>
      </x:c>
      <x:c r="C487" t="n">
        <x:f>Dashboard_Live_Data!I241</x:f>
        <x:v>0.992</x:v>
      </x:c>
      <x:c r="D487" t="n">
        <x:f>Dashboard_Live_Data!K241</x:f>
        <x:v>-94429.87293064826</x:v>
      </x:c>
      <x:c r="E487" t="n">
        <x:f>Dashboard_Live_Data!I241</x:f>
        <x:v>0.992</x:v>
      </x:c>
      <x:c r="F487" t="n">
        <x:f>Dashboard_Live_Data!L241</x:f>
        <x:v>-190472.5531477006</x:v>
      </x:c>
      <x:c r="G487" t="n">
        <x:f>Dashboard_Live_Data!I241</x:f>
        <x:v>0.992</x:v>
      </x:c>
      <x:c r="H487" t="n">
        <x:f>Dashboard_Live_Data!M241</x:f>
        <x:v>-194464.73837065237</x:v>
      </x:c>
    </x:row>
    <x:row r="488">
      <x:c r="A488" t="n">
        <x:f>Dashboard_Live_Data!I242</x:f>
        <x:v>1</x:v>
      </x:c>
      <x:c r="B488" t="n">
        <x:f>Dashboard_Live_Data!J242</x:f>
        <x:v>-28.60683575205121</x:v>
      </x:c>
      <x:c r="C488" t="n">
        <x:f>Dashboard_Live_Data!I242</x:f>
        <x:v>1</x:v>
      </x:c>
      <x:c r="D488" t="n">
        <x:f>Dashboard_Live_Data!K242</x:f>
        <x:v>-95550.6968246352</x:v>
      </x:c>
      <x:c r="E488" t="n">
        <x:f>Dashboard_Live_Data!I242</x:f>
        <x:v>1</x:v>
      </x:c>
      <x:c r="F488" t="n">
        <x:f>Dashboard_Live_Data!L242</x:f>
        <x:v>-192178.91313344726</x:v>
      </x:c>
      <x:c r="G488" t="n">
        <x:f>Dashboard_Live_Data!I242</x:f>
        <x:v>1</x:v>
      </x:c>
      <x:c r="H488" t="n">
        <x:f>Dashboard_Live_Data!M242</x:f>
        <x:v>-196175.94007289349</x:v>
      </x:c>
    </x:row>
    <x:row r="491">
      <x:c r="A491" t="s">
        <x:v>713</x:v>
      </x:c>
    </x:row>
    <x:row r="492">
      <x:c r="A492" t="s">
        <x:v>714</x:v>
      </x:c>
      <x:c r="B492" t="s">
        <x:v>715</x:v>
      </x:c>
    </x:row>
    <x:row r="493">
      <x:c r="A493" t="n">
        <x:f>Dashboard_Live_Data!A2</x:f>
        <x:v>-60</x:v>
      </x:c>
      <x:c r="B493" t="n">
        <x:f>Dashboard_Live_Data!B2</x:f>
        <x:v>-5.159813914717645</x:v>
      </x:c>
    </x:row>
    <x:row r="494">
      <x:c r="A494" t="n">
        <x:f>Dashboard_Live_Data!A3</x:f>
        <x:v>-59.5</x:v>
      </x:c>
      <x:c r="B494" t="n">
        <x:f>Dashboard_Live_Data!B3</x:f>
        <x:v>-21.835331789793656</x:v>
      </x:c>
    </x:row>
    <x:row r="495">
      <x:c r="A495" t="n">
        <x:f>Dashboard_Live_Data!A4</x:f>
        <x:v>-59</x:v>
      </x:c>
      <x:c r="B495" t="n">
        <x:f>Dashboard_Live_Data!B4</x:f>
        <x:v>-10.1755490948848</x:v>
      </x:c>
    </x:row>
    <x:row r="496">
      <x:c r="A496" t="n">
        <x:f>Dashboard_Live_Data!A5</x:f>
        <x:v>-58.5</x:v>
      </x:c>
      <x:c r="B496" t="n">
        <x:f>Dashboard_Live_Data!B5</x:f>
        <x:v>-24.33397914678592</x:v>
      </x:c>
    </x:row>
    <x:row r="497">
      <x:c r="A497" t="n">
        <x:f>Dashboard_Live_Data!A6</x:f>
        <x:v>-58</x:v>
      </x:c>
      <x:c r="B497" t="n">
        <x:f>Dashboard_Live_Data!B6</x:f>
        <x:v>-34.145943095855884</x:v>
      </x:c>
    </x:row>
    <x:row r="498">
      <x:c r="A498" t="n">
        <x:f>Dashboard_Live_Data!A7</x:f>
        <x:v>-57.5</x:v>
      </x:c>
      <x:c r="B498" t="n">
        <x:f>Dashboard_Live_Data!B7</x:f>
        <x:v>-37.18620756396368</x:v>
      </x:c>
    </x:row>
    <x:row r="499">
      <x:c r="A499" t="n">
        <x:f>Dashboard_Live_Data!A8</x:f>
        <x:v>-57</x:v>
      </x:c>
      <x:c r="B499" t="n">
        <x:f>Dashboard_Live_Data!B8</x:f>
        <x:v>-57.97778339698746</x:v>
      </x:c>
    </x:row>
    <x:row r="500">
      <x:c r="A500" t="n">
        <x:f>Dashboard_Live_Data!A9</x:f>
        <x:v>-56.5</x:v>
      </x:c>
      <x:c r="B500" t="n">
        <x:f>Dashboard_Live_Data!B9</x:f>
        <x:v>-59.899357079512</x:v>
      </x:c>
    </x:row>
    <x:row r="501">
      <x:c r="A501" t="n">
        <x:f>Dashboard_Live_Data!A10</x:f>
        <x:v>-56</x:v>
      </x:c>
      <x:c r="B501" t="n">
        <x:f>Dashboard_Live_Data!B10</x:f>
        <x:v>-64.55713040323774</x:v>
      </x:c>
    </x:row>
    <x:row r="502">
      <x:c r="A502" t="n">
        <x:f>Dashboard_Live_Data!A11</x:f>
        <x:v>-55.5</x:v>
      </x:c>
      <x:c r="B502" t="n">
        <x:f>Dashboard_Live_Data!B11</x:f>
        <x:v>-41.33568476798443</x:v>
      </x:c>
    </x:row>
    <x:row r="503">
      <x:c r="A503" t="n">
        <x:f>Dashboard_Live_Data!A12</x:f>
        <x:v>-55</x:v>
      </x:c>
      <x:c r="B503" t="n">
        <x:f>Dashboard_Live_Data!B12</x:f>
        <x:v>-49.58095040517583</x:v>
      </x:c>
    </x:row>
    <x:row r="504">
      <x:c r="A504" t="n">
        <x:f>Dashboard_Live_Data!A13</x:f>
        <x:v>-54.5</x:v>
      </x:c>
      <x:c r="B504" t="n">
        <x:f>Dashboard_Live_Data!B13</x:f>
        <x:v>-53.11367179592119</x:v>
      </x:c>
    </x:row>
    <x:row r="505">
      <x:c r="A505" t="n">
        <x:f>Dashboard_Live_Data!A14</x:f>
        <x:v>-54</x:v>
      </x:c>
      <x:c r="B505" t="n">
        <x:f>Dashboard_Live_Data!B14</x:f>
        <x:v>-41.23963182688874</x:v>
      </x:c>
    </x:row>
    <x:row r="506">
      <x:c r="A506" t="n">
        <x:f>Dashboard_Live_Data!A15</x:f>
        <x:v>-53.5</x:v>
      </x:c>
      <x:c r="B506" t="n">
        <x:f>Dashboard_Live_Data!B15</x:f>
        <x:v>-52.89202961017506</x:v>
      </x:c>
    </x:row>
    <x:row r="507">
      <x:c r="A507" t="n">
        <x:f>Dashboard_Live_Data!A16</x:f>
        <x:v>-53</x:v>
      </x:c>
      <x:c r="B507" t="n">
        <x:f>Dashboard_Live_Data!B16</x:f>
        <x:v>-58.58124540527393</x:v>
      </x:c>
    </x:row>
    <x:row r="508">
      <x:c r="A508" t="n">
        <x:f>Dashboard_Live_Data!A17</x:f>
        <x:v>-52.5</x:v>
      </x:c>
      <x:c r="B508" t="n">
        <x:f>Dashboard_Live_Data!B17</x:f>
        <x:v>-45.612087128365545</x:v>
      </x:c>
    </x:row>
    <x:row r="509">
      <x:c r="A509" t="n">
        <x:f>Dashboard_Live_Data!A18</x:f>
        <x:v>-52</x:v>
      </x:c>
      <x:c r="B509" t="n">
        <x:f>Dashboard_Live_Data!B18</x:f>
        <x:v>-47.85601796566243</x:v>
      </x:c>
    </x:row>
    <x:row r="510">
      <x:c r="A510" t="n">
        <x:f>Dashboard_Live_Data!A19</x:f>
        <x:v>-51.5</x:v>
      </x:c>
      <x:c r="B510" t="n">
        <x:f>Dashboard_Live_Data!B19</x:f>
        <x:v>-36.597181996407414</x:v>
      </x:c>
    </x:row>
    <x:row r="511">
      <x:c r="A511" t="n">
        <x:f>Dashboard_Live_Data!A20</x:f>
        <x:v>-51</x:v>
      </x:c>
      <x:c r="B511" t="n">
        <x:f>Dashboard_Live_Data!B20</x:f>
        <x:v>-43.00623256223966</x:v>
      </x:c>
    </x:row>
    <x:row r="512">
      <x:c r="A512" t="n">
        <x:f>Dashboard_Live_Data!A21</x:f>
        <x:v>-50.5</x:v>
      </x:c>
      <x:c r="B512" t="n">
        <x:f>Dashboard_Live_Data!B21</x:f>
        <x:v>-51.79967795707989</x:v>
      </x:c>
    </x:row>
    <x:row r="513">
      <x:c r="A513" t="n">
        <x:f>Dashboard_Live_Data!A22</x:f>
        <x:v>-50</x:v>
      </x:c>
      <x:c r="B513" t="n">
        <x:f>Dashboard_Live_Data!B22</x:f>
        <x:v>-33.13988446377812</x:v>
      </x:c>
    </x:row>
    <x:row r="514">
      <x:c r="A514" t="n">
        <x:f>Dashboard_Live_Data!A23</x:f>
        <x:v>-49.5</x:v>
      </x:c>
      <x:c r="B514" t="n">
        <x:f>Dashboard_Live_Data!B23</x:f>
        <x:v>-55.72800260958991</x:v>
      </x:c>
    </x:row>
    <x:row r="515">
      <x:c r="A515" t="n">
        <x:f>Dashboard_Live_Data!A24</x:f>
        <x:v>-49</x:v>
      </x:c>
      <x:c r="B515" t="n">
        <x:f>Dashboard_Live_Data!B24</x:f>
        <x:v>-43.55059818787615</x:v>
      </x:c>
    </x:row>
    <x:row r="516">
      <x:c r="A516" t="n">
        <x:f>Dashboard_Live_Data!A25</x:f>
        <x:v>-48.5</x:v>
      </x:c>
      <x:c r="B516" t="n">
        <x:f>Dashboard_Live_Data!B25</x:f>
        <x:v>-44.12840969174627</x:v>
      </x:c>
    </x:row>
    <x:row r="517">
      <x:c r="A517" t="n">
        <x:f>Dashboard_Live_Data!A26</x:f>
        <x:v>-48</x:v>
      </x:c>
      <x:c r="B517" t="n">
        <x:f>Dashboard_Live_Data!B26</x:f>
        <x:v>-59.24933487502835</x:v>
      </x:c>
    </x:row>
    <x:row r="518">
      <x:c r="A518" t="n">
        <x:f>Dashboard_Live_Data!A27</x:f>
        <x:v>-47.5</x:v>
      </x:c>
      <x:c r="B518" t="n">
        <x:f>Dashboard_Live_Data!B27</x:f>
        <x:v>-57.61708752131386</x:v>
      </x:c>
    </x:row>
    <x:row r="519">
      <x:c r="A519" t="n">
        <x:f>Dashboard_Live_Data!A28</x:f>
        <x:v>-47</x:v>
      </x:c>
      <x:c r="B519" t="n">
        <x:f>Dashboard_Live_Data!B28</x:f>
        <x:v>-64.67682483300021</x:v>
      </x:c>
    </x:row>
    <x:row r="520">
      <x:c r="A520" t="n">
        <x:f>Dashboard_Live_Data!A29</x:f>
        <x:v>-46.5</x:v>
      </x:c>
      <x:c r="B520" t="n">
        <x:f>Dashboard_Live_Data!B29</x:f>
        <x:v>-60.9353736942775</x:v>
      </x:c>
    </x:row>
    <x:row r="521">
      <x:c r="A521" t="n">
        <x:f>Dashboard_Live_Data!A30</x:f>
        <x:v>-46</x:v>
      </x:c>
      <x:c r="B521" t="n">
        <x:f>Dashboard_Live_Data!B30</x:f>
        <x:v>-52.674234164719905</x:v>
      </x:c>
    </x:row>
    <x:row r="522">
      <x:c r="A522" t="n">
        <x:f>Dashboard_Live_Data!A31</x:f>
        <x:v>-45.5</x:v>
      </x:c>
      <x:c r="B522" t="n">
        <x:f>Dashboard_Live_Data!B31</x:f>
        <x:v>-39.87080279850994</x:v>
      </x:c>
    </x:row>
    <x:row r="523">
      <x:c r="A523" t="n">
        <x:f>Dashboard_Live_Data!A32</x:f>
        <x:v>-45</x:v>
      </x:c>
      <x:c r="B523" t="n">
        <x:f>Dashboard_Live_Data!B32</x:f>
        <x:v>-49.267020374654436</x:v>
      </x:c>
    </x:row>
    <x:row r="524">
      <x:c r="A524" t="n">
        <x:f>Dashboard_Live_Data!A33</x:f>
        <x:v>-44.5</x:v>
      </x:c>
      <x:c r="B524" t="n">
        <x:f>Dashboard_Live_Data!B33</x:f>
        <x:v>-30.449261480925486</x:v>
      </x:c>
    </x:row>
    <x:row r="525">
      <x:c r="A525" t="n">
        <x:f>Dashboard_Live_Data!A34</x:f>
        <x:v>-44</x:v>
      </x:c>
      <x:c r="B525" t="n">
        <x:f>Dashboard_Live_Data!B34</x:f>
        <x:v>-21.29823305713009</x:v>
      </x:c>
    </x:row>
    <x:row r="526">
      <x:c r="A526" t="n">
        <x:f>Dashboard_Live_Data!A35</x:f>
        <x:v>-43.5</x:v>
      </x:c>
      <x:c r="B526" t="n">
        <x:f>Dashboard_Live_Data!B35</x:f>
        <x:v>-25.11690437512837</x:v>
      </x:c>
    </x:row>
    <x:row r="527">
      <x:c r="A527" t="n">
        <x:f>Dashboard_Live_Data!A36</x:f>
        <x:v>-43</x:v>
      </x:c>
      <x:c r="B527" t="n">
        <x:f>Dashboard_Live_Data!B36</x:f>
        <x:v>-5.851868406506469</x:v>
      </x:c>
    </x:row>
    <x:row r="528">
      <x:c r="A528" t="n">
        <x:f>Dashboard_Live_Data!A37</x:f>
        <x:v>-42.5</x:v>
      </x:c>
      <x:c r="B528" t="n">
        <x:f>Dashboard_Live_Data!B37</x:f>
        <x:v>-11.611992984345875</x:v>
      </x:c>
    </x:row>
    <x:row r="529">
      <x:c r="A529" t="n">
        <x:f>Dashboard_Live_Data!A38</x:f>
        <x:v>-42</x:v>
      </x:c>
      <x:c r="B529" t="n">
        <x:f>Dashboard_Live_Data!B38</x:f>
        <x:v>6.72131524330652</x:v>
      </x:c>
    </x:row>
    <x:row r="530">
      <x:c r="A530" t="n">
        <x:f>Dashboard_Live_Data!A39</x:f>
        <x:v>-41.5</x:v>
      </x:c>
      <x:c r="B530" t="n">
        <x:f>Dashboard_Live_Data!B39</x:f>
        <x:v>13.84761035039432</x:v>
      </x:c>
    </x:row>
    <x:row r="531">
      <x:c r="A531" t="n">
        <x:f>Dashboard_Live_Data!A40</x:f>
        <x:v>-41</x:v>
      </x:c>
      <x:c r="B531" t="n">
        <x:f>Dashboard_Live_Data!B40</x:f>
        <x:v>15.915812814890273</x:v>
      </x:c>
    </x:row>
    <x:row r="532">
      <x:c r="A532" t="n">
        <x:f>Dashboard_Live_Data!A41</x:f>
        <x:v>-40.5</x:v>
      </x:c>
      <x:c r="B532" t="n">
        <x:f>Dashboard_Live_Data!B41</x:f>
        <x:v>12.946690285592126</x:v>
      </x:c>
    </x:row>
    <x:row r="533">
      <x:c r="A533" t="n">
        <x:f>Dashboard_Live_Data!A42</x:f>
        <x:v>-40</x:v>
      </x:c>
      <x:c r="B533" t="n">
        <x:f>Dashboard_Live_Data!B42</x:f>
        <x:v>29.102694376098867</x:v>
      </x:c>
    </x:row>
    <x:row r="534">
      <x:c r="A534" t="n">
        <x:f>Dashboard_Live_Data!A43</x:f>
        <x:v>-39.5</x:v>
      </x:c>
      <x:c r="B534" t="n">
        <x:f>Dashboard_Live_Data!B43</x:f>
        <x:v>31.11424964805272</x:v>
      </x:c>
    </x:row>
    <x:row r="535">
      <x:c r="A535" t="n">
        <x:f>Dashboard_Live_Data!A44</x:f>
        <x:v>-39</x:v>
      </x:c>
      <x:c r="B535" t="n">
        <x:f>Dashboard_Live_Data!B44</x:f>
        <x:v>30.101673250917116</x:v>
      </x:c>
    </x:row>
    <x:row r="536">
      <x:c r="A536" t="n">
        <x:f>Dashboard_Live_Data!A45</x:f>
        <x:v>-38.5</x:v>
      </x:c>
      <x:c r="B536" t="n">
        <x:f>Dashboard_Live_Data!B45</x:f>
        <x:v>32.133994706628584</x:v>
      </x:c>
    </x:row>
    <x:row r="537">
      <x:c r="A537" t="n">
        <x:f>Dashboard_Live_Data!A46</x:f>
        <x:v>-38</x:v>
      </x:c>
      <x:c r="B537" t="n">
        <x:f>Dashboard_Live_Data!B46</x:f>
        <x:v>19.12172334847037</x:v>
      </x:c>
    </x:row>
    <x:row r="538">
      <x:c r="A538" t="n">
        <x:f>Dashboard_Live_Data!A47</x:f>
        <x:v>-37.5</x:v>
      </x:c>
      <x:c r="B538" t="n">
        <x:f>Dashboard_Live_Data!B47</x:f>
        <x:v>16.33682565185896</x:v>
      </x:c>
    </x:row>
    <x:row r="539">
      <x:c r="A539" t="n">
        <x:f>Dashboard_Live_Data!A48</x:f>
        <x:v>-37</x:v>
      </x:c>
      <x:c r="B539" t="n">
        <x:f>Dashboard_Live_Data!B48</x:f>
        <x:v>23.552479750778133</x:v>
      </x:c>
    </x:row>
    <x:row r="540">
      <x:c r="A540" t="n">
        <x:f>Dashboard_Live_Data!A49</x:f>
        <x:v>-36.5</x:v>
      </x:c>
      <x:c r="B540" t="n">
        <x:f>Dashboard_Live_Data!B49</x:f>
        <x:v>19.03166123894414</x:v>
      </x:c>
    </x:row>
    <x:row r="541">
      <x:c r="A541" t="n">
        <x:f>Dashboard_Live_Data!A50</x:f>
        <x:v>-36</x:v>
      </x:c>
      <x:c r="B541" t="n">
        <x:f>Dashboard_Live_Data!B50</x:f>
        <x:v>-0.2623218193104435</x:v>
      </x:c>
    </x:row>
    <x:row r="542">
      <x:c r="A542" t="n">
        <x:f>Dashboard_Live_Data!A51</x:f>
        <x:v>-35.5</x:v>
      </x:c>
      <x:c r="B542" t="n">
        <x:f>Dashboard_Live_Data!B51</x:f>
        <x:v>-1.9757328740745947</x:v>
      </x:c>
    </x:row>
    <x:row r="543">
      <x:c r="A543" t="n">
        <x:f>Dashboard_Live_Data!A52</x:f>
        <x:v>-35</x:v>
      </x:c>
      <x:c r="B543" t="n">
        <x:f>Dashboard_Live_Data!B52</x:f>
        <x:v>7.184875005217862</x:v>
      </x:c>
    </x:row>
    <x:row r="544">
      <x:c r="A544" t="n">
        <x:f>Dashboard_Live_Data!A53</x:f>
        <x:v>-34.5</x:v>
      </x:c>
      <x:c r="B544" t="n">
        <x:f>Dashboard_Live_Data!B53</x:f>
        <x:v>7.068156756665303</x:v>
      </x:c>
    </x:row>
    <x:row r="545">
      <x:c r="A545" t="n">
        <x:f>Dashboard_Live_Data!A54</x:f>
        <x:v>-34</x:v>
      </x:c>
      <x:c r="B545" t="n">
        <x:f>Dashboard_Live_Data!B54</x:f>
        <x:v>-2.9998358134979526</x:v>
      </x:c>
    </x:row>
    <x:row r="546">
      <x:c r="A546" t="n">
        <x:f>Dashboard_Live_Data!A55</x:f>
        <x:v>-33.5</x:v>
      </x:c>
      <x:c r="B546" t="n">
        <x:f>Dashboard_Live_Data!B55</x:f>
        <x:v>-11.29209622370604</x:v>
      </x:c>
    </x:row>
    <x:row r="547">
      <x:c r="A547" t="n">
        <x:f>Dashboard_Live_Data!A56</x:f>
        <x:v>-33</x:v>
      </x:c>
      <x:c r="B547" t="n">
        <x:f>Dashboard_Live_Data!B56</x:f>
        <x:v>-15.738275591660624</x:v>
      </x:c>
    </x:row>
    <x:row r="548">
      <x:c r="A548" t="n">
        <x:f>Dashboard_Live_Data!A57</x:f>
        <x:v>-32.5</x:v>
      </x:c>
      <x:c r="B548" t="n">
        <x:f>Dashboard_Live_Data!B57</x:f>
        <x:v>-17.06917876670684</x:v>
      </x:c>
    </x:row>
    <x:row r="549">
      <x:c r="A549" t="n">
        <x:f>Dashboard_Live_Data!A58</x:f>
        <x:v>-32</x:v>
      </x:c>
      <x:c r="B549" t="n">
        <x:f>Dashboard_Live_Data!B58</x:f>
        <x:v>-8.468507015690818</x:v>
      </x:c>
    </x:row>
    <x:row r="550">
      <x:c r="A550" t="n">
        <x:f>Dashboard_Live_Data!A59</x:f>
        <x:v>-31.5</x:v>
      </x:c>
      <x:c r="B550" t="n">
        <x:f>Dashboard_Live_Data!B59</x:f>
        <x:v>-12.093868668153164</x:v>
      </x:c>
    </x:row>
    <x:row r="551">
      <x:c r="A551" t="n">
        <x:f>Dashboard_Live_Data!A60</x:f>
        <x:v>-31</x:v>
      </x:c>
      <x:c r="B551" t="n">
        <x:f>Dashboard_Live_Data!B60</x:f>
        <x:v>10.459386000426377</x:v>
      </x:c>
    </x:row>
    <x:row r="552">
      <x:c r="A552" t="n">
        <x:f>Dashboard_Live_Data!A61</x:f>
        <x:v>-30.5</x:v>
      </x:c>
      <x:c r="B552" t="n">
        <x:f>Dashboard_Live_Data!B61</x:f>
        <x:v>4.900052542946412</x:v>
      </x:c>
    </x:row>
    <x:row r="553">
      <x:c r="A553" t="n">
        <x:f>Dashboard_Live_Data!A62</x:f>
        <x:v>-30</x:v>
      </x:c>
      <x:c r="B553" t="n">
        <x:f>Dashboard_Live_Data!B62</x:f>
        <x:v>15.012442539728227</x:v>
      </x:c>
    </x:row>
    <x:row r="554">
      <x:c r="A554" t="n">
        <x:f>Dashboard_Live_Data!A63</x:f>
        <x:v>-29.5</x:v>
      </x:c>
      <x:c r="B554" t="n">
        <x:f>Dashboard_Live_Data!B63</x:f>
        <x:v>33.78877449254139</x:v>
      </x:c>
    </x:row>
    <x:row r="555">
      <x:c r="A555" t="n">
        <x:f>Dashboard_Live_Data!A64</x:f>
        <x:v>-29</x:v>
      </x:c>
      <x:c r="B555" t="n">
        <x:f>Dashboard_Live_Data!B64</x:f>
        <x:v>20.49029057069845</x:v>
      </x:c>
    </x:row>
    <x:row r="556">
      <x:c r="A556" t="n">
        <x:f>Dashboard_Live_Data!A65</x:f>
        <x:v>-28.5</x:v>
      </x:c>
      <x:c r="B556" t="n">
        <x:f>Dashboard_Live_Data!B65</x:f>
        <x:v>27.55558811212802</x:v>
      </x:c>
    </x:row>
    <x:row r="557">
      <x:c r="A557" t="n">
        <x:f>Dashboard_Live_Data!A66</x:f>
        <x:v>-28</x:v>
      </x:c>
      <x:c r="B557" t="n">
        <x:f>Dashboard_Live_Data!B66</x:f>
        <x:v>50.86297851600432</x:v>
      </x:c>
    </x:row>
    <x:row r="558">
      <x:c r="A558" t="n">
        <x:f>Dashboard_Live_Data!A67</x:f>
        <x:v>-27.5</x:v>
      </x:c>
      <x:c r="B558" t="n">
        <x:f>Dashboard_Live_Data!B67</x:f>
        <x:v>61.019347257300694</x:v>
      </x:c>
    </x:row>
    <x:row r="559">
      <x:c r="A559" t="n">
        <x:f>Dashboard_Live_Data!A68</x:f>
        <x:v>-27</x:v>
      </x:c>
      <x:c r="B559" t="n">
        <x:f>Dashboard_Live_Data!B68</x:f>
        <x:v>67.75840286432714</x:v>
      </x:c>
    </x:row>
    <x:row r="560">
      <x:c r="A560" t="n">
        <x:f>Dashboard_Live_Data!A69</x:f>
        <x:v>-26.5</x:v>
      </x:c>
      <x:c r="B560" t="n">
        <x:f>Dashboard_Live_Data!B69</x:f>
        <x:v>76.23568800363364</x:v>
      </x:c>
    </x:row>
    <x:row r="561">
      <x:c r="A561" t="n">
        <x:f>Dashboard_Live_Data!A70</x:f>
        <x:v>-26</x:v>
      </x:c>
      <x:c r="B561" t="n">
        <x:f>Dashboard_Live_Data!B70</x:f>
        <x:v>80.44622831250399</x:v>
      </x:c>
    </x:row>
    <x:row r="562">
      <x:c r="A562" t="n">
        <x:f>Dashboard_Live_Data!A71</x:f>
        <x:v>-25.5</x:v>
      </x:c>
      <x:c r="B562" t="n">
        <x:f>Dashboard_Live_Data!B71</x:f>
        <x:v>102.62475841952005</x:v>
      </x:c>
    </x:row>
    <x:row r="563">
      <x:c r="A563" t="n">
        <x:f>Dashboard_Live_Data!A72</x:f>
        <x:v>-25</x:v>
      </x:c>
      <x:c r="B563" t="n">
        <x:f>Dashboard_Live_Data!B72</x:f>
        <x:v>95.9627285030823</x:v>
      </x:c>
    </x:row>
    <x:row r="564">
      <x:c r="A564" t="n">
        <x:f>Dashboard_Live_Data!A73</x:f>
        <x:v>-24.5</x:v>
      </x:c>
      <x:c r="B564" t="n">
        <x:f>Dashboard_Live_Data!B73</x:f>
        <x:v>111.95944336516442</x:v>
      </x:c>
    </x:row>
    <x:row r="565">
      <x:c r="A565" t="n">
        <x:f>Dashboard_Live_Data!A74</x:f>
        <x:v>-24</x:v>
      </x:c>
      <x:c r="B565" t="n">
        <x:f>Dashboard_Live_Data!B74</x:f>
        <x:v>109.9110637934084</x:v>
      </x:c>
    </x:row>
    <x:row r="566">
      <x:c r="A566" t="n">
        <x:f>Dashboard_Live_Data!A75</x:f>
        <x:v>-23.5</x:v>
      </x:c>
      <x:c r="B566" t="n">
        <x:f>Dashboard_Live_Data!B75</x:f>
        <x:v>124.07412737469122</x:v>
      </x:c>
    </x:row>
    <x:row r="567">
      <x:c r="A567" t="n">
        <x:f>Dashboard_Live_Data!A76</x:f>
        <x:v>-23</x:v>
      </x:c>
      <x:c r="B567" t="n">
        <x:f>Dashboard_Live_Data!B76</x:f>
        <x:v>130.9673287407926</x:v>
      </x:c>
    </x:row>
    <x:row r="568">
      <x:c r="A568" t="n">
        <x:f>Dashboard_Live_Data!A77</x:f>
        <x:v>-22.5</x:v>
      </x:c>
      <x:c r="B568" t="n">
        <x:f>Dashboard_Live_Data!B77</x:f>
        <x:v>136.70768045990502</x:v>
      </x:c>
    </x:row>
    <x:row r="569">
      <x:c r="A569" t="n">
        <x:f>Dashboard_Live_Data!A78</x:f>
        <x:v>-22</x:v>
      </x:c>
      <x:c r="B569" t="n">
        <x:f>Dashboard_Live_Data!B78</x:f>
        <x:v>142.38034814799494</x:v>
      </x:c>
    </x:row>
    <x:row r="570">
      <x:c r="A570" t="n">
        <x:f>Dashboard_Live_Data!A79</x:f>
        <x:v>-21.5</x:v>
      </x:c>
      <x:c r="B570" t="n">
        <x:f>Dashboard_Live_Data!B79</x:f>
        <x:v>155.16461387832436</x:v>
      </x:c>
    </x:row>
    <x:row r="571">
      <x:c r="A571" t="n">
        <x:f>Dashboard_Live_Data!A80</x:f>
        <x:v>-21</x:v>
      </x:c>
      <x:c r="B571" t="n">
        <x:f>Dashboard_Live_Data!B80</x:f>
        <x:v>140.71817235691083</x:v>
      </x:c>
    </x:row>
    <x:row r="572">
      <x:c r="A572" t="n">
        <x:f>Dashboard_Live_Data!A81</x:f>
        <x:v>-20.5</x:v>
      </x:c>
      <x:c r="B572" t="n">
        <x:f>Dashboard_Live_Data!B81</x:f>
        <x:v>138.79258237955816</x:v>
      </x:c>
    </x:row>
    <x:row r="573">
      <x:c r="A573" t="n">
        <x:f>Dashboard_Live_Data!A82</x:f>
        <x:v>-20</x:v>
      </x:c>
      <x:c r="B573" t="n">
        <x:f>Dashboard_Live_Data!B82</x:f>
        <x:v>144.6299048877989</x:v>
      </x:c>
    </x:row>
    <x:row r="574">
      <x:c r="A574" t="n">
        <x:f>Dashboard_Live_Data!A83</x:f>
        <x:v>-19.5</x:v>
      </x:c>
      <x:c r="B574" t="n">
        <x:f>Dashboard_Live_Data!B83</x:f>
        <x:v>138.25591202159382</x:v>
      </x:c>
    </x:row>
    <x:row r="575">
      <x:c r="A575" t="n">
        <x:f>Dashboard_Live_Data!A84</x:f>
        <x:v>-19</x:v>
      </x:c>
      <x:c r="B575" t="n">
        <x:f>Dashboard_Live_Data!B84</x:f>
        <x:v>143.08942338679236</x:v>
      </x:c>
    </x:row>
    <x:row r="576">
      <x:c r="A576" t="n">
        <x:f>Dashboard_Live_Data!A85</x:f>
        <x:v>-18.5</x:v>
      </x:c>
      <x:c r="B576" t="n">
        <x:f>Dashboard_Live_Data!B85</x:f>
        <x:v>134.9294543629348</x:v>
      </x:c>
    </x:row>
    <x:row r="577">
      <x:c r="A577" t="n">
        <x:f>Dashboard_Live_Data!A86</x:f>
        <x:v>-18</x:v>
      </x:c>
      <x:c r="B577" t="n">
        <x:f>Dashboard_Live_Data!B86</x:f>
        <x:v>147.29813428303765</x:v>
      </x:c>
    </x:row>
    <x:row r="578">
      <x:c r="A578" t="n">
        <x:f>Dashboard_Live_Data!A87</x:f>
        <x:v>-17.5</x:v>
      </x:c>
      <x:c r="B578" t="n">
        <x:f>Dashboard_Live_Data!B87</x:f>
        <x:v>137.25939183843724</x:v>
      </x:c>
    </x:row>
    <x:row r="579">
      <x:c r="A579" t="n">
        <x:f>Dashboard_Live_Data!A88</x:f>
        <x:v>-17</x:v>
      </x:c>
      <x:c r="B579" t="n">
        <x:f>Dashboard_Live_Data!B88</x:f>
        <x:v>123.99875892548812</x:v>
      </x:c>
    </x:row>
    <x:row r="580">
      <x:c r="A580" t="n">
        <x:f>Dashboard_Live_Data!A89</x:f>
        <x:v>-16.5</x:v>
      </x:c>
      <x:c r="B580" t="n">
        <x:f>Dashboard_Live_Data!B89</x:f>
        <x:v>122.1642571318593</x:v>
      </x:c>
    </x:row>
    <x:row r="581">
      <x:c r="A581" t="n">
        <x:f>Dashboard_Live_Data!A90</x:f>
        <x:v>-16</x:v>
      </x:c>
      <x:c r="B581" t="n">
        <x:f>Dashboard_Live_Data!B90</x:f>
        <x:v>95.69343337780924</x:v>
      </x:c>
    </x:row>
    <x:row r="582">
      <x:c r="A582" t="n">
        <x:f>Dashboard_Live_Data!A91</x:f>
        <x:v>-15.5</x:v>
      </x:c>
      <x:c r="B582" t="n">
        <x:f>Dashboard_Live_Data!B91</x:f>
        <x:v>107.59636634063799</x:v>
      </x:c>
    </x:row>
    <x:row r="583">
      <x:c r="A583" t="n">
        <x:f>Dashboard_Live_Data!A92</x:f>
        <x:v>-15</x:v>
      </x:c>
      <x:c r="B583" t="n">
        <x:f>Dashboard_Live_Data!B92</x:f>
        <x:v>88.756788598213</x:v>
      </x:c>
    </x:row>
    <x:row r="584">
      <x:c r="A584" t="n">
        <x:f>Dashboard_Live_Data!A93</x:f>
        <x:v>-14.5</x:v>
      </x:c>
      <x:c r="B584" t="n">
        <x:f>Dashboard_Live_Data!B93</x:f>
        <x:v>84.90823497062411</x:v>
      </x:c>
    </x:row>
    <x:row r="585">
      <x:c r="A585" t="n">
        <x:f>Dashboard_Live_Data!A94</x:f>
        <x:v>-14</x:v>
      </x:c>
      <x:c r="B585" t="n">
        <x:f>Dashboard_Live_Data!B94</x:f>
        <x:v>82.66882036124099</x:v>
      </x:c>
    </x:row>
    <x:row r="586">
      <x:c r="A586" t="n">
        <x:f>Dashboard_Live_Data!A95</x:f>
        <x:v>-13.5</x:v>
      </x:c>
      <x:c r="B586" t="n">
        <x:f>Dashboard_Live_Data!B95</x:f>
        <x:v>59.371781486156976</x:v>
      </x:c>
    </x:row>
    <x:row r="587">
      <x:c r="A587" t="n">
        <x:f>Dashboard_Live_Data!A96</x:f>
        <x:v>-13</x:v>
      </x:c>
      <x:c r="B587" t="n">
        <x:f>Dashboard_Live_Data!B96</x:f>
        <x:v>62.40409195281097</x:v>
      </x:c>
    </x:row>
    <x:row r="588">
      <x:c r="A588" t="n">
        <x:f>Dashboard_Live_Data!A97</x:f>
        <x:v>-12.5</x:v>
      </x:c>
      <x:c r="B588" t="n">
        <x:f>Dashboard_Live_Data!B97</x:f>
        <x:v>68.46106537271447</x:v>
      </x:c>
    </x:row>
    <x:row r="589">
      <x:c r="A589" t="n">
        <x:f>Dashboard_Live_Data!A98</x:f>
        <x:v>-12</x:v>
      </x:c>
      <x:c r="B589" t="n">
        <x:f>Dashboard_Live_Data!B98</x:f>
        <x:v>45.90303877391159</x:v>
      </x:c>
    </x:row>
    <x:row r="590">
      <x:c r="A590" t="n">
        <x:f>Dashboard_Live_Data!A99</x:f>
        <x:v>-11.5</x:v>
      </x:c>
      <x:c r="B590" t="n">
        <x:f>Dashboard_Live_Data!B99</x:f>
        <x:v>46.360067612850344</x:v>
      </x:c>
    </x:row>
    <x:row r="591">
      <x:c r="A591" t="n">
        <x:f>Dashboard_Live_Data!A100</x:f>
        <x:v>-11</x:v>
      </x:c>
      <x:c r="B591" t="n">
        <x:f>Dashboard_Live_Data!B100</x:f>
        <x:v>41.59395285740959</x:v>
      </x:c>
    </x:row>
    <x:row r="592">
      <x:c r="A592" t="n">
        <x:f>Dashboard_Live_Data!A101</x:f>
        <x:v>-10.5</x:v>
      </x:c>
      <x:c r="B592" t="n">
        <x:f>Dashboard_Live_Data!B101</x:f>
        <x:v>50.39733683997741</x:v>
      </x:c>
    </x:row>
    <x:row r="593">
      <x:c r="A593" t="n">
        <x:f>Dashboard_Live_Data!A102</x:f>
        <x:v>-10</x:v>
      </x:c>
      <x:c r="B593" t="n">
        <x:f>Dashboard_Live_Data!B102</x:f>
        <x:v>47.74262749354</x:v>
      </x:c>
    </x:row>
    <x:row r="594">
      <x:c r="A594" t="n">
        <x:f>Dashboard_Live_Data!A103</x:f>
        <x:v>-9.5</x:v>
      </x:c>
      <x:c r="B594" t="n">
        <x:f>Dashboard_Live_Data!B103</x:f>
        <x:v>30.622778156968423</x:v>
      </x:c>
    </x:row>
    <x:row r="595">
      <x:c r="A595" t="n">
        <x:f>Dashboard_Live_Data!A104</x:f>
        <x:v>-9</x:v>
      </x:c>
      <x:c r="B595" t="n">
        <x:f>Dashboard_Live_Data!B104</x:f>
        <x:v>45.75306376780679</x:v>
      </x:c>
    </x:row>
    <x:row r="596">
      <x:c r="A596" t="n">
        <x:f>Dashboard_Live_Data!A105</x:f>
        <x:v>-8.5</x:v>
      </x:c>
      <x:c r="B596" t="n">
        <x:f>Dashboard_Live_Data!B105</x:f>
        <x:v>60.26909079725334</x:v>
      </x:c>
    </x:row>
    <x:row r="597">
      <x:c r="A597" t="n">
        <x:f>Dashboard_Live_Data!A106</x:f>
        <x:v>-8</x:v>
      </x:c>
      <x:c r="B597" t="n">
        <x:f>Dashboard_Live_Data!B106</x:f>
        <x:v>37.72928503169089</x:v>
      </x:c>
    </x:row>
    <x:row r="598">
      <x:c r="A598" t="n">
        <x:f>Dashboard_Live_Data!A107</x:f>
        <x:v>-7.5</x:v>
      </x:c>
      <x:c r="B598" t="n">
        <x:f>Dashboard_Live_Data!B107</x:f>
        <x:v>41.64822705623317</x:v>
      </x:c>
    </x:row>
    <x:row r="599">
      <x:c r="A599" t="n">
        <x:f>Dashboard_Live_Data!A108</x:f>
        <x:v>-7</x:v>
      </x:c>
      <x:c r="B599" t="n">
        <x:f>Dashboard_Live_Data!B108</x:f>
        <x:v>46.5780342922273</x:v>
      </x:c>
    </x:row>
    <x:row r="600">
      <x:c r="A600" t="n">
        <x:f>Dashboard_Live_Data!A109</x:f>
        <x:v>-6.5</x:v>
      </x:c>
      <x:c r="B600" t="n">
        <x:f>Dashboard_Live_Data!B109</x:f>
        <x:v>57.97037664669824</x:v>
      </x:c>
    </x:row>
    <x:row r="601">
      <x:c r="A601" t="n">
        <x:f>Dashboard_Live_Data!A110</x:f>
        <x:v>-6</x:v>
      </x:c>
      <x:c r="B601" t="n">
        <x:f>Dashboard_Live_Data!B110</x:f>
        <x:v>59.642862865837515</x:v>
      </x:c>
    </x:row>
    <x:row r="602">
      <x:c r="A602" t="n">
        <x:f>Dashboard_Live_Data!A111</x:f>
        <x:v>-5.5</x:v>
      </x:c>
      <x:c r="B602" t="n">
        <x:f>Dashboard_Live_Data!B111</x:f>
        <x:v>62.18129300695398</x:v>
      </x:c>
    </x:row>
    <x:row r="603">
      <x:c r="A603" t="n">
        <x:f>Dashboard_Live_Data!A112</x:f>
        <x:v>-5</x:v>
      </x:c>
      <x:c r="B603" t="n">
        <x:f>Dashboard_Live_Data!B112</x:f>
        <x:v>72.28193903621099</x:v>
      </x:c>
    </x:row>
    <x:row r="604">
      <x:c r="A604" t="n">
        <x:f>Dashboard_Live_Data!A113</x:f>
        <x:v>-4.5</x:v>
      </x:c>
      <x:c r="B604" t="n">
        <x:f>Dashboard_Live_Data!B113</x:f>
        <x:v>71.74572140008553</x:v>
      </x:c>
    </x:row>
    <x:row r="605">
      <x:c r="A605" t="n">
        <x:f>Dashboard_Live_Data!A114</x:f>
        <x:v>-4</x:v>
      </x:c>
      <x:c r="B605" t="n">
        <x:f>Dashboard_Live_Data!B114</x:f>
        <x:v>72.89334348716699</x:v>
      </x:c>
    </x:row>
    <x:row r="606">
      <x:c r="A606" t="n">
        <x:f>Dashboard_Live_Data!A115</x:f>
        <x:v>-3.5</x:v>
      </x:c>
      <x:c r="B606" t="n">
        <x:f>Dashboard_Live_Data!B115</x:f>
        <x:v>77.37954858592536</x:v>
      </x:c>
    </x:row>
    <x:row r="607">
      <x:c r="A607" t="n">
        <x:f>Dashboard_Live_Data!A116</x:f>
        <x:v>-3</x:v>
      </x:c>
      <x:c r="B607" t="n">
        <x:f>Dashboard_Live_Data!B116</x:f>
        <x:v>66.3714884220658</x:v>
      </x:c>
    </x:row>
    <x:row r="608">
      <x:c r="A608" t="n">
        <x:f>Dashboard_Live_Data!A117</x:f>
        <x:v>-2.5</x:v>
      </x:c>
      <x:c r="B608" t="n">
        <x:f>Dashboard_Live_Data!B117</x:f>
        <x:v>48.527075969164855</x:v>
      </x:c>
    </x:row>
    <x:row r="609">
      <x:c r="A609" t="n">
        <x:f>Dashboard_Live_Data!A118</x:f>
        <x:v>-2</x:v>
      </x:c>
      <x:c r="B609" t="n">
        <x:f>Dashboard_Live_Data!B118</x:f>
        <x:v>58.258002434762375</x:v>
      </x:c>
    </x:row>
    <x:row r="610">
      <x:c r="A610" t="n">
        <x:f>Dashboard_Live_Data!A119</x:f>
        <x:v>-1.5</x:v>
      </x:c>
      <x:c r="B610" t="n">
        <x:f>Dashboard_Live_Data!B119</x:f>
        <x:v>32.8240715860631</x:v>
      </x:c>
    </x:row>
    <x:row r="611">
      <x:c r="A611" t="n">
        <x:f>Dashboard_Live_Data!A120</x:f>
        <x:v>-1</x:v>
      </x:c>
      <x:c r="B611" t="n">
        <x:f>Dashboard_Live_Data!B120</x:f>
        <x:v>36.90745807012206</x:v>
      </x:c>
    </x:row>
    <x:row r="612">
      <x:c r="A612" t="n">
        <x:f>Dashboard_Live_Data!A121</x:f>
        <x:v>-0.5</x:v>
      </x:c>
      <x:c r="B612" t="n">
        <x:f>Dashboard_Live_Data!B121</x:f>
        <x:v>14.490732066080454</x:v>
      </x:c>
    </x:row>
    <x:row r="613">
      <x:c r="A613" t="n">
        <x:f>Dashboard_Live_Data!A122</x:f>
        <x:v>0</x:v>
      </x:c>
      <x:c r="B613" t="n">
        <x:f>Dashboard_Live_Data!B122</x:f>
        <x:v>3.4704730016699727</x:v>
      </x:c>
    </x:row>
    <x:row r="614">
      <x:c r="A614" t="n">
        <x:f>Dashboard_Live_Data!A123</x:f>
        <x:v>0.5</x:v>
      </x:c>
      <x:c r="B614" t="n">
        <x:f>Dashboard_Live_Data!B123</x:f>
        <x:v>-3.744887298194101</x:v>
      </x:c>
    </x:row>
    <x:row r="615">
      <x:c r="A615" t="n">
        <x:f>Dashboard_Live_Data!A124</x:f>
        <x:v>1</x:v>
      </x:c>
      <x:c r="B615" t="n">
        <x:f>Dashboard_Live_Data!B124</x:f>
        <x:v>-44.60929521056897</x:v>
      </x:c>
    </x:row>
    <x:row r="616">
      <x:c r="A616" t="n">
        <x:f>Dashboard_Live_Data!A125</x:f>
        <x:v>1.5</x:v>
      </x:c>
      <x:c r="B616" t="n">
        <x:f>Dashboard_Live_Data!B125</x:f>
        <x:v>-48.41044167320268</x:v>
      </x:c>
    </x:row>
    <x:row r="617">
      <x:c r="A617" t="n">
        <x:f>Dashboard_Live_Data!A126</x:f>
        <x:v>2</x:v>
      </x:c>
      <x:c r="B617" t="n">
        <x:f>Dashboard_Live_Data!B126</x:f>
        <x:v>-67.2127716143965</x:v>
      </x:c>
    </x:row>
    <x:row r="618">
      <x:c r="A618" t="n">
        <x:f>Dashboard_Live_Data!A127</x:f>
        <x:v>2.5</x:v>
      </x:c>
      <x:c r="B618" t="n">
        <x:f>Dashboard_Live_Data!B127</x:f>
        <x:v>-72.60871904789826</x:v>
      </x:c>
    </x:row>
    <x:row r="619">
      <x:c r="A619" t="n">
        <x:f>Dashboard_Live_Data!A128</x:f>
        <x:v>3</x:v>
      </x:c>
      <x:c r="B619" t="n">
        <x:f>Dashboard_Live_Data!B128</x:f>
        <x:v>-83.7958295141508</x:v>
      </x:c>
    </x:row>
    <x:row r="620">
      <x:c r="A620" t="n">
        <x:f>Dashboard_Live_Data!A129</x:f>
        <x:v>3.5</x:v>
      </x:c>
      <x:c r="B620" t="n">
        <x:f>Dashboard_Live_Data!B129</x:f>
        <x:v>-100.3817455303992</x:v>
      </x:c>
    </x:row>
    <x:row r="621">
      <x:c r="A621" t="n">
        <x:f>Dashboard_Live_Data!A130</x:f>
        <x:v>4</x:v>
      </x:c>
      <x:c r="B621" t="n">
        <x:f>Dashboard_Live_Data!B130</x:f>
        <x:v>-98.13487225773548</x:v>
      </x:c>
    </x:row>
    <x:row r="622">
      <x:c r="A622" t="n">
        <x:f>Dashboard_Live_Data!A131</x:f>
        <x:v>4.5</x:v>
      </x:c>
      <x:c r="B622" t="n">
        <x:f>Dashboard_Live_Data!B131</x:f>
        <x:v>-84.32559173968934</x:v>
      </x:c>
    </x:row>
    <x:row r="623">
      <x:c r="A623" t="n">
        <x:f>Dashboard_Live_Data!A132</x:f>
        <x:v>5</x:v>
      </x:c>
      <x:c r="B623" t="n">
        <x:f>Dashboard_Live_Data!B132</x:f>
        <x:v>-100.70506580081894</x:v>
      </x:c>
    </x:row>
    <x:row r="624">
      <x:c r="A624" t="n">
        <x:f>Dashboard_Live_Data!A133</x:f>
        <x:v>5.5</x:v>
      </x:c>
      <x:c r="B624" t="n">
        <x:f>Dashboard_Live_Data!B133</x:f>
        <x:v>-98.853802750613</x:v>
      </x:c>
    </x:row>
    <x:row r="625">
      <x:c r="A625" t="n">
        <x:f>Dashboard_Live_Data!A134</x:f>
        <x:v>6</x:v>
      </x:c>
      <x:c r="B625" t="n">
        <x:f>Dashboard_Live_Data!B134</x:f>
        <x:v>-72.07812022820997</x:v>
      </x:c>
    </x:row>
    <x:row r="626">
      <x:c r="A626" t="n">
        <x:f>Dashboard_Live_Data!A135</x:f>
        <x:v>6.5</x:v>
      </x:c>
      <x:c r="B626" t="n">
        <x:f>Dashboard_Live_Data!B135</x:f>
        <x:v>-79.36936471450957</x:v>
      </x:c>
    </x:row>
    <x:row r="627">
      <x:c r="A627" t="n">
        <x:f>Dashboard_Live_Data!A136</x:f>
        <x:v>7</x:v>
      </x:c>
      <x:c r="B627" t="n">
        <x:f>Dashboard_Live_Data!B136</x:f>
        <x:v>-68.68735869698332</x:v>
      </x:c>
    </x:row>
    <x:row r="628">
      <x:c r="A628" t="n">
        <x:f>Dashboard_Live_Data!A137</x:f>
        <x:v>7.5</x:v>
      </x:c>
      <x:c r="B628" t="n">
        <x:f>Dashboard_Live_Data!B137</x:f>
        <x:v>-57.88906159607785</x:v>
      </x:c>
    </x:row>
    <x:row r="629">
      <x:c r="A629" t="n">
        <x:f>Dashboard_Live_Data!A138</x:f>
        <x:v>8</x:v>
      </x:c>
      <x:c r="B629" t="n">
        <x:f>Dashboard_Live_Data!B138</x:f>
        <x:v>-47.678060396535784</x:v>
      </x:c>
    </x:row>
    <x:row r="630">
      <x:c r="A630" t="n">
        <x:f>Dashboard_Live_Data!A139</x:f>
        <x:v>8.5</x:v>
      </x:c>
      <x:c r="B630" t="n">
        <x:f>Dashboard_Live_Data!B139</x:f>
        <x:v>-37.06559531772615</x:v>
      </x:c>
    </x:row>
    <x:row r="631">
      <x:c r="A631" t="n">
        <x:f>Dashboard_Live_Data!A140</x:f>
        <x:v>9</x:v>
      </x:c>
      <x:c r="B631" t="n">
        <x:f>Dashboard_Live_Data!B140</x:f>
        <x:v>-31.298672514684142</x:v>
      </x:c>
    </x:row>
    <x:row r="632">
      <x:c r="A632" t="n">
        <x:f>Dashboard_Live_Data!A141</x:f>
        <x:v>9.5</x:v>
      </x:c>
      <x:c r="B632" t="n">
        <x:f>Dashboard_Live_Data!B141</x:f>
        <x:v>-7.331808066710664</x:v>
      </x:c>
    </x:row>
    <x:row r="633">
      <x:c r="A633" t="n">
        <x:f>Dashboard_Live_Data!A142</x:f>
        <x:v>10</x:v>
      </x:c>
      <x:c r="B633" t="n">
        <x:f>Dashboard_Live_Data!B142</x:f>
        <x:v>6.950709340985782</x:v>
      </x:c>
    </x:row>
    <x:row r="634">
      <x:c r="A634" t="n">
        <x:f>Dashboard_Live_Data!A143</x:f>
        <x:v>10.5</x:v>
      </x:c>
      <x:c r="B634" t="n">
        <x:f>Dashboard_Live_Data!B143</x:f>
        <x:v>-6.51890035122284</x:v>
      </x:c>
    </x:row>
    <x:row r="635">
      <x:c r="A635" t="n">
        <x:f>Dashboard_Live_Data!A144</x:f>
        <x:v>11</x:v>
      </x:c>
      <x:c r="B635" t="n">
        <x:f>Dashboard_Live_Data!B144</x:f>
        <x:v>-3.5716399061908533</x:v>
      </x:c>
    </x:row>
    <x:row r="636">
      <x:c r="A636" t="n">
        <x:f>Dashboard_Live_Data!A145</x:f>
        <x:v>11.5</x:v>
      </x:c>
      <x:c r="B636" t="n">
        <x:f>Dashboard_Live_Data!B145</x:f>
        <x:v>-5.661420832986096</x:v>
      </x:c>
    </x:row>
    <x:row r="637">
      <x:c r="A637" t="n">
        <x:f>Dashboard_Live_Data!A146</x:f>
        <x:v>12</x:v>
      </x:c>
      <x:c r="B637" t="n">
        <x:f>Dashboard_Live_Data!B146</x:f>
        <x:v>-8.671483580595464</x:v>
      </x:c>
    </x:row>
    <x:row r="638">
      <x:c r="A638" t="n">
        <x:f>Dashboard_Live_Data!A147</x:f>
        <x:v>12.5</x:v>
      </x:c>
      <x:c r="B638" t="n">
        <x:f>Dashboard_Live_Data!B147</x:f>
        <x:v>4.021249498760881</x:v>
      </x:c>
    </x:row>
    <x:row r="639">
      <x:c r="A639" t="n">
        <x:f>Dashboard_Live_Data!A148</x:f>
        <x:v>13</x:v>
      </x:c>
      <x:c r="B639" t="n">
        <x:f>Dashboard_Live_Data!B148</x:f>
        <x:v>1.9459578878685306</x:v>
      </x:c>
    </x:row>
    <x:row r="640">
      <x:c r="A640" t="n">
        <x:f>Dashboard_Live_Data!A149</x:f>
        <x:v>13.5</x:v>
      </x:c>
      <x:c r="B640" t="n">
        <x:f>Dashboard_Live_Data!B149</x:f>
        <x:v>-1.6666503235243226</x:v>
      </x:c>
    </x:row>
    <x:row r="641">
      <x:c r="A641" t="n">
        <x:f>Dashboard_Live_Data!A150</x:f>
        <x:v>14</x:v>
      </x:c>
      <x:c r="B641" t="n">
        <x:f>Dashboard_Live_Data!B150</x:f>
        <x:v>-18.81128421623464</x:v>
      </x:c>
    </x:row>
    <x:row r="642">
      <x:c r="A642" t="n">
        <x:f>Dashboard_Live_Data!A151</x:f>
        <x:v>14.5</x:v>
      </x:c>
      <x:c r="B642" t="n">
        <x:f>Dashboard_Live_Data!B151</x:f>
        <x:v>-29.029666399043833</x:v>
      </x:c>
    </x:row>
    <x:row r="643">
      <x:c r="A643" t="n">
        <x:f>Dashboard_Live_Data!A152</x:f>
        <x:v>15</x:v>
      </x:c>
      <x:c r="B643" t="n">
        <x:f>Dashboard_Live_Data!B152</x:f>
        <x:v>-47.029230224199864</x:v>
      </x:c>
    </x:row>
    <x:row r="644">
      <x:c r="A644" t="n">
        <x:f>Dashboard_Live_Data!A153</x:f>
        <x:v>15.5</x:v>
      </x:c>
      <x:c r="B644" t="n">
        <x:f>Dashboard_Live_Data!B153</x:f>
        <x:v>-50.77028983950106</x:v>
      </x:c>
    </x:row>
    <x:row r="645">
      <x:c r="A645" t="n">
        <x:f>Dashboard_Live_Data!A154</x:f>
        <x:v>16</x:v>
      </x:c>
      <x:c r="B645" t="n">
        <x:f>Dashboard_Live_Data!B154</x:f>
        <x:v>-71.45092295981351</x:v>
      </x:c>
    </x:row>
    <x:row r="646">
      <x:c r="A646" t="n">
        <x:f>Dashboard_Live_Data!A155</x:f>
        <x:v>16.5</x:v>
      </x:c>
      <x:c r="B646" t="n">
        <x:f>Dashboard_Live_Data!B155</x:f>
        <x:v>-73.29754339504791</x:v>
      </x:c>
    </x:row>
    <x:row r="647">
      <x:c r="A647" t="n">
        <x:f>Dashboard_Live_Data!A156</x:f>
        <x:v>17</x:v>
      </x:c>
      <x:c r="B647" t="n">
        <x:f>Dashboard_Live_Data!B156</x:f>
        <x:v>-60.39278368991182</x:v>
      </x:c>
    </x:row>
    <x:row r="648">
      <x:c r="A648" t="n">
        <x:f>Dashboard_Live_Data!A157</x:f>
        <x:v>17.5</x:v>
      </x:c>
      <x:c r="B648" t="n">
        <x:f>Dashboard_Live_Data!B157</x:f>
        <x:v>-67.5969950057256</x:v>
      </x:c>
    </x:row>
    <x:row r="649">
      <x:c r="A649" t="n">
        <x:f>Dashboard_Live_Data!A158</x:f>
        <x:v>18</x:v>
      </x:c>
      <x:c r="B649" t="n">
        <x:f>Dashboard_Live_Data!B158</x:f>
        <x:v>-72.44552854443015</x:v>
      </x:c>
    </x:row>
    <x:row r="650">
      <x:c r="A650" t="n">
        <x:f>Dashboard_Live_Data!A159</x:f>
        <x:v>18.5</x:v>
      </x:c>
      <x:c r="B650" t="n">
        <x:f>Dashboard_Live_Data!B159</x:f>
        <x:v>-86.1175150318557</x:v>
      </x:c>
    </x:row>
    <x:row r="651">
      <x:c r="A651" t="n">
        <x:f>Dashboard_Live_Data!A160</x:f>
        <x:v>19</x:v>
      </x:c>
      <x:c r="B651" t="n">
        <x:f>Dashboard_Live_Data!B160</x:f>
        <x:v>-89.87063812898208</x:v>
      </x:c>
    </x:row>
    <x:row r="652">
      <x:c r="A652" t="n">
        <x:f>Dashboard_Live_Data!A161</x:f>
        <x:v>19.5</x:v>
      </x:c>
      <x:c r="B652" t="n">
        <x:f>Dashboard_Live_Data!B161</x:f>
        <x:v>-82.23751612797241</x:v>
      </x:c>
    </x:row>
    <x:row r="653">
      <x:c r="A653" t="n">
        <x:f>Dashboard_Live_Data!A162</x:f>
        <x:v>20</x:v>
      </x:c>
      <x:c r="B653" t="n">
        <x:f>Dashboard_Live_Data!B162</x:f>
        <x:v>-76.53704728655714</x:v>
      </x:c>
    </x:row>
    <x:row r="654">
      <x:c r="A654" t="n">
        <x:f>Dashboard_Live_Data!A163</x:f>
        <x:v>20.5</x:v>
      </x:c>
      <x:c r="B654" t="n">
        <x:f>Dashboard_Live_Data!B163</x:f>
        <x:v>-79.34560005519478</x:v>
      </x:c>
    </x:row>
    <x:row r="655">
      <x:c r="A655" t="n">
        <x:f>Dashboard_Live_Data!A164</x:f>
        <x:v>21</x:v>
      </x:c>
      <x:c r="B655" t="n">
        <x:f>Dashboard_Live_Data!B164</x:f>
        <x:v>-86.91047035433752</x:v>
      </x:c>
    </x:row>
    <x:row r="656">
      <x:c r="A656" t="n">
        <x:f>Dashboard_Live_Data!A165</x:f>
        <x:v>21.5</x:v>
      </x:c>
      <x:c r="B656" t="n">
        <x:f>Dashboard_Live_Data!B165</x:f>
        <x:v>-86.01689250798682</x:v>
      </x:c>
    </x:row>
    <x:row r="657">
      <x:c r="A657" t="n">
        <x:f>Dashboard_Live_Data!A166</x:f>
        <x:v>22</x:v>
      </x:c>
      <x:c r="B657" t="n">
        <x:f>Dashboard_Live_Data!B166</x:f>
        <x:v>-75.79770446387516</x:v>
      </x:c>
    </x:row>
    <x:row r="658">
      <x:c r="A658" t="n">
        <x:f>Dashboard_Live_Data!A167</x:f>
        <x:v>22.5</x:v>
      </x:c>
      <x:c r="B658" t="n">
        <x:f>Dashboard_Live_Data!B167</x:f>
        <x:v>-76.31405067890728</x:v>
      </x:c>
    </x:row>
    <x:row r="659">
      <x:c r="A659" t="n">
        <x:f>Dashboard_Live_Data!A168</x:f>
        <x:v>23</x:v>
      </x:c>
      <x:c r="B659" t="n">
        <x:f>Dashboard_Live_Data!B168</x:f>
        <x:v>-64.25633636231674</x:v>
      </x:c>
    </x:row>
    <x:row r="660">
      <x:c r="A660" t="n">
        <x:f>Dashboard_Live_Data!A169</x:f>
        <x:v>23.5</x:v>
      </x:c>
      <x:c r="B660" t="n">
        <x:f>Dashboard_Live_Data!B169</x:f>
        <x:v>-73.4728540128869</x:v>
      </x:c>
    </x:row>
    <x:row r="661">
      <x:c r="A661" t="n">
        <x:f>Dashboard_Live_Data!A170</x:f>
        <x:v>24</x:v>
      </x:c>
      <x:c r="B661" t="n">
        <x:f>Dashboard_Live_Data!B170</x:f>
        <x:v>-78.06097148341985</x:v>
      </x:c>
    </x:row>
    <x:row r="662">
      <x:c r="A662" t="n">
        <x:f>Dashboard_Live_Data!A171</x:f>
        <x:v>24.5</x:v>
      </x:c>
      <x:c r="B662" t="n">
        <x:f>Dashboard_Live_Data!B171</x:f>
        <x:v>-82.77777036737297</x:v>
      </x:c>
    </x:row>
    <x:row r="663">
      <x:c r="A663" t="n">
        <x:f>Dashboard_Live_Data!A172</x:f>
        <x:v>25</x:v>
      </x:c>
      <x:c r="B663" t="n">
        <x:f>Dashboard_Live_Data!B172</x:f>
        <x:v>-64.05860084887831</x:v>
      </x:c>
    </x:row>
    <x:row r="664">
      <x:c r="A664" t="n">
        <x:f>Dashboard_Live_Data!A173</x:f>
        <x:v>25.5</x:v>
      </x:c>
      <x:c r="B664" t="n">
        <x:f>Dashboard_Live_Data!B173</x:f>
        <x:v>-70.33405513010166</x:v>
      </x:c>
    </x:row>
    <x:row r="665">
      <x:c r="A665" t="n">
        <x:f>Dashboard_Live_Data!A174</x:f>
        <x:v>26</x:v>
      </x:c>
      <x:c r="B665" t="n">
        <x:f>Dashboard_Live_Data!B174</x:f>
        <x:v>-67.49562383697156</x:v>
      </x:c>
    </x:row>
    <x:row r="666">
      <x:c r="A666" t="n">
        <x:f>Dashboard_Live_Data!A175</x:f>
        <x:v>26.5</x:v>
      </x:c>
      <x:c r="B666" t="n">
        <x:f>Dashboard_Live_Data!B175</x:f>
        <x:v>-72.00336103907381</x:v>
      </x:c>
    </x:row>
    <x:row r="667">
      <x:c r="A667" t="n">
        <x:f>Dashboard_Live_Data!A176</x:f>
        <x:v>27</x:v>
      </x:c>
      <x:c r="B667" t="n">
        <x:f>Dashboard_Live_Data!B176</x:f>
        <x:v>-66.74406286520434</x:v>
      </x:c>
    </x:row>
    <x:row r="668">
      <x:c r="A668" t="n">
        <x:f>Dashboard_Live_Data!A177</x:f>
        <x:v>27.5</x:v>
      </x:c>
      <x:c r="B668" t="n">
        <x:f>Dashboard_Live_Data!B177</x:f>
        <x:v>-48.058872962173155</x:v>
      </x:c>
    </x:row>
    <x:row r="669">
      <x:c r="A669" t="n">
        <x:f>Dashboard_Live_Data!A178</x:f>
        <x:v>28</x:v>
      </x:c>
      <x:c r="B669" t="n">
        <x:f>Dashboard_Live_Data!B178</x:f>
        <x:v>-61.09136424796961</x:v>
      </x:c>
    </x:row>
    <x:row r="670">
      <x:c r="A670" t="n">
        <x:f>Dashboard_Live_Data!A179</x:f>
        <x:v>28.5</x:v>
      </x:c>
      <x:c r="B670" t="n">
        <x:f>Dashboard_Live_Data!B179</x:f>
        <x:v>-55.904413669962196</x:v>
      </x:c>
    </x:row>
    <x:row r="671">
      <x:c r="A671" t="n">
        <x:f>Dashboard_Live_Data!A180</x:f>
        <x:v>29</x:v>
      </x:c>
      <x:c r="B671" t="n">
        <x:f>Dashboard_Live_Data!B180</x:f>
        <x:v>-31.39290658082129</x:v>
      </x:c>
    </x:row>
    <x:row r="672">
      <x:c r="A672" t="n">
        <x:f>Dashboard_Live_Data!A181</x:f>
        <x:v>29.5</x:v>
      </x:c>
      <x:c r="B672" t="n">
        <x:f>Dashboard_Live_Data!B181</x:f>
        <x:v>-22.367241319432367</x:v>
      </x:c>
    </x:row>
    <x:row r="673">
      <x:c r="A673" t="n">
        <x:f>Dashboard_Live_Data!A182</x:f>
        <x:v>30</x:v>
      </x:c>
      <x:c r="B673" t="n">
        <x:f>Dashboard_Live_Data!B182</x:f>
        <x:v>-13.799924431809131</x:v>
      </x:c>
    </x:row>
    <x:row r="674">
      <x:c r="A674" t="n">
        <x:f>Dashboard_Live_Data!A183</x:f>
        <x:v>30.5</x:v>
      </x:c>
      <x:c r="B674" t="n">
        <x:f>Dashboard_Live_Data!B183</x:f>
        <x:v>-6.103628142965022</x:v>
      </x:c>
    </x:row>
    <x:row r="675">
      <x:c r="A675" t="n">
        <x:f>Dashboard_Live_Data!A184</x:f>
        <x:v>31</x:v>
      </x:c>
      <x:c r="B675" t="n">
        <x:f>Dashboard_Live_Data!B184</x:f>
        <x:v>-20.543420099751472</x:v>
      </x:c>
    </x:row>
    <x:row r="676">
      <x:c r="A676" t="n">
        <x:f>Dashboard_Live_Data!A185</x:f>
        <x:v>31.5</x:v>
      </x:c>
      <x:c r="B676" t="n">
        <x:f>Dashboard_Live_Data!B185</x:f>
        <x:v>-20.285394627644735</x:v>
      </x:c>
    </x:row>
    <x:row r="677">
      <x:c r="A677" t="n">
        <x:f>Dashboard_Live_Data!A186</x:f>
        <x:v>32</x:v>
      </x:c>
      <x:c r="B677" t="n">
        <x:f>Dashboard_Live_Data!B186</x:f>
        <x:v>-0.4268979215809736</x:v>
      </x:c>
    </x:row>
    <x:row r="678">
      <x:c r="A678" t="n">
        <x:f>Dashboard_Live_Data!A187</x:f>
        <x:v>32.5</x:v>
      </x:c>
      <x:c r="B678" t="n">
        <x:f>Dashboard_Live_Data!B187</x:f>
        <x:v>-7.712229584010402</x:v>
      </x:c>
    </x:row>
    <x:row r="679">
      <x:c r="A679" t="n">
        <x:f>Dashboard_Live_Data!A188</x:f>
        <x:v>33</x:v>
      </x:c>
      <x:c r="B679" t="n">
        <x:f>Dashboard_Live_Data!B188</x:f>
        <x:v>1.724927204582798</x:v>
      </x:c>
    </x:row>
    <x:row r="680">
      <x:c r="A680" t="n">
        <x:f>Dashboard_Live_Data!A189</x:f>
        <x:v>33.5</x:v>
      </x:c>
      <x:c r="B680" t="n">
        <x:f>Dashboard_Live_Data!B189</x:f>
        <x:v>-4.742014780506821</x:v>
      </x:c>
    </x:row>
    <x:row r="681">
      <x:c r="A681" t="n">
        <x:f>Dashboard_Live_Data!A190</x:f>
        <x:v>34</x:v>
      </x:c>
      <x:c r="B681" t="n">
        <x:f>Dashboard_Live_Data!B190</x:f>
        <x:v>-12.008270604959733</x:v>
      </x:c>
    </x:row>
    <x:row r="682">
      <x:c r="A682" t="n">
        <x:f>Dashboard_Live_Data!A191</x:f>
        <x:v>34.5</x:v>
      </x:c>
      <x:c r="B682" t="n">
        <x:f>Dashboard_Live_Data!B191</x:f>
        <x:v>-24.501863179500816</x:v>
      </x:c>
    </x:row>
    <x:row r="683">
      <x:c r="A683" t="n">
        <x:f>Dashboard_Live_Data!A192</x:f>
        <x:v>35</x:v>
      </x:c>
      <x:c r="B683" t="n">
        <x:f>Dashboard_Live_Data!B192</x:f>
        <x:v>-31.09945778927886</x:v>
      </x:c>
    </x:row>
    <x:row r="684">
      <x:c r="A684" t="n">
        <x:f>Dashboard_Live_Data!A193</x:f>
        <x:v>35.5</x:v>
      </x:c>
      <x:c r="B684" t="n">
        <x:f>Dashboard_Live_Data!B193</x:f>
        <x:v>-34.44955577121655</x:v>
      </x:c>
    </x:row>
    <x:row r="685">
      <x:c r="A685" t="n">
        <x:f>Dashboard_Live_Data!A194</x:f>
        <x:v>36</x:v>
      </x:c>
      <x:c r="B685" t="n">
        <x:f>Dashboard_Live_Data!B194</x:f>
        <x:v>-47.77178417863914</x:v>
      </x:c>
    </x:row>
    <x:row r="686">
      <x:c r="A686" t="n">
        <x:f>Dashboard_Live_Data!A195</x:f>
        <x:v>36.5</x:v>
      </x:c>
      <x:c r="B686" t="n">
        <x:f>Dashboard_Live_Data!B195</x:f>
        <x:v>-47.58850500560911</x:v>
      </x:c>
    </x:row>
    <x:row r="687">
      <x:c r="A687" t="n">
        <x:f>Dashboard_Live_Data!A196</x:f>
        <x:v>37</x:v>
      </x:c>
      <x:c r="B687" t="n">
        <x:f>Dashboard_Live_Data!B196</x:f>
        <x:v>-61.04391279282535</x:v>
      </x:c>
    </x:row>
    <x:row r="688">
      <x:c r="A688" t="n">
        <x:f>Dashboard_Live_Data!A197</x:f>
        <x:v>37.5</x:v>
      </x:c>
      <x:c r="B688" t="n">
        <x:f>Dashboard_Live_Data!B197</x:f>
        <x:v>-58.84680272570924</x:v>
      </x:c>
    </x:row>
    <x:row r="689">
      <x:c r="A689" t="n">
        <x:f>Dashboard_Live_Data!A198</x:f>
        <x:v>38</x:v>
      </x:c>
      <x:c r="B689" t="n">
        <x:f>Dashboard_Live_Data!B198</x:f>
        <x:v>-77.72439146435559</x:v>
      </x:c>
    </x:row>
    <x:row r="690">
      <x:c r="A690" t="n">
        <x:f>Dashboard_Live_Data!A199</x:f>
        <x:v>38.5</x:v>
      </x:c>
      <x:c r="B690" t="n">
        <x:f>Dashboard_Live_Data!B199</x:f>
        <x:v>-84.40826877550307</x:v>
      </x:c>
    </x:row>
    <x:row r="691">
      <x:c r="A691" t="n">
        <x:f>Dashboard_Live_Data!A200</x:f>
        <x:v>39</x:v>
      </x:c>
      <x:c r="B691" t="n">
        <x:f>Dashboard_Live_Data!B200</x:f>
        <x:v>-85.90700470954434</x:v>
      </x:c>
    </x:row>
    <x:row r="692">
      <x:c r="A692" t="n">
        <x:f>Dashboard_Live_Data!A201</x:f>
        <x:v>39.5</x:v>
      </x:c>
      <x:c r="B692" t="n">
        <x:f>Dashboard_Live_Data!B201</x:f>
        <x:v>-79.47691436011348</x:v>
      </x:c>
    </x:row>
    <x:row r="693">
      <x:c r="A693" t="n">
        <x:f>Dashboard_Live_Data!A202</x:f>
        <x:v>40</x:v>
      </x:c>
      <x:c r="B693" t="n">
        <x:f>Dashboard_Live_Data!B202</x:f>
        <x:v>-69.5501227158025</x:v>
      </x:c>
    </x:row>
    <x:row r="694">
      <x:c r="A694" t="n">
        <x:f>Dashboard_Live_Data!A203</x:f>
        <x:v>40.5</x:v>
      </x:c>
      <x:c r="B694" t="n">
        <x:f>Dashboard_Live_Data!B203</x:f>
        <x:v>-63.449089898240885</x:v>
      </x:c>
    </x:row>
    <x:row r="695">
      <x:c r="A695" t="n">
        <x:f>Dashboard_Live_Data!A204</x:f>
        <x:v>41</x:v>
      </x:c>
      <x:c r="B695" t="n">
        <x:f>Dashboard_Live_Data!B204</x:f>
        <x:v>-55.6946862509956</x:v>
      </x:c>
    </x:row>
    <x:row r="696">
      <x:c r="A696" t="n">
        <x:f>Dashboard_Live_Data!A205</x:f>
        <x:v>41.5</x:v>
      </x:c>
      <x:c r="B696" t="n">
        <x:f>Dashboard_Live_Data!B205</x:f>
        <x:v>-61.436839734876884</x:v>
      </x:c>
    </x:row>
    <x:row r="697">
      <x:c r="A697" t="n">
        <x:f>Dashboard_Live_Data!A206</x:f>
        <x:v>42</x:v>
      </x:c>
      <x:c r="B697" t="n">
        <x:f>Dashboard_Live_Data!B206</x:f>
        <x:v>-37.65230230192819</x:v>
      </x:c>
    </x:row>
    <x:row r="698">
      <x:c r="A698" t="n">
        <x:f>Dashboard_Live_Data!A207</x:f>
        <x:v>42.5</x:v>
      </x:c>
      <x:c r="B698" t="n">
        <x:f>Dashboard_Live_Data!B207</x:f>
        <x:v>-43.30298834836995</x:v>
      </x:c>
    </x:row>
    <x:row r="699">
      <x:c r="A699" t="n">
        <x:f>Dashboard_Live_Data!A208</x:f>
        <x:v>43</x:v>
      </x:c>
      <x:c r="B699" t="n">
        <x:f>Dashboard_Live_Data!B208</x:f>
        <x:v>-36.28244299194577</x:v>
      </x:c>
    </x:row>
    <x:row r="700">
      <x:c r="A700" t="n">
        <x:f>Dashboard_Live_Data!A209</x:f>
        <x:v>43.5</x:v>
      </x:c>
      <x:c r="B700" t="n">
        <x:f>Dashboard_Live_Data!B209</x:f>
        <x:v>-23.261421172748356</x:v>
      </x:c>
    </x:row>
    <x:row r="701">
      <x:c r="A701" t="n">
        <x:f>Dashboard_Live_Data!A210</x:f>
        <x:v>44</x:v>
      </x:c>
      <x:c r="B701" t="n">
        <x:f>Dashboard_Live_Data!B210</x:f>
        <x:v>-9.63259125781883</x:v>
      </x:c>
    </x:row>
    <x:row r="702">
      <x:c r="A702" t="n">
        <x:f>Dashboard_Live_Data!A211</x:f>
        <x:v>44.5</x:v>
      </x:c>
      <x:c r="B702" t="n">
        <x:f>Dashboard_Live_Data!B211</x:f>
        <x:v>1.0351428006268861</x:v>
      </x:c>
    </x:row>
    <x:row r="703">
      <x:c r="A703" t="n">
        <x:f>Dashboard_Live_Data!A212</x:f>
        <x:v>45</x:v>
      </x:c>
      <x:c r="B703" t="n">
        <x:f>Dashboard_Live_Data!B212</x:f>
        <x:v>2.635051893500531</x:v>
      </x:c>
    </x:row>
    <x:row r="704">
      <x:c r="A704" t="n">
        <x:f>Dashboard_Live_Data!A213</x:f>
        <x:v>45.5</x:v>
      </x:c>
      <x:c r="B704" t="n">
        <x:f>Dashboard_Live_Data!B213</x:f>
        <x:v>2.762829766127794</x:v>
      </x:c>
    </x:row>
    <x:row r="705">
      <x:c r="A705" t="n">
        <x:f>Dashboard_Live_Data!A214</x:f>
        <x:v>46</x:v>
      </x:c>
      <x:c r="B705" t="n">
        <x:f>Dashboard_Live_Data!B214</x:f>
        <x:v>-1.8952716670484335</x:v>
      </x:c>
    </x:row>
    <x:row r="706">
      <x:c r="A706" t="n">
        <x:f>Dashboard_Live_Data!A215</x:f>
        <x:v>46.5</x:v>
      </x:c>
      <x:c r="B706" t="n">
        <x:f>Dashboard_Live_Data!B215</x:f>
        <x:v>10.643125662069693</x:v>
      </x:c>
    </x:row>
    <x:row r="707">
      <x:c r="A707" t="n">
        <x:f>Dashboard_Live_Data!A216</x:f>
        <x:v>47</x:v>
      </x:c>
      <x:c r="B707" t="n">
        <x:f>Dashboard_Live_Data!B216</x:f>
        <x:v>-7.248372089645926</x:v>
      </x:c>
    </x:row>
    <x:row r="708">
      <x:c r="A708" t="n">
        <x:f>Dashboard_Live_Data!A217</x:f>
        <x:v>47.5</x:v>
      </x:c>
      <x:c r="B708" t="n">
        <x:f>Dashboard_Live_Data!B217</x:f>
        <x:v>-6.218848981717969</x:v>
      </x:c>
    </x:row>
    <x:row r="709">
      <x:c r="A709" t="n">
        <x:f>Dashboard_Live_Data!A218</x:f>
        <x:v>48</x:v>
      </x:c>
      <x:c r="B709" t="n">
        <x:f>Dashboard_Live_Data!B218</x:f>
        <x:v>7.316979239076744</x:v>
      </x:c>
    </x:row>
    <x:row r="710">
      <x:c r="A710" t="n">
        <x:f>Dashboard_Live_Data!A219</x:f>
        <x:v>48.5</x:v>
      </x:c>
      <x:c r="B710" t="n">
        <x:f>Dashboard_Live_Data!B219</x:f>
        <x:v>0.40634772964276067</x:v>
      </x:c>
    </x:row>
    <x:row r="711">
      <x:c r="A711" t="n">
        <x:f>Dashboard_Live_Data!A220</x:f>
        <x:v>49</x:v>
      </x:c>
      <x:c r="B711" t="n">
        <x:f>Dashboard_Live_Data!B220</x:f>
        <x:v>-12.02291335515622</x:v>
      </x:c>
    </x:row>
    <x:row r="712">
      <x:c r="A712" t="n">
        <x:f>Dashboard_Live_Data!A221</x:f>
        <x:v>49.5</x:v>
      </x:c>
      <x:c r="B712" t="n">
        <x:f>Dashboard_Live_Data!B221</x:f>
        <x:v>0.5602533864366706</x:v>
      </x:c>
    </x:row>
    <x:row r="713">
      <x:c r="A713" t="n">
        <x:f>Dashboard_Live_Data!A222</x:f>
        <x:v>50</x:v>
      </x:c>
      <x:c r="B713" t="n">
        <x:f>Dashboard_Live_Data!B222</x:f>
        <x:v>-9.90034021804506</x:v>
      </x:c>
    </x:row>
    <x:row r="714">
      <x:c r="A714" t="n">
        <x:f>Dashboard_Live_Data!A223</x:f>
        <x:v>50.5</x:v>
      </x:c>
      <x:c r="B714" t="n">
        <x:f>Dashboard_Live_Data!B223</x:f>
        <x:v>-9.261408253939592</x:v>
      </x:c>
    </x:row>
    <x:row r="715">
      <x:c r="A715" t="n">
        <x:f>Dashboard_Live_Data!A224</x:f>
        <x:v>51</x:v>
      </x:c>
      <x:c r="B715" t="n">
        <x:f>Dashboard_Live_Data!B224</x:f>
        <x:v>-13.64503521568463</x:v>
      </x:c>
    </x:row>
    <x:row r="716">
      <x:c r="A716" t="n">
        <x:f>Dashboard_Live_Data!A225</x:f>
        <x:v>51.5</x:v>
      </x:c>
      <x:c r="B716" t="n">
        <x:f>Dashboard_Live_Data!B225</x:f>
        <x:v>2.0445562852635533</x:v>
      </x:c>
    </x:row>
    <x:row r="717">
      <x:c r="A717" t="n">
        <x:f>Dashboard_Live_Data!A226</x:f>
        <x:v>52</x:v>
      </x:c>
      <x:c r="B717" t="n">
        <x:f>Dashboard_Live_Data!B226</x:f>
        <x:v>5.188627805772796</x:v>
      </x:c>
    </x:row>
    <x:row r="718">
      <x:c r="A718" t="n">
        <x:f>Dashboard_Live_Data!A227</x:f>
        <x:v>52.5</x:v>
      </x:c>
      <x:c r="B718" t="n">
        <x:f>Dashboard_Live_Data!B227</x:f>
        <x:v>-9.24374226910868</x:v>
      </x:c>
    </x:row>
    <x:row r="719">
      <x:c r="A719" t="n">
        <x:f>Dashboard_Live_Data!A228</x:f>
        <x:v>53</x:v>
      </x:c>
      <x:c r="B719" t="n">
        <x:f>Dashboard_Live_Data!B228</x:f>
        <x:v>-7.523615352549314</x:v>
      </x:c>
    </x:row>
    <x:row r="720">
      <x:c r="A720" t="n">
        <x:f>Dashboard_Live_Data!A229</x:f>
        <x:v>53.5</x:v>
      </x:c>
      <x:c r="B720" t="n">
        <x:f>Dashboard_Live_Data!B229</x:f>
        <x:v>-2.890955997517267</x:v>
      </x:c>
    </x:row>
    <x:row r="721">
      <x:c r="A721" t="n">
        <x:f>Dashboard_Live_Data!A230</x:f>
        <x:v>54</x:v>
      </x:c>
      <x:c r="B721" t="n">
        <x:f>Dashboard_Live_Data!B230</x:f>
        <x:v>4.780407983842736</x:v>
      </x:c>
    </x:row>
    <x:row r="722">
      <x:c r="A722" t="n">
        <x:f>Dashboard_Live_Data!A231</x:f>
        <x:v>54.5</x:v>
      </x:c>
      <x:c r="B722" t="n">
        <x:f>Dashboard_Live_Data!B231</x:f>
        <x:v>7.8515926394027815</x:v>
      </x:c>
    </x:row>
    <x:row r="723">
      <x:c r="A723" t="n">
        <x:f>Dashboard_Live_Data!A232</x:f>
        <x:v>55</x:v>
      </x:c>
      <x:c r="B723" t="n">
        <x:f>Dashboard_Live_Data!B232</x:f>
        <x:v>-0.5459606869287086</x:v>
      </x:c>
    </x:row>
    <x:row r="724">
      <x:c r="A724" t="n">
        <x:f>Dashboard_Live_Data!A233</x:f>
        <x:v>55.5</x:v>
      </x:c>
      <x:c r="B724" t="n">
        <x:f>Dashboard_Live_Data!B233</x:f>
        <x:v>3.310332055354735</x:v>
      </x:c>
    </x:row>
    <x:row r="725">
      <x:c r="A725" t="n">
        <x:f>Dashboard_Live_Data!A234</x:f>
        <x:v>56</x:v>
      </x:c>
      <x:c r="B725" t="n">
        <x:f>Dashboard_Live_Data!B234</x:f>
        <x:v>1.0046162125690614</x:v>
      </x:c>
    </x:row>
    <x:row r="726">
      <x:c r="A726" t="n">
        <x:f>Dashboard_Live_Data!A235</x:f>
        <x:v>56.5</x:v>
      </x:c>
      <x:c r="B726" t="n">
        <x:f>Dashboard_Live_Data!B235</x:f>
        <x:v>-25.174071050032467</x:v>
      </x:c>
    </x:row>
    <x:row r="727">
      <x:c r="A727" t="n">
        <x:f>Dashboard_Live_Data!A236</x:f>
        <x:v>57</x:v>
      </x:c>
      <x:c r="B727" t="n">
        <x:f>Dashboard_Live_Data!B236</x:f>
        <x:v>-22.117718757033032</x:v>
      </x:c>
    </x:row>
    <x:row r="728">
      <x:c r="A728" t="n">
        <x:f>Dashboard_Live_Data!A237</x:f>
        <x:v>57.5</x:v>
      </x:c>
      <x:c r="B728" t="n">
        <x:f>Dashboard_Live_Data!B237</x:f>
        <x:v>-29.305969865231276</x:v>
      </x:c>
    </x:row>
    <x:row r="729">
      <x:c r="A729" t="n">
        <x:f>Dashboard_Live_Data!A238</x:f>
        <x:v>58</x:v>
      </x:c>
      <x:c r="B729" t="n">
        <x:f>Dashboard_Live_Data!B238</x:f>
        <x:v>-33.763162078350604</x:v>
      </x:c>
    </x:row>
    <x:row r="730">
      <x:c r="A730" t="n">
        <x:f>Dashboard_Live_Data!A239</x:f>
        <x:v>58.5</x:v>
      </x:c>
      <x:c r="B730" t="n">
        <x:f>Dashboard_Live_Data!B239</x:f>
        <x:v>-32.05079854149554</x:v>
      </x:c>
    </x:row>
    <x:row r="731">
      <x:c r="A731" t="n">
        <x:f>Dashboard_Live_Data!A240</x:f>
        <x:v>59</x:v>
      </x:c>
      <x:c r="B731" t="n">
        <x:f>Dashboard_Live_Data!B240</x:f>
        <x:v>-29.468701438210815</x:v>
      </x:c>
    </x:row>
    <x:row r="732">
      <x:c r="A732" t="n">
        <x:f>Dashboard_Live_Data!A241</x:f>
        <x:v>59.5</x:v>
      </x:c>
      <x:c r="B732" t="n">
        <x:f>Dashboard_Live_Data!B241</x:f>
        <x:v>-49.02543943363386</x:v>
      </x:c>
    </x:row>
    <x:row r="733">
      <x:c r="A733" t="n">
        <x:f>Dashboard_Live_Data!A242</x:f>
        <x:v>60</x:v>
      </x:c>
      <x:c r="B733" t="n">
        <x:f>Dashboard_Live_Data!B242</x:f>
        <x:v>-35.49215422910294</x:v>
      </x:c>
    </x:row>
    <x:row r="736">
      <x:c r="A736" t="s">
        <x:v>602</x:v>
      </x:c>
    </x:row>
    <x:row r="737">
      <x:c r="A737" t="s">
        <x:v>716</x:v>
      </x:c>
      <x:c r="B737" t="s">
        <x:v>717</x:v>
      </x:c>
      <x:c r="C737" t="s">
        <x:v>718</x:v>
      </x:c>
      <x:c r="D737" t="s">
        <x:v>719</x:v>
      </x:c>
      <x:c r="E737" t="s">
        <x:v>720</x:v>
      </x:c>
      <x:c r="F737" t="s">
        <x:v>721</x:v>
      </x:c>
      <x:c r="G737" t="s">
        <x:v>722</x:v>
      </x:c>
      <x:c r="H737" t="s">
        <x:v>723</x:v>
      </x:c>
    </x:row>
    <x:row r="738">
      <x:c r="A738" t="n">
        <x:f>Chart_Data!P2</x:f>
        <x:v>-60</x:v>
      </x:c>
      <x:c r="B738" t="n">
        <x:f>Chart_Data!Q2</x:f>
        <x:v>502.89823360690207</x:v>
      </x:c>
      <x:c r="C738" t="n">
        <x:f>Chart_Data!P2</x:f>
        <x:v>-60</x:v>
      </x:c>
      <x:c r="D738" t="n">
        <x:f>Chart_Data!R2</x:f>
        <x:v>475.6182314496982</x:v>
      </x:c>
      <x:c r="E738" t="n">
        <x:f>Chart_Data!P2</x:f>
        <x:v>-60</x:v>
      </x:c>
      <x:c r="F738" t="n">
        <x:f>Chart_Data!S2</x:f>
        <x:v>75.51024528632163</x:v>
      </x:c>
      <x:c r="G738" t="n">
        <x:f>Chart_Data!P2</x:f>
        <x:v>-60</x:v>
      </x:c>
      <x:c r="H738" t="n">
        <x:f>Chart_Data!T2</x:f>
        <x:v>71.41414886632106</x:v>
      </x:c>
    </x:row>
    <x:row r="739">
      <x:c r="A739" t="n">
        <x:f>Chart_Data!P3</x:f>
        <x:v>-59.5</x:v>
      </x:c>
      <x:c r="B739" t="n">
        <x:f>Chart_Data!Q3</x:f>
        <x:v>500.86301291985365</x:v>
      </x:c>
      <x:c r="C739" t="n">
        <x:f>Chart_Data!P3</x:f>
        <x:v>-59.5</x:v>
      </x:c>
      <x:c r="D739" t="n">
        <x:f>Chart_Data!R3</x:f>
        <x:v>490.87300120691</x:v>
      </x:c>
      <x:c r="E739" t="n">
        <x:f>Chart_Data!P3</x:f>
        <x:v>-59.5</x:v>
      </x:c>
      <x:c r="F739" t="n">
        <x:f>Chart_Data!S3</x:f>
        <x:v>75.20465659457263</x:v>
      </x:c>
      <x:c r="G739" t="n">
        <x:f>Chart_Data!P3</x:f>
        <x:v>-59.5</x:v>
      </x:c>
      <x:c r="H739" t="n">
        <x:f>Chart_Data!T3</x:f>
        <x:v>73.70465483587238</x:v>
      </x:c>
    </x:row>
    <x:row r="740">
      <x:c r="A740" t="n">
        <x:f>Chart_Data!P4</x:f>
        <x:v>-59</x:v>
      </x:c>
      <x:c r="B740" t="n">
        <x:f>Chart_Data!Q4</x:f>
        <x:v>496.7909104278988</x:v>
      </x:c>
      <x:c r="C740" t="n">
        <x:f>Chart_Data!P4</x:f>
        <x:v>-59</x:v>
      </x:c>
      <x:c r="D740" t="n">
        <x:f>Chart_Data!R4</x:f>
        <x:v>534.0602149449296</x:v>
      </x:c>
      <x:c r="E740" t="n">
        <x:f>Chart_Data!P4</x:f>
        <x:v>-59</x:v>
      </x:c>
      <x:c r="F740" t="n">
        <x:f>Chart_Data!S4</x:f>
        <x:v>74.59322979397881</x:v>
      </x:c>
      <x:c r="G740" t="n">
        <x:f>Chart_Data!P4</x:f>
        <x:v>-59</x:v>
      </x:c>
      <x:c r="H740" t="n">
        <x:f>Chart_Data!T4</x:f>
        <x:v>80.18922146320266</x:v>
      </x:c>
    </x:row>
    <x:row r="741">
      <x:c r="A741" t="n">
        <x:f>Chart_Data!P5</x:f>
        <x:v>-58.5</x:v>
      </x:c>
      <x:c r="B741" t="n">
        <x:f>Chart_Data!Q5</x:f>
        <x:v>492.71549658133154</x:v>
      </x:c>
      <x:c r="C741" t="n">
        <x:f>Chart_Data!P5</x:f>
        <x:v>-58.5</x:v>
      </x:c>
      <x:c r="D741" t="n">
        <x:f>Chart_Data!R5</x:f>
        <x:v>503.9209462031067</x:v>
      </x:c>
      <x:c r="E741" t="n">
        <x:f>Chart_Data!P5</x:f>
        <x:v>-58.5</x:v>
      </x:c>
      <x:c r="F741" t="n">
        <x:f>Chart_Data!S5</x:f>
        <x:v>73.98130579299273</x:v>
      </x:c>
      <x:c r="G741" t="n">
        <x:f>Chart_Data!P5</x:f>
        <x:v>-58.5</x:v>
      </x:c>
      <x:c r="H741" t="n">
        <x:f>Chart_Data!T5</x:f>
        <x:v>75.66380573620222</x:v>
      </x:c>
    </x:row>
    <x:row r="742">
      <x:c r="A742" t="n">
        <x:f>Chart_Data!P6</x:f>
        <x:v>-58</x:v>
      </x:c>
      <x:c r="B742" t="n">
        <x:f>Chart_Data!Q6</x:f>
        <x:v>488.63679323794713</x:v>
      </x:c>
      <x:c r="C742" t="n">
        <x:f>Chart_Data!P6</x:f>
        <x:v>-58</x:v>
      </x:c>
      <x:c r="D742" t="n">
        <x:f>Chart_Data!R6</x:f>
        <x:v>495.8407751602863</x:v>
      </x:c>
      <x:c r="E742" t="n">
        <x:f>Chart_Data!P6</x:f>
        <x:v>-58</x:v>
      </x:c>
      <x:c r="F742" t="n">
        <x:f>Chart_Data!S6</x:f>
        <x:v>73.36888787356564</x:v>
      </x:c>
      <x:c r="G742" t="n">
        <x:f>Chart_Data!P6</x:f>
        <x:v>-58</x:v>
      </x:c>
      <x:c r="H742" t="n">
        <x:f>Chart_Data!T6</x:f>
        <x:v>74.45056684088384</x:v>
      </x:c>
    </x:row>
    <x:row r="743">
      <x:c r="A743" t="n">
        <x:f>Chart_Data!P7</x:f>
        <x:v>-57.5</x:v>
      </x:c>
      <x:c r="B743" t="n">
        <x:f>Chart_Data!Q7</x:f>
        <x:v>484.554822402788</x:v>
      </x:c>
      <x:c r="C743" t="n">
        <x:f>Chart_Data!P7</x:f>
        <x:v>-57.5</x:v>
      </x:c>
      <x:c r="D743" t="n">
        <x:f>Chart_Data!R7</x:f>
        <x:v>511.9766582025477</x:v>
      </x:c>
      <x:c r="E743" t="n">
        <x:f>Chart_Data!P7</x:f>
        <x:v>-57.5</x:v>
      </x:c>
      <x:c r="F743" t="n">
        <x:f>Chart_Data!S7</x:f>
        <x:v>72.75597933975796</x:v>
      </x:c>
      <x:c r="G743" t="n">
        <x:f>Chart_Data!P7</x:f>
        <x:v>-57.5</x:v>
      </x:c>
      <x:c r="H743" t="n">
        <x:f>Chart_Data!T7</x:f>
        <x:v>76.87337210248465</x:v>
      </x:c>
    </x:row>
    <x:row r="744">
      <x:c r="A744" t="n">
        <x:f>Chart_Data!P8</x:f>
        <x:v>-57</x:v>
      </x:c>
      <x:c r="B744" t="n">
        <x:f>Chart_Data!Q8</x:f>
        <x:v>480.4696062107723</x:v>
      </x:c>
      <x:c r="C744" t="n">
        <x:f>Chart_Data!P8</x:f>
        <x:v>-57</x:v>
      </x:c>
      <x:c r="D744" t="n">
        <x:f>Chart_Data!R8</x:f>
        <x:v>484.5983430347587</x:v>
      </x:c>
      <x:c r="E744" t="n">
        <x:f>Chart_Data!P8</x:f>
        <x:v>-57</x:v>
      </x:c>
      <x:c r="F744" t="n">
        <x:f>Chart_Data!S8</x:f>
        <x:v>72.14258351513098</x:v>
      </x:c>
      <x:c r="G744" t="n">
        <x:f>Chart_Data!P8</x:f>
        <x:v>-57</x:v>
      </x:c>
      <x:c r="H744" t="n">
        <x:f>Chart_Data!T8</x:f>
        <x:v>72.762513969183</x:v>
      </x:c>
    </x:row>
    <x:row r="745">
      <x:c r="A745" t="n">
        <x:f>Chart_Data!P9</x:f>
        <x:v>-56.5</x:v>
      </x:c>
      <x:c r="B745" t="n">
        <x:f>Chart_Data!Q9</x:f>
        <x:v>476.38116695534336</x:v>
      </x:c>
      <x:c r="C745" t="n">
        <x:f>Chart_Data!P9</x:f>
        <x:v>-56.5</x:v>
      </x:c>
      <x:c r="D745" t="n">
        <x:f>Chart_Data!R9</x:f>
        <x:v>523.0828149337867</x:v>
      </x:c>
      <x:c r="E745" t="n">
        <x:f>Chart_Data!P9</x:f>
        <x:v>-56.5</x:v>
      </x:c>
      <x:c r="F745" t="n">
        <x:f>Chart_Data!S9</x:f>
        <x:v>71.52870374704855</x:v>
      </x:c>
      <x:c r="G745" t="n">
        <x:f>Chart_Data!P9</x:f>
        <x:v>-56.5</x:v>
      </x:c>
      <x:c r="H745" t="n">
        <x:f>Chart_Data!T9</x:f>
        <x:v>78.54096320327129</x:v>
      </x:c>
    </x:row>
    <x:row r="746">
      <x:c r="A746" t="n">
        <x:f>Chart_Data!P10</x:f>
        <x:v>-56</x:v>
      </x:c>
      <x:c r="B746" t="n">
        <x:f>Chart_Data!Q10</x:f>
        <x:v>472.2895270569097</x:v>
      </x:c>
      <x:c r="C746" t="n">
        <x:f>Chart_Data!P10</x:f>
        <x:v>-56</x:v>
      </x:c>
      <x:c r="D746" t="n">
        <x:f>Chart_Data!R10</x:f>
        <x:v>502.4626690393234</x:v>
      </x:c>
      <x:c r="E746" t="n">
        <x:f>Chart_Data!P10</x:f>
        <x:v>-56</x:v>
      </x:c>
      <x:c r="F746" t="n">
        <x:f>Chart_Data!S10</x:f>
        <x:v>70.9143434019384</x:v>
      </x:c>
      <x:c r="G746" t="n">
        <x:f>Chart_Data!P10</x:f>
        <x:v>-56</x:v>
      </x:c>
      <x:c r="H746" t="n">
        <x:f>Chart_Data!T10</x:f>
        <x:v>75.44484520109961</x:v>
      </x:c>
    </x:row>
    <x:row r="747">
      <x:c r="A747" t="n">
        <x:f>Chart_Data!P11</x:f>
        <x:v>-55.5</x:v>
      </x:c>
      <x:c r="B747" t="n">
        <x:f>Chart_Data!Q11</x:f>
        <x:v>468.1947090801259</x:v>
      </x:c>
      <x:c r="C747" t="n">
        <x:f>Chart_Data!P11</x:f>
        <x:v>-55.5</x:v>
      </x:c>
      <x:c r="D747" t="n">
        <x:f>Chart_Data!R11</x:f>
        <x:v>482.4716566618008</x:v>
      </x:c>
      <x:c r="E747" t="n">
        <x:f>Chart_Data!P11</x:f>
        <x:v>-55.5</x:v>
      </x:c>
      <x:c r="F747" t="n">
        <x:f>Chart_Data!S11</x:f>
        <x:v>70.29950586788678</x:v>
      </x:c>
      <x:c r="G747" t="n">
        <x:f>Chart_Data!P11</x:f>
        <x:v>-55.5</x:v>
      </x:c>
      <x:c r="H747" t="n">
        <x:f>Chart_Data!T11</x:f>
        <x:v>72.44319169096109</x:v>
      </x:c>
    </x:row>
    <x:row r="748">
      <x:c r="A748" t="n">
        <x:f>Chart_Data!P12</x:f>
        <x:v>-55</x:v>
      </x:c>
      <x:c r="B748" t="n">
        <x:f>Chart_Data!Q12</x:f>
        <x:v>464.0967357390764</x:v>
      </x:c>
      <x:c r="C748" t="n">
        <x:f>Chart_Data!P12</x:f>
        <x:v>-55</x:v>
      </x:c>
      <x:c r="D748" t="n">
        <x:f>Chart_Data!R12</x:f>
        <x:v>517.4251021308919</x:v>
      </x:c>
      <x:c r="E748" t="n">
        <x:f>Chart_Data!P12</x:f>
        <x:v>-55</x:v>
      </x:c>
      <x:c r="F748" t="n">
        <x:f>Chart_Data!S12</x:f>
        <x:v>69.68419455541688</x:v>
      </x:c>
      <x:c r="G748" t="n">
        <x:f>Chart_Data!P12</x:f>
        <x:v>-55</x:v>
      </x:c>
      <x:c r="H748" t="n">
        <x:f>Chart_Data!T12</x:f>
        <x:v>77.6914567764102</x:v>
      </x:c>
    </x:row>
    <x:row r="749">
      <x:c r="A749" t="n">
        <x:f>Chart_Data!P13</x:f>
        <x:v>-54.5</x:v>
      </x:c>
      <x:c r="B749" t="n">
        <x:f>Chart_Data!Q13</x:f>
        <x:v>459.9956298745383</x:v>
      </x:c>
      <x:c r="C749" t="n">
        <x:f>Chart_Data!P13</x:f>
        <x:v>-54.5</x:v>
      </x:c>
      <x:c r="D749" t="n">
        <x:f>Chart_Data!R13</x:f>
        <x:v>492.04615879461926</x:v>
      </x:c>
      <x:c r="E749" t="n">
        <x:f>Chart_Data!P13</x:f>
        <x:v>-54.5</x:v>
      </x:c>
      <x:c r="F749" t="n">
        <x:f>Chart_Data!S13</x:f>
        <x:v>69.06841289407483</x:v>
      </x:c>
      <x:c r="G749" t="n">
        <x:f>Chart_Data!P13</x:f>
        <x:v>-54.5</x:v>
      </x:c>
      <x:c r="H749" t="n">
        <x:f>Chart_Data!T13</x:f>
        <x:v>73.88080462381672</x:v>
      </x:c>
    </x:row>
    <x:row r="750">
      <x:c r="A750" t="n">
        <x:f>Chart_Data!P14</x:f>
        <x:v>-54</x:v>
      </x:c>
      <x:c r="B750" t="n">
        <x:f>Chart_Data!Q14</x:f>
        <x:v>455.89141447326256</x:v>
      </x:c>
      <x:c r="C750" t="n">
        <x:f>Chart_Data!P14</x:f>
        <x:v>-54</x:v>
      </x:c>
      <x:c r="D750" t="n">
        <x:f>Chart_Data!R14</x:f>
        <x:v>488.51245490695874</x:v>
      </x:c>
      <x:c r="E750" t="n">
        <x:f>Chart_Data!P14</x:f>
        <x:v>-54</x:v>
      </x:c>
      <x:c r="F750" t="n">
        <x:f>Chart_Data!S14</x:f>
        <x:v>68.45216433532471</x:v>
      </x:c>
      <x:c r="G750" t="n">
        <x:f>Chart_Data!P14</x:f>
        <x:v>-54</x:v>
      </x:c>
      <x:c r="H750" t="n">
        <x:f>Chart_Data!T14</x:f>
        <x:v>73.35021845449832</x:v>
      </x:c>
    </x:row>
    <x:row r="751">
      <x:c r="A751" t="n">
        <x:f>Chart_Data!P15</x:f>
        <x:v>-53.5</x:v>
      </x:c>
      <x:c r="B751" t="n">
        <x:f>Chart_Data!Q15</x:f>
        <x:v>451.7841126563326</x:v>
      </x:c>
      <x:c r="C751" t="n">
        <x:f>Chart_Data!P15</x:f>
        <x:v>-53.5</x:v>
      </x:c>
      <x:c r="D751" t="n">
        <x:f>Chart_Data!R15</x:f>
        <x:v>489.52310187305557</x:v>
      </x:c>
      <x:c r="E751" t="n">
        <x:f>Chart_Data!P15</x:f>
        <x:v>-53.5</x:v>
      </x:c>
      <x:c r="F751" t="n">
        <x:f>Chart_Data!S15</x:f>
        <x:v>67.8354523508007</x:v>
      </x:c>
      <x:c r="G751" t="n">
        <x:f>Chart_Data!P15</x:f>
        <x:v>-53.5</x:v>
      </x:c>
      <x:c r="H751" t="n">
        <x:f>Chart_Data!T15</x:f>
        <x:v>73.50196724820655</x:v>
      </x:c>
    </x:row>
    <x:row r="752">
      <x:c r="A752" t="n">
        <x:f>Chart_Data!P16</x:f>
        <x:v>-53</x:v>
      </x:c>
      <x:c r="B752" t="n">
        <x:f>Chart_Data!Q16</x:f>
        <x:v>447.67374769307935</x:v>
      </x:c>
      <x:c r="C752" t="n">
        <x:f>Chart_Data!P16</x:f>
        <x:v>-53</x:v>
      </x:c>
      <x:c r="D752" t="n">
        <x:f>Chart_Data!R16</x:f>
        <x:v>468.99927804070103</x:v>
      </x:c>
      <x:c r="E752" t="n">
        <x:f>Chart_Data!P16</x:f>
        <x:v>-53</x:v>
      </x:c>
      <x:c r="F752" t="n">
        <x:f>Chart_Data!S16</x:f>
        <x:v>67.2182804343963</x:v>
      </x:c>
      <x:c r="G752" t="n">
        <x:f>Chart_Data!P16</x:f>
        <x:v>-53</x:v>
      </x:c>
      <x:c r="H752" t="n">
        <x:f>Chart_Data!T16</x:f>
        <x:v>70.42031201812328</x:v>
      </x:c>
    </x:row>
    <x:row r="753">
      <x:c r="A753" t="n">
        <x:f>Chart_Data!P17</x:f>
        <x:v>-52.5</x:v>
      </x:c>
      <x:c r="B753" t="n">
        <x:f>Chart_Data!Q17</x:f>
        <x:v>443.56034297125007</x:v>
      </x:c>
      <x:c r="C753" t="n">
        <x:f>Chart_Data!P17</x:f>
        <x:v>-52.5</x:v>
      </x:c>
      <x:c r="D753" t="n">
        <x:f>Chart_Data!R17</x:f>
        <x:v>476.7410332173313</x:v>
      </x:c>
      <x:c r="E753" t="n">
        <x:f>Chart_Data!P17</x:f>
        <x:v>-52.5</x:v>
      </x:c>
      <x:c r="F753" t="n">
        <x:f>Chart_Data!S17</x:f>
        <x:v>66.6006520977853</x:v>
      </x:c>
      <x:c r="G753" t="n">
        <x:f>Chart_Data!P17</x:f>
        <x:v>-52.5</x:v>
      </x:c>
      <x:c r="H753" t="n">
        <x:f>Chart_Data!T17</x:f>
        <x:v>71.58273772032001</x:v>
      </x:c>
    </x:row>
    <x:row r="754">
      <x:c r="A754" t="n">
        <x:f>Chart_Data!P18</x:f>
        <x:v>-52</x:v>
      </x:c>
      <x:c r="B754" t="n">
        <x:f>Chart_Data!Q18</x:f>
        <x:v>439.4439220161985</x:v>
      </x:c>
      <x:c r="C754" t="n">
        <x:f>Chart_Data!P18</x:f>
        <x:v>-52</x:v>
      </x:c>
      <x:c r="D754" t="n">
        <x:f>Chart_Data!R18</x:f>
        <x:v>491.44939474927014</x:v>
      </x:c>
      <x:c r="E754" t="n">
        <x:f>Chart_Data!P18</x:f>
        <x:v>-52</x:v>
      </x:c>
      <x:c r="F754" t="n">
        <x:f>Chart_Data!S18</x:f>
        <x:v>65.98257087330308</x:v>
      </x:c>
      <x:c r="G754" t="n">
        <x:f>Chart_Data!P18</x:f>
        <x:v>-52</x:v>
      </x:c>
      <x:c r="H754" t="n">
        <x:f>Chart_Data!T18</x:f>
        <x:v>73.79120041280333</x:v>
      </x:c>
    </x:row>
    <x:row r="755">
      <x:c r="A755" t="n">
        <x:f>Chart_Data!P19</x:f>
        <x:v>-51.5</x:v>
      </x:c>
      <x:c r="B755" t="n">
        <x:f>Chart_Data!Q19</x:f>
        <x:v>435.32450851025715</x:v>
      </x:c>
      <x:c r="C755" t="n">
        <x:f>Chart_Data!P19</x:f>
        <x:v>-51.5</x:v>
      </x:c>
      <x:c r="D755" t="n">
        <x:f>Chart_Data!R19</x:f>
        <x:v>452.40092921339965</x:v>
      </x:c>
      <x:c r="E755" t="n">
        <x:f>Chart_Data!P19</x:f>
        <x:v>-51.5</x:v>
      </x:c>
      <x:c r="F755" t="n">
        <x:f>Chart_Data!S19</x:f>
        <x:v>65.36404031685544</x:v>
      </x:c>
      <x:c r="G755" t="n">
        <x:f>Chart_Data!P19</x:f>
        <x:v>-51.5</x:v>
      </x:c>
      <x:c r="H755" t="n">
        <x:f>Chart_Data!T19</x:f>
        <x:v>67.92806744945942</x:v>
      </x:c>
    </x:row>
    <x:row r="756">
      <x:c r="A756" t="n">
        <x:f>Chart_Data!P20</x:f>
        <x:v>-51</x:v>
      </x:c>
      <x:c r="B756" t="n">
        <x:f>Chart_Data!Q20</x:f>
        <x:v>431.2021262460803</x:v>
      </x:c>
      <x:c r="C756" t="n">
        <x:f>Chart_Data!P20</x:f>
        <x:v>-51</x:v>
      </x:c>
      <x:c r="D756" t="n">
        <x:f>Chart_Data!R20</x:f>
        <x:v>413.01562584203566</x:v>
      </x:c>
      <x:c r="E756" t="n">
        <x:f>Chart_Data!P20</x:f>
        <x:v>-51</x:v>
      </x:c>
      <x:c r="F756" t="n">
        <x:f>Chart_Data!S20</x:f>
        <x:v>64.74506400091296</x:v>
      </x:c>
      <x:c r="G756" t="n">
        <x:f>Chart_Data!P20</x:f>
        <x:v>-51</x:v>
      </x:c>
      <x:c r="H756" t="n">
        <x:f>Chart_Data!T20</x:f>
        <x:v>62.01435823453989</x:v>
      </x:c>
    </x:row>
    <x:row r="757">
      <x:c r="A757" t="n">
        <x:f>Chart_Data!P21</x:f>
        <x:v>-50.5</x:v>
      </x:c>
      <x:c r="B757" t="n">
        <x:f>Chart_Data!Q21</x:f>
        <x:v>427.0767991610228</x:v>
      </x:c>
      <x:c r="C757" t="n">
        <x:f>Chart_Data!P21</x:f>
        <x:v>-50.5</x:v>
      </x:c>
      <x:c r="D757" t="n">
        <x:f>Chart_Data!R21</x:f>
        <x:v>461.5402613873812</x:v>
      </x:c>
      <x:c r="E757" t="n">
        <x:f>Chart_Data!P21</x:f>
        <x:v>-50.5</x:v>
      </x:c>
      <x:c r="F757" t="n">
        <x:f>Chart_Data!S21</x:f>
        <x:v>64.1256455196731</x:v>
      </x:c>
      <x:c r="G757" t="n">
        <x:f>Chart_Data!P21</x:f>
        <x:v>-50.5</x:v>
      </x:c>
      <x:c r="H757" t="n">
        <x:f>Chart_Data!T21</x:f>
        <x:v>69.30033954765484</x:v>
      </x:c>
    </x:row>
    <x:row r="758">
      <x:c r="A758" t="n">
        <x:f>Chart_Data!P22</x:f>
        <x:v>-50</x:v>
      </x:c>
      <x:c r="B758" t="n">
        <x:f>Chart_Data!Q22</x:f>
        <x:v>422.9485513214968</x:v>
      </x:c>
      <x:c r="C758" t="n">
        <x:f>Chart_Data!P22</x:f>
        <x:v>-50</x:v>
      </x:c>
      <x:c r="D758" t="n">
        <x:f>Chart_Data!R22</x:f>
        <x:v>437.62067462375853</x:v>
      </x:c>
      <x:c r="E758" t="n">
        <x:f>Chart_Data!P22</x:f>
        <x:v>-50</x:v>
      </x:c>
      <x:c r="F758" t="n">
        <x:f>Chart_Data!S22</x:f>
        <x:v>63.50578848671123</x:v>
      </x:c>
      <x:c r="G758" t="n">
        <x:f>Chart_Data!P22</x:f>
        <x:v>-50</x:v>
      </x:c>
      <x:c r="H758" t="n">
        <x:f>Chart_Data!T22</x:f>
        <x:v>65.70881000356735</x:v>
      </x:c>
    </x:row>
    <x:row r="759">
      <x:c r="A759" t="n">
        <x:f>Chart_Data!P23</x:f>
        <x:v>-49.5</x:v>
      </x:c>
      <x:c r="B759" t="n">
        <x:f>Chart_Data!Q23</x:f>
        <x:v>418.81740692178937</x:v>
      </x:c>
      <x:c r="C759" t="n">
        <x:f>Chart_Data!P23</x:f>
        <x:v>-49.5</x:v>
      </x:c>
      <x:c r="D759" t="n">
        <x:f>Chart_Data!R23</x:f>
        <x:v>411.2584073795915</x:v>
      </x:c>
      <x:c r="E759" t="n">
        <x:f>Chart_Data!P23</x:f>
        <x:v>-49.5</x:v>
      </x:c>
      <x:c r="F759" t="n">
        <x:f>Chart_Data!S23</x:f>
        <x:v>62.88549653480322</x:v>
      </x:c>
      <x:c r="G759" t="n">
        <x:f>Chart_Data!P23</x:f>
        <x:v>-49.5</x:v>
      </x:c>
      <x:c r="H759" t="n">
        <x:f>Chart_Data!T23</x:f>
        <x:v>61.75051161855729</x:v>
      </x:c>
    </x:row>
    <x:row r="760">
      <x:c r="A760" t="n">
        <x:f>Chart_Data!P24</x:f>
        <x:v>-49</x:v>
      </x:c>
      <x:c r="B760" t="n">
        <x:f>Chart_Data!Q24</x:f>
        <x:v>414.6833903003426</x:v>
      </x:c>
      <x:c r="C760" t="n">
        <x:f>Chart_Data!P24</x:f>
        <x:v>-49</x:v>
      </x:c>
      <x:c r="D760" t="n">
        <x:f>Chart_Data!R24</x:f>
        <x:v>425.2262899141897</x:v>
      </x:c>
      <x:c r="E760" t="n">
        <x:f>Chart_Data!P24</x:f>
        <x:v>-49</x:v>
      </x:c>
      <x:c r="F760" t="n">
        <x:f>Chart_Data!S24</x:f>
        <x:v>62.26477331836976</x:v>
      </x:c>
      <x:c r="G760" t="n">
        <x:f>Chart_Data!P24</x:f>
        <x:v>-49</x:v>
      </x:c>
      <x:c r="H760" t="n">
        <x:f>Chart_Data!T24</x:f>
        <x:v>63.847791278406866</x:v>
      </x:c>
    </x:row>
    <x:row r="761">
      <x:c r="A761" t="n">
        <x:f>Chart_Data!P25</x:f>
        <x:v>-48.5</x:v>
      </x:c>
      <x:c r="B761" t="n">
        <x:f>Chart_Data!Q25</x:f>
        <x:v>410.54652591110425</x:v>
      </x:c>
      <x:c r="C761" t="n">
        <x:f>Chart_Data!P25</x:f>
        <x:v>-48.5</x:v>
      </x:c>
      <x:c r="D761" t="n">
        <x:f>Chart_Data!R25</x:f>
        <x:v>386.8337905608314</x:v>
      </x:c>
      <x:c r="E761" t="n">
        <x:f>Chart_Data!P25</x:f>
        <x:v>-48.5</x:v>
      </x:c>
      <x:c r="F761" t="n">
        <x:f>Chart_Data!S25</x:f>
        <x:v>61.64362250917482</x:v>
      </x:c>
      <x:c r="G761" t="n">
        <x:f>Chart_Data!P25</x:f>
        <x:v>-48.5</x:v>
      </x:c>
      <x:c r="H761" t="n">
        <x:f>Chart_Data!T25</x:f>
        <x:v>58.083151735860575</x:v>
      </x:c>
    </x:row>
    <x:row r="762">
      <x:c r="A762" t="n">
        <x:f>Chart_Data!P26</x:f>
        <x:v>-48</x:v>
      </x:c>
      <x:c r="B762" t="n">
        <x:f>Chart_Data!Q26</x:f>
        <x:v>406.40683834462834</x:v>
      </x:c>
      <x:c r="C762" t="n">
        <x:f>Chart_Data!P26</x:f>
        <x:v>-48</x:v>
      </x:c>
      <x:c r="D762" t="n">
        <x:f>Chart_Data!R26</x:f>
        <x:v>402.2937246757465</x:v>
      </x:c>
      <x:c r="E762" t="n">
        <x:f>Chart_Data!P26</x:f>
        <x:v>-48</x:v>
      </x:c>
      <x:c r="F762" t="n">
        <x:f>Chart_Data!S26</x:f>
        <x:v>61.02204779949375</x:v>
      </x:c>
      <x:c r="G762" t="n">
        <x:f>Chart_Data!P26</x:f>
        <x:v>-48</x:v>
      </x:c>
      <x:c r="H762" t="n">
        <x:f>Chart_Data!T26</x:f>
        <x:v>60.404463164526504</x:v>
      </x:c>
    </x:row>
    <x:row r="763">
      <x:c r="A763" t="n">
        <x:f>Chart_Data!P27</x:f>
        <x:v>-47.5</x:v>
      </x:c>
      <x:c r="B763" t="n">
        <x:f>Chart_Data!Q27</x:f>
        <x:v>402.26435232361837</x:v>
      </x:c>
      <x:c r="C763" t="n">
        <x:f>Chart_Data!P27</x:f>
        <x:v>-47.5</x:v>
      </x:c>
      <x:c r="D763" t="n">
        <x:f>Chart_Data!R27</x:f>
        <x:v>402.8830502902565</x:v>
      </x:c>
      <x:c r="E763" t="n">
        <x:f>Chart_Data!P27</x:f>
        <x:v>-47.5</x:v>
      </x:c>
      <x:c r="F763" t="n">
        <x:f>Chart_Data!S27</x:f>
        <x:v>60.400052901444205</x:v>
      </x:c>
      <x:c r="G763" t="n">
        <x:f>Chart_Data!P27</x:f>
        <x:v>-47.5</x:v>
      </x:c>
      <x:c r="H763" t="n">
        <x:f>Chart_Data!T27</x:f>
        <x:v>60.49295049403251</x:v>
      </x:c>
    </x:row>
    <x:row r="764">
      <x:c r="A764" t="n">
        <x:f>Chart_Data!P28</x:f>
        <x:v>-47</x:v>
      </x:c>
      <x:c r="B764" t="n">
        <x:f>Chart_Data!Q28</x:f>
        <x:v>398.1190926891031</x:v>
      </x:c>
      <x:c r="C764" t="n">
        <x:f>Chart_Data!P28</x:f>
        <x:v>-47</x:v>
      </x:c>
      <x:c r="D764" t="n">
        <x:f>Chart_Data!R28</x:f>
        <x:v>384.0870449747854</x:v>
      </x:c>
      <x:c r="E764" t="n">
        <x:f>Chart_Data!P28</x:f>
        <x:v>-47</x:v>
      </x:c>
      <x:c r="F764" t="n">
        <x:f>Chart_Data!S28</x:f>
        <x:v>59.77764154491039</x:v>
      </x:c>
      <x:c r="G764" t="n">
        <x:f>Chart_Data!P28</x:f>
        <x:v>-47</x:v>
      </x:c>
      <x:c r="H764" t="n">
        <x:f>Chart_Data!T28</x:f>
        <x:v>57.67072747369151</x:v>
      </x:c>
    </x:row>
    <x:row r="765">
      <x:c r="A765" t="n">
        <x:f>Chart_Data!P29</x:f>
        <x:v>-46.5</x:v>
      </x:c>
      <x:c r="B765" t="n">
        <x:f>Chart_Data!Q29</x:f>
        <x:v>393.9710844109868</x:v>
      </x:c>
      <x:c r="C765" t="n">
        <x:f>Chart_Data!P29</x:f>
        <x:v>-46.5</x:v>
      </x:c>
      <x:c r="D765" t="n">
        <x:f>Chart_Data!R29</x:f>
        <x:v>368.08092998808206</x:v>
      </x:c>
      <x:c r="E765" t="n">
        <x:f>Chart_Data!P29</x:f>
        <x:v>-46.5</x:v>
      </x:c>
      <x:c r="F765" t="n">
        <x:f>Chart_Data!S29</x:f>
        <x:v>59.15481747912715</x:v>
      </x:c>
      <x:c r="G765" t="n">
        <x:f>Chart_Data!P29</x:f>
        <x:v>-46.5</x:v>
      </x:c>
      <x:c r="H765" t="n">
        <x:f>Chart_Data!T29</x:f>
        <x:v>55.26740690511743</x:v>
      </x:c>
    </x:row>
    <x:row r="766">
      <x:c r="A766" t="n">
        <x:f>Chart_Data!P30</x:f>
        <x:v>-46</x:v>
      </x:c>
      <x:c r="B766" t="n">
        <x:f>Chart_Data!Q30</x:f>
        <x:v>389.8203525829558</x:v>
      </x:c>
      <x:c r="C766" t="n">
        <x:f>Chart_Data!P30</x:f>
        <x:v>-46</x:v>
      </x:c>
      <x:c r="D766" t="n">
        <x:f>Chart_Data!R30</x:f>
        <x:v>352.54798840351214</x:v>
      </x:c>
      <x:c r="E766" t="n">
        <x:f>Chart_Data!P30</x:f>
        <x:v>-46</x:v>
      </x:c>
      <x:c r="F766" t="n">
        <x:f>Chart_Data!S30</x:f>
        <x:v>58.531584471915295</x:v>
      </x:c>
      <x:c r="G766" t="n">
        <x:f>Chart_Data!P30</x:f>
        <x:v>-46</x:v>
      </x:c>
      <x:c r="H766" t="n">
        <x:f>Chart_Data!T30</x:f>
        <x:v>52.935133393920744</x:v>
      </x:c>
    </x:row>
    <x:row r="767">
      <x:c r="A767" t="n">
        <x:f>Chart_Data!P31</x:f>
        <x:v>-45.5</x:v>
      </x:c>
      <x:c r="B767" t="n">
        <x:f>Chart_Data!Q31</x:f>
        <x:v>385.6669224382131</x:v>
      </x:c>
      <x:c r="C767" t="n">
        <x:f>Chart_Data!P31</x:f>
        <x:v>-45.5</x:v>
      </x:c>
      <x:c r="D767" t="n">
        <x:f>Chart_Data!R31</x:f>
        <x:v>340.6814882529943</x:v>
      </x:c>
      <x:c r="E767" t="n">
        <x:f>Chart_Data!P31</x:f>
        <x:v>-45.5</x:v>
      </x:c>
      <x:c r="F767" t="n">
        <x:f>Chart_Data!S31</x:f>
        <x:v>57.90794631204401</x:v>
      </x:c>
      <x:c r="G767" t="n">
        <x:f>Chart_Data!P31</x:f>
        <x:v>-45.5</x:v>
      </x:c>
      <x:c r="H767" t="n">
        <x:f>Chart_Data!T31</x:f>
        <x:v>51.15337661456371</x:v>
      </x:c>
    </x:row>
    <x:row r="768">
      <x:c r="A768" t="n">
        <x:f>Chart_Data!P32</x:f>
        <x:v>-45</x:v>
      </x:c>
      <x:c r="B768" t="n">
        <x:f>Chart_Data!Q32</x:f>
        <x:v>381.5108193193737</x:v>
      </x:c>
      <x:c r="C768" t="n">
        <x:f>Chart_Data!P32</x:f>
        <x:v>-45</x:v>
      </x:c>
      <x:c r="D768" t="n">
        <x:f>Chart_Data!R32</x:f>
        <x:v>336.8433451087185</x:v>
      </x:c>
      <x:c r="E768" t="n">
        <x:f>Chart_Data!P32</x:f>
        <x:v>-45</x:v>
      </x:c>
      <x:c r="F768" t="n">
        <x:f>Chart_Data!S32</x:f>
        <x:v>57.28390680471077</x:v>
      </x:c>
      <x:c r="G768" t="n">
        <x:f>Chart_Data!P32</x:f>
        <x:v>-45</x:v>
      </x:c>
      <x:c r="H768" t="n">
        <x:f>Chart_Data!T32</x:f>
        <x:v>50.57707884515293</x:v>
      </x:c>
    </x:row>
    <x:row r="769">
      <x:c r="A769" t="n">
        <x:f>Chart_Data!P33</x:f>
        <x:v>-44.5</x:v>
      </x:c>
      <x:c r="B769" t="n">
        <x:f>Chart_Data!Q33</x:f>
        <x:v>377.3520686901975</x:v>
      </x:c>
      <x:c r="C769" t="n">
        <x:f>Chart_Data!P33</x:f>
        <x:v>-44.5</x:v>
      </x:c>
      <x:c r="D769" t="n">
        <x:f>Chart_Data!R33</x:f>
        <x:v>363.7355827749161</x:v>
      </x:c>
      <x:c r="E769" t="n">
        <x:f>Chart_Data!P33</x:f>
        <x:v>-44.5</x:v>
      </x:c>
      <x:c r="F769" t="n">
        <x:f>Chart_Data!S33</x:f>
        <x:v>56.65946977330293</x:v>
      </x:c>
      <x:c r="G769" t="n">
        <x:f>Chart_Data!P33</x:f>
        <x:v>-44.5</x:v>
      </x:c>
      <x:c r="H769" t="n">
        <x:f>Chart_Data!T33</x:f>
        <x:v>54.614952368606026</x:v>
      </x:c>
    </x:row>
    <x:row r="770">
      <x:c r="A770" t="n">
        <x:f>Chart_Data!P34</x:f>
        <x:v>-44</x:v>
      </x:c>
      <x:c r="B770" t="n">
        <x:f>Chart_Data!Q34</x:f>
        <x:v>373.1906961457753</x:v>
      </x:c>
      <x:c r="C770" t="n">
        <x:f>Chart_Data!P34</x:f>
        <x:v>-44</x:v>
      </x:c>
      <x:c r="D770" t="n">
        <x:f>Chart_Data!R34</x:f>
        <x:v>387.84031539016723</x:v>
      </x:c>
      <x:c r="E770" t="n">
        <x:f>Chart_Data!P34</x:f>
        <x:v>-44</x:v>
      </x:c>
      <x:c r="F770" t="n">
        <x:f>Chart_Data!S34</x:f>
        <x:v>56.034639060927226</x:v>
      </x:c>
      <x:c r="G770" t="n">
        <x:f>Chart_Data!P34</x:f>
        <x:v>-44</x:v>
      </x:c>
      <x:c r="H770" t="n">
        <x:f>Chart_Data!T34</x:f>
        <x:v>58.2342815901152</x:v>
      </x:c>
    </x:row>
    <x:row r="771">
      <x:c r="A771" t="n">
        <x:f>Chart_Data!P35</x:f>
        <x:v>-43.5</x:v>
      </x:c>
      <x:c r="B771" t="n">
        <x:f>Chart_Data!Q35</x:f>
        <x:v>369.0267273985228</x:v>
      </x:c>
      <x:c r="C771" t="n">
        <x:f>Chart_Data!P35</x:f>
        <x:v>-43.5</x:v>
      </x:c>
      <x:c r="D771" t="n">
        <x:f>Chart_Data!R35</x:f>
        <x:v>338.2382872227936</x:v>
      </x:c>
      <x:c r="E771" t="n">
        <x:f>Chart_Data!P35</x:f>
        <x:v>-43.5</x:v>
      </x:c>
      <x:c r="F771" t="n">
        <x:f>Chart_Data!S35</x:f>
        <x:v>55.40941852830673</x:v>
      </x:c>
      <x:c r="G771" t="n">
        <x:f>Chart_Data!P35</x:f>
        <x:v>-43.5</x:v>
      </x:c>
      <x:c r="H771" t="n">
        <x:f>Chart_Data!T35</x:f>
        <x:v>50.78652961303207</x:v>
      </x:c>
    </x:row>
    <x:row r="772">
      <x:c r="A772" t="n">
        <x:f>Chart_Data!P36</x:f>
        <x:v>-43</x:v>
      </x:c>
      <x:c r="B772" t="n">
        <x:f>Chart_Data!Q36</x:f>
        <x:v>364.8601882793628</x:v>
      </x:c>
      <x:c r="C772" t="n">
        <x:f>Chart_Data!P36</x:f>
        <x:v>-43</x:v>
      </x:c>
      <x:c r="D772" t="n">
        <x:f>Chart_Data!R36</x:f>
        <x:v>318.9536821423644</x:v>
      </x:c>
      <x:c r="E772" t="n">
        <x:f>Chart_Data!P36</x:f>
        <x:v>-43</x:v>
      </x:c>
      <x:c r="F772" t="n">
        <x:f>Chart_Data!S36</x:f>
        <x:v>54.78381205395838</x:v>
      </x:c>
      <x:c r="G772" t="n">
        <x:f>Chart_Data!P36</x:f>
        <x:v>-43</x:v>
      </x:c>
      <x:c r="H772" t="n">
        <x:f>Chart_Data!T36</x:f>
        <x:v>47.89094326461929</x:v>
      </x:c>
    </x:row>
    <x:row r="773">
      <x:c r="A773" t="n">
        <x:f>Chart_Data!P37</x:f>
        <x:v>-42.5</x:v>
      </x:c>
      <x:c r="B773" t="n">
        <x:f>Chart_Data!Q37</x:f>
        <x:v>360.6911047401809</x:v>
      </x:c>
      <x:c r="C773" t="n">
        <x:f>Chart_Data!P37</x:f>
        <x:v>-42.5</x:v>
      </x:c>
      <x:c r="D773" t="n">
        <x:f>Chart_Data!R37</x:f>
        <x:v>345.1024300021345</x:v>
      </x:c>
      <x:c r="E773" t="n">
        <x:f>Chart_Data!P37</x:f>
        <x:v>-42.5</x:v>
      </x:c>
      <x:c r="F773" t="n">
        <x:f>Chart_Data!S37</x:f>
        <x:v>54.1578235345617</x:v>
      </x:c>
      <x:c r="G773" t="n">
        <x:f>Chart_Data!P37</x:f>
        <x:v>-42.5</x:v>
      </x:c>
      <x:c r="H773" t="n">
        <x:f>Chart_Data!T37</x:f>
        <x:v>51.81718168200218</x:v>
      </x:c>
    </x:row>
    <x:row r="774">
      <x:c r="A774" t="n">
        <x:f>Chart_Data!P38</x:f>
        <x:v>-42</x:v>
      </x:c>
      <x:c r="B774" t="n">
        <x:f>Chart_Data!Q38</x:f>
        <x:v>356.5195028526432</x:v>
      </x:c>
      <x:c r="C774" t="n">
        <x:f>Chart_Data!P38</x:f>
        <x:v>-42</x:v>
      </x:c>
      <x:c r="D774" t="n">
        <x:f>Chart_Data!R38</x:f>
        <x:v>340.27294612515107</x:v>
      </x:c>
      <x:c r="E774" t="n">
        <x:f>Chart_Data!P38</x:f>
        <x:v>-42</x:v>
      </x:c>
      <x:c r="F774" t="n">
        <x:f>Chart_Data!S38</x:f>
        <x:v>53.531456884781264</x:v>
      </x:c>
      <x:c r="G774" t="n">
        <x:f>Chart_Data!P38</x:f>
        <x:v>-42</x:v>
      </x:c>
      <x:c r="H774" t="n">
        <x:f>Chart_Data!T38</x:f>
        <x:v>51.09203395272539</x:v>
      </x:c>
    </x:row>
    <x:row r="775">
      <x:c r="A775" t="n">
        <x:f>Chart_Data!P39</x:f>
        <x:v>-41.5</x:v>
      </x:c>
      <x:c r="B775" t="n">
        <x:f>Chart_Data!Q39</x:f>
        <x:v>352.3454087967366</x:v>
      </x:c>
      <x:c r="C775" t="n">
        <x:f>Chart_Data!P39</x:f>
        <x:v>-41.5</x:v>
      </x:c>
      <x:c r="D775" t="n">
        <x:f>Chart_Data!R39</x:f>
        <x:v>362.0055736474569</x:v>
      </x:c>
      <x:c r="E775" t="n">
        <x:f>Chart_Data!P39</x:f>
        <x:v>-41.5</x:v>
      </x:c>
      <x:c r="F775" t="n">
        <x:f>Chart_Data!S39</x:f>
        <x:v>52.90471603554604</x:v>
      </x:c>
      <x:c r="G775" t="n">
        <x:f>Chart_Data!P39</x:f>
        <x:v>-41.5</x:v>
      </x:c>
      <x:c r="H775" t="n">
        <x:f>Chart_Data!T39</x:f>
        <x:v>54.3551912383569</x:v>
      </x:c>
    </x:row>
    <x:row r="776">
      <x:c r="A776" t="n">
        <x:f>Chart_Data!P40</x:f>
        <x:v>-41</x:v>
      </x:c>
      <x:c r="B776" t="n">
        <x:f>Chart_Data!Q40</x:f>
        <x:v>348.16884888314235</x:v>
      </x:c>
      <x:c r="C776" t="n">
        <x:f>Chart_Data!P40</x:f>
        <x:v>-41</x:v>
      </x:c>
      <x:c r="D776" t="n">
        <x:f>Chart_Data!R40</x:f>
        <x:v>379.704203482288</x:v>
      </x:c>
      <x:c r="E776" t="n">
        <x:f>Chart_Data!P40</x:f>
        <x:v>-41</x:v>
      </x:c>
      <x:c r="F776" t="n">
        <x:f>Chart_Data!S40</x:f>
        <x:v>52.27760493740877</x:v>
      </x:c>
      <x:c r="G776" t="n">
        <x:f>Chart_Data!P40</x:f>
        <x:v>-41</x:v>
      </x:c>
      <x:c r="H776" t="n">
        <x:f>Chart_Data!T40</x:f>
        <x:v>57.01264316550871</x:v>
      </x:c>
    </x:row>
    <x:row r="777">
      <x:c r="A777" t="n">
        <x:f>Chart_Data!P41</x:f>
        <x:v>-40.5</x:v>
      </x:c>
      <x:c r="B777" t="n">
        <x:f>Chart_Data!Q41</x:f>
        <x:v>343.98984952458704</x:v>
      </x:c>
      <x:c r="C777" t="n">
        <x:f>Chart_Data!P41</x:f>
        <x:v>-40.5</x:v>
      </x:c>
      <x:c r="D777" t="n">
        <x:f>Chart_Data!R41</x:f>
        <x:v>377.3350791899247</x:v>
      </x:c>
      <x:c r="E777" t="n">
        <x:f>Chart_Data!P41</x:f>
        <x:v>-40.5</x:v>
      </x:c>
      <x:c r="F777" t="n">
        <x:f>Chart_Data!S41</x:f>
        <x:v>51.65012755624431</x:v>
      </x:c>
      <x:c r="G777" t="n">
        <x:f>Chart_Data!P41</x:f>
        <x:v>-40.5</x:v>
      </x:c>
      <x:c r="H777" t="n">
        <x:f>Chart_Data!T41</x:f>
        <x:v>56.656918797286</x:v>
      </x:c>
    </x:row>
    <x:row r="778">
      <x:c r="A778" t="n">
        <x:f>Chart_Data!P42</x:f>
        <x:v>-40</x:v>
      </x:c>
      <x:c r="B778" t="n">
        <x:f>Chart_Data!Q42</x:f>
        <x:v>339.80843724993974</x:v>
      </x:c>
      <x:c r="C778" t="n">
        <x:f>Chart_Data!P42</x:f>
        <x:v>-40</x:v>
      </x:c>
      <x:c r="D778" t="n">
        <x:f>Chart_Data!R42</x:f>
        <x:v>355.33588521439015</x:v>
      </x:c>
      <x:c r="E778" t="n">
        <x:f>Chart_Data!P42</x:f>
        <x:v>-40</x:v>
      </x:c>
      <x:c r="F778" t="n">
        <x:f>Chart_Data!S42</x:f>
        <x:v>51.02228787536633</x:v>
      </x:c>
      <x:c r="G778" t="n">
        <x:f>Chart_Data!P42</x:f>
        <x:v>-40</x:v>
      </x:c>
      <x:c r="H778" t="n">
        <x:f>Chart_Data!T42</x:f>
        <x:v>53.3537365186772</x:v>
      </x:c>
    </x:row>
    <x:row r="779">
      <x:c r="A779" t="n">
        <x:f>Chart_Data!P43</x:f>
        <x:v>-39.5</x:v>
      </x:c>
      <x:c r="B779" t="n">
        <x:f>Chart_Data!Q43</x:f>
        <x:v>335.62463871039654</x:v>
      </x:c>
      <x:c r="C779" t="n">
        <x:f>Chart_Data!P43</x:f>
        <x:v>-39.5</x:v>
      </x:c>
      <x:c r="D779" t="n">
        <x:f>Chart_Data!R43</x:f>
        <x:v>314.96723845502856</x:v>
      </x:c>
      <x:c r="E779" t="n">
        <x:f>Chart_Data!P43</x:f>
        <x:v>-39.5</x:v>
      </x:c>
      <x:c r="F779" t="n">
        <x:f>Chart_Data!S43</x:f>
        <x:v>50.39408989645594</x:v>
      </x:c>
      <x:c r="G779" t="n">
        <x:f>Chart_Data!P43</x:f>
        <x:v>-39.5</x:v>
      </x:c>
      <x:c r="H779" t="n">
        <x:f>Chart_Data!T43</x:f>
        <x:v>47.29237814640069</x:v>
      </x:c>
    </x:row>
    <x:row r="780">
      <x:c r="A780" t="n">
        <x:f>Chart_Data!P44</x:f>
        <x:v>-39</x:v>
      </x:c>
      <x:c r="B780" t="n">
        <x:f>Chart_Data!Q44</x:f>
        <x:v>331.4384806597445</x:v>
      </x:c>
      <x:c r="C780" t="n">
        <x:f>Chart_Data!P44</x:f>
        <x:v>-39</x:v>
      </x:c>
      <x:c r="D780" t="n">
        <x:f>Chart_Data!R44</x:f>
        <x:v>348.4273363549619</x:v>
      </x:c>
      <x:c r="E780" t="n">
        <x:f>Chart_Data!P44</x:f>
        <x:v>-39</x:v>
      </x:c>
      <x:c r="F780" t="n">
        <x:f>Chart_Data!S44</x:f>
        <x:v>49.76553763659828</x:v>
      </x:c>
      <x:c r="G780" t="n">
        <x:f>Chart_Data!P44</x:f>
        <x:v>-39</x:v>
      </x:c>
      <x:c r="H780" t="n">
        <x:f>Chart_Data!T44</x:f>
        <x:v>52.3164168701144</x:v>
      </x:c>
    </x:row>
    <x:row r="781">
      <x:c r="A781" t="n">
        <x:f>Chart_Data!P45</x:f>
        <x:v>-38.5</x:v>
      </x:c>
      <x:c r="B781" t="n">
        <x:f>Chart_Data!Q45</x:f>
        <x:v>327.2499899624563</x:v>
      </x:c>
      <x:c r="C781" t="n">
        <x:f>Chart_Data!P45</x:f>
        <x:v>-38.5</x:v>
      </x:c>
      <x:c r="D781" t="n">
        <x:f>Chart_Data!R45</x:f>
        <x:v>356.4903792555924</x:v>
      </x:c>
      <x:c r="E781" t="n">
        <x:f>Chart_Data!P45</x:f>
        <x:v>-38.5</x:v>
      </x:c>
      <x:c r="F781" t="n">
        <x:f>Chart_Data!S45</x:f>
        <x:v>49.13663512949795</x:v>
      </x:c>
      <x:c r="G781" t="n">
        <x:f>Chart_Data!P45</x:f>
        <x:v>-38.5</x:v>
      </x:c>
      <x:c r="H781" t="n">
        <x:f>Chart_Data!T45</x:f>
        <x:v>53.527083972311175</x:v>
      </x:c>
    </x:row>
    <x:row r="782">
      <x:c r="A782" t="n">
        <x:f>Chart_Data!P46</x:f>
        <x:v>-38</x:v>
      </x:c>
      <x:c r="B782" t="n">
        <x:f>Chart_Data!Q46</x:f>
        <x:v>323.0591935966004</x:v>
      </x:c>
      <x:c r="C782" t="n">
        <x:f>Chart_Data!P46</x:f>
        <x:v>-38</x:v>
      </x:c>
      <x:c r="D782" t="n">
        <x:f>Chart_Data!R46</x:f>
        <x:v>366.83142083111306</x:v>
      </x:c>
      <x:c r="E782" t="n">
        <x:f>Chart_Data!P46</x:f>
        <x:v>-38</x:v>
      </x:c>
      <x:c r="F782" t="n">
        <x:f>Chart_Data!S46</x:f>
        <x:v>48.507386425915975</x:v>
      </x:c>
      <x:c r="G782" t="n">
        <x:f>Chart_Data!P46</x:f>
        <x:v>-38</x:v>
      </x:c>
      <x:c r="H782" t="n">
        <x:f>Chart_Data!T46</x:f>
        <x:v>55.07979291758455</x:v>
      </x:c>
    </x:row>
    <x:row r="783">
      <x:c r="A783" t="n">
        <x:f>Chart_Data!P47</x:f>
        <x:v>-37.5</x:v>
      </x:c>
      <x:c r="B783" t="n">
        <x:f>Chart_Data!Q47</x:f>
        <x:v>318.8661186490208</x:v>
      </x:c>
      <x:c r="C783" t="n">
        <x:f>Chart_Data!P47</x:f>
        <x:v>-37.5</x:v>
      </x:c>
      <x:c r="D783" t="n">
        <x:f>Chart_Data!R47</x:f>
        <x:v>371.67029926577015</x:v>
      </x:c>
      <x:c r="E783" t="n">
        <x:f>Chart_Data!P47</x:f>
        <x:v>-37.5</x:v>
      </x:c>
      <x:c r="F783" t="n">
        <x:f>Chart_Data!S47</x:f>
        <x:v>47.87779559294607</x:v>
      </x:c>
      <x:c r="G783" t="n">
        <x:f>Chart_Data!P47</x:f>
        <x:v>-37.5</x:v>
      </x:c>
      <x:c r="H783" t="n">
        <x:f>Chart_Data!T47</x:f>
        <x:v>55.80635124110663</x:v>
      </x:c>
    </x:row>
    <x:row r="784">
      <x:c r="A784" t="n">
        <x:f>Chart_Data!P48</x:f>
        <x:v>-37</x:v>
      </x:c>
      <x:c r="B784" t="n">
        <x:f>Chart_Data!Q48</x:f>
        <x:v>314.6707923143367</x:v>
      </x:c>
      <x:c r="C784" t="n">
        <x:f>Chart_Data!P48</x:f>
        <x:v>-37</x:v>
      </x:c>
      <x:c r="D784" t="n">
        <x:f>Chart_Data!R48</x:f>
        <x:v>355.48139120546693</x:v>
      </x:c>
      <x:c r="E784" t="n">
        <x:f>Chart_Data!P48</x:f>
        <x:v>-37</x:v>
      </x:c>
      <x:c r="F784" t="n">
        <x:f>Chart_Data!S48</x:f>
        <x:v>47.247866713864376</x:v>
      </x:c>
      <x:c r="G784" t="n">
        <x:f>Chart_Data!P48</x:f>
        <x:v>-37</x:v>
      </x:c>
      <x:c r="H784" t="n">
        <x:f>Chart_Data!T48</x:f>
        <x:v>53.37558426508513</x:v>
      </x:c>
    </x:row>
    <x:row r="785">
      <x:c r="A785" t="n">
        <x:f>Chart_Data!P49</x:f>
        <x:v>-36.5</x:v>
      </x:c>
      <x:c r="B785" t="n">
        <x:f>Chart_Data!Q49</x:f>
        <x:v>310.4732418857566</x:v>
      </x:c>
      <x:c r="C785" t="n">
        <x:f>Chart_Data!P49</x:f>
        <x:v>-36.5</x:v>
      </x:c>
      <x:c r="D785" t="n">
        <x:f>Chart_Data!R49</x:f>
        <x:v>369.34297482257534</x:v>
      </x:c>
      <x:c r="E785" t="n">
        <x:f>Chart_Data!P49</x:f>
        <x:v>-36.5</x:v>
      </x:c>
      <x:c r="F785" t="n">
        <x:f>Chart_Data!S49</x:f>
        <x:v>46.61760388675024</x:v>
      </x:c>
      <x:c r="G785" t="n">
        <x:f>Chart_Data!P49</x:f>
        <x:v>-36.5</x:v>
      </x:c>
      <x:c r="H785" t="n">
        <x:f>Chart_Data!T49</x:f>
        <x:v>55.45690312651282</x:v>
      </x:c>
    </x:row>
    <x:row r="786">
      <x:c r="A786" t="n">
        <x:f>Chart_Data!P50</x:f>
        <x:v>-36</x:v>
      </x:c>
      <x:c r="B786" t="n">
        <x:f>Chart_Data!Q50</x:f>
        <x:v>306.2734947710851</x:v>
      </x:c>
      <x:c r="C786" t="n">
        <x:f>Chart_Data!P50</x:f>
        <x:v>-36</x:v>
      </x:c>
      <x:c r="D786" t="n">
        <x:f>Chart_Data!R50</x:f>
        <x:v>338.2824754723515</x:v>
      </x:c>
      <x:c r="E786" t="n">
        <x:f>Chart_Data!P50</x:f>
        <x:v>-36</x:v>
      </x:c>
      <x:c r="F786" t="n">
        <x:f>Chart_Data!S50</x:f>
        <x:v>45.987011226889656</x:v>
      </x:c>
      <x:c r="G786" t="n">
        <x:f>Chart_Data!P50</x:f>
        <x:v>-36</x:v>
      </x:c>
      <x:c r="H786" t="n">
        <x:f>Chart_Data!T50</x:f>
        <x:v>50.79316448533807</x:v>
      </x:c>
    </x:row>
    <x:row r="787">
      <x:c r="A787" t="n">
        <x:f>Chart_Data!P51</x:f>
        <x:v>-35.5</x:v>
      </x:c>
      <x:c r="B787" t="n">
        <x:f>Chart_Data!Q51</x:f>
        <x:v>302.0715784808999</x:v>
      </x:c>
      <x:c r="C787" t="n">
        <x:f>Chart_Data!P51</x:f>
        <x:v>-35.5</x:v>
      </x:c>
      <x:c r="D787" t="n">
        <x:f>Chart_Data!R51</x:f>
        <x:v>314.05984233133495</x:v>
      </x:c>
      <x:c r="E787" t="n">
        <x:f>Chart_Data!P51</x:f>
        <x:v>-35.5</x:v>
      </x:c>
      <x:c r="F787" t="n">
        <x:f>Chart_Data!S51</x:f>
        <x:v>45.356092864999994</x:v>
      </x:c>
      <x:c r="G787" t="n">
        <x:f>Chart_Data!P51</x:f>
        <x:v>-35.5</x:v>
      </x:c>
      <x:c r="H787" t="n">
        <x:f>Chart_Data!T51</x:f>
        <x:v>47.15613248218243</x:v>
      </x:c>
    </x:row>
    <x:row r="788">
      <x:c r="A788" t="n">
        <x:f>Chart_Data!P52</x:f>
        <x:v>-35</x:v>
      </x:c>
      <x:c r="B788" t="n">
        <x:f>Chart_Data!Q52</x:f>
        <x:v>297.8675206210937</x:v>
      </x:c>
      <x:c r="C788" t="n">
        <x:f>Chart_Data!P52</x:f>
        <x:v>-35</x:v>
      </x:c>
      <x:c r="D788" t="n">
        <x:f>Chart_Data!R52</x:f>
        <x:v>347.75645538547906</x:v>
      </x:c>
      <x:c r="E788" t="n">
        <x:f>Chart_Data!P52</x:f>
        <x:v>-35</x:v>
      </x:c>
      <x:c r="F788" t="n">
        <x:f>Chart_Data!S52</x:f>
        <x:v>44.72485294611017</x:v>
      </x:c>
      <x:c r="G788" t="n">
        <x:f>Chart_Data!P52</x:f>
        <x:v>-35</x:v>
      </x:c>
      <x:c r="H788" t="n">
        <x:f>Chart_Data!T52</x:f>
        <x:v>52.21568399181368</x:v>
      </x:c>
    </x:row>
    <x:row r="789">
      <x:c r="A789" t="n">
        <x:f>Chart_Data!P53</x:f>
        <x:v>-34.5</x:v>
      </x:c>
      <x:c r="B789" t="n">
        <x:f>Chart_Data!Q53</x:f>
        <x:v>293.66134891224647</x:v>
      </x:c>
      <x:c r="C789" t="n">
        <x:f>Chart_Data!P53</x:f>
        <x:v>-34.5</x:v>
      </x:c>
      <x:c r="D789" t="n">
        <x:f>Chart_Data!R53</x:f>
        <x:v>355.1955134131276</x:v>
      </x:c>
      <x:c r="E789" t="n">
        <x:f>Chart_Data!P53</x:f>
        <x:v>-34.5</x:v>
      </x:c>
      <x:c r="F789" t="n">
        <x:f>Chart_Data!S53</x:f>
        <x:v>44.09329563246944</x:v>
      </x:c>
      <x:c r="G789" t="n">
        <x:f>Chart_Data!P53</x:f>
        <x:v>-34.5</x:v>
      </x:c>
      <x:c r="H789" t="n">
        <x:f>Chart_Data!T53</x:f>
        <x:v>53.33265967164079</x:v>
      </x:c>
    </x:row>
    <x:row r="790">
      <x:c r="A790" t="n">
        <x:f>Chart_Data!P54</x:f>
        <x:v>-34</x:v>
      </x:c>
      <x:c r="B790" t="n">
        <x:f>Chart_Data!Q54</x:f>
        <x:v>289.4530911666152</x:v>
      </x:c>
      <x:c r="C790" t="n">
        <x:f>Chart_Data!P54</x:f>
        <x:v>-34</x:v>
      </x:c>
      <x:c r="D790" t="n">
        <x:f>Chart_Data!R54</x:f>
        <x:v>308.8603249510925</x:v>
      </x:c>
      <x:c r="E790" t="n">
        <x:f>Chart_Data!P54</x:f>
        <x:v>-34</x:v>
      </x:c>
      <x:c r="F790" t="n">
        <x:f>Chart_Data!S54</x:f>
        <x:v>43.46142510009238</x:v>
      </x:c>
      <x:c r="G790" t="n">
        <x:f>Chart_Data!P54</x:f>
        <x:v>-34</x:v>
      </x:c>
      <x:c r="H790" t="n">
        <x:f>Chart_Data!T54</x:f>
        <x:v>46.375424166830705</x:v>
      </x:c>
    </x:row>
    <x:row r="791">
      <x:c r="A791" t="n">
        <x:f>Chart_Data!P55</x:f>
        <x:v>-33.5</x:v>
      </x:c>
      <x:c r="B791" t="n">
        <x:f>Chart_Data!Q55</x:f>
        <x:v>285.24277529395476</x:v>
      </x:c>
      <x:c r="C791" t="n">
        <x:f>Chart_Data!P55</x:f>
        <x:v>-33.5</x:v>
      </x:c>
      <x:c r="D791" t="n">
        <x:f>Chart_Data!R55</x:f>
        <x:v>321.33106228302495</x:v>
      </x:c>
      <x:c r="E791" t="n">
        <x:f>Chart_Data!P55</x:f>
        <x:v>-33.5</x:v>
      </x:c>
      <x:c r="F791" t="n">
        <x:f>Chart_Data!S55</x:f>
        <x:v>42.82924553963285</x:v>
      </x:c>
      <x:c r="G791" t="n">
        <x:f>Chart_Data!P55</x:f>
        <x:v>-33.5</x:v>
      </x:c>
      <x:c r="H791" t="n">
        <x:f>Chart_Data!T55</x:f>
        <x:v>48.24790724970345</x:v>
      </x:c>
    </x:row>
    <x:row r="792">
      <x:c r="A792" t="n">
        <x:f>Chart_Data!P56</x:f>
        <x:v>-33</x:v>
      </x:c>
      <x:c r="B792" t="n">
        <x:f>Chart_Data!Q56</x:f>
        <x:v>281.0304293043373</x:v>
      </x:c>
      <x:c r="C792" t="n">
        <x:f>Chart_Data!P56</x:f>
        <x:v>-33</x:v>
      </x:c>
      <x:c r="D792" t="n">
        <x:f>Chart_Data!R56</x:f>
        <x:v>316.859491910418</x:v>
      </x:c>
      <x:c r="E792" t="n">
        <x:f>Chart_Data!P56</x:f>
        <x:v>-33</x:v>
      </x:c>
      <x:c r="F792" t="n">
        <x:f>Chart_Data!S56</x:f>
        <x:v>42.196761156807405</x:v>
      </x:c>
      <x:c r="G792" t="n">
        <x:f>Chart_Data!P56</x:f>
        <x:v>-33</x:v>
      </x:c>
      <x:c r="H792" t="n">
        <x:f>Chart_Data!T56</x:f>
        <x:v>47.57650028684955</x:v>
      </x:c>
    </x:row>
    <x:row r="793">
      <x:c r="A793" t="n">
        <x:f>Chart_Data!P57</x:f>
        <x:v>-32.5</x:v>
      </x:c>
      <x:c r="B793" t="n">
        <x:f>Chart_Data!Q57</x:f>
        <x:v>276.81608131206303</x:v>
      </x:c>
      <x:c r="C793" t="n">
        <x:f>Chart_Data!P57</x:f>
        <x:v>-32.5</x:v>
      </x:c>
      <x:c r="D793" t="n">
        <x:f>Chart_Data!R57</x:f>
        <x:v>275.1765872350006</x:v>
      </x:c>
      <x:c r="E793" t="n">
        <x:f>Chart_Data!P57</x:f>
        <x:v>-32.5</x:v>
      </x:c>
      <x:c r="F793" t="n">
        <x:f>Chart_Data!S57</x:f>
        <x:v>41.56397617298244</x:v>
      </x:c>
      <x:c r="G793" t="n">
        <x:f>Chart_Data!P57</x:f>
        <x:v>-32.5</x:v>
      </x:c>
      <x:c r="H793" t="n">
        <x:f>Chart_Data!T57</x:f>
        <x:v>41.31780589114124</x:v>
      </x:c>
    </x:row>
    <x:row r="794">
      <x:c r="A794" t="n">
        <x:f>Chart_Data!P58</x:f>
        <x:v>-32</x:v>
      </x:c>
      <x:c r="B794" t="n">
        <x:f>Chart_Data!Q58</x:f>
        <x:v>272.599759519926</x:v>
      </x:c>
      <x:c r="C794" t="n">
        <x:f>Chart_Data!P58</x:f>
        <x:v>-32</x:v>
      </x:c>
      <x:c r="D794" t="n">
        <x:f>Chart_Data!R58</x:f>
        <x:v>279.49268607053455</x:v>
      </x:c>
      <x:c r="E794" t="n">
        <x:f>Chart_Data!P58</x:f>
        <x:v>-32</x:v>
      </x:c>
      <x:c r="F794" t="n">
        <x:f>Chart_Data!S58</x:f>
        <x:v>40.930894822811716</x:v>
      </x:c>
      <x:c r="G794" t="n">
        <x:f>Chart_Data!P58</x:f>
        <x:v>-32</x:v>
      </x:c>
      <x:c r="H794" t="n">
        <x:f>Chart_Data!T58</x:f>
        <x:v>41.965868779359546</x:v>
      </x:c>
    </x:row>
    <x:row r="795">
      <x:c r="A795" t="n">
        <x:f>Chart_Data!P59</x:f>
        <x:v>-31.5</x:v>
      </x:c>
      <x:c r="B795" t="n">
        <x:f>Chart_Data!Q59</x:f>
        <x:v>268.38149222203356</x:v>
      </x:c>
      <x:c r="C795" t="n">
        <x:f>Chart_Data!P59</x:f>
        <x:v>-31.5</x:v>
      </x:c>
      <x:c r="D795" t="n">
        <x:f>Chart_Data!R59</x:f>
        <x:v>288.14417854828207</x:v>
      </x:c>
      <x:c r="E795" t="n">
        <x:f>Chart_Data!P59</x:f>
        <x:v>-31.5</x:v>
      </x:c>
      <x:c r="F795" t="n">
        <x:f>Chart_Data!S59</x:f>
        <x:v>40.29752135465969</x:v>
      </x:c>
      <x:c r="G795" t="n">
        <x:f>Chart_Data!P59</x:f>
        <x:v>-31.5</x:v>
      </x:c>
      <x:c r="H795" t="n">
        <x:f>Chart_Data!T59</x:f>
        <x:v>43.26489167391623</x:v>
      </x:c>
    </x:row>
    <x:row r="796">
      <x:c r="A796" t="n">
        <x:f>Chart_Data!P60</x:f>
        <x:v>-31</x:v>
      </x:c>
      <x:c r="B796" t="n">
        <x:f>Chart_Data!Q60</x:f>
        <x:v>264.16130781663014</x:v>
      </x:c>
      <x:c r="C796" t="n">
        <x:f>Chart_Data!P60</x:f>
        <x:v>-31</x:v>
      </x:c>
      <x:c r="D796" t="n">
        <x:f>Chart_Data!R60</x:f>
        <x:v>238.13849277175905</x:v>
      </x:c>
      <x:c r="E796" t="n">
        <x:f>Chart_Data!P60</x:f>
        <x:v>-31</x:v>
      </x:c>
      <x:c r="F796" t="n">
        <x:f>Chart_Data!S60</x:f>
        <x:v>39.663860032527054</x:v>
      </x:c>
      <x:c r="G796" t="n">
        <x:f>Chart_Data!P60</x:f>
        <x:v>-31</x:v>
      </x:c>
      <x:c r="H796" t="n">
        <x:f>Chart_Data!T60</x:f>
        <x:v>35.75653044621007</x:v>
      </x:c>
    </x:row>
    <x:row r="797">
      <x:c r="A797" t="n">
        <x:f>Chart_Data!P61</x:f>
        <x:v>-30.5</x:v>
      </x:c>
      <x:c r="B797" t="n">
        <x:f>Chart_Data!Q61</x:f>
        <x:v>259.939234788817</x:v>
      </x:c>
      <x:c r="C797" t="n">
        <x:f>Chart_Data!P61</x:f>
        <x:v>-30.5</x:v>
      </x:c>
      <x:c r="D797" t="n">
        <x:f>Chart_Data!R61</x:f>
        <x:v>234.24333788807417</x:v>
      </x:c>
      <x:c r="E797" t="n">
        <x:f>Chart_Data!P61</x:f>
        <x:v>-30.5</x:v>
      </x:c>
      <x:c r="F797" t="n">
        <x:f>Chart_Data!S61</x:f>
        <x:v>39.02991513345601</x:v>
      </x:c>
      <x:c r="G797" t="n">
        <x:f>Chart_Data!P61</x:f>
        <x:v>-30.5</x:v>
      </x:c>
      <x:c r="H797" t="n">
        <x:f>Chart_Data!T61</x:f>
        <x:v>35.17167235556669</x:v>
      </x:c>
    </x:row>
    <x:row r="798">
      <x:c r="A798" t="n">
        <x:f>Chart_Data!P62</x:f>
        <x:v>-30</x:v>
      </x:c>
      <x:c r="B798" t="n">
        <x:f>Chart_Data!Q62</x:f>
        <x:v>255.71530170509504</x:v>
      </x:c>
      <x:c r="C798" t="n">
        <x:f>Chart_Data!P62</x:f>
        <x:v>-30</x:v>
      </x:c>
      <x:c r="D798" t="n">
        <x:f>Chart_Data!R62</x:f>
        <x:v>236.16063340596156</x:v>
      </x:c>
      <x:c r="E798" t="n">
        <x:f>Chart_Data!P62</x:f>
        <x:v>-30</x:v>
      </x:c>
      <x:c r="F798" t="n">
        <x:f>Chart_Data!S62</x:f>
        <x:v>38.39569094671097</x:v>
      </x:c>
      <x:c r="G798" t="n">
        <x:f>Chart_Data!P62</x:f>
        <x:v>-30</x:v>
      </x:c>
      <x:c r="H798" t="n">
        <x:f>Chart_Data!T62</x:f>
        <x:v>35.4595545654597</x:v>
      </x:c>
    </x:row>
    <x:row r="799">
      <x:c r="A799" t="n">
        <x:f>Chart_Data!P63</x:f>
        <x:v>-29.5</x:v>
      </x:c>
      <x:c r="B799" t="n">
        <x:f>Chart_Data!Q63</x:f>
        <x:v>251.4895372385581</x:v>
      </x:c>
      <x:c r="C799" t="n">
        <x:f>Chart_Data!P63</x:f>
        <x:v>-29.5</x:v>
      </x:c>
      <x:c r="D799" t="n">
        <x:f>Chart_Data!R63</x:f>
        <x:v>243.54226020022907</x:v>
      </x:c>
      <x:c r="E799" t="n">
        <x:f>Chart_Data!P63</x:f>
        <x:v>-29.5</x:v>
      </x:c>
      <x:c r="F799" t="n">
        <x:f>Chart_Data!S63</x:f>
        <x:v>37.76119177756128</x:v>
      </x:c>
      <x:c r="G799" t="n">
        <x:f>Chart_Data!P63</x:f>
        <x:v>-29.5</x:v>
      </x:c>
      <x:c r="H799" t="n">
        <x:f>Chart_Data!T63</x:f>
        <x:v>36.56790693697133</x:v>
      </x:c>
    </x:row>
    <x:row r="800">
      <x:c r="A800" t="n">
        <x:f>Chart_Data!P64</x:f>
        <x:v>-29</x:v>
      </x:c>
      <x:c r="B800" t="n">
        <x:f>Chart_Data!Q64</x:f>
        <x:v>247.26197014497302</x:v>
      </x:c>
      <x:c r="C800" t="n">
        <x:f>Chart_Data!P64</x:f>
        <x:v>-29</x:v>
      </x:c>
      <x:c r="D800" t="n">
        <x:f>Chart_Data!R64</x:f>
        <x:v>221.97951412254042</x:v>
      </x:c>
      <x:c r="E800" t="n">
        <x:f>Chart_Data!P64</x:f>
        <x:v>-29</x:v>
      </x:c>
      <x:c r="F800" t="n">
        <x:f>Chart_Data!S64</x:f>
        <x:v>37.12642194368964</x:v>
      </x:c>
      <x:c r="G800" t="n">
        <x:f>Chart_Data!P64</x:f>
        <x:v>-29</x:v>
      </x:c>
      <x:c r="H800" t="n">
        <x:f>Chart_Data!T64</x:f>
        <x:v>33.33025737575682</x:v>
      </x:c>
    </x:row>
    <x:row r="801">
      <x:c r="A801" t="n">
        <x:f>Chart_Data!P65</x:f>
        <x:v>-28.5</x:v>
      </x:c>
      <x:c r="B801" t="n">
        <x:f>Chart_Data!Q65</x:f>
        <x:v>243.03262925423041</x:v>
      </x:c>
      <x:c r="C801" t="n">
        <x:f>Chart_Data!P65</x:f>
        <x:v>-28.5</x:v>
      </x:c>
      <x:c r="D801" t="n">
        <x:f>Chart_Data!R65</x:f>
        <x:v>213.6323248183544</x:v>
      </x:c>
      <x:c r="E801" t="n">
        <x:f>Chart_Data!P65</x:f>
        <x:v>-28.5</x:v>
      </x:c>
      <x:c r="F801" t="n">
        <x:f>Chart_Data!S65</x:f>
        <x:v>36.491385773908476</x:v>
      </x:c>
      <x:c r="G801" t="n">
        <x:f>Chart_Data!P65</x:f>
        <x:v>-28.5</x:v>
      </x:c>
      <x:c r="H801" t="n">
        <x:f>Chart_Data!T65</x:f>
        <x:v>32.07692564840156</x:v>
      </x:c>
    </x:row>
    <x:row r="802">
      <x:c r="A802" t="n">
        <x:f>Chart_Data!P66</x:f>
        <x:v>-28</x:v>
      </x:c>
      <x:c r="B802" t="n">
        <x:f>Chart_Data!Q66</x:f>
        <x:v>238.80154350054</x:v>
      </x:c>
      <x:c r="C802" t="n">
        <x:f>Chart_Data!P66</x:f>
        <x:v>-28</x:v>
      </x:c>
      <x:c r="D802" t="n">
        <x:f>Chart_Data!R66</x:f>
        <x:v>217.6420816668724</x:v>
      </x:c>
      <x:c r="E802" t="n">
        <x:f>Chart_Data!P66</x:f>
        <x:v>-28</x:v>
      </x:c>
      <x:c r="F802" t="n">
        <x:f>Chart_Data!S66</x:f>
        <x:v>35.8560876126937</x:v>
      </x:c>
      <x:c r="G802" t="n">
        <x:f>Chart_Data!P66</x:f>
        <x:v>-28</x:v>
      </x:c>
      <x:c r="H802" t="n">
        <x:f>Chart_Data!T66</x:f>
        <x:v>32.678991241272136</x:v>
      </x:c>
    </x:row>
    <x:row r="803">
      <x:c r="A803" t="n">
        <x:f>Chart_Data!P67</x:f>
        <x:v>-27.5</x:v>
      </x:c>
      <x:c r="B803" t="n">
        <x:f>Chart_Data!Q67</x:f>
        <x:v>234.56874188968868</x:v>
      </x:c>
      <x:c r="C803" t="n">
        <x:f>Chart_Data!P67</x:f>
        <x:v>-27.5</x:v>
      </x:c>
      <x:c r="D803" t="n">
        <x:f>Chart_Data!R67</x:f>
        <x:v>196.6495314187341</x:v>
      </x:c>
      <x:c r="E803" t="n">
        <x:f>Chart_Data!P67</x:f>
        <x:v>-27.5</x:v>
      </x:c>
      <x:c r="F803" t="n">
        <x:f>Chart_Data!S67</x:f>
        <x:v>35.22053181526857</x:v>
      </x:c>
      <x:c r="G803" t="n">
        <x:f>Chart_Data!P67</x:f>
        <x:v>-27.5</x:v>
      </x:c>
      <x:c r="H803" t="n">
        <x:f>Chart_Data!T67</x:f>
        <x:v>29.5269566694796</x:v>
      </x:c>
    </x:row>
    <x:row r="804">
      <x:c r="A804" t="n">
        <x:f>Chart_Data!P68</x:f>
        <x:v>-27</x:v>
      </x:c>
      <x:c r="B804" t="n">
        <x:f>Chart_Data!Q68</x:f>
        <x:v>230.3342535144111</x:v>
      </x:c>
      <x:c r="C804" t="n">
        <x:f>Chart_Data!P68</x:f>
        <x:v>-27</x:v>
      </x:c>
      <x:c r="D804" t="n">
        <x:f>Chart_Data!R68</x:f>
        <x:v>220.46869172654624</x:v>
      </x:c>
      <x:c r="E804" t="n">
        <x:f>Chart_Data!P68</x:f>
        <x:v>-27</x:v>
      </x:c>
      <x:c r="F804" t="n">
        <x:f>Chart_Data!S68</x:f>
        <x:v>34.58472274991158</x:v>
      </x:c>
      <x:c r="G804" t="n">
        <x:f>Chart_Data!P68</x:f>
        <x:v>-27</x:v>
      </x:c>
      <x:c r="H804" t="n">
        <x:f>Chart_Data!T68</x:f>
        <x:v>33.10340716614809</x:v>
      </x:c>
    </x:row>
    <x:row r="805">
      <x:c r="A805" t="n">
        <x:f>Chart_Data!P69</x:f>
        <x:v>-26.5</x:v>
      </x:c>
      <x:c r="B805" t="n">
        <x:f>Chart_Data!Q69</x:f>
        <x:v>226.0981075584823</x:v>
      </x:c>
      <x:c r="C805" t="n">
        <x:f>Chart_Data!P69</x:f>
        <x:v>-26.5</x:v>
      </x:c>
      <x:c r="D805" t="n">
        <x:f>Chart_Data!R69</x:f>
        <x:v>198.23751812764385</x:v>
      </x:c>
      <x:c r="E805" t="n">
        <x:f>Chart_Data!P69</x:f>
        <x:v>-26.5</x:v>
      </x:c>
      <x:c r="F805" t="n">
        <x:f>Chart_Data!S69</x:f>
        <x:v>33.94866479857092</x:v>
      </x:c>
      <x:c r="G805" t="n">
        <x:f>Chart_Data!P69</x:f>
        <x:v>-26.5</x:v>
      </x:c>
      <x:c r="H805" t="n">
        <x:f>Chart_Data!T69</x:f>
        <x:v>29.765393112258838</x:v>
      </x:c>
    </x:row>
    <x:row r="806">
      <x:c r="A806" t="n">
        <x:f>Chart_Data!P70</x:f>
        <x:v>-26</x:v>
      </x:c>
      <x:c r="B806" t="n">
        <x:f>Chart_Data!Q70</x:f>
        <x:v>221.86033326770485</x:v>
      </x:c>
      <x:c r="C806" t="n">
        <x:f>Chart_Data!P70</x:f>
        <x:v>-26</x:v>
      </x:c>
      <x:c r="D806" t="n">
        <x:f>Chart_Data!R70</x:f>
        <x:v>192.02568655455252</x:v>
      </x:c>
      <x:c r="E806" t="n">
        <x:f>Chart_Data!P70</x:f>
        <x:v>-26</x:v>
      </x:c>
      <x:c r="F806" t="n">
        <x:f>Chart_Data!S70</x:f>
        <x:v>33.31236235250824</x:v>
      </x:c>
      <x:c r="G806" t="n">
        <x:f>Chart_Data!P70</x:f>
        <x:v>-26</x:v>
      </x:c>
      <x:c r="H806" t="n">
        <x:f>Chart_Data!T70</x:f>
        <x:v>28.83268566885173</x:v>
      </x:c>
    </x:row>
    <x:row r="807">
      <x:c r="A807" t="n">
        <x:f>Chart_Data!P71</x:f>
        <x:v>-25.5</x:v>
      </x:c>
      <x:c r="B807" t="n">
        <x:f>Chart_Data!Q71</x:f>
        <x:v>217.6209599799222</x:v>
      </x:c>
      <x:c r="C807" t="n">
        <x:f>Chart_Data!P71</x:f>
        <x:v>-25.5</x:v>
      </x:c>
      <x:c r="D807" t="n">
        <x:f>Chart_Data!R71</x:f>
        <x:v>199.48475681912896</x:v>
      </x:c>
      <x:c r="E807" t="n">
        <x:f>Chart_Data!P71</x:f>
        <x:v>-25.5</x:v>
      </x:c>
      <x:c r="F807" t="n">
        <x:f>Chart_Data!S71</x:f>
        <x:v>32.67581981680514</x:v>
      </x:c>
      <x:c r="G807" t="n">
        <x:f>Chart_Data!P71</x:f>
        <x:v>-25.5</x:v>
      </x:c>
      <x:c r="H807" t="n">
        <x:f>Chart_Data!T71</x:f>
        <x:v>29.952666189058405</x:v>
      </x:c>
    </x:row>
    <x:row r="808">
      <x:c r="A808" t="n">
        <x:f>Chart_Data!P72</x:f>
        <x:v>-25</x:v>
      </x:c>
      <x:c r="B808" t="n">
        <x:f>Chart_Data!Q72</x:f>
        <x:v>213.38001711119432</x:v>
      </x:c>
      <x:c r="C808" t="n">
        <x:f>Chart_Data!P72</x:f>
        <x:v>-25</x:v>
      </x:c>
      <x:c r="D808" t="n">
        <x:f>Chart_Data!R72</x:f>
        <x:v>221.0725897208249</x:v>
      </x:c>
      <x:c r="E808" t="n">
        <x:f>Chart_Data!P72</x:f>
        <x:v>-25</x:v>
      </x:c>
      <x:c r="F808" t="n">
        <x:f>Chart_Data!S72</x:f>
        <x:v>32.03904160828744</x:v>
      </x:c>
      <x:c r="G808" t="n">
        <x:f>Chart_Data!P72</x:f>
        <x:v>-25</x:v>
      </x:c>
      <x:c r="H808" t="n">
        <x:f>Chart_Data!T72</x:f>
        <x:v>33.194082540664404</x:v>
      </x:c>
    </x:row>
    <x:row r="809">
      <x:c r="A809" t="n">
        <x:f>Chart_Data!P73</x:f>
        <x:v>-24.5</x:v>
      </x:c>
      <x:c r="B809" t="n">
        <x:f>Chart_Data!Q73</x:f>
        <x:v>209.13753414824896</x:v>
      </x:c>
      <x:c r="C809" t="n">
        <x:f>Chart_Data!P73</x:f>
        <x:v>-24.5</x:v>
      </x:c>
      <x:c r="D809" t="n">
        <x:f>Chart_Data!R73</x:f>
        <x:v>222.45043993452782</x:v>
      </x:c>
      <x:c r="E809" t="n">
        <x:f>Chart_Data!P73</x:f>
        <x:v>-24.5</x:v>
      </x:c>
      <x:c r="F809" t="n">
        <x:f>Chart_Data!S73</x:f>
        <x:v>31.402032154391737</x:v>
      </x:c>
      <x:c r="G809" t="n">
        <x:f>Chart_Data!P73</x:f>
        <x:v>-24.5</x:v>
      </x:c>
      <x:c r="H809" t="n">
        <x:f>Chart_Data!T73</x:f>
        <x:v>33.40096695713631</x:v>
      </x:c>
    </x:row>
    <x:row r="810">
      <x:c r="A810" t="n">
        <x:f>Chart_Data!P74</x:f>
        <x:v>-24</x:v>
      </x:c>
      <x:c r="B810" t="n">
        <x:f>Chart_Data!Q74</x:f>
        <x:v>204.89354065312</x:v>
      </x:c>
      <x:c r="C810" t="n">
        <x:f>Chart_Data!P74</x:f>
        <x:v>-24</x:v>
      </x:c>
      <x:c r="D810" t="n">
        <x:f>Chart_Data!R74</x:f>
        <x:v>200.92529767707674</x:v>
      </x:c>
      <x:c r="E810" t="n">
        <x:f>Chart_Data!P74</x:f>
        <x:v>-24</x:v>
      </x:c>
      <x:c r="F810" t="n">
        <x:f>Chart_Data!S74</x:f>
        <x:v>30.764795893861866</x:v>
      </x:c>
      <x:c r="G810" t="n">
        <x:f>Chart_Data!P74</x:f>
        <x:v>-24</x:v>
      </x:c>
      <x:c r="H810" t="n">
        <x:f>Chart_Data!T74</x:f>
        <x:v>30.16896361517669</x:v>
      </x:c>
    </x:row>
    <x:row r="811">
      <x:c r="A811" t="n">
        <x:f>Chart_Data!P75</x:f>
        <x:v>-23.5</x:v>
      </x:c>
      <x:c r="B811" t="n">
        <x:f>Chart_Data!Q75</x:f>
        <x:v>200.64806626696736</x:v>
      </x:c>
      <x:c r="C811" t="n">
        <x:f>Chart_Data!P75</x:f>
        <x:v>-23.5</x:v>
      </x:c>
      <x:c r="D811" t="n">
        <x:f>Chart_Data!R75</x:f>
        <x:v>218.20922536780927</x:v>
      </x:c>
      <x:c r="E811" t="n">
        <x:f>Chart_Data!P75</x:f>
        <x:v>-23.5</x:v>
      </x:c>
      <x:c r="F811" t="n">
        <x:f>Chart_Data!S75</x:f>
        <x:v>30.12733727732243</x:v>
      </x:c>
      <x:c r="G811" t="n">
        <x:f>Chart_Data!P75</x:f>
        <x:v>-23.5</x:v>
      </x:c>
      <x:c r="H811" t="n">
        <x:f>Chart_Data!T75</x:f>
        <x:v>32.764147953124514</x:v>
      </x:c>
    </x:row>
    <x:row r="812">
      <x:c r="A812" t="n">
        <x:f>Chart_Data!P76</x:f>
        <x:v>-23</x:v>
      </x:c>
      <x:c r="B812" t="n">
        <x:f>Chart_Data!Q76</x:f>
        <x:v>196.40114070170966</x:v>
      </x:c>
      <x:c r="C812" t="n">
        <x:f>Chart_Data!P76</x:f>
        <x:v>-23</x:v>
      </x:c>
      <x:c r="D812" t="n">
        <x:f>Chart_Data!R76</x:f>
        <x:v>216.80914002981808</x:v>
      </x:c>
      <x:c r="E812" t="n">
        <x:f>Chart_Data!P76</x:f>
        <x:v>-23</x:v>
      </x:c>
      <x:c r="F812" t="n">
        <x:f>Chart_Data!S76</x:f>
        <x:v>29.489660766022475</x:v>
      </x:c>
      <x:c r="G812" t="n">
        <x:f>Chart_Data!P76</x:f>
        <x:v>-23</x:v>
      </x:c>
      <x:c r="H812" t="n">
        <x:f>Chart_Data!T76</x:f>
        <x:v>32.553924929402115</x:v>
      </x:c>
    </x:row>
    <x:row r="813">
      <x:c r="A813" t="n">
        <x:f>Chart_Data!P77</x:f>
        <x:v>-22.5</x:v>
      </x:c>
      <x:c r="B813" t="n">
        <x:f>Chart_Data!Q77</x:f>
        <x:v>192.15279373456724</x:v>
      </x:c>
      <x:c r="C813" t="n">
        <x:f>Chart_Data!P77</x:f>
        <x:v>-22.5</x:v>
      </x:c>
      <x:c r="D813" t="n">
        <x:f>Chart_Data!R77</x:f>
        <x:v>251.21183481469416</x:v>
      </x:c>
      <x:c r="E813" t="n">
        <x:f>Chart_Data!P77</x:f>
        <x:v>-22.5</x:v>
      </x:c>
      <x:c r="F813" t="n">
        <x:f>Chart_Data!S77</x:f>
        <x:v>28.851770831016104</x:v>
      </x:c>
      <x:c r="G813" t="n">
        <x:f>Chart_Data!P77</x:f>
        <x:v>-22.5</x:v>
      </x:c>
      <x:c r="H813" t="n">
        <x:f>Chart_Data!T77</x:f>
        <x:v>37.71949471692105</x:v>
      </x:c>
    </x:row>
    <x:row r="814">
      <x:c r="A814" t="n">
        <x:f>Chart_Data!P78</x:f>
        <x:v>-22</x:v>
      </x:c>
      <x:c r="B814" t="n">
        <x:f>Chart_Data!Q78</x:f>
        <x:v>187.90305521988557</x:v>
      </x:c>
      <x:c r="C814" t="n">
        <x:f>Chart_Data!P78</x:f>
        <x:v>-22</x:v>
      </x:c>
      <x:c r="D814" t="n">
        <x:f>Chart_Data!R78</x:f>
        <x:v>260.81096796797283</x:v>
      </x:c>
      <x:c r="E814" t="n">
        <x:f>Chart_Data!P78</x:f>
        <x:v>-22</x:v>
      </x:c>
      <x:c r="F814" t="n">
        <x:f>Chart_Data!S78</x:f>
        <x:v>28.213671954937777</x:v>
      </x:c>
      <x:c r="G814" t="n">
        <x:f>Chart_Data!P78</x:f>
        <x:v>-22</x:v>
      </x:c>
      <x:c r="H814" t="n">
        <x:f>Chart_Data!T78</x:f>
        <x:v>39.16080600119712</x:v>
      </x:c>
    </x:row>
    <x:row r="815">
      <x:c r="A815" t="n">
        <x:f>Chart_Data!P79</x:f>
        <x:v>-21.5</x:v>
      </x:c>
      <x:c r="B815" t="n">
        <x:f>Chart_Data!Q79</x:f>
        <x:v>183.65195507121825</x:v>
      </x:c>
      <x:c r="C815" t="n">
        <x:f>Chart_Data!P79</x:f>
        <x:v>-21.5</x:v>
      </x:c>
      <x:c r="D815" t="n">
        <x:f>Chart_Data!R79</x:f>
        <x:v>185.84239228039223</x:v>
      </x:c>
      <x:c r="E815" t="n">
        <x:f>Chart_Data!P79</x:f>
        <x:v>-21.5</x:v>
      </x:c>
      <x:c r="F815" t="n">
        <x:f>Chart_Data!S79</x:f>
        <x:v>27.575368629312052</x:v>
      </x:c>
      <x:c r="G815" t="n">
        <x:f>Chart_Data!P79</x:f>
        <x:v>-21.5</x:v>
      </x:c>
      <x:c r="H815" t="n">
        <x:f>Chart_Data!T79</x:f>
        <x:v>27.904263105164002</x:v>
      </x:c>
    </x:row>
    <x:row r="816">
      <x:c r="A816" t="n">
        <x:f>Chart_Data!P80</x:f>
        <x:v>-21</x:v>
      </x:c>
      <x:c r="B816" t="n">
        <x:f>Chart_Data!Q80</x:f>
        <x:v>179.3995232830639</x:v>
      </x:c>
      <x:c r="C816" t="n">
        <x:f>Chart_Data!P80</x:f>
        <x:v>-21</x:v>
      </x:c>
      <x:c r="D816" t="n">
        <x:f>Chart_Data!R80</x:f>
        <x:v>196.90678698616466</x:v>
      </x:c>
      <x:c r="E816" t="n">
        <x:f>Chart_Data!P80</x:f>
        <x:v>-21</x:v>
      </x:c>
      <x:c r="F816" t="n">
        <x:f>Chart_Data!S80</x:f>
        <x:v>26.936865357817403</x:v>
      </x:c>
      <x:c r="G816" t="n">
        <x:f>Chart_Data!P80</x:f>
        <x:v>-21</x:v>
      </x:c>
      <x:c r="H816" t="n">
        <x:f>Chart_Data!T80</x:f>
        <x:v>29.565583631556258</x:v>
      </x:c>
    </x:row>
    <x:row r="817">
      <x:c r="A817" t="n">
        <x:f>Chart_Data!P81</x:f>
        <x:v>-20.5</x:v>
      </x:c>
      <x:c r="B817" t="n">
        <x:f>Chart_Data!Q81</x:f>
        <x:v>175.14578990121663</x:v>
      </x:c>
      <x:c r="C817" t="n">
        <x:f>Chart_Data!P81</x:f>
        <x:v>-20.5</x:v>
      </x:c>
      <x:c r="D817" t="n">
        <x:f>Chart_Data!R81</x:f>
        <x:v>207.46841210884668</x:v>
      </x:c>
      <x:c r="E817" t="n">
        <x:f>Chart_Data!P81</x:f>
        <x:v>-20.5</x:v>
      </x:c>
      <x:c r="F817" t="n">
        <x:f>Chart_Data!S81</x:f>
        <x:v>26.298166651834332</x:v>
      </x:c>
      <x:c r="G817" t="n">
        <x:f>Chart_Data!P81</x:f>
        <x:v>-20.5</x:v>
      </x:c>
      <x:c r="H817" t="n">
        <x:f>Chart_Data!T81</x:f>
        <x:v>31.15141322955656</x:v>
      </x:c>
    </x:row>
    <x:row r="818">
      <x:c r="A818" t="n">
        <x:f>Chart_Data!P82</x:f>
        <x:v>-20</x:v>
      </x:c>
      <x:c r="B818" t="n">
        <x:f>Chart_Data!Q82</x:f>
        <x:v>170.89078503895507</x:v>
      </x:c>
      <x:c r="C818" t="n">
        <x:f>Chart_Data!P82</x:f>
        <x:v>-20</x:v>
      </x:c>
      <x:c r="D818" t="n">
        <x:f>Chart_Data!R82</x:f>
        <x:v>203.53163798381502</x:v>
      </x:c>
      <x:c r="E818" t="n">
        <x:f>Chart_Data!P82</x:f>
        <x:v>-20</x:v>
      </x:c>
      <x:c r="F818" t="n">
        <x:f>Chart_Data!S82</x:f>
        <x:v>25.65927703287614</x:v>
      </x:c>
      <x:c r="G818" t="n">
        <x:f>Chart_Data!P82</x:f>
        <x:v>-20</x:v>
      </x:c>
      <x:c r="H818" t="n">
        <x:f>Chart_Data!T82</x:f>
        <x:v>30.560306003575832</x:v>
      </x:c>
    </x:row>
    <x:row r="819">
      <x:c r="A819" t="n">
        <x:f>Chart_Data!P83</x:f>
        <x:v>-19.5</x:v>
      </x:c>
      <x:c r="B819" t="n">
        <x:f>Chart_Data!Q83</x:f>
        <x:v>166.6345388791342</x:v>
      </x:c>
      <x:c r="C819" t="n">
        <x:f>Chart_Data!P83</x:f>
        <x:v>-19.5</x:v>
      </x:c>
      <x:c r="D819" t="n">
        <x:f>Chart_Data!R83</x:f>
        <x:v>219.32626696361694</x:v>
      </x:c>
      <x:c r="E819" t="n">
        <x:f>Chart_Data!P83</x:f>
        <x:v>-19.5</x:v>
      </x:c>
      <x:c r="F819" t="n">
        <x:f>Chart_Data!S83</x:f>
        <x:v>25.020201032903035</x:v>
      </x:c>
      <x:c r="G819" t="n">
        <x:f>Chart_Data!P83</x:f>
        <x:v>-19.5</x:v>
      </x:c>
      <x:c r="H819" t="n">
        <x:f>Chart_Data!T83</x:f>
        <x:v>32.931871916459</x:v>
      </x:c>
    </x:row>
    <x:row r="820">
      <x:c r="A820" t="n">
        <x:f>Chart_Data!P84</x:f>
        <x:v>-19</x:v>
      </x:c>
      <x:c r="B820" t="n">
        <x:f>Chart_Data!Q84</x:f>
        <x:v>162.37708165526783</x:v>
      </x:c>
      <x:c r="C820" t="n">
        <x:f>Chart_Data!P84</x:f>
        <x:v>-19</x:v>
      </x:c>
      <x:c r="D820" t="n">
        <x:f>Chart_Data!R84</x:f>
        <x:v>165.46845659795508</x:v>
      </x:c>
      <x:c r="E820" t="n">
        <x:f>Chart_Data!P84</x:f>
        <x:v>-19</x:v>
      </x:c>
      <x:c r="F820" t="n">
        <x:f>Chart_Data!S84</x:f>
        <x:v>24.38094319148166</x:v>
      </x:c>
      <x:c r="G820" t="n">
        <x:f>Chart_Data!P84</x:f>
        <x:v>-19</x:v>
      </x:c>
      <x:c r="H820" t="n">
        <x:f>Chart_Data!T84</x:f>
        <x:v>24.84511360329656</x:v>
      </x:c>
    </x:row>
    <x:row r="821">
      <x:c r="A821" t="n">
        <x:f>Chart_Data!P85</x:f>
        <x:v>-18.5</x:v>
      </x:c>
      <x:c r="B821" t="n">
        <x:f>Chart_Data!Q85</x:f>
        <x:v>158.1184436692638</x:v>
      </x:c>
      <x:c r="C821" t="n">
        <x:f>Chart_Data!P85</x:f>
        <x:v>-18.5</x:v>
      </x:c>
      <x:c r="D821" t="n">
        <x:f>Chart_Data!R85</x:f>
        <x:v>191.40687485714807</x:v>
      </x:c>
      <x:c r="E821" t="n">
        <x:f>Chart_Data!P85</x:f>
        <x:v>-18.5</x:v>
      </x:c>
      <x:c r="F821" t="n">
        <x:f>Chart_Data!S85</x:f>
        <x:v>23.74150805844802</x:v>
      </x:c>
      <x:c r="G821" t="n">
        <x:f>Chart_Data!P85</x:f>
        <x:v>-18.5</x:v>
      </x:c>
      <x:c r="H821" t="n">
        <x:f>Chart_Data!T85</x:f>
        <x:v>28.739770999571785</x:v>
      </x:c>
    </x:row>
    <x:row r="822">
      <x:c r="A822" t="n">
        <x:f>Chart_Data!P86</x:f>
        <x:v>-18</x:v>
      </x:c>
      <x:c r="B822" t="n">
        <x:f>Chart_Data!Q86</x:f>
        <x:v>153.85865527787246</x:v>
      </x:c>
      <x:c r="C822" t="n">
        <x:f>Chart_Data!P86</x:f>
        <x:v>-18</x:v>
      </x:c>
      <x:c r="D822" t="n">
        <x:f>Chart_Data!R86</x:f>
        <x:v>203.94346546299857</x:v>
      </x:c>
      <x:c r="E822" t="n">
        <x:f>Chart_Data!P86</x:f>
        <x:v>-18</x:v>
      </x:c>
      <x:c r="F822" t="n">
        <x:f>Chart_Data!S86</x:f>
        <x:v>23.101900191872744</x:v>
      </x:c>
      <x:c r="G822" t="n">
        <x:f>Chart_Data!P86</x:f>
        <x:v>-18</x:v>
      </x:c>
      <x:c r="H822" t="n">
        <x:f>Chart_Data!T86</x:f>
        <x:v>30.6221419614112</x:v>
      </x:c>
    </x:row>
    <x:row r="823">
      <x:c r="A823" t="n">
        <x:f>Chart_Data!P87</x:f>
        <x:v>-17.5</x:v>
      </x:c>
      <x:c r="B823" t="n">
        <x:f>Chart_Data!Q87</x:f>
        <x:v>149.59774689641563</x:v>
      </x:c>
      <x:c r="C823" t="n">
        <x:f>Chart_Data!P87</x:f>
        <x:v>-17.5</x:v>
      </x:c>
      <x:c r="D823" t="n">
        <x:f>Chart_Data!R87</x:f>
        <x:v>132.74258327064672</x:v>
      </x:c>
      <x:c r="E823" t="n">
        <x:f>Chart_Data!P87</x:f>
        <x:v>-17.5</x:v>
      </x:c>
      <x:c r="F823" t="n">
        <x:f>Chart_Data!S87</x:f>
        <x:v>22.462124158620966</x:v>
      </x:c>
      <x:c r="G823" t="n">
        <x:f>Chart_Data!P87</x:f>
        <x:v>-17.5</x:v>
      </x:c>
      <x:c r="H823" t="n">
        <x:f>Chart_Data!T87</x:f>
        <x:v>19.931318809406417</x:v>
      </x:c>
    </x:row>
    <x:row r="824">
      <x:c r="A824" t="n">
        <x:f>Chart_Data!P88</x:f>
        <x:v>-17</x:v>
      </x:c>
      <x:c r="B824" t="n">
        <x:f>Chart_Data!Q88</x:f>
        <x:v>145.33574898605366</x:v>
      </x:c>
      <x:c r="C824" t="n">
        <x:f>Chart_Data!P88</x:f>
        <x:v>-17</x:v>
      </x:c>
      <x:c r="D824" t="n">
        <x:f>Chart_Data!R88</x:f>
        <x:v>129.62617697667156</x:v>
      </x:c>
      <x:c r="E824" t="n">
        <x:f>Chart_Data!P88</x:f>
        <x:v>-17</x:v>
      </x:c>
      <x:c r="F824" t="n">
        <x:f>Chart_Data!S88</x:f>
        <x:v>21.82218453244049</x:v>
      </x:c>
      <x:c r="G824" t="n">
        <x:f>Chart_Data!P88</x:f>
        <x:v>-17</x:v>
      </x:c>
      <x:c r="H824" t="n">
        <x:f>Chart_Data!T88</x:f>
        <x:v>19.463389936437174</x:v>
      </x:c>
    </x:row>
    <x:row r="825">
      <x:c r="A825" t="n">
        <x:f>Chart_Data!P89</x:f>
        <x:v>-16.5</x:v>
      </x:c>
      <x:c r="B825" t="n">
        <x:f>Chart_Data!Q89</x:f>
        <x:v>141.07269207324862</x:v>
      </x:c>
      <x:c r="C825" t="n">
        <x:f>Chart_Data!P89</x:f>
        <x:v>-16.5</x:v>
      </x:c>
      <x:c r="D825" t="n">
        <x:f>Chart_Data!R89</x:f>
        <x:v>192.02559108462083</x:v>
      </x:c>
      <x:c r="E825" t="n">
        <x:f>Chart_Data!P89</x:f>
        <x:v>-16.5</x:v>
      </x:c>
      <x:c r="F825" t="n">
        <x:f>Chart_Data!S89</x:f>
        <x:v>21.18208589688418</x:v>
      </x:c>
      <x:c r="G825" t="n">
        <x:f>Chart_Data!P89</x:f>
        <x:v>-16.5</x:v>
      </x:c>
      <x:c r="H825" t="n">
        <x:f>Chart_Data!T89</x:f>
        <x:v>28.832671334027154</x:v>
      </x:c>
    </x:row>
    <x:row r="826">
      <x:c r="A826" t="n">
        <x:f>Chart_Data!P90</x:f>
        <x:v>-16</x:v>
      </x:c>
      <x:c r="B826" t="n">
        <x:f>Chart_Data!Q90</x:f>
        <x:v>136.80860673657662</x:v>
      </x:c>
      <x:c r="C826" t="n">
        <x:f>Chart_Data!P90</x:f>
        <x:v>-16</x:v>
      </x:c>
      <x:c r="D826" t="n">
        <x:f>Chart_Data!R90</x:f>
        <x:v>165.6403437944391</x:v>
      </x:c>
      <x:c r="E826" t="n">
        <x:f>Chart_Data!P90</x:f>
        <x:v>-16</x:v>
      </x:c>
      <x:c r="F826" t="n">
        <x:f>Chart_Data!S90</x:f>
        <x:v>20.541832843329825</x:v>
      </x:c>
      <x:c r="G826" t="n">
        <x:f>Chart_Data!P90</x:f>
        <x:v>-16</x:v>
      </x:c>
      <x:c r="H826" t="n">
        <x:f>Chart_Data!T90</x:f>
        <x:v>24.870922491657524</x:v>
      </x:c>
    </x:row>
    <x:row r="827">
      <x:c r="A827" t="n">
        <x:f>Chart_Data!P91</x:f>
        <x:v>-15.5</x:v>
      </x:c>
      <x:c r="B827" t="n">
        <x:f>Chart_Data!Q91</x:f>
        <x:v>132.5435235945406</x:v>
      </x:c>
      <x:c r="C827" t="n">
        <x:f>Chart_Data!P91</x:f>
        <x:v>-15.5</x:v>
      </x:c>
      <x:c r="D827" t="n">
        <x:f>Chart_Data!R91</x:f>
        <x:v>137.95639615773325</x:v>
      </x:c>
      <x:c r="E827" t="n">
        <x:f>Chart_Data!P91</x:f>
        <x:v>-15.5</x:v>
      </x:c>
      <x:c r="F827" t="n">
        <x:f>Chart_Data!S91</x:f>
        <x:v>19.901429969150243</x:v>
      </x:c>
      <x:c r="G827" t="n">
        <x:f>Chart_Data!P91</x:f>
        <x:v>-15.5</x:v>
      </x:c>
      <x:c r="H827" t="n">
        <x:f>Chart_Data!T91</x:f>
        <x:v>20.714173597257247</x:v>
      </x:c>
    </x:row>
    <x:row r="828">
      <x:c r="A828" t="n">
        <x:f>Chart_Data!P92</x:f>
        <x:v>-15</x:v>
      </x:c>
      <x:c r="B828" t="n">
        <x:f>Chart_Data!Q92</x:f>
        <x:v>128.2774733243059</x:v>
      </x:c>
      <x:c r="C828" t="n">
        <x:f>Chart_Data!P92</x:f>
        <x:v>-15</x:v>
      </x:c>
      <x:c r="D828" t="n">
        <x:f>Chart_Data!R92</x:f>
        <x:v>160.4549174724525</x:v>
      </x:c>
      <x:c r="E828" t="n">
        <x:f>Chart_Data!P92</x:f>
        <x:v>-15</x:v>
      </x:c>
      <x:c r="F828" t="n">
        <x:f>Chart_Data!S92</x:f>
        <x:v>19.260881880526412</x:v>
      </x:c>
      <x:c r="G828" t="n">
        <x:f>Chart_Data!P92</x:f>
        <x:v>-15</x:v>
      </x:c>
      <x:c r="H828" t="n">
        <x:f>Chart_Data!T92</x:f>
        <x:v>24.092329950818698</x:v>
      </x:c>
    </x:row>
    <x:row r="829">
      <x:c r="A829" t="n">
        <x:f>Chart_Data!P93</x:f>
        <x:v>-14.5</x:v>
      </x:c>
      <x:c r="B829" t="n">
        <x:f>Chart_Data!Q93</x:f>
        <x:v>124.0104866564252</x:v>
      </x:c>
      <x:c r="C829" t="n">
        <x:f>Chart_Data!P93</x:f>
        <x:v>-14.5</x:v>
      </x:c>
      <x:c r="D829" t="n">
        <x:f>Chart_Data!R93</x:f>
        <x:v>131.00044031953075</x:v>
      </x:c>
      <x:c r="E829" t="n">
        <x:f>Chart_Data!P93</x:f>
        <x:v>-14.5</x:v>
      </x:c>
      <x:c r="F829" t="n">
        <x:f>Chart_Data!S93</x:f>
        <x:v>18.62019319165544</x:v>
      </x:c>
      <x:c r="G829" t="n">
        <x:f>Chart_Data!P93</x:f>
        <x:v>-14.5</x:v>
      </x:c>
      <x:c r="H829" t="n">
        <x:f>Chart_Data!T93</x:f>
        <x:v>19.669735783713328</x:v>
      </x:c>
    </x:row>
    <x:row r="830">
      <x:c r="A830" t="n">
        <x:f>Chart_Data!P94</x:f>
        <x:v>-14</x:v>
      </x:c>
      <x:c r="B830" t="n">
        <x:f>Chart_Data!Q94</x:f>
        <x:v>119.7425943531016</x:v>
      </x:c>
      <x:c r="C830" t="n">
        <x:f>Chart_Data!P94</x:f>
        <x:v>-14</x:v>
      </x:c>
      <x:c r="D830" t="n">
        <x:f>Chart_Data!R94</x:f>
        <x:v>109.40700518340236</x:v>
      </x:c>
      <x:c r="E830" t="n">
        <x:f>Chart_Data!P94</x:f>
        <x:v>-14</x:v>
      </x:c>
      <x:c r="F830" t="n">
        <x:f>Chart_Data!S94</x:f>
        <x:v>17.979368521486727</x:v>
      </x:c>
      <x:c r="G830" t="n">
        <x:f>Chart_Data!P94</x:f>
        <x:v>-14</x:v>
      </x:c>
      <x:c r="H830" t="n">
        <x:f>Chart_Data!T94</x:f>
        <x:v>16.427478255766122</x:v>
      </x:c>
    </x:row>
    <x:row r="831">
      <x:c r="A831" t="n">
        <x:f>Chart_Data!P95</x:f>
        <x:v>-13.5</x:v>
      </x:c>
      <x:c r="B831" t="n">
        <x:f>Chart_Data!Q95</x:f>
        <x:v>115.4738272234681</x:v>
      </x:c>
      <x:c r="C831" t="n">
        <x:f>Chart_Data!P95</x:f>
        <x:v>-13.5</x:v>
      </x:c>
      <x:c r="D831" t="n">
        <x:f>Chart_Data!R95</x:f>
        <x:v>134.57088687846408</x:v>
      </x:c>
      <x:c r="E831" t="n">
        <x:f>Chart_Data!P95</x:f>
        <x:v>-13.5</x:v>
      </x:c>
      <x:c r="F831" t="n">
        <x:f>Chart_Data!S95</x:f>
        <x:v>17.338412496016232</x:v>
      </x:c>
      <x:c r="G831" t="n">
        <x:f>Chart_Data!P95</x:f>
        <x:v>-13.5</x:v>
      </x:c>
      <x:c r="H831" t="n">
        <x:f>Chart_Data!T95</x:f>
        <x:v>20.205838870640253</x:v>
      </x:c>
    </x:row>
    <x:row r="832">
      <x:c r="A832" t="n">
        <x:f>Chart_Data!P96</x:f>
        <x:v>-13</x:v>
      </x:c>
      <x:c r="B832" t="n">
        <x:f>Chart_Data!Q96</x:f>
        <x:v>111.20421613486542</x:v>
      </x:c>
      <x:c r="C832" t="n">
        <x:f>Chart_Data!P96</x:f>
        <x:v>-13</x:v>
      </x:c>
      <x:c r="D832" t="n">
        <x:f>Chart_Data!R96</x:f>
        <x:v>159.26135976260412</x:v>
      </x:c>
      <x:c r="E832" t="n">
        <x:f>Chart_Data!P96</x:f>
        <x:v>-13</x:v>
      </x:c>
      <x:c r="F832" t="n">
        <x:f>Chart_Data!S96</x:f>
        <x:v>16.697329749979794</x:v>
      </x:c>
      <x:c r="G832" t="n">
        <x:f>Chart_Data!P96</x:f>
        <x:v>-13</x:v>
      </x:c>
      <x:c r="H832" t="n">
        <x:f>Chart_Data!T96</x:f>
        <x:v>23.91311708147209</x:v>
      </x:c>
    </x:row>
    <x:row r="833">
      <x:c r="A833" t="n">
        <x:f>Chart_Data!P97</x:f>
        <x:v>-12.5</x:v>
      </x:c>
      <x:c r="B833" t="n">
        <x:f>Chart_Data!Q97</x:f>
        <x:v>106.9337919834652</x:v>
      </x:c>
      <x:c r="C833" t="n">
        <x:f>Chart_Data!P97</x:f>
        <x:v>-12.5</x:v>
      </x:c>
      <x:c r="D833" t="n">
        <x:f>Chart_Data!R97</x:f>
        <x:v>115.15921534473819</x:v>
      </x:c>
      <x:c r="E833" t="n">
        <x:f>Chart_Data!P97</x:f>
        <x:v>-12.5</x:v>
      </x:c>
      <x:c r="F833" t="n">
        <x:f>Chart_Data!S97</x:f>
        <x:v>16.056124922442223</x:v>
      </x:c>
      <x:c r="G833" t="n">
        <x:f>Chart_Data!P97</x:f>
        <x:v>-12.5</x:v>
      </x:c>
      <x:c r="H833" t="n">
        <x:f>Chart_Data!T97</x:f>
        <x:v>17.291173475185914</x:v>
      </x:c>
    </x:row>
    <x:row r="834">
      <x:c r="A834" t="n">
        <x:f>Chart_Data!P98</x:f>
        <x:v>-12</x:v>
      </x:c>
      <x:c r="B834" t="n">
        <x:f>Chart_Data!Q98</x:f>
        <x:v>102.66258570945865</x:v>
      </x:c>
      <x:c r="C834" t="n">
        <x:f>Chart_Data!P98</x:f>
        <x:v>-12</x:v>
      </x:c>
      <x:c r="D834" t="n">
        <x:f>Chart_Data!R98</x:f>
        <x:v>118.75489251451654</x:v>
      </x:c>
      <x:c r="E834" t="n">
        <x:f>Chart_Data!P98</x:f>
        <x:v>-12</x:v>
      </x:c>
      <x:c r="F834" t="n">
        <x:f>Chart_Data!S98</x:f>
        <x:v>15.414802659077877</x:v>
      </x:c>
      <x:c r="G834" t="n">
        <x:f>Chart_Data!P98</x:f>
        <x:v>-12</x:v>
      </x:c>
      <x:c r="H834" t="n">
        <x:f>Chart_Data!T98</x:f>
        <x:v>17.831064942119603</x:v>
      </x:c>
    </x:row>
    <x:row r="835">
      <x:c r="A835" t="n">
        <x:f>Chart_Data!P99</x:f>
        <x:v>-11.5</x:v>
      </x:c>
      <x:c r="B835" t="n">
        <x:f>Chart_Data!Q99</x:f>
        <x:v>98.39062828850729</x:v>
      </x:c>
      <x:c r="C835" t="n">
        <x:f>Chart_Data!P99</x:f>
        <x:v>-11.5</x:v>
      </x:c>
      <x:c r="D835" t="n">
        <x:f>Chart_Data!R99</x:f>
        <x:v>137.6040267078679</x:v>
      </x:c>
      <x:c r="E835" t="n">
        <x:f>Chart_Data!P99</x:f>
        <x:v>-11.5</x:v>
      </x:c>
      <x:c r="F835" t="n">
        <x:f>Chart_Data!S99</x:f>
        <x:v>14.77336761088698</x:v>
      </x:c>
      <x:c r="G835" t="n">
        <x:f>Chart_Data!P99</x:f>
        <x:v>-11.5</x:v>
      </x:c>
      <x:c r="H835" t="n">
        <x:f>Chart_Data!T99</x:f>
        <x:v>20.661265271451636</x:v>
      </x:c>
    </x:row>
    <x:row r="836">
      <x:c r="A836" t="n">
        <x:f>Chart_Data!P100</x:f>
        <x:v>-11</x:v>
      </x:c>
      <x:c r="B836" t="n">
        <x:f>Chart_Data!Q100</x:f>
        <x:v>94.1179507391098</x:v>
      </x:c>
      <x:c r="C836" t="n">
        <x:f>Chart_Data!P100</x:f>
        <x:v>-11</x:v>
      </x:c>
      <x:c r="D836" t="n">
        <x:f>Chart_Data!R100</x:f>
        <x:v>112.0371558296938</x:v>
      </x:c>
      <x:c r="E836" t="n">
        <x:f>Chart_Data!P100</x:f>
        <x:v>-11</x:v>
      </x:c>
      <x:c r="F836" t="n">
        <x:f>Chart_Data!S100</x:f>
        <x:v>14.131824435301773</x:v>
      </x:c>
      <x:c r="G836" t="n">
        <x:f>Chart_Data!P100</x:f>
        <x:v>-11</x:v>
      </x:c>
      <x:c r="H836" t="n">
        <x:f>Chart_Data!T100</x:f>
        <x:v>16.822395770224297</x:v>
      </x:c>
    </x:row>
    <x:row r="837">
      <x:c r="A837" t="n">
        <x:f>Chart_Data!P101</x:f>
        <x:v>-10.5</x:v>
      </x:c>
      <x:c r="B837" t="n">
        <x:f>Chart_Data!Q101</x:f>
        <x:v>89.8445841135981</x:v>
      </x:c>
      <x:c r="C837" t="n">
        <x:f>Chart_Data!P101</x:f>
        <x:v>-10.5</x:v>
      </x:c>
      <x:c r="D837" t="n">
        <x:f>Chart_Data!R101</x:f>
        <x:v>104.22636697785492</x:v>
      </x:c>
      <x:c r="E837" t="n">
        <x:f>Chart_Data!P101</x:f>
        <x:v>-10.5</x:v>
      </x:c>
      <x:c r="F837" t="n">
        <x:f>Chart_Data!S101</x:f>
        <x:v>13.490177794834551</x:v>
      </x:c>
      <x:c r="G837" t="n">
        <x:f>Chart_Data!P101</x:f>
        <x:v>-10.5</x:v>
      </x:c>
      <x:c r="H837" t="n">
        <x:f>Chart_Data!T101</x:f>
        <x:v>15.64960465132957</x:v>
      </x:c>
    </x:row>
    <x:row r="838">
      <x:c r="A838" t="n">
        <x:f>Chart_Data!P102</x:f>
        <x:v>-10</x:v>
      </x:c>
      <x:c r="B838" t="n">
        <x:f>Chart_Data!Q102</x:f>
        <x:v>85.5705594970459</x:v>
      </x:c>
      <x:c r="C838" t="n">
        <x:f>Chart_Data!P102</x:f>
        <x:v>-10</x:v>
      </x:c>
      <x:c r="D838" t="n">
        <x:f>Chart_Data!R102</x:f>
        <x:v>86.40918325254461</x:v>
      </x:c>
      <x:c r="E838" t="n">
        <x:f>Chart_Data!P102</x:f>
        <x:v>-10</x:v>
      </x:c>
      <x:c r="F838" t="n">
        <x:f>Chart_Data!S102</x:f>
        <x:v>12.8484323569138</x:v>
      </x:c>
      <x:c r="G838" t="n">
        <x:f>Chart_Data!P102</x:f>
        <x:v>-10</x:v>
      </x:c>
      <x:c r="H838" t="n">
        <x:f>Chart_Data!T102</x:f>
        <x:v>12.974351839721415</x:v>
      </x:c>
    </x:row>
    <x:row r="839">
      <x:c r="A839" t="n">
        <x:f>Chart_Data!P103</x:f>
        <x:v>-9.5</x:v>
      </x:c>
      <x:c r="B839" t="n">
        <x:f>Chart_Data!Q103</x:f>
        <x:v>81.2959080145447</x:v>
      </x:c>
      <x:c r="C839" t="n">
        <x:f>Chart_Data!P103</x:f>
        <x:v>-9.5</x:v>
      </x:c>
      <x:c r="D839" t="n">
        <x:f>Chart_Data!R103</x:f>
        <x:v>95.88133801144068</x:v>
      </x:c>
      <x:c r="E839" t="n">
        <x:f>Chart_Data!P103</x:f>
        <x:v>-9.5</x:v>
      </x:c>
      <x:c r="F839" t="n">
        <x:f>Chart_Data!S103</x:f>
        <x:v>12.206592794976682</x:v>
      </x:c>
      <x:c r="G839" t="n">
        <x:f>Chart_Data!P103</x:f>
        <x:v>-9.5</x:v>
      </x:c>
      <x:c r="H839" t="n">
        <x:f>Chart_Data!T103</x:f>
        <x:v>14.396597299015118</x:v>
      </x:c>
    </x:row>
    <x:row r="840">
      <x:c r="A840" t="n">
        <x:f>Chart_Data!P104</x:f>
        <x:v>-9</x:v>
      </x:c>
      <x:c r="B840" t="n">
        <x:f>Chart_Data!Q104</x:f>
        <x:v>77.0206608074659</x:v>
      </x:c>
      <x:c r="C840" t="n">
        <x:f>Chart_Data!P104</x:f>
        <x:v>-9</x:v>
      </x:c>
      <x:c r="D840" t="n">
        <x:f>Chart_Data!R104</x:f>
        <x:v>61.203996322819876</x:v>
      </x:c>
      <x:c r="E840" t="n">
        <x:f>Chart_Data!P104</x:f>
        <x:v>-9</x:v>
      </x:c>
      <x:c r="F840" t="n">
        <x:f>Chart_Data!S104</x:f>
        <x:v>11.564663784904791</x:v>
      </x:c>
      <x:c r="G840" t="n">
        <x:f>Chart_Data!P104</x:f>
        <x:v>-9</x:v>
      </x:c>
      <x:c r="H840" t="n">
        <x:f>Chart_Data!T104</x:f>
        <x:v>9.189789237660642</x:v>
      </x:c>
    </x:row>
    <x:row r="841">
      <x:c r="A841" t="n">
        <x:f>Chart_Data!P105</x:f>
        <x:v>-8.5</x:v>
      </x:c>
      <x:c r="B841" t="n">
        <x:f>Chart_Data!Q105</x:f>
        <x:v>72.74484905628924</x:v>
      </x:c>
      <x:c r="C841" t="n">
        <x:f>Chart_Data!P105</x:f>
        <x:v>-8.5</x:v>
      </x:c>
      <x:c r="D841" t="n">
        <x:f>Chart_Data!R105</x:f>
        <x:v>64.91178834112361</x:v>
      </x:c>
      <x:c r="E841" t="n">
        <x:f>Chart_Data!P105</x:f>
        <x:v>-8.5</x:v>
      </x:c>
      <x:c r="F841" t="n">
        <x:f>Chart_Data!S105</x:f>
        <x:v>10.92265000845184</x:v>
      </x:c>
      <x:c r="G841" t="n">
        <x:f>Chart_Data!P105</x:f>
        <x:v>-8.5</x:v>
      </x:c>
      <x:c r="H841" t="n">
        <x:f>Chart_Data!T105</x:f>
        <x:v>9.746514765934476</x:v>
      </x:c>
    </x:row>
    <x:row r="842">
      <x:c r="A842" t="n">
        <x:f>Chart_Data!P106</x:f>
        <x:v>-8</x:v>
      </x:c>
      <x:c r="B842" t="n">
        <x:f>Chart_Data!Q106</x:f>
        <x:v>68.46850397168964</x:v>
      </x:c>
      <x:c r="C842" t="n">
        <x:f>Chart_Data!P106</x:f>
        <x:v>-8</x:v>
      </x:c>
      <x:c r="D842" t="n">
        <x:f>Chart_Data!R106</x:f>
        <x:v>83.90391525563246</x:v>
      </x:c>
      <x:c r="E842" t="n">
        <x:f>Chart_Data!P106</x:f>
        <x:v>-8</x:v>
      </x:c>
      <x:c r="F842" t="n">
        <x:f>Chart_Data!S106</x:f>
        <x:v>10.280556151905353</x:v>
      </x:c>
      <x:c r="G842" t="n">
        <x:f>Chart_Data!P106</x:f>
        <x:v>-8</x:v>
      </x:c>
      <x:c r="H842" t="n">
        <x:f>Chart_Data!T106</x:f>
        <x:v>12.598185473818688</x:v>
      </x:c>
    </x:row>
    <x:row r="843">
      <x:c r="A843" t="n">
        <x:f>Chart_Data!P107</x:f>
        <x:v>-7.5</x:v>
      </x:c>
      <x:c r="B843" t="n">
        <x:f>Chart_Data!Q107</x:f>
        <x:v>64.19165678507852</x:v>
      </x:c>
      <x:c r="C843" t="n">
        <x:f>Chart_Data!P107</x:f>
        <x:v>-7.5</x:v>
      </x:c>
      <x:c r="D843" t="n">
        <x:f>Chart_Data!R107</x:f>
        <x:v>12.086959146927256</x:v>
      </x:c>
      <x:c r="E843" t="n">
        <x:f>Chart_Data!P107</x:f>
        <x:v>-7.5</x:v>
      </x:c>
      <x:c r="F843" t="n">
        <x:f>Chart_Data!S107</x:f>
        <x:v>9.638386904666445</x:v>
      </x:c>
      <x:c r="G843" t="n">
        <x:f>Chart_Data!P107</x:f>
        <x:v>-7.5</x:v>
      </x:c>
      <x:c r="H843" t="n">
        <x:f>Chart_Data!T107</x:f>
        <x:v>1.8148587307698585</x:v>
      </x:c>
    </x:row>
    <x:row r="844">
      <x:c r="A844" t="n">
        <x:f>Chart_Data!P108</x:f>
        <x:v>-7</x:v>
      </x:c>
      <x:c r="B844" t="n">
        <x:f>Chart_Data!Q108</x:f>
        <x:v>59.914338766157016</x:v>
      </x:c>
      <x:c r="C844" t="n">
        <x:f>Chart_Data!P108</x:f>
        <x:v>-7</x:v>
      </x:c>
      <x:c r="D844" t="n">
        <x:f>Chart_Data!R108</x:f>
        <x:v>36.91531491022033</x:v>
      </x:c>
      <x:c r="E844" t="n">
        <x:f>Chart_Data!P108</x:f>
        <x:v>-7</x:v>
      </x:c>
      <x:c r="F844" t="n">
        <x:f>Chart_Data!S108</x:f>
        <x:v>8.996146961885438</x:v>
      </x:c>
      <x:c r="G844" t="n">
        <x:f>Chart_Data!P108</x:f>
        <x:v>-7</x:v>
      </x:c>
      <x:c r="H844" t="n">
        <x:f>Chart_Data!T108</x:f>
        <x:v>5.54284007660966</x:v>
      </x:c>
    </x:row>
    <x:row r="845">
      <x:c r="A845" t="n">
        <x:f>Chart_Data!P109</x:f>
        <x:v>-6.5</x:v>
      </x:c>
      <x:c r="B845" t="n">
        <x:f>Chart_Data!Q109</x:f>
        <x:v>55.63658118935564</x:v>
      </x:c>
      <x:c r="C845" t="n">
        <x:f>Chart_Data!P109</x:f>
        <x:v>-6.5</x:v>
      </x:c>
      <x:c r="D845" t="n">
        <x:f>Chart_Data!R109</x:f>
        <x:v>63.33079653877576</x:v>
      </x:c>
      <x:c r="E845" t="n">
        <x:f>Chart_Data!P109</x:f>
        <x:v>-6.5</x:v>
      </x:c>
      <x:c r="F845" t="n">
        <x:f>Chart_Data!S109</x:f>
        <x:v>8.353841019422768</x:v>
      </x:c>
      <x:c r="G845" t="n">
        <x:f>Chart_Data!P109</x:f>
        <x:v>-6.5</x:v>
      </x:c>
      <x:c r="H845" t="n">
        <x:f>Chart_Data!T109</x:f>
        <x:v>9.50912860942579</x:v>
      </x:c>
    </x:row>
    <x:row r="846">
      <x:c r="A846" t="n">
        <x:f>Chart_Data!P110</x:f>
        <x:v>-6</x:v>
      </x:c>
      <x:c r="B846" t="n">
        <x:f>Chart_Data!Q110</x:f>
        <x:v>51.35841535866348</x:v>
      </x:c>
      <x:c r="C846" t="n">
        <x:f>Chart_Data!P110</x:f>
        <x:v>-6</x:v>
      </x:c>
      <x:c r="D846" t="n">
        <x:f>Chart_Data!R110</x:f>
        <x:v>21.772271344889305</x:v>
      </x:c>
      <x:c r="E846" t="n">
        <x:f>Chart_Data!P110</x:f>
        <x:v>-6</x:v>
      </x:c>
      <x:c r="F846" t="n">
        <x:f>Chart_Data!S110</x:f>
        <x:v>7.711473777577099</x:v>
      </x:c>
      <x:c r="G846" t="n">
        <x:f>Chart_Data!P110</x:f>
        <x:v>-6</x:v>
      </x:c>
      <x:c r="H846" t="n">
        <x:f>Chart_Data!T110</x:f>
        <x:v>3.269109811544941</x:v>
      </x:c>
    </x:row>
    <x:row r="847">
      <x:c r="A847" t="n">
        <x:f>Chart_Data!P111</x:f>
        <x:v>-5.5</x:v>
      </x:c>
      <x:c r="B847" t="n">
        <x:f>Chart_Data!Q111</x:f>
        <x:v>47.07987260953814</x:v>
      </x:c>
      <x:c r="C847" t="n">
        <x:f>Chart_Data!P111</x:f>
        <x:v>-5.5</x:v>
      </x:c>
      <x:c r="D847" t="n">
        <x:f>Chart_Data!R111</x:f>
        <x:v>13.213910555714392</x:v>
      </x:c>
      <x:c r="E847" t="n">
        <x:f>Chart_Data!P111</x:f>
        <x:v>-5.5</x:v>
      </x:c>
      <x:c r="F847" t="n">
        <x:f>Chart_Data!S111</x:f>
        <x:v>7.069049941372094</x:v>
      </x:c>
      <x:c r="G847" t="n">
        <x:f>Chart_Data!P111</x:f>
        <x:v>-5.5</x:v>
      </x:c>
      <x:c r="H847" t="n">
        <x:f>Chart_Data!T111</x:f>
        <x:v>1.98407065401117</x:v>
      </x:c>
    </x:row>
    <x:row r="848">
      <x:c r="A848" t="n">
        <x:f>Chart_Data!P112</x:f>
        <x:v>-5</x:v>
      </x:c>
      <x:c r="B848" t="n">
        <x:f>Chart_Data!Q112</x:f>
        <x:v>42.80098427389021</x:v>
      </x:c>
      <x:c r="C848" t="n">
        <x:f>Chart_Data!P112</x:f>
        <x:v>-5</x:v>
      </x:c>
      <x:c r="D848" t="n">
        <x:f>Chart_Data!R112</x:f>
        <x:v>20.623816407260165</x:v>
      </x:c>
      <x:c r="E848" t="n">
        <x:f>Chart_Data!P112</x:f>
        <x:v>-5</x:v>
      </x:c>
      <x:c r="F848" t="n">
        <x:f>Chart_Data!S112</x:f>
        <x:v>6.426574215298831</x:v>
      </x:c>
      <x:c r="G848" t="n">
        <x:f>Chart_Data!P112</x:f>
        <x:v>-5</x:v>
      </x:c>
      <x:c r="H848" t="n">
        <x:f>Chart_Data!T112</x:f>
        <x:v>3.096669130219244</x:v>
      </x:c>
    </x:row>
    <x:row r="849">
      <x:c r="A849" t="n">
        <x:f>Chart_Data!P113</x:f>
        <x:v>-4.5</x:v>
      </x:c>
      <x:c r="B849" t="n">
        <x:f>Chart_Data!Q113</x:f>
        <x:v>38.521781712279335</x:v>
      </x:c>
      <x:c r="C849" t="n">
        <x:f>Chart_Data!P113</x:f>
        <x:v>-4.5</x:v>
      </x:c>
      <x:c r="D849" t="n">
        <x:f>Chart_Data!R113</x:f>
        <x:v>37.7856622314539</x:v>
      </x:c>
      <x:c r="E849" t="n">
        <x:f>Chart_Data!P113</x:f>
        <x:v>-4.5</x:v>
      </x:c>
      <x:c r="F849" t="n">
        <x:f>Chart_Data!S113</x:f>
        <x:v>5.784051308150051</x:v>
      </x:c>
      <x:c r="G849" t="n">
        <x:f>Chart_Data!P113</x:f>
        <x:v>-4.5</x:v>
      </x:c>
      <x:c r="H849" t="n">
        <x:f>Chart_Data!T113</x:f>
        <x:v>5.67352285757566</x:v>
      </x:c>
    </x:row>
    <x:row r="850">
      <x:c r="A850" t="n">
        <x:f>Chart_Data!P114</x:f>
        <x:v>-4</x:v>
      </x:c>
      <x:c r="B850" t="n">
        <x:f>Chart_Data!Q114</x:f>
        <x:v>34.24229631555136</x:v>
      </x:c>
      <x:c r="C850" t="n">
        <x:f>Chart_Data!P114</x:f>
        <x:v>-4</x:v>
      </x:c>
      <x:c r="D850" t="n">
        <x:f>Chart_Data!R114</x:f>
        <x:v>5.015861759875406</x:v>
      </x:c>
      <x:c r="E850" t="n">
        <x:f>Chart_Data!P114</x:f>
        <x:v>-4</x:v>
      </x:c>
      <x:c r="F850" t="n">
        <x:f>Chart_Data!S114</x:f>
        <x:v>5.14148593326597</x:v>
      </x:c>
      <x:c r="G850" t="n">
        <x:f>Chart_Data!P114</x:f>
        <x:v>-4</x:v>
      </x:c>
      <x:c r="H850" t="n">
        <x:f>Chart_Data!T114</x:f>
        <x:v>0.7531323963776887</x:v>
      </x:c>
    </x:row>
    <x:row r="851">
      <x:c r="A851" t="n">
        <x:f>Chart_Data!P115</x:f>
        <x:v>-3.5</x:v>
      </x:c>
      <x:c r="B851" t="n">
        <x:f>Chart_Data!Q115</x:f>
        <x:v>29.962559468549443</x:v>
      </x:c>
      <x:c r="C851" t="n">
        <x:f>Chart_Data!P115</x:f>
        <x:v>-3.5</x:v>
      </x:c>
      <x:c r="D851" t="n">
        <x:f>Chart_Data!R115</x:f>
        <x:v>20.627472611704434</x:v>
      </x:c>
      <x:c r="E851" t="n">
        <x:f>Chart_Data!P115</x:f>
        <x:v>-3.5</x:v>
      </x:c>
      <x:c r="F851" t="n">
        <x:f>Chart_Data!S115</x:f>
        <x:v>4.498882803085502</x:v>
      </x:c>
      <x:c r="G851" t="n">
        <x:f>Chart_Data!P115</x:f>
        <x:v>-3.5</x:v>
      </x:c>
      <x:c r="H851" t="n">
        <x:f>Chart_Data!T115</x:f>
        <x:v>3.0972181098655307</x:v>
      </x:c>
    </x:row>
    <x:row r="852">
      <x:c r="A852" t="n">
        <x:f>Chart_Data!P116</x:f>
        <x:v>-3</x:v>
      </x:c>
      <x:c r="B852" t="n">
        <x:f>Chart_Data!Q116</x:f>
        <x:v>25.68260257039583</x:v>
      </x:c>
      <x:c r="C852" t="n">
        <x:f>Chart_Data!P116</x:f>
        <x:v>-3</x:v>
      </x:c>
      <x:c r="D852" t="n">
        <x:f>Chart_Data!R116</x:f>
        <x:v>51.23987583838243</x:v>
      </x:c>
      <x:c r="E852" t="n">
        <x:f>Chart_Data!P116</x:f>
        <x:v>-3</x:v>
      </x:c>
      <x:c r="F852" t="n">
        <x:f>Chart_Data!S116</x:f>
        <x:v>3.8562466321915663</x:v>
      </x:c>
      <x:c r="G852" t="n">
        <x:f>Chart_Data!P116</x:f>
        <x:v>-3</x:v>
      </x:c>
      <x:c r="H852" t="n">
        <x:f>Chart_Data!T116</x:f>
        <x:v>7.6936750508081735</x:v>
      </x:c>
    </x:row>
    <x:row r="853">
      <x:c r="A853" t="n">
        <x:f>Chart_Data!P117</x:f>
        <x:v>-2.5</x:v>
      </x:c>
      <x:c r="B853" t="n">
        <x:f>Chart_Data!Q117</x:f>
        <x:v>21.402457042222522</x:v>
      </x:c>
      <x:c r="C853" t="n">
        <x:f>Chart_Data!P117</x:f>
        <x:v>-2.5</x:v>
      </x:c>
      <x:c r="D853" t="n">
        <x:f>Chart_Data!R117</x:f>
        <x:v>46.67733826336189</x:v>
      </x:c>
      <x:c r="E853" t="n">
        <x:f>Chart_Data!P117</x:f>
        <x:v>-2.5</x:v>
      </x:c>
      <x:c r="F853" t="n">
        <x:f>Chart_Data!S117</x:f>
        <x:v>3.2135821384718506</x:v>
      </x:c>
      <x:c r="G853" t="n">
        <x:f>Chart_Data!P117</x:f>
        <x:v>-2.5</x:v>
      </x:c>
      <x:c r="H853" t="n">
        <x:f>Chart_Data!T117</x:f>
        <x:v>7.008609348853137</x:v>
      </x:c>
    </x:row>
    <x:row r="854">
      <x:c r="A854" t="n">
        <x:f>Chart_Data!P118</x:f>
        <x:v>-2</x:v>
      </x:c>
      <x:c r="B854" t="n">
        <x:f>Chart_Data!Q118</x:f>
        <x:v>17.12215430170545</x:v>
      </x:c>
      <x:c r="C854" t="n">
        <x:f>Chart_Data!P118</x:f>
        <x:v>-2</x:v>
      </x:c>
      <x:c r="D854" t="n">
        <x:f>Chart_Data!R118</x:f>
        <x:v>33.29255923435994</x:v>
      </x:c>
      <x:c r="E854" t="n">
        <x:f>Chart_Data!P118</x:f>
        <x:v>-2</x:v>
      </x:c>
      <x:c r="F854" t="n">
        <x:f>Chart_Data!S118</x:f>
        <x:v>2.570894039295113</x:v>
      </x:c>
      <x:c r="G854" t="n">
        <x:f>Chart_Data!P118</x:f>
        <x:v>-2</x:v>
      </x:c>
      <x:c r="H854" t="n">
        <x:f>Chart_Data!T118</x:f>
        <x:v>4.998882767921914</x:v>
      </x:c>
    </x:row>
    <x:row r="855">
      <x:c r="A855" t="n">
        <x:f>Chart_Data!P119</x:f>
        <x:v>-1.5</x:v>
      </x:c>
      <x:c r="B855" t="n">
        <x:f>Chart_Data!Q119</x:f>
        <x:v>12.841725789530756</x:v>
      </x:c>
      <x:c r="C855" t="n">
        <x:f>Chart_Data!P119</x:f>
        <x:v>-1.5</x:v>
      </x:c>
      <x:c r="D855" t="n">
        <x:f>Chart_Data!R119</x:f>
        <x:v>20.845477274997393</x:v>
      </x:c>
      <x:c r="E855" t="n">
        <x:f>Chart_Data!P119</x:f>
        <x:v>-1.5</x:v>
      </x:c>
      <x:c r="F855" t="n">
        <x:f>Chart_Data!S119</x:f>
        <x:v>1.9281870554850986</x:v>
      </x:c>
      <x:c r="G855" t="n">
        <x:f>Chart_Data!P119</x:f>
        <x:v>-1.5</x:v>
      </x:c>
      <x:c r="H855" t="n">
        <x:f>Chart_Data!T119</x:f>
        <x:v>3.1299515427924014</x:v>
      </x:c>
    </x:row>
    <x:row r="856">
      <x:c r="A856" t="n">
        <x:f>Chart_Data!P120</x:f>
        <x:v>-1</x:v>
      </x:c>
      <x:c r="B856" t="n">
        <x:f>Chart_Data!Q120</x:f>
        <x:v>8.561202941109514</x:v>
      </x:c>
      <x:c r="C856" t="n">
        <x:f>Chart_Data!P120</x:f>
        <x:v>-1</x:v>
      </x:c>
      <x:c r="D856" t="n">
        <x:f>Chart_Data!R120</x:f>
        <x:v>77.35858270280005</x:v>
      </x:c>
      <x:c r="E856" t="n">
        <x:f>Chart_Data!P120</x:f>
        <x:v>-1</x:v>
      </x:c>
      <x:c r="F856" t="n">
        <x:f>Chart_Data!S120</x:f>
        <x:v>1.2854659070735006</x:v>
      </x:c>
      <x:c r="G856" t="n">
        <x:f>Chart_Data!P120</x:f>
        <x:v>-1</x:v>
      </x:c>
      <x:c r="H856" t="n">
        <x:f>Chart_Data!T120</x:f>
        <x:v>11.615402808228236</x:v>
      </x:c>
    </x:row>
    <x:row r="857">
      <x:c r="A857" t="n">
        <x:f>Chart_Data!P121</x:f>
        <x:v>-0.5</x:v>
      </x:c>
      <x:c r="B857" t="n">
        <x:f>Chart_Data!Q121</x:f>
        <x:v>4.280617193035141</x:v>
      </x:c>
      <x:c r="C857" t="n">
        <x:f>Chart_Data!P121</x:f>
        <x:v>-0.5</x:v>
      </x:c>
      <x:c r="D857" t="n">
        <x:f>Chart_Data!R121</x:f>
        <x:v>67.21549524045258</x:v>
      </x:c>
      <x:c r="E857" t="n">
        <x:f>Chart_Data!P121</x:f>
        <x:v>-0.5</x:v>
      </x:c>
      <x:c r="F857" t="n">
        <x:f>Chart_Data!S121</x:f>
        <x:v>0.6427353142695408</x:v>
      </x:c>
      <x:c r="G857" t="n">
        <x:f>Chart_Data!P121</x:f>
        <x:v>-0.5</x:v>
      </x:c>
      <x:c r="H857" t="n">
        <x:f>Chart_Data!T121</x:f>
        <x:v>10.09241670277066</x:v>
      </x:c>
    </x:row>
    <x:row r="858">
      <x:c r="A858" t="n">
        <x:f>Chart_Data!P122</x:f>
        <x:v>0</x:v>
      </x:c>
      <x:c r="B858" t="n">
        <x:f>Chart_Data!Q122</x:f>
        <x:v>0</x:v>
      </x:c>
      <x:c r="C858" t="n">
        <x:f>Chart_Data!P122</x:f>
        <x:v>0</x:v>
      </x:c>
      <x:c r="D858" t="n">
        <x:f>Chart_Data!R122</x:f>
        <x:v>13.577875871487777</x:v>
      </x:c>
      <x:c r="E858" t="n">
        <x:f>Chart_Data!P122</x:f>
        <x:v>0</x:v>
      </x:c>
      <x:c r="F858" t="n">
        <x:f>Chart_Data!S122</x:f>
        <x:v>0</x:v>
      </x:c>
      <x:c r="G858" t="n">
        <x:f>Chart_Data!P122</x:f>
        <x:v>0</x:v>
      </x:c>
      <x:c r="H858" t="n">
        <x:f>Chart_Data!T122</x:f>
        <x:v>2.0387201008239906</x:v>
      </x:c>
    </x:row>
    <x:row r="859">
      <x:c r="A859" t="n">
        <x:f>Chart_Data!P123</x:f>
        <x:v>0.5</x:v>
      </x:c>
      <x:c r="B859" t="n">
        <x:f>Chart_Data!Q123</x:f>
        <x:v>-4.280617193035141</x:v>
      </x:c>
      <x:c r="C859" t="n">
        <x:f>Chart_Data!P123</x:f>
        <x:v>0.5</x:v>
      </x:c>
      <x:c r="D859" t="n">
        <x:f>Chart_Data!R123</x:f>
        <x:v>23.04487073324708</x:v>
      </x:c>
      <x:c r="E859" t="n">
        <x:f>Chart_Data!P123</x:f>
        <x:v>0.5</x:v>
      </x:c>
      <x:c r="F859" t="n">
        <x:f>Chart_Data!S123</x:f>
        <x:v>-0.6427353142695408</x:v>
      </x:c>
      <x:c r="G859" t="n">
        <x:f>Chart_Data!P123</x:f>
        <x:v>0.5</x:v>
      </x:c>
      <x:c r="H859" t="n">
        <x:f>Chart_Data!T123</x:f>
        <x:v>3.46019080078785</x:v>
      </x:c>
    </x:row>
    <x:row r="860">
      <x:c r="A860" t="n">
        <x:f>Chart_Data!P124</x:f>
        <x:v>1</x:v>
      </x:c>
      <x:c r="B860" t="n">
        <x:f>Chart_Data!Q124</x:f>
        <x:v>-8.561202941109514</x:v>
      </x:c>
      <x:c r="C860" t="n">
        <x:f>Chart_Data!P124</x:f>
        <x:v>1</x:v>
      </x:c>
      <x:c r="D860" t="n">
        <x:f>Chart_Data!R124</x:f>
        <x:v>45.85282185325923</x:v>
      </x:c>
      <x:c r="E860" t="n">
        <x:f>Chart_Data!P124</x:f>
        <x:v>1</x:v>
      </x:c>
      <x:c r="F860" t="n">
        <x:f>Chart_Data!S124</x:f>
        <x:v>-1.2854659070735006</x:v>
      </x:c>
      <x:c r="G860" t="n">
        <x:f>Chart_Data!P124</x:f>
        <x:v>1</x:v>
      </x:c>
      <x:c r="H860" t="n">
        <x:f>Chart_Data!T124</x:f>
        <x:v>6.88480808607496</x:v>
      </x:c>
    </x:row>
    <x:row r="861">
      <x:c r="A861" t="n">
        <x:f>Chart_Data!P125</x:f>
        <x:v>1.5</x:v>
      </x:c>
      <x:c r="B861" t="n">
        <x:f>Chart_Data!Q125</x:f>
        <x:v>-12.841725789530756</x:v>
      </x:c>
      <x:c r="C861" t="n">
        <x:f>Chart_Data!P125</x:f>
        <x:v>1.5</x:v>
      </x:c>
      <x:c r="D861" t="n">
        <x:f>Chart_Data!R125</x:f>
        <x:v>46.04321213610092</x:v>
      </x:c>
      <x:c r="E861" t="n">
        <x:f>Chart_Data!P125</x:f>
        <x:v>1.5</x:v>
      </x:c>
      <x:c r="F861" t="n">
        <x:f>Chart_Data!S125</x:f>
        <x:v>-1.9281870554850986</x:v>
      </x:c>
      <x:c r="G861" t="n">
        <x:f>Chart_Data!P125</x:f>
        <x:v>1.5</x:v>
      </x:c>
      <x:c r="H861" t="n">
        <x:f>Chart_Data!T125</x:f>
        <x:v>6.91339521563077</x:v>
      </x:c>
    </x:row>
    <x:row r="862">
      <x:c r="A862" t="n">
        <x:f>Chart_Data!P126</x:f>
        <x:v>2</x:v>
      </x:c>
      <x:c r="B862" t="n">
        <x:f>Chart_Data!Q126</x:f>
        <x:v>-17.12215430170545</x:v>
      </x:c>
      <x:c r="C862" t="n">
        <x:f>Chart_Data!P126</x:f>
        <x:v>2</x:v>
      </x:c>
      <x:c r="D862" t="n">
        <x:f>Chart_Data!R126</x:f>
        <x:v>35.28480728100476</x:v>
      </x:c>
      <x:c r="E862" t="n">
        <x:f>Chart_Data!P126</x:f>
        <x:v>2</x:v>
      </x:c>
      <x:c r="F862" t="n">
        <x:f>Chart_Data!S126</x:f>
        <x:v>-2.570894039295113</x:v>
      </x:c>
      <x:c r="G862" t="n">
        <x:f>Chart_Data!P126</x:f>
        <x:v>2</x:v>
      </x:c>
      <x:c r="H862" t="n">
        <x:f>Chart_Data!T126</x:f>
        <x:v>5.2980191112619766</x:v>
      </x:c>
    </x:row>
    <x:row r="863">
      <x:c r="A863" t="n">
        <x:f>Chart_Data!P127</x:f>
        <x:v>2.5</x:v>
      </x:c>
      <x:c r="B863" t="n">
        <x:f>Chart_Data!Q127</x:f>
        <x:v>-21.402457042222522</x:v>
      </x:c>
      <x:c r="C863" t="n">
        <x:f>Chart_Data!P127</x:f>
        <x:v>2.5</x:v>
      </x:c>
      <x:c r="D863" t="n">
        <x:f>Chart_Data!R127</x:f>
        <x:v>-17.696456895737356</x:v>
      </x:c>
      <x:c r="E863" t="n">
        <x:f>Chart_Data!P127</x:f>
        <x:v>2.5</x:v>
      </x:c>
      <x:c r="F863" t="n">
        <x:f>Chart_Data!S127</x:f>
        <x:v>-3.2135821384718506</x:v>
      </x:c>
      <x:c r="G863" t="n">
        <x:f>Chart_Data!P127</x:f>
        <x:v>2.5</x:v>
      </x:c>
      <x:c r="H863" t="n">
        <x:f>Chart_Data!T127</x:f>
        <x:v>-2.657125660020624</x:v>
      </x:c>
    </x:row>
    <x:row r="864">
      <x:c r="A864" t="n">
        <x:f>Chart_Data!P128</x:f>
        <x:v>3</x:v>
      </x:c>
      <x:c r="B864" t="n">
        <x:f>Chart_Data!Q128</x:f>
        <x:v>-25.68260257039583</x:v>
      </x:c>
      <x:c r="C864" t="n">
        <x:f>Chart_Data!P128</x:f>
        <x:v>3</x:v>
      </x:c>
      <x:c r="D864" t="n">
        <x:f>Chart_Data!R128</x:f>
        <x:v>-4.673549830840784</x:v>
      </x:c>
      <x:c r="E864" t="n">
        <x:f>Chart_Data!P128</x:f>
        <x:v>3</x:v>
      </x:c>
      <x:c r="F864" t="n">
        <x:f>Chart_Data!S128</x:f>
        <x:v>-3.8562466321915663</x:v>
      </x:c>
      <x:c r="G864" t="n">
        <x:f>Chart_Data!P128</x:f>
        <x:v>3</x:v>
      </x:c>
      <x:c r="H864" t="n">
        <x:f>Chart_Data!T128</x:f>
        <x:v>-0.7017342088349526</x:v>
      </x:c>
    </x:row>
    <x:row r="865">
      <x:c r="A865" t="n">
        <x:f>Chart_Data!P129</x:f>
        <x:v>3.5</x:v>
      </x:c>
      <x:c r="B865" t="n">
        <x:f>Chart_Data!Q129</x:f>
        <x:v>-29.962559468549443</x:v>
      </x:c>
      <x:c r="C865" t="n">
        <x:f>Chart_Data!P129</x:f>
        <x:v>3.5</x:v>
      </x:c>
      <x:c r="D865" t="n">
        <x:f>Chart_Data!R129</x:f>
        <x:v>9.605232374906336</x:v>
      </x:c>
      <x:c r="E865" t="n">
        <x:f>Chart_Data!P129</x:f>
        <x:v>3.5</x:v>
      </x:c>
      <x:c r="F865" t="n">
        <x:f>Chart_Data!S129</x:f>
        <x:v>-4.498882803085502</x:v>
      </x:c>
      <x:c r="G865" t="n">
        <x:f>Chart_Data!P129</x:f>
        <x:v>3.5</x:v>
      </x:c>
      <x:c r="H865" t="n">
        <x:f>Chart_Data!T129</x:f>
        <x:v>1.4422270833192699</x:v>
      </x:c>
    </x:row>
    <x:row r="866">
      <x:c r="A866" t="n">
        <x:f>Chart_Data!P130</x:f>
        <x:v>4</x:v>
      </x:c>
      <x:c r="B866" t="n">
        <x:f>Chart_Data!Q130</x:f>
        <x:v>-34.24229631555136</x:v>
      </x:c>
      <x:c r="C866" t="n">
        <x:f>Chart_Data!P130</x:f>
        <x:v>4</x:v>
      </x:c>
      <x:c r="D866" t="n">
        <x:f>Chart_Data!R130</x:f>
        <x:v>-25.147264343559073</x:v>
      </x:c>
      <x:c r="E866" t="n">
        <x:f>Chart_Data!P130</x:f>
        <x:v>4</x:v>
      </x:c>
      <x:c r="F866" t="n">
        <x:f>Chart_Data!S130</x:f>
        <x:v>-5.14148593326597</x:v>
      </x:c>
      <x:c r="G866" t="n">
        <x:f>Chart_Data!P130</x:f>
        <x:v>4</x:v>
      </x:c>
      <x:c r="H866" t="n">
        <x:f>Chart_Data!T130</x:f>
        <x:v>-3.7758655170509123</x:v>
      </x:c>
    </x:row>
    <x:row r="867">
      <x:c r="A867" t="n">
        <x:f>Chart_Data!P131</x:f>
        <x:v>4.5</x:v>
      </x:c>
      <x:c r="B867" t="n">
        <x:f>Chart_Data!Q131</x:f>
        <x:v>-38.521781712279335</x:v>
      </x:c>
      <x:c r="C867" t="n">
        <x:f>Chart_Data!P131</x:f>
        <x:v>4.5</x:v>
      </x:c>
      <x:c r="D867" t="n">
        <x:f>Chart_Data!R131</x:f>
        <x:v>-59.06357460689833</x:v>
      </x:c>
      <x:c r="E867" t="n">
        <x:f>Chart_Data!P131</x:f>
        <x:v>4.5</x:v>
      </x:c>
      <x:c r="F867" t="n">
        <x:f>Chart_Data!S131</x:f>
        <x:v>-5.784051308150051</x:v>
      </x:c>
      <x:c r="G867" t="n">
        <x:f>Chart_Data!P131</x:f>
        <x:v>4.5</x:v>
      </x:c>
      <x:c r="H867" t="n">
        <x:f>Chart_Data!T131</x:f>
        <x:v>-8.86840459563038</x:v>
      </x:c>
    </x:row>
    <x:row r="868">
      <x:c r="A868" t="n">
        <x:f>Chart_Data!P132</x:f>
        <x:v>5</x:v>
      </x:c>
      <x:c r="B868" t="n">
        <x:f>Chart_Data!Q132</x:f>
        <x:v>-42.80098427389021</x:v>
      </x:c>
      <x:c r="C868" t="n">
        <x:f>Chart_Data!P132</x:f>
        <x:v>5</x:v>
      </x:c>
      <x:c r="D868" t="n">
        <x:f>Chart_Data!R132</x:f>
        <x:v>-89.29079603231003</x:v>
      </x:c>
      <x:c r="E868" t="n">
        <x:f>Chart_Data!P132</x:f>
        <x:v>5</x:v>
      </x:c>
      <x:c r="F868" t="n">
        <x:f>Chart_Data!S132</x:f>
        <x:v>-6.426574215298831</x:v>
      </x:c>
      <x:c r="G868" t="n">
        <x:f>Chart_Data!P132</x:f>
        <x:v>5</x:v>
      </x:c>
      <x:c r="H868" t="n">
        <x:f>Chart_Data!T132</x:f>
        <x:v>-13.407026431277783</x:v>
      </x:c>
    </x:row>
    <x:row r="869">
      <x:c r="A869" t="n">
        <x:f>Chart_Data!P133</x:f>
        <x:v>5.5</x:v>
      </x:c>
      <x:c r="B869" t="n">
        <x:f>Chart_Data!Q133</x:f>
        <x:v>-47.07987260953814</x:v>
      </x:c>
      <x:c r="C869" t="n">
        <x:f>Chart_Data!P133</x:f>
        <x:v>5.5</x:v>
      </x:c>
      <x:c r="D869" t="n">
        <x:f>Chart_Data!R133</x:f>
        <x:v>-71.24450372502906</x:v>
      </x:c>
      <x:c r="E869" t="n">
        <x:f>Chart_Data!P133</x:f>
        <x:v>5.5</x:v>
      </x:c>
      <x:c r="F869" t="n">
        <x:f>Chart_Data!S133</x:f>
        <x:v>-7.069049941372094</x:v>
      </x:c>
      <x:c r="G869" t="n">
        <x:f>Chart_Data!P133</x:f>
        <x:v>5.5</x:v>
      </x:c>
      <x:c r="H869" t="n">
        <x:f>Chart_Data!T133</x:f>
        <x:v>-10.697372931686047</x:v>
      </x:c>
    </x:row>
    <x:row r="870">
      <x:c r="A870" t="n">
        <x:f>Chart_Data!P134</x:f>
        <x:v>6</x:v>
      </x:c>
      <x:c r="B870" t="n">
        <x:f>Chart_Data!Q134</x:f>
        <x:v>-51.35841535866348</x:v>
      </x:c>
      <x:c r="C870" t="n">
        <x:f>Chart_Data!P134</x:f>
        <x:v>6</x:v>
      </x:c>
      <x:c r="D870" t="n">
        <x:f>Chart_Data!R134</x:f>
        <x:v>-75.48150197753785</x:v>
      </x:c>
      <x:c r="E870" t="n">
        <x:f>Chart_Data!P134</x:f>
        <x:v>6</x:v>
      </x:c>
      <x:c r="F870" t="n">
        <x:f>Chart_Data!S134</x:f>
        <x:v>-7.711473777577099</x:v>
      </x:c>
      <x:c r="G870" t="n">
        <x:f>Chart_Data!P134</x:f>
        <x:v>6</x:v>
      </x:c>
      <x:c r="H870" t="n">
        <x:f>Chart_Data!T134</x:f>
        <x:v>-11.333558855486164</x:v>
      </x:c>
    </x:row>
    <x:row r="871">
      <x:c r="A871" t="n">
        <x:f>Chart_Data!P135</x:f>
        <x:v>6.5</x:v>
      </x:c>
      <x:c r="B871" t="n">
        <x:f>Chart_Data!Q135</x:f>
        <x:v>-55.63658118935564</x:v>
      </x:c>
      <x:c r="C871" t="n">
        <x:f>Chart_Data!P135</x:f>
        <x:v>6.5</x:v>
      </x:c>
      <x:c r="D871" t="n">
        <x:f>Chart_Data!R135</x:f>
        <x:v>-54.54940081717723</x:v>
      </x:c>
      <x:c r="E871" t="n">
        <x:f>Chart_Data!P135</x:f>
        <x:v>6.5</x:v>
      </x:c>
      <x:c r="F871" t="n">
        <x:f>Chart_Data!S135</x:f>
        <x:v>-8.353841019422768</x:v>
      </x:c>
      <x:c r="G871" t="n">
        <x:f>Chart_Data!P135</x:f>
        <x:v>6.5</x:v>
      </x:c>
      <x:c r="H871" t="n">
        <x:f>Chart_Data!T135</x:f>
        <x:v>-8.190600723299886</x:v>
      </x:c>
    </x:row>
    <x:row r="872">
      <x:c r="A872" t="n">
        <x:f>Chart_Data!P136</x:f>
        <x:v>7</x:v>
      </x:c>
      <x:c r="B872" t="n">
        <x:f>Chart_Data!Q136</x:f>
        <x:v>-59.914338766157016</x:v>
      </x:c>
      <x:c r="C872" t="n">
        <x:f>Chart_Data!P136</x:f>
        <x:v>7</x:v>
      </x:c>
      <x:c r="D872" t="n">
        <x:f>Chart_Data!R136</x:f>
        <x:v>-93.36744727406767</x:v>
      </x:c>
      <x:c r="E872" t="n">
        <x:f>Chart_Data!P136</x:f>
        <x:v>7</x:v>
      </x:c>
      <x:c r="F872" t="n">
        <x:f>Chart_Data!S136</x:f>
        <x:v>-8.996146961885438</x:v>
      </x:c>
      <x:c r="G872" t="n">
        <x:f>Chart_Data!P136</x:f>
        <x:v>7</x:v>
      </x:c>
      <x:c r="H872" t="n">
        <x:f>Chart_Data!T136</x:f>
        <x:v>-14.019136227337489</x:v>
      </x:c>
    </x:row>
    <x:row r="873">
      <x:c r="A873" t="n">
        <x:f>Chart_Data!P137</x:f>
        <x:v>7.5</x:v>
      </x:c>
      <x:c r="B873" t="n">
        <x:f>Chart_Data!Q137</x:f>
        <x:v>-64.19165678507852</x:v>
      </x:c>
      <x:c r="C873" t="n">
        <x:f>Chart_Data!P137</x:f>
        <x:v>7.5</x:v>
      </x:c>
      <x:c r="D873" t="n">
        <x:f>Chart_Data!R137</x:f>
        <x:v>-123.54267273130972</x:v>
      </x:c>
      <x:c r="E873" t="n">
        <x:f>Chart_Data!P137</x:f>
        <x:v>7.5</x:v>
      </x:c>
      <x:c r="F873" t="n">
        <x:f>Chart_Data!S137</x:f>
        <x:v>-9.638386904666445</x:v>
      </x:c>
      <x:c r="G873" t="n">
        <x:f>Chart_Data!P137</x:f>
        <x:v>7.5</x:v>
      </x:c>
      <x:c r="H873" t="n">
        <x:f>Chart_Data!T137</x:f>
        <x:v>-18.54995086055702</x:v>
      </x:c>
    </x:row>
    <x:row r="874">
      <x:c r="A874" t="n">
        <x:f>Chart_Data!P138</x:f>
        <x:v>8</x:v>
      </x:c>
      <x:c r="B874" t="n">
        <x:f>Chart_Data!Q138</x:f>
        <x:v>-68.46850397168964</x:v>
      </x:c>
      <x:c r="C874" t="n">
        <x:f>Chart_Data!P138</x:f>
        <x:v>8</x:v>
      </x:c>
      <x:c r="D874" t="n">
        <x:f>Chart_Data!R138</x:f>
        <x:v>-106.61121304219705</x:v>
      </x:c>
      <x:c r="E874" t="n">
        <x:f>Chart_Data!P138</x:f>
        <x:v>8</x:v>
      </x:c>
      <x:c r="F874" t="n">
        <x:f>Chart_Data!S138</x:f>
        <x:v>-10.280556151905353</x:v>
      </x:c>
      <x:c r="G874" t="n">
        <x:f>Chart_Data!P138</x:f>
        <x:v>8</x:v>
      </x:c>
      <x:c r="H874" t="n">
        <x:f>Chart_Data!T138</x:f>
        <x:v>-16.007689645975535</x:v>
      </x:c>
    </x:row>
    <x:row r="875">
      <x:c r="A875" t="n">
        <x:f>Chart_Data!P139</x:f>
        <x:v>8.5</x:v>
      </x:c>
      <x:c r="B875" t="n">
        <x:f>Chart_Data!Q139</x:f>
        <x:v>-72.74484905628924</x:v>
      </x:c>
      <x:c r="C875" t="n">
        <x:f>Chart_Data!P139</x:f>
        <x:v>8.5</x:v>
      </x:c>
      <x:c r="D875" t="n">
        <x:f>Chart_Data!R139</x:f>
        <x:v>-98.32283519044722</x:v>
      </x:c>
      <x:c r="E875" t="n">
        <x:f>Chart_Data!P139</x:f>
        <x:v>8.5</x:v>
      </x:c>
      <x:c r="F875" t="n">
        <x:f>Chart_Data!S139</x:f>
        <x:v>-10.92265000845184</x:v>
      </x:c>
      <x:c r="G875" t="n">
        <x:f>Chart_Data!P139</x:f>
        <x:v>8.5</x:v>
      </x:c>
      <x:c r="H875" t="n">
        <x:f>Chart_Data!T139</x:f>
        <x:v>-14.76318846703412</x:v>
      </x:c>
    </x:row>
    <x:row r="876">
      <x:c r="A876" t="n">
        <x:f>Chart_Data!P140</x:f>
        <x:v>9</x:v>
      </x:c>
      <x:c r="B876" t="n">
        <x:f>Chart_Data!Q140</x:f>
        <x:v>-77.0206608074659</x:v>
      </x:c>
      <x:c r="C876" t="n">
        <x:f>Chart_Data!P140</x:f>
        <x:v>9</x:v>
      </x:c>
      <x:c r="D876" t="n">
        <x:f>Chart_Data!R140</x:f>
        <x:v>-79.19680840677756</x:v>
      </x:c>
      <x:c r="E876" t="n">
        <x:f>Chart_Data!P140</x:f>
        <x:v>9</x:v>
      </x:c>
      <x:c r="F876" t="n">
        <x:f>Chart_Data!S140</x:f>
        <x:v>-11.564663784904791</x:v>
      </x:c>
      <x:c r="G876" t="n">
        <x:f>Chart_Data!P140</x:f>
        <x:v>9</x:v>
      </x:c>
      <x:c r="H876" t="n">
        <x:f>Chart_Data!T140</x:f>
        <x:v>-11.891412673690326</x:v>
      </x:c>
    </x:row>
    <x:row r="877">
      <x:c r="A877" t="n">
        <x:f>Chart_Data!P141</x:f>
        <x:v>9.5</x:v>
      </x:c>
      <x:c r="B877" t="n">
        <x:f>Chart_Data!Q141</x:f>
        <x:v>-81.2959080145447</x:v>
      </x:c>
      <x:c r="C877" t="n">
        <x:f>Chart_Data!P141</x:f>
        <x:v>9.5</x:v>
      </x:c>
      <x:c r="D877" t="n">
        <x:f>Chart_Data!R141</x:f>
        <x:v>-124.45092927709993</x:v>
      </x:c>
      <x:c r="E877" t="n">
        <x:f>Chart_Data!P141</x:f>
        <x:v>9.5</x:v>
      </x:c>
      <x:c r="F877" t="n">
        <x:f>Chart_Data!S141</x:f>
        <x:v>-12.206592794976682</x:v>
      </x:c>
      <x:c r="G877" t="n">
        <x:f>Chart_Data!P141</x:f>
        <x:v>9.5</x:v>
      </x:c>
      <x:c r="H877" t="n">
        <x:f>Chart_Data!T141</x:f>
        <x:v>-18.686325717282273</x:v>
      </x:c>
    </x:row>
    <x:row r="878">
      <x:c r="A878" t="n">
        <x:f>Chart_Data!P142</x:f>
        <x:v>10</x:v>
      </x:c>
      <x:c r="B878" t="n">
        <x:f>Chart_Data!Q142</x:f>
        <x:v>-85.5705594970459</x:v>
      </x:c>
      <x:c r="C878" t="n">
        <x:f>Chart_Data!P142</x:f>
        <x:v>10</x:v>
      </x:c>
      <x:c r="D878" t="n">
        <x:f>Chart_Data!R142</x:f>
        <x:v>-149.95775995867007</x:v>
      </x:c>
      <x:c r="E878" t="n">
        <x:f>Chart_Data!P142</x:f>
        <x:v>10</x:v>
      </x:c>
      <x:c r="F878" t="n">
        <x:f>Chart_Data!S142</x:f>
        <x:v>-12.8484323569138</x:v>
      </x:c>
      <x:c r="G878" t="n">
        <x:f>Chart_Data!P142</x:f>
        <x:v>10</x:v>
      </x:c>
      <x:c r="H878" t="n">
        <x:f>Chart_Data!T142</x:f>
        <x:v>-22.516180173974487</x:v>
      </x:c>
    </x:row>
    <x:row r="879">
      <x:c r="A879" t="n">
        <x:f>Chart_Data!P143</x:f>
        <x:v>10.5</x:v>
      </x:c>
      <x:c r="B879" t="n">
        <x:f>Chart_Data!Q143</x:f>
        <x:v>-89.8445841135981</x:v>
      </x:c>
      <x:c r="C879" t="n">
        <x:f>Chart_Data!P143</x:f>
        <x:v>10.5</x:v>
      </x:c>
      <x:c r="D879" t="n">
        <x:f>Chart_Data!R143</x:f>
        <x:v>-104.68639668342803</x:v>
      </x:c>
      <x:c r="E879" t="n">
        <x:f>Chart_Data!P143</x:f>
        <x:v>10.5</x:v>
      </x:c>
      <x:c r="F879" t="n">
        <x:f>Chart_Data!S143</x:f>
        <x:v>-13.490177794834551</x:v>
      </x:c>
      <x:c r="G879" t="n">
        <x:f>Chart_Data!P143</x:f>
        <x:v>10.5</x:v>
      </x:c>
      <x:c r="H879" t="n">
        <x:f>Chart_Data!T143</x:f>
        <x:v>-15.718678180694901</x:v>
      </x:c>
    </x:row>
    <x:row r="880">
      <x:c r="A880" t="n">
        <x:f>Chart_Data!P144</x:f>
        <x:v>11</x:v>
      </x:c>
      <x:c r="B880" t="n">
        <x:f>Chart_Data!Q144</x:f>
        <x:v>-94.1179507391098</x:v>
      </x:c>
      <x:c r="C880" t="n">
        <x:f>Chart_Data!P144</x:f>
        <x:v>11</x:v>
      </x:c>
      <x:c r="D880" t="n">
        <x:f>Chart_Data!R144</x:f>
        <x:v>-99.76180605999616</x:v>
      </x:c>
      <x:c r="E880" t="n">
        <x:f>Chart_Data!P144</x:f>
        <x:v>11</x:v>
      </x:c>
      <x:c r="F880" t="n">
        <x:f>Chart_Data!S144</x:f>
        <x:v>-14.131824435301773</x:v>
      </x:c>
      <x:c r="G880" t="n">
        <x:f>Chart_Data!P144</x:f>
        <x:v>11</x:v>
      </x:c>
      <x:c r="H880" t="n">
        <x:f>Chart_Data!T144</x:f>
        <x:v>-14.979250159158584</x:v>
      </x:c>
    </x:row>
    <x:row r="881">
      <x:c r="A881" t="n">
        <x:f>Chart_Data!P145</x:f>
        <x:v>11.5</x:v>
      </x:c>
      <x:c r="B881" t="n">
        <x:f>Chart_Data!Q145</x:f>
        <x:v>-98.39062828850729</x:v>
      </x:c>
      <x:c r="C881" t="n">
        <x:f>Chart_Data!P145</x:f>
        <x:v>11.5</x:v>
      </x:c>
      <x:c r="D881" t="n">
        <x:f>Chart_Data!R145</x:f>
        <x:v>-133.6965623294418</x:v>
      </x:c>
      <x:c r="E881" t="n">
        <x:f>Chart_Data!P145</x:f>
        <x:v>11.5</x:v>
      </x:c>
      <x:c r="F881" t="n">
        <x:f>Chart_Data!S145</x:f>
        <x:v>-14.77336761088698</x:v>
      </x:c>
      <x:c r="G881" t="n">
        <x:f>Chart_Data!P145</x:f>
        <x:v>11.5</x:v>
      </x:c>
      <x:c r="H881" t="n">
        <x:f>Chart_Data!T145</x:f>
        <x:v>-20.074558908324597</x:v>
      </x:c>
    </x:row>
    <x:row r="882">
      <x:c r="A882" t="n">
        <x:f>Chart_Data!P146</x:f>
        <x:v>12</x:v>
      </x:c>
      <x:c r="B882" t="n">
        <x:f>Chart_Data!Q146</x:f>
        <x:v>-102.66258570945865</x:v>
      </x:c>
      <x:c r="C882" t="n">
        <x:f>Chart_Data!P146</x:f>
        <x:v>12</x:v>
      </x:c>
      <x:c r="D882" t="n">
        <x:f>Chart_Data!R146</x:f>
        <x:v>-103.25466974927622</x:v>
      </x:c>
      <x:c r="E882" t="n">
        <x:f>Chart_Data!P146</x:f>
        <x:v>12</x:v>
      </x:c>
      <x:c r="F882" t="n">
        <x:f>Chart_Data!S146</x:f>
        <x:v>-15.414802659077877</x:v>
      </x:c>
      <x:c r="G882" t="n">
        <x:f>Chart_Data!P146</x:f>
        <x:v>12</x:v>
      </x:c>
      <x:c r="H882" t="n">
        <x:f>Chart_Data!T146</x:f>
        <x:v>-15.503704166557991</x:v>
      </x:c>
    </x:row>
    <x:row r="883">
      <x:c r="A883" t="n">
        <x:f>Chart_Data!P147</x:f>
        <x:v>12.5</x:v>
      </x:c>
      <x:c r="B883" t="n">
        <x:f>Chart_Data!Q147</x:f>
        <x:v>-106.9337919834652</x:v>
      </x:c>
      <x:c r="C883" t="n">
        <x:f>Chart_Data!P147</x:f>
        <x:v>12.5</x:v>
      </x:c>
      <x:c r="D883" t="n">
        <x:f>Chart_Data!R147</x:f>
        <x:v>-97.45932921296117</x:v>
      </x:c>
      <x:c r="E883" t="n">
        <x:f>Chart_Data!P147</x:f>
        <x:v>12.5</x:v>
      </x:c>
      <x:c r="F883" t="n">
        <x:f>Chart_Data!S147</x:f>
        <x:v>-16.056124922442223</x:v>
      </x:c>
      <x:c r="G883" t="n">
        <x:f>Chart_Data!P147</x:f>
        <x:v>12.5</x:v>
      </x:c>
      <x:c r="H883" t="n">
        <x:f>Chart_Data!T147</x:f>
        <x:v>-14.633532914859035</x:v>
      </x:c>
    </x:row>
    <x:row r="884">
      <x:c r="A884" t="n">
        <x:f>Chart_Data!P148</x:f>
        <x:v>13</x:v>
      </x:c>
      <x:c r="B884" t="n">
        <x:f>Chart_Data!Q148</x:f>
        <x:v>-111.20421613486542</x:v>
      </x:c>
      <x:c r="C884" t="n">
        <x:f>Chart_Data!P148</x:f>
        <x:v>13</x:v>
      </x:c>
      <x:c r="D884" t="n">
        <x:f>Chart_Data!R148</x:f>
        <x:v>-151.57657912886862</x:v>
      </x:c>
      <x:c r="E884" t="n">
        <x:f>Chart_Data!P148</x:f>
        <x:v>13</x:v>
      </x:c>
      <x:c r="F884" t="n">
        <x:f>Chart_Data!S148</x:f>
        <x:v>-16.697329749979794</x:v>
      </x:c>
      <x:c r="G884" t="n">
        <x:f>Chart_Data!P148</x:f>
        <x:v>13</x:v>
      </x:c>
      <x:c r="H884" t="n">
        <x:f>Chart_Data!T148</x:f>
        <x:v>-22.75924611544574</x:v>
      </x:c>
    </x:row>
    <x:row r="885">
      <x:c r="A885" t="n">
        <x:f>Chart_Data!P149</x:f>
        <x:v>13.5</x:v>
      </x:c>
      <x:c r="B885" t="n">
        <x:f>Chart_Data!Q149</x:f>
        <x:v>-115.4738272234681</x:v>
      </x:c>
      <x:c r="C885" t="n">
        <x:f>Chart_Data!P149</x:f>
        <x:v>13.5</x:v>
      </x:c>
      <x:c r="D885" t="n">
        <x:f>Chart_Data!R149</x:f>
        <x:v>-141.51365191682999</x:v>
      </x:c>
      <x:c r="E885" t="n">
        <x:f>Chart_Data!P149</x:f>
        <x:v>13.5</x:v>
      </x:c>
      <x:c r="F885" t="n">
        <x:f>Chart_Data!S149</x:f>
        <x:v>-17.338412496016232</x:v>
      </x:c>
      <x:c r="G885" t="n">
        <x:f>Chart_Data!P149</x:f>
        <x:v>13.5</x:v>
      </x:c>
      <x:c r="H885" t="n">
        <x:f>Chart_Data!T149</x:f>
        <x:v>-21.248296083608107</x:v>
      </x:c>
    </x:row>
    <x:row r="886">
      <x:c r="A886" t="n">
        <x:f>Chart_Data!P150</x:f>
        <x:v>14</x:v>
      </x:c>
      <x:c r="B886" t="n">
        <x:f>Chart_Data!Q150</x:f>
        <x:v>-119.7425943531016</x:v>
      </x:c>
      <x:c r="C886" t="n">
        <x:f>Chart_Data!P150</x:f>
        <x:v>14</x:v>
      </x:c>
      <x:c r="D886" t="n">
        <x:f>Chart_Data!R150</x:f>
        <x:v>-109.12181689409408</x:v>
      </x:c>
      <x:c r="E886" t="n">
        <x:f>Chart_Data!P150</x:f>
        <x:v>14</x:v>
      </x:c>
      <x:c r="F886" t="n">
        <x:f>Chart_Data!S150</x:f>
        <x:v>-17.979368521486727</x:v>
      </x:c>
      <x:c r="G886" t="n">
        <x:f>Chart_Data!P150</x:f>
        <x:v>14</x:v>
      </x:c>
      <x:c r="H886" t="n">
        <x:f>Chart_Data!T150</x:f>
        <x:v>-16.38465719130542</x:v>
      </x:c>
    </x:row>
    <x:row r="887">
      <x:c r="A887" t="n">
        <x:f>Chart_Data!P151</x:f>
        <x:v>14.5</x:v>
      </x:c>
      <x:c r="B887" t="n">
        <x:f>Chart_Data!Q151</x:f>
        <x:v>-124.0104866564252</x:v>
      </x:c>
      <x:c r="C887" t="n">
        <x:f>Chart_Data!P151</x:f>
        <x:v>14.5</x:v>
      </x:c>
      <x:c r="D887" t="n">
        <x:f>Chart_Data!R151</x:f>
        <x:v>-145.14355631799845</x:v>
      </x:c>
      <x:c r="E887" t="n">
        <x:f>Chart_Data!P151</x:f>
        <x:v>14.5</x:v>
      </x:c>
      <x:c r="F887" t="n">
        <x:f>Chart_Data!S151</x:f>
        <x:v>-18.62019319165544</x:v>
      </x:c>
      <x:c r="G887" t="n">
        <x:f>Chart_Data!P151</x:f>
        <x:v>14.5</x:v>
      </x:c>
      <x:c r="H887" t="n">
        <x:f>Chart_Data!T151</x:f>
        <x:v>-21.79332677447424</x:v>
      </x:c>
    </x:row>
    <x:row r="888">
      <x:c r="A888" t="n">
        <x:f>Chart_Data!P152</x:f>
        <x:v>15</x:v>
      </x:c>
      <x:c r="B888" t="n">
        <x:f>Chart_Data!Q152</x:f>
        <x:v>-128.2774733243059</x:v>
      </x:c>
      <x:c r="C888" t="n">
        <x:f>Chart_Data!P152</x:f>
        <x:v>15</x:v>
      </x:c>
      <x:c r="D888" t="n">
        <x:f>Chart_Data!R152</x:f>
        <x:v>-160.1607348960897</x:v>
      </x:c>
      <x:c r="E888" t="n">
        <x:f>Chart_Data!P152</x:f>
        <x:v>15</x:v>
      </x:c>
      <x:c r="F888" t="n">
        <x:f>Chart_Data!S152</x:f>
        <x:v>-19.260881880526412</x:v>
      </x:c>
      <x:c r="G888" t="n">
        <x:f>Chart_Data!P152</x:f>
        <x:v>15</x:v>
      </x:c>
      <x:c r="H888" t="n">
        <x:f>Chart_Data!T152</x:f>
        <x:v>-24.048158392806265</x:v>
      </x:c>
    </x:row>
    <x:row r="889">
      <x:c r="A889" t="n">
        <x:f>Chart_Data!P153</x:f>
        <x:v>15.5</x:v>
      </x:c>
      <x:c r="B889" t="n">
        <x:f>Chart_Data!Q153</x:f>
        <x:v>-132.5435235945406</x:v>
      </x:c>
      <x:c r="C889" t="n">
        <x:f>Chart_Data!P153</x:f>
        <x:v>15.5</x:v>
      </x:c>
      <x:c r="D889" t="n">
        <x:f>Chart_Data!R153</x:f>
        <x:v>-131.10580275870234</x:v>
      </x:c>
      <x:c r="E889" t="n">
        <x:f>Chart_Data!P153</x:f>
        <x:v>15.5</x:v>
      </x:c>
      <x:c r="F889" t="n">
        <x:f>Chart_Data!S153</x:f>
        <x:v>-19.901429969150243</x:v>
      </x:c>
      <x:c r="G889" t="n">
        <x:f>Chart_Data!P153</x:f>
        <x:v>15.5</x:v>
      </x:c>
      <x:c r="H889" t="n">
        <x:f>Chart_Data!T153</x:f>
        <x:v>-19.685555969775127</x:v>
      </x:c>
    </x:row>
    <x:row r="890">
      <x:c r="A890" t="n">
        <x:f>Chart_Data!P154</x:f>
        <x:v>16</x:v>
      </x:c>
      <x:c r="B890" t="n">
        <x:f>Chart_Data!Q154</x:f>
        <x:v>-136.80860673657662</x:v>
      </x:c>
      <x:c r="C890" t="n">
        <x:f>Chart_Data!P154</x:f>
        <x:v>16</x:v>
      </x:c>
      <x:c r="D890" t="n">
        <x:f>Chart_Data!R154</x:f>
        <x:v>-120.04510651404416</x:v>
      </x:c>
      <x:c r="E890" t="n">
        <x:f>Chart_Data!P154</x:f>
        <x:v>16</x:v>
      </x:c>
      <x:c r="F890" t="n">
        <x:f>Chart_Data!S154</x:f>
        <x:v>-20.541832843329825</x:v>
      </x:c>
      <x:c r="G890" t="n">
        <x:f>Chart_Data!P154</x:f>
        <x:v>16</x:v>
      </x:c>
      <x:c r="H890" t="n">
        <x:f>Chart_Data!T154</x:f>
        <x:v>-18.0247907678745</x:v>
      </x:c>
    </x:row>
    <x:row r="891">
      <x:c r="A891" t="n">
        <x:f>Chart_Data!P155</x:f>
        <x:v>16.5</x:v>
      </x:c>
      <x:c r="B891" t="n">
        <x:f>Chart_Data!Q155</x:f>
        <x:v>-141.07269207324862</x:v>
      </x:c>
      <x:c r="C891" t="n">
        <x:f>Chart_Data!P155</x:f>
        <x:v>16.5</x:v>
      </x:c>
      <x:c r="D891" t="n">
        <x:f>Chart_Data!R155</x:f>
        <x:v>-137.05256517414455</x:v>
      </x:c>
      <x:c r="E891" t="n">
        <x:f>Chart_Data!P155</x:f>
        <x:v>16.5</x:v>
      </x:c>
      <x:c r="F891" t="n">
        <x:f>Chart_Data!S155</x:f>
        <x:v>-21.18208589688418</x:v>
      </x:c>
      <x:c r="G891" t="n">
        <x:f>Chart_Data!P155</x:f>
        <x:v>16.5</x:v>
      </x:c>
      <x:c r="H891" t="n">
        <x:f>Chart_Data!T155</x:f>
        <x:v>-20.578463239361046</x:v>
      </x:c>
    </x:row>
    <x:row r="892">
      <x:c r="A892" t="n">
        <x:f>Chart_Data!P156</x:f>
        <x:v>17</x:v>
      </x:c>
      <x:c r="B892" t="n">
        <x:f>Chart_Data!Q156</x:f>
        <x:v>-145.33574898605366</x:v>
      </x:c>
      <x:c r="C892" t="n">
        <x:f>Chart_Data!P156</x:f>
        <x:v>17</x:v>
      </x:c>
      <x:c r="D892" t="n">
        <x:f>Chart_Data!R156</x:f>
        <x:v>-135.2580367196424</x:v>
      </x:c>
      <x:c r="E892" t="n">
        <x:f>Chart_Data!P156</x:f>
        <x:v>17</x:v>
      </x:c>
      <x:c r="F892" t="n">
        <x:f>Chart_Data!S156</x:f>
        <x:v>-21.82218453244049</x:v>
      </x:c>
      <x:c r="G892" t="n">
        <x:f>Chart_Data!P156</x:f>
        <x:v>17</x:v>
      </x:c>
      <x:c r="H892" t="n">
        <x:f>Chart_Data!T156</x:f>
        <x:v>-20.309014522468832</x:v>
      </x:c>
    </x:row>
    <x:row r="893">
      <x:c r="A893" t="n">
        <x:f>Chart_Data!P157</x:f>
        <x:v>17.5</x:v>
      </x:c>
      <x:c r="B893" t="n">
        <x:f>Chart_Data!Q157</x:f>
        <x:v>-149.59774689641563</x:v>
      </x:c>
      <x:c r="C893" t="n">
        <x:f>Chart_Data!P157</x:f>
        <x:v>17.5</x:v>
      </x:c>
      <x:c r="D893" t="n">
        <x:f>Chart_Data!R157</x:f>
        <x:v>-126.66363410589838</x:v>
      </x:c>
      <x:c r="E893" t="n">
        <x:f>Chart_Data!P157</x:f>
        <x:v>17.5</x:v>
      </x:c>
      <x:c r="F893" t="n">
        <x:f>Chart_Data!S157</x:f>
        <x:v>-22.462124158620966</x:v>
      </x:c>
      <x:c r="G893" t="n">
        <x:f>Chart_Data!P157</x:f>
        <x:v>17.5</x:v>
      </x:c>
      <x:c r="H893" t="n">
        <x:f>Chart_Data!T157</x:f>
        <x:v>-19.018563679564323</x:v>
      </x:c>
    </x:row>
    <x:row r="894">
      <x:c r="A894" t="n">
        <x:f>Chart_Data!P158</x:f>
        <x:v>18</x:v>
      </x:c>
      <x:c r="B894" t="n">
        <x:f>Chart_Data!Q158</x:f>
        <x:v>-153.85865527787246</x:v>
      </x:c>
      <x:c r="C894" t="n">
        <x:f>Chart_Data!P158</x:f>
        <x:v>18</x:v>
      </x:c>
      <x:c r="D894" t="n">
        <x:f>Chart_Data!R158</x:f>
        <x:v>-151.69053844329028</x:v>
      </x:c>
      <x:c r="E894" t="n">
        <x:f>Chart_Data!P158</x:f>
        <x:v>18</x:v>
      </x:c>
      <x:c r="F894" t="n">
        <x:f>Chart_Data!S158</x:f>
        <x:v>-23.101900191872744</x:v>
      </x:c>
      <x:c r="G894" t="n">
        <x:f>Chart_Data!P158</x:f>
        <x:v>18</x:v>
      </x:c>
      <x:c r="H894" t="n">
        <x:f>Chart_Data!T158</x:f>
        <x:v>-22.77635712361716</x:v>
      </x:c>
    </x:row>
    <x:row r="895">
      <x:c r="A895" t="n">
        <x:f>Chart_Data!P159</x:f>
        <x:v>18.5</x:v>
      </x:c>
      <x:c r="B895" t="n">
        <x:f>Chart_Data!Q159</x:f>
        <x:v>-158.1184436692638</x:v>
      </x:c>
      <x:c r="C895" t="n">
        <x:f>Chart_Data!P159</x:f>
        <x:v>18.5</x:v>
      </x:c>
      <x:c r="D895" t="n">
        <x:f>Chart_Data!R159</x:f>
        <x:v>-139.1757167734795</x:v>
      </x:c>
      <x:c r="E895" t="n">
        <x:f>Chart_Data!P159</x:f>
        <x:v>18.5</x:v>
      </x:c>
      <x:c r="F895" t="n">
        <x:f>Chart_Data!S159</x:f>
        <x:v>-23.74150805844802</x:v>
      </x:c>
      <x:c r="G895" t="n">
        <x:f>Chart_Data!P159</x:f>
        <x:v>18.5</x:v>
      </x:c>
      <x:c r="H895" t="n">
        <x:f>Chart_Data!T159</x:f>
        <x:v>-20.89725477079272</x:v>
      </x:c>
    </x:row>
    <x:row r="896">
      <x:c r="A896" t="n">
        <x:f>Chart_Data!P160</x:f>
        <x:v>19</x:v>
      </x:c>
      <x:c r="B896" t="n">
        <x:f>Chart_Data!Q160</x:f>
        <x:v>-162.37708165526783</x:v>
      </x:c>
      <x:c r="C896" t="n">
        <x:f>Chart_Data!P160</x:f>
        <x:v>19</x:v>
      </x:c>
      <x:c r="D896" t="n">
        <x:f>Chart_Data!R160</x:f>
        <x:v>-126.46437359499032</x:v>
      </x:c>
      <x:c r="E896" t="n">
        <x:f>Chart_Data!P160</x:f>
        <x:v>19</x:v>
      </x:c>
      <x:c r="F896" t="n">
        <x:f>Chart_Data!S160</x:f>
        <x:v>-24.38094319148166</x:v>
      </x:c>
      <x:c r="G896" t="n">
        <x:f>Chart_Data!P160</x:f>
        <x:v>19</x:v>
      </x:c>
      <x:c r="H896" t="n">
        <x:f>Chart_Data!T160</x:f>
        <x:v>-18.98864468393248</x:v>
      </x:c>
    </x:row>
    <x:row r="897">
      <x:c r="A897" t="n">
        <x:f>Chart_Data!P161</x:f>
        <x:v>19.5</x:v>
      </x:c>
      <x:c r="B897" t="n">
        <x:f>Chart_Data!Q161</x:f>
        <x:v>-166.6345388791342</x:v>
      </x:c>
      <x:c r="C897" t="n">
        <x:f>Chart_Data!P161</x:f>
        <x:v>19.5</x:v>
      </x:c>
      <x:c r="D897" t="n">
        <x:f>Chart_Data!R161</x:f>
        <x:v>-151.36712018684193</x:v>
      </x:c>
      <x:c r="E897" t="n">
        <x:f>Chart_Data!P161</x:f>
        <x:v>19.5</x:v>
      </x:c>
      <x:c r="F897" t="n">
        <x:f>Chart_Data!S161</x:f>
        <x:v>-25.020201032903035</x:v>
      </x:c>
      <x:c r="G897" t="n">
        <x:f>Chart_Data!P161</x:f>
        <x:v>19.5</x:v>
      </x:c>
      <x:c r="H897" t="n">
        <x:f>Chart_Data!T161</x:f>
        <x:v>-22.72779582385014</x:v>
      </x:c>
    </x:row>
    <x:row r="898">
      <x:c r="A898" t="n">
        <x:f>Chart_Data!P162</x:f>
        <x:v>20</x:v>
      </x:c>
      <x:c r="B898" t="n">
        <x:f>Chart_Data!Q162</x:f>
        <x:v>-170.89078503895507</x:v>
      </x:c>
      <x:c r="C898" t="n">
        <x:f>Chart_Data!P162</x:f>
        <x:v>20</x:v>
      </x:c>
      <x:c r="D898" t="n">
        <x:f>Chart_Data!R162</x:f>
        <x:v>-162.90904520274125</x:v>
      </x:c>
      <x:c r="E898" t="n">
        <x:f>Chart_Data!P162</x:f>
        <x:v>20</x:v>
      </x:c>
      <x:c r="F898" t="n">
        <x:f>Chart_Data!S162</x:f>
        <x:v>-25.65927703287614</x:v>
      </x:c>
      <x:c r="G898" t="n">
        <x:f>Chart_Data!P162</x:f>
        <x:v>20</x:v>
      </x:c>
      <x:c r="H898" t="n">
        <x:f>Chart_Data!T162</x:f>
        <x:v>-24.4608175980092</x:v>
      </x:c>
    </x:row>
    <x:row r="899">
      <x:c r="A899" t="n">
        <x:f>Chart_Data!P163</x:f>
        <x:v>20.5</x:v>
      </x:c>
      <x:c r="B899" t="n">
        <x:f>Chart_Data!Q163</x:f>
        <x:v>-175.14578990121663</x:v>
      </x:c>
      <x:c r="C899" t="n">
        <x:f>Chart_Data!P163</x:f>
        <x:v>20.5</x:v>
      </x:c>
      <x:c r="D899" t="n">
        <x:f>Chart_Data!R163</x:f>
        <x:v>-171.7163481087482</x:v>
      </x:c>
      <x:c r="E899" t="n">
        <x:f>Chart_Data!P163</x:f>
        <x:v>20.5</x:v>
      </x:c>
      <x:c r="F899" t="n">
        <x:f>Chart_Data!S163</x:f>
        <x:v>-26.298166651834332</x:v>
      </x:c>
      <x:c r="G899" t="n">
        <x:f>Chart_Data!P163</x:f>
        <x:v>20.5</x:v>
      </x:c>
      <x:c r="H899" t="n">
        <x:f>Chart_Data!T163</x:f>
        <x:v>-25.783235451763996</x:v>
      </x:c>
    </x:row>
    <x:row r="900">
      <x:c r="A900" t="n">
        <x:f>Chart_Data!P164</x:f>
        <x:v>21</x:v>
      </x:c>
      <x:c r="B900" t="n">
        <x:f>Chart_Data!Q164</x:f>
        <x:v>-179.3995232830639</x:v>
      </x:c>
      <x:c r="C900" t="n">
        <x:f>Chart_Data!P164</x:f>
        <x:v>21</x:v>
      </x:c>
      <x:c r="D900" t="n">
        <x:f>Chart_Data!R164</x:f>
        <x:v>-175.76256821785137</x:v>
      </x:c>
      <x:c r="E900" t="n">
        <x:f>Chart_Data!P164</x:f>
        <x:v>21</x:v>
      </x:c>
      <x:c r="F900" t="n">
        <x:f>Chart_Data!S164</x:f>
        <x:v>-26.936865357817403</x:v>
      </x:c>
      <x:c r="G900" t="n">
        <x:f>Chart_Data!P164</x:f>
        <x:v>21</x:v>
      </x:c>
      <x:c r="H900" t="n">
        <x:f>Chart_Data!T164</x:f>
        <x:v>-26.390776008686395</x:v>
      </x:c>
    </x:row>
    <x:row r="901">
      <x:c r="A901" t="n">
        <x:f>Chart_Data!P165</x:f>
        <x:v>21.5</x:v>
      </x:c>
      <x:c r="B901" t="n">
        <x:f>Chart_Data!Q165</x:f>
        <x:v>-183.65195507121825</x:v>
      </x:c>
      <x:c r="C901" t="n">
        <x:f>Chart_Data!P165</x:f>
        <x:v>21.5</x:v>
      </x:c>
      <x:c r="D901" t="n">
        <x:f>Chart_Data!R165</x:f>
        <x:v>-173.414639069415</x:v>
      </x:c>
      <x:c r="E901" t="n">
        <x:f>Chart_Data!P165</x:f>
        <x:v>21.5</x:v>
      </x:c>
      <x:c r="F901" t="n">
        <x:f>Chart_Data!S165</x:f>
        <x:v>-27.575368629312052</x:v>
      </x:c>
      <x:c r="G901" t="n">
        <x:f>Chart_Data!P165</x:f>
        <x:v>21.5</x:v>
      </x:c>
      <x:c r="H901" t="n">
        <x:f>Chart_Data!T165</x:f>
        <x:v>-26.03823409450676</x:v>
      </x:c>
    </x:row>
    <x:row r="902">
      <x:c r="A902" t="n">
        <x:f>Chart_Data!P166</x:f>
        <x:v>22</x:v>
      </x:c>
      <x:c r="B902" t="n">
        <x:f>Chart_Data!Q166</x:f>
        <x:v>-187.90305521988557</x:v>
      </x:c>
      <x:c r="C902" t="n">
        <x:f>Chart_Data!P166</x:f>
        <x:v>22</x:v>
      </x:c>
      <x:c r="D902" t="n">
        <x:f>Chart_Data!R166</x:f>
        <x:v>-190.64828334176127</x:v>
      </x:c>
      <x:c r="E902" t="n">
        <x:f>Chart_Data!P166</x:f>
        <x:v>22</x:v>
      </x:c>
      <x:c r="F902" t="n">
        <x:f>Chart_Data!S166</x:f>
        <x:v>-28.213671954937777</x:v>
      </x:c>
      <x:c r="G902" t="n">
        <x:f>Chart_Data!P166</x:f>
        <x:v>22</x:v>
      </x:c>
      <x:c r="H902" t="n">
        <x:f>Chart_Data!T166</x:f>
        <x:v>-28.625868369633828</x:v>
      </x:c>
    </x:row>
    <x:row r="903">
      <x:c r="A903" t="n">
        <x:f>Chart_Data!P167</x:f>
        <x:v>22.5</x:v>
      </x:c>
      <x:c r="B903" t="n">
        <x:f>Chart_Data!Q167</x:f>
        <x:v>-192.15279373456724</x:v>
      </x:c>
      <x:c r="C903" t="n">
        <x:f>Chart_Data!P167</x:f>
        <x:v>22.5</x:v>
      </x:c>
      <x:c r="D903" t="n">
        <x:f>Chart_Data!R167</x:f>
        <x:v>-207.66237126308624</x:v>
      </x:c>
      <x:c r="E903" t="n">
        <x:f>Chart_Data!P167</x:f>
        <x:v>22.5</x:v>
      </x:c>
      <x:c r="F903" t="n">
        <x:f>Chart_Data!S167</x:f>
        <x:v>-28.851770831016104</x:v>
      </x:c>
      <x:c r="G903" t="n">
        <x:f>Chart_Data!P167</x:f>
        <x:v>22.5</x:v>
      </x:c>
      <x:c r="H903" t="n">
        <x:f>Chart_Data!T167</x:f>
        <x:v>-31.180536225688627</x:v>
      </x:c>
    </x:row>
    <x:row r="904">
      <x:c r="A904" t="n">
        <x:f>Chart_Data!P168</x:f>
        <x:v>23</x:v>
      </x:c>
      <x:c r="B904" t="n">
        <x:f>Chart_Data!Q168</x:f>
        <x:v>-196.40114070170966</x:v>
      </x:c>
      <x:c r="C904" t="n">
        <x:f>Chart_Data!P168</x:f>
        <x:v>23</x:v>
      </x:c>
      <x:c r="D904" t="n">
        <x:f>Chart_Data!R168</x:f>
        <x:v>-214.52838117938882</x:v>
      </x:c>
      <x:c r="E904" t="n">
        <x:f>Chart_Data!P168</x:f>
        <x:v>23</x:v>
      </x:c>
      <x:c r="F904" t="n">
        <x:f>Chart_Data!S168</x:f>
        <x:v>-29.489660766022475</x:v>
      </x:c>
      <x:c r="G904" t="n">
        <x:f>Chart_Data!P168</x:f>
        <x:v>23</x:v>
      </x:c>
      <x:c r="H904" t="n">
        <x:f>Chart_Data!T168</x:f>
        <x:v>-32.21146864555388</x:v>
      </x:c>
    </x:row>
    <x:row r="905">
      <x:c r="A905" t="n">
        <x:f>Chart_Data!P169</x:f>
        <x:v>23.5</x:v>
      </x:c>
      <x:c r="B905" t="n">
        <x:f>Chart_Data!Q169</x:f>
        <x:v>-200.64806626696736</x:v>
      </x:c>
      <x:c r="C905" t="n">
        <x:f>Chart_Data!P169</x:f>
        <x:v>23.5</x:v>
      </x:c>
      <x:c r="D905" t="n">
        <x:f>Chart_Data!R169</x:f>
        <x:v>-195.82322653741357</x:v>
      </x:c>
      <x:c r="E905" t="n">
        <x:f>Chart_Data!P169</x:f>
        <x:v>23.5</x:v>
      </x:c>
      <x:c r="F905" t="n">
        <x:f>Chart_Data!S169</x:f>
        <x:v>-30.12733727732243</x:v>
      </x:c>
      <x:c r="G905" t="n">
        <x:f>Chart_Data!P169</x:f>
        <x:v>23.5</x:v>
      </x:c>
      <x:c r="H905" t="n">
        <x:f>Chart_Data!T169</x:f>
        <x:v>-29.40288686747952</x:v>
      </x:c>
    </x:row>
    <x:row r="906">
      <x:c r="A906" t="n">
        <x:f>Chart_Data!P170</x:f>
        <x:v>24</x:v>
      </x:c>
      <x:c r="B906" t="n">
        <x:f>Chart_Data!Q170</x:f>
        <x:v>-204.89354065312</x:v>
      </x:c>
      <x:c r="C906" t="n">
        <x:f>Chart_Data!P170</x:f>
        <x:v>24</x:v>
      </x:c>
      <x:c r="D906" t="n">
        <x:f>Chart_Data!R170</x:f>
        <x:v>-230.14401414493477</x:v>
      </x:c>
      <x:c r="E906" t="n">
        <x:f>Chart_Data!P170</x:f>
        <x:v>24</x:v>
      </x:c>
      <x:c r="F906" t="n">
        <x:f>Chart_Data!S170</x:f>
        <x:v>-30.764795893861866</x:v>
      </x:c>
      <x:c r="G906" t="n">
        <x:f>Chart_Data!P170</x:f>
        <x:v>24</x:v>
      </x:c>
      <x:c r="H906" t="n">
        <x:f>Chart_Data!T170</x:f>
        <x:v>-34.55615828002024</x:v>
      </x:c>
    </x:row>
    <x:row r="907">
      <x:c r="A907" t="n">
        <x:f>Chart_Data!P171</x:f>
        <x:v>24.5</x:v>
      </x:c>
      <x:c r="B907" t="n">
        <x:f>Chart_Data!Q171</x:f>
        <x:v>-209.13753414824896</x:v>
      </x:c>
      <x:c r="C907" t="n">
        <x:f>Chart_Data!P171</x:f>
        <x:v>24.5</x:v>
      </x:c>
      <x:c r="D907" t="n">
        <x:f>Chart_Data!R171</x:f>
        <x:v>-244.97379562135393</x:v>
      </x:c>
      <x:c r="E907" t="n">
        <x:f>Chart_Data!P171</x:f>
        <x:v>24.5</x:v>
      </x:c>
      <x:c r="F907" t="n">
        <x:f>Chart_Data!S171</x:f>
        <x:v>-31.402032154391737</x:v>
      </x:c>
      <x:c r="G907" t="n">
        <x:f>Chart_Data!P171</x:f>
        <x:v>24.5</x:v>
      </x:c>
      <x:c r="H907" t="n">
        <x:f>Chart_Data!T171</x:f>
        <x:v>-36.78285219539849</x:v>
      </x:c>
    </x:row>
    <x:row r="908">
      <x:c r="A908" t="n">
        <x:f>Chart_Data!P172</x:f>
        <x:v>25</x:v>
      </x:c>
      <x:c r="B908" t="n">
        <x:f>Chart_Data!Q172</x:f>
        <x:v>-213.38001711119432</x:v>
      </x:c>
      <x:c r="C908" t="n">
        <x:f>Chart_Data!P172</x:f>
        <x:v>25</x:v>
      </x:c>
      <x:c r="D908" t="n">
        <x:f>Chart_Data!R172</x:f>
        <x:v>-253.7362306406976</x:v>
      </x:c>
      <x:c r="E908" t="n">
        <x:f>Chart_Data!P172</x:f>
        <x:v>25</x:v>
      </x:c>
      <x:c r="F908" t="n">
        <x:f>Chart_Data!S172</x:f>
        <x:v>-32.03904160828744</x:v>
      </x:c>
      <x:c r="G908" t="n">
        <x:f>Chart_Data!P172</x:f>
        <x:v>25</x:v>
      </x:c>
      <x:c r="H908" t="n">
        <x:f>Chart_Data!T172</x:f>
        <x:v>-38.09853312923388</x:v>
      </x:c>
    </x:row>
    <x:row r="909">
      <x:c r="A909" t="n">
        <x:f>Chart_Data!P173</x:f>
        <x:v>25.5</x:v>
      </x:c>
      <x:c r="B909" t="n">
        <x:f>Chart_Data!Q173</x:f>
        <x:v>-217.6209599799222</x:v>
      </x:c>
      <x:c r="C909" t="n">
        <x:f>Chart_Data!P173</x:f>
        <x:v>25.5</x:v>
      </x:c>
      <x:c r="D909" t="n">
        <x:f>Chart_Data!R173</x:f>
        <x:v>-267.79701353634664</x:v>
      </x:c>
      <x:c r="E909" t="n">
        <x:f>Chart_Data!P173</x:f>
        <x:v>25.5</x:v>
      </x:c>
      <x:c r="F909" t="n">
        <x:f>Chart_Data!S173</x:f>
        <x:v>-32.67581981680514</x:v>
      </x:c>
      <x:c r="G909" t="n">
        <x:f>Chart_Data!P173</x:f>
        <x:v>25.5</x:v>
      </x:c>
      <x:c r="H909" t="n">
        <x:f>Chart_Data!T173</x:f>
        <x:v>-40.209761792244244</x:v>
      </x:c>
    </x:row>
    <x:row r="910">
      <x:c r="A910" t="n">
        <x:f>Chart_Data!P174</x:f>
        <x:v>26</x:v>
      </x:c>
      <x:c r="B910" t="n">
        <x:f>Chart_Data!Q174</x:f>
        <x:v>-221.86033326770485</x:v>
      </x:c>
      <x:c r="C910" t="n">
        <x:f>Chart_Data!P174</x:f>
        <x:v>26</x:v>
      </x:c>
      <x:c r="D910" t="n">
        <x:f>Chart_Data!R174</x:f>
        <x:v>-232.61930903145185</x:v>
      </x:c>
      <x:c r="E910" t="n">
        <x:f>Chart_Data!P174</x:f>
        <x:v>26</x:v>
      </x:c>
      <x:c r="F910" t="n">
        <x:f>Chart_Data!S174</x:f>
        <x:v>-33.31236235250824</x:v>
      </x:c>
      <x:c r="G910" t="n">
        <x:f>Chart_Data!P174</x:f>
        <x:v>26</x:v>
      </x:c>
      <x:c r="H910" t="n">
        <x:f>Chart_Data!T174</x:f>
        <x:v>-34.92782417889668</x:v>
      </x:c>
    </x:row>
    <x:row r="911">
      <x:c r="A911" t="n">
        <x:f>Chart_Data!P175</x:f>
        <x:v>26.5</x:v>
      </x:c>
      <x:c r="B911" t="n">
        <x:f>Chart_Data!Q175</x:f>
        <x:v>-226.0981075584823</x:v>
      </x:c>
      <x:c r="C911" t="n">
        <x:f>Chart_Data!P175</x:f>
        <x:v>26.5</x:v>
      </x:c>
      <x:c r="D911" t="n">
        <x:f>Chart_Data!R175</x:f>
        <x:v>-291.65466654148986</x:v>
      </x:c>
      <x:c r="E911" t="n">
        <x:f>Chart_Data!P175</x:f>
        <x:v>26.5</x:v>
      </x:c>
      <x:c r="F911" t="n">
        <x:f>Chart_Data!S175</x:f>
        <x:v>-33.94866479857092</x:v>
      </x:c>
      <x:c r="G911" t="n">
        <x:f>Chart_Data!P175</x:f>
        <x:v>26.5</x:v>
      </x:c>
      <x:c r="H911" t="n">
        <x:f>Chart_Data!T175</x:f>
        <x:v>-43.79199197319668</x:v>
      </x:c>
    </x:row>
    <x:row r="912">
      <x:c r="A912" t="n">
        <x:f>Chart_Data!P176</x:f>
        <x:v>27</x:v>
      </x:c>
      <x:c r="B912" t="n">
        <x:f>Chart_Data!Q176</x:f>
        <x:v>-230.3342535144111</x:v>
      </x:c>
      <x:c r="C912" t="n">
        <x:f>Chart_Data!P176</x:f>
        <x:v>27</x:v>
      </x:c>
      <x:c r="D912" t="n">
        <x:f>Chart_Data!R176</x:f>
        <x:v>-304.31541811476563</x:v>
      </x:c>
      <x:c r="E912" t="n">
        <x:f>Chart_Data!P176</x:f>
        <x:v>27</x:v>
      </x:c>
      <x:c r="F912" t="n">
        <x:f>Chart_Data!S176</x:f>
        <x:v>-34.58472274991158</x:v>
      </x:c>
      <x:c r="G912" t="n">
        <x:f>Chart_Data!P176</x:f>
        <x:v>27</x:v>
      </x:c>
      <x:c r="H912" t="n">
        <x:f>Chart_Data!T176</x:f>
        <x:v>-45.693005722937784</x:v>
      </x:c>
    </x:row>
    <x:row r="913">
      <x:c r="A913" t="n">
        <x:f>Chart_Data!P177</x:f>
        <x:v>27.5</x:v>
      </x:c>
      <x:c r="B913" t="n">
        <x:f>Chart_Data!Q177</x:f>
        <x:v>-234.56874188968868</x:v>
      </x:c>
      <x:c r="C913" t="n">
        <x:f>Chart_Data!P177</x:f>
        <x:v>27.5</x:v>
      </x:c>
      <x:c r="D913" t="n">
        <x:f>Chart_Data!R177</x:f>
        <x:v>-288.8126042343174</x:v>
      </x:c>
      <x:c r="E913" t="n">
        <x:f>Chart_Data!P177</x:f>
        <x:v>27.5</x:v>
      </x:c>
      <x:c r="F913" t="n">
        <x:f>Chart_Data!S177</x:f>
        <x:v>-35.22053181526857</x:v>
      </x:c>
      <x:c r="G913" t="n">
        <x:f>Chart_Data!P177</x:f>
        <x:v>27.5</x:v>
      </x:c>
      <x:c r="H913" t="n">
        <x:f>Chart_Data!T177</x:f>
        <x:v>-43.36525589103865</x:v>
      </x:c>
    </x:row>
    <x:row r="914">
      <x:c r="A914" t="n">
        <x:f>Chart_Data!P178</x:f>
        <x:v>28</x:v>
      </x:c>
      <x:c r="B914" t="n">
        <x:f>Chart_Data!Q178</x:f>
        <x:v>-238.80154350054</x:v>
      </x:c>
      <x:c r="C914" t="n">
        <x:f>Chart_Data!P178</x:f>
        <x:v>28</x:v>
      </x:c>
      <x:c r="D914" t="n">
        <x:f>Chart_Data!R178</x:f>
        <x:v>-281.15917075083416</x:v>
      </x:c>
      <x:c r="E914" t="n">
        <x:f>Chart_Data!P178</x:f>
        <x:v>28</x:v>
      </x:c>
      <x:c r="F914" t="n">
        <x:f>Chart_Data!S178</x:f>
        <x:v>-35.8560876126937</x:v>
      </x:c>
      <x:c r="G914" t="n">
        <x:f>Chart_Data!P178</x:f>
        <x:v>28</x:v>
      </x:c>
      <x:c r="H914" t="n">
        <x:f>Chart_Data!T178</x:f>
        <x:v>-42.21609170432946</x:v>
      </x:c>
    </x:row>
    <x:row r="915">
      <x:c r="A915" t="n">
        <x:f>Chart_Data!P179</x:f>
        <x:v>28.5</x:v>
      </x:c>
      <x:c r="B915" t="n">
        <x:f>Chart_Data!Q179</x:f>
        <x:v>-243.03262925423041</x:v>
      </x:c>
      <x:c r="C915" t="n">
        <x:f>Chart_Data!P179</x:f>
        <x:v>28.5</x:v>
      </x:c>
      <x:c r="D915" t="n">
        <x:f>Chart_Data!R179</x:f>
        <x:v>-287.9698524754531</x:v>
      </x:c>
      <x:c r="E915" t="n">
        <x:f>Chart_Data!P179</x:f>
        <x:v>28.5</x:v>
      </x:c>
      <x:c r="F915" t="n">
        <x:f>Chart_Data!S179</x:f>
        <x:v>-36.491385773908476</x:v>
      </x:c>
      <x:c r="G915" t="n">
        <x:f>Chart_Data!P179</x:f>
        <x:v>28.5</x:v>
      </x:c>
      <x:c r="H915" t="n">
        <x:f>Chart_Data!T179</x:f>
        <x:v>-43.23871658790587</x:v>
      </x:c>
    </x:row>
    <x:row r="916">
      <x:c r="A916" t="n">
        <x:f>Chart_Data!P180</x:f>
        <x:v>29</x:v>
      </x:c>
      <x:c r="B916" t="n">
        <x:f>Chart_Data!Q180</x:f>
        <x:v>-247.26197014497302</x:v>
      </x:c>
      <x:c r="C916" t="n">
        <x:f>Chart_Data!P180</x:f>
        <x:v>29</x:v>
      </x:c>
      <x:c r="D916" t="n">
        <x:f>Chart_Data!R180</x:f>
        <x:v>-321.95858402801605</x:v>
      </x:c>
      <x:c r="E916" t="n">
        <x:f>Chart_Data!P180</x:f>
        <x:v>29</x:v>
      </x:c>
      <x:c r="F916" t="n">
        <x:f>Chart_Data!S180</x:f>
        <x:v>-37.12642194368964</x:v>
      </x:c>
      <x:c r="G916" t="n">
        <x:f>Chart_Data!P180</x:f>
        <x:v>29</x:v>
      </x:c>
      <x:c r="H916" t="n">
        <x:f>Chart_Data!T180</x:f>
        <x:v>-48.342129733936346</x:v>
      </x:c>
    </x:row>
    <x:row r="917">
      <x:c r="A917" t="n">
        <x:f>Chart_Data!P181</x:f>
        <x:v>29.5</x:v>
      </x:c>
      <x:c r="B917" t="n">
        <x:f>Chart_Data!Q181</x:f>
        <x:v>-251.4895372385581</x:v>
      </x:c>
      <x:c r="C917" t="n">
        <x:f>Chart_Data!P181</x:f>
        <x:v>29.5</x:v>
      </x:c>
      <x:c r="D917" t="n">
        <x:f>Chart_Data!R181</x:f>
        <x:v>-292.2747079845067</x:v>
      </x:c>
      <x:c r="E917" t="n">
        <x:f>Chart_Data!P181</x:f>
        <x:v>29.5</x:v>
      </x:c>
      <x:c r="F917" t="n">
        <x:f>Chart_Data!S181</x:f>
        <x:v>-37.76119177756128</x:v>
      </x:c>
      <x:c r="G917" t="n">
        <x:f>Chart_Data!P181</x:f>
        <x:v>29.5</x:v>
      </x:c>
      <x:c r="H917" t="n">
        <x:f>Chart_Data!T181</x:f>
        <x:v>-43.88509128896497</x:v>
      </x:c>
    </x:row>
    <x:row r="918">
      <x:c r="A918" t="n">
        <x:f>Chart_Data!P182</x:f>
        <x:v>30</x:v>
      </x:c>
      <x:c r="B918" t="n">
        <x:f>Chart_Data!Q182</x:f>
        <x:v>-255.71530170509504</x:v>
      </x:c>
      <x:c r="C918" t="n">
        <x:f>Chart_Data!P182</x:f>
        <x:v>30</x:v>
      </x:c>
      <x:c r="D918" t="n">
        <x:f>Chart_Data!R182</x:f>
        <x:v>-293.2127943361593</x:v>
      </x:c>
      <x:c r="E918" t="n">
        <x:f>Chart_Data!P182</x:f>
        <x:v>30</x:v>
      </x:c>
      <x:c r="F918" t="n">
        <x:f>Chart_Data!S182</x:f>
        <x:v>-38.39569094671097</x:v>
      </x:c>
      <x:c r="G918" t="n">
        <x:f>Chart_Data!P182</x:f>
        <x:v>30</x:v>
      </x:c>
      <x:c r="H918" t="n">
        <x:f>Chart_Data!T182</x:f>
        <x:v>-44.02594509551942</x:v>
      </x:c>
    </x:row>
    <x:row r="919">
      <x:c r="A919" t="n">
        <x:f>Chart_Data!P183</x:f>
        <x:v>30.5</x:v>
      </x:c>
      <x:c r="B919" t="n">
        <x:f>Chart_Data!Q183</x:f>
        <x:v>-259.939234788817</x:v>
      </x:c>
      <x:c r="C919" t="n">
        <x:f>Chart_Data!P183</x:f>
        <x:v>30.5</x:v>
      </x:c>
      <x:c r="D919" t="n">
        <x:f>Chart_Data!R183</x:f>
        <x:v>-289.90851072876467</x:v>
      </x:c>
      <x:c r="E919" t="n">
        <x:f>Chart_Data!P183</x:f>
        <x:v>30.5</x:v>
      </x:c>
      <x:c r="F919" t="n">
        <x:f>Chart_Data!S183</x:f>
        <x:v>-39.02991513345601</x:v>
      </x:c>
      <x:c r="G919" t="n">
        <x:f>Chart_Data!P183</x:f>
        <x:v>30.5</x:v>
      </x:c>
      <x:c r="H919" t="n">
        <x:f>Chart_Data!T183</x:f>
        <x:v>-43.529806415730434</x:v>
      </x:c>
    </x:row>
    <x:row r="920">
      <x:c r="A920" t="n">
        <x:f>Chart_Data!P184</x:f>
        <x:v>31</x:v>
      </x:c>
      <x:c r="B920" t="n">
        <x:f>Chart_Data!Q184</x:f>
        <x:v>-264.16130781663014</x:v>
      </x:c>
      <x:c r="C920" t="n">
        <x:f>Chart_Data!P184</x:f>
        <x:v>31</x:v>
      </x:c>
      <x:c r="D920" t="n">
        <x:f>Chart_Data!R184</x:f>
        <x:v>-301.4594318800846</x:v>
      </x:c>
      <x:c r="E920" t="n">
        <x:f>Chart_Data!P184</x:f>
        <x:v>31</x:v>
      </x:c>
      <x:c r="F920" t="n">
        <x:f>Chart_Data!S184</x:f>
        <x:v>-39.663860032527054</x:v>
      </x:c>
      <x:c r="G920" t="n">
        <x:f>Chart_Data!P184</x:f>
        <x:v>31</x:v>
      </x:c>
      <x:c r="H920" t="n">
        <x:f>Chart_Data!T184</x:f>
        <x:v>-45.264178960973666</x:v>
      </x:c>
    </x:row>
    <x:row r="921">
      <x:c r="A921" t="n">
        <x:f>Chart_Data!P185</x:f>
        <x:v>31.5</x:v>
      </x:c>
      <x:c r="B921" t="n">
        <x:f>Chart_Data!Q185</x:f>
        <x:v>-268.38149222203356</x:v>
      </x:c>
      <x:c r="C921" t="n">
        <x:f>Chart_Data!P185</x:f>
        <x:v>31.5</x:v>
      </x:c>
      <x:c r="D921" t="n">
        <x:f>Chart_Data!R185</x:f>
        <x:v>-295.7054253145543</x:v>
      </x:c>
      <x:c r="E921" t="n">
        <x:f>Chart_Data!P185</x:f>
        <x:v>31.5</x:v>
      </x:c>
      <x:c r="F921" t="n">
        <x:f>Chart_Data!S185</x:f>
        <x:v>-40.29752135465969</x:v>
      </x:c>
      <x:c r="G921" t="n">
        <x:f>Chart_Data!P185</x:f>
        <x:v>31.5</x:v>
      </x:c>
      <x:c r="H921" t="n">
        <x:f>Chart_Data!T185</x:f>
        <x:v>-44.40021401119434</x:v>
      </x:c>
    </x:row>
    <x:row r="922">
      <x:c r="A922" t="n">
        <x:f>Chart_Data!P186</x:f>
        <x:v>32</x:v>
      </x:c>
      <x:c r="B922" t="n">
        <x:f>Chart_Data!Q186</x:f>
        <x:v>-272.599759519926</x:v>
      </x:c>
      <x:c r="C922" t="n">
        <x:f>Chart_Data!P186</x:f>
        <x:v>32</x:v>
      </x:c>
      <x:c r="D922" t="n">
        <x:f>Chart_Data!R186</x:f>
        <x:v>-254.59907467848097</x:v>
      </x:c>
      <x:c r="E922" t="n">
        <x:f>Chart_Data!P186</x:f>
        <x:v>32</x:v>
      </x:c>
      <x:c r="F922" t="n">
        <x:f>Chart_Data!S186</x:f>
        <x:v>-40.930894822811716</x:v>
      </x:c>
      <x:c r="G922" t="n">
        <x:f>Chart_Data!P186</x:f>
        <x:v>32</x:v>
      </x:c>
      <x:c r="H922" t="n">
        <x:f>Chart_Data!T186</x:f>
        <x:v>-38.22808929106321</x:v>
      </x:c>
    </x:row>
    <x:row r="923">
      <x:c r="A923" t="n">
        <x:f>Chart_Data!P187</x:f>
        <x:v>32.5</x:v>
      </x:c>
      <x:c r="B923" t="n">
        <x:f>Chart_Data!Q187</x:f>
        <x:v>-276.81608131206303</x:v>
      </x:c>
      <x:c r="C923" t="n">
        <x:f>Chart_Data!P187</x:f>
        <x:v>32.5</x:v>
      </x:c>
      <x:c r="D923" t="n">
        <x:f>Chart_Data!R187</x:f>
        <x:v>-271.14112996578115</x:v>
      </x:c>
      <x:c r="E923" t="n">
        <x:f>Chart_Data!P187</x:f>
        <x:v>32.5</x:v>
      </x:c>
      <x:c r="F923" t="n">
        <x:f>Chart_Data!S187</x:f>
        <x:v>-41.56397617298244</x:v>
      </x:c>
      <x:c r="G923" t="n">
        <x:f>Chart_Data!P187</x:f>
        <x:v>32.5</x:v>
      </x:c>
      <x:c r="H923" t="n">
        <x:f>Chart_Data!T187</x:f>
        <x:v>-40.71188137624342</x:v>
      </x:c>
    </x:row>
    <x:row r="924">
      <x:c r="A924" t="n">
        <x:f>Chart_Data!P188</x:f>
        <x:v>33</x:v>
      </x:c>
      <x:c r="B924" t="n">
        <x:f>Chart_Data!Q188</x:f>
        <x:v>-281.0304293043373</x:v>
      </x:c>
      <x:c r="C924" t="n">
        <x:f>Chart_Data!P188</x:f>
        <x:v>33</x:v>
      </x:c>
      <x:c r="D924" t="n">
        <x:f>Chart_Data!R188</x:f>
        <x:v>-283.8938267223057</x:v>
      </x:c>
      <x:c r="E924" t="n">
        <x:f>Chart_Data!P188</x:f>
        <x:v>33</x:v>
      </x:c>
      <x:c r="F924" t="n">
        <x:f>Chart_Data!S188</x:f>
        <x:v>-42.196761156807405</x:v>
      </x:c>
      <x:c r="G924" t="n">
        <x:f>Chart_Data!P188</x:f>
        <x:v>33</x:v>
      </x:c>
      <x:c r="H924" t="n">
        <x:f>Chart_Data!T188</x:f>
        <x:v>-42.62670070905491</x:v>
      </x:c>
    </x:row>
    <x:row r="925">
      <x:c r="A925" t="n">
        <x:f>Chart_Data!P189</x:f>
        <x:v>33.5</x:v>
      </x:c>
      <x:c r="B925" t="n">
        <x:f>Chart_Data!Q189</x:f>
        <x:v>-285.24277529395476</x:v>
      </x:c>
      <x:c r="C925" t="n">
        <x:f>Chart_Data!P189</x:f>
        <x:v>33.5</x:v>
      </x:c>
      <x:c r="D925" t="n">
        <x:f>Chart_Data!R189</x:f>
        <x:v>-258.09890866003116</x:v>
      </x:c>
      <x:c r="E925" t="n">
        <x:f>Chart_Data!P189</x:f>
        <x:v>33.5</x:v>
      </x:c>
      <x:c r="F925" t="n">
        <x:f>Chart_Data!S189</x:f>
        <x:v>-42.82924553963285</x:v>
      </x:c>
      <x:c r="G925" t="n">
        <x:f>Chart_Data!P189</x:f>
        <x:v>33.5</x:v>
      </x:c>
      <x:c r="H925" t="n">
        <x:f>Chart_Data!T189</x:f>
        <x:v>-38.75358988889357</x:v>
      </x:c>
    </x:row>
    <x:row r="926">
      <x:c r="A926" t="n">
        <x:f>Chart_Data!P190</x:f>
        <x:v>34</x:v>
      </x:c>
      <x:c r="B926" t="n">
        <x:f>Chart_Data!Q190</x:f>
        <x:v>-289.4530911666152</x:v>
      </x:c>
      <x:c r="C926" t="n">
        <x:f>Chart_Data!P190</x:f>
        <x:v>34</x:v>
      </x:c>
      <x:c r="D926" t="n">
        <x:f>Chart_Data!R190</x:f>
        <x:v>-253.7267367678396</x:v>
      </x:c>
      <x:c r="E926" t="n">
        <x:f>Chart_Data!P190</x:f>
        <x:v>34</x:v>
      </x:c>
      <x:c r="F926" t="n">
        <x:f>Chart_Data!S190</x:f>
        <x:v>-43.46142510009238</x:v>
      </x:c>
      <x:c r="G926" t="n">
        <x:f>Chart_Data!P190</x:f>
        <x:v>34</x:v>
      </x:c>
      <x:c r="H926" t="n">
        <x:f>Chart_Data!T190</x:f>
        <x:v>-38.097107622798745</x:v>
      </x:c>
    </x:row>
    <x:row r="927">
      <x:c r="A927" t="n">
        <x:f>Chart_Data!P191</x:f>
        <x:v>34.5</x:v>
      </x:c>
      <x:c r="B927" t="n">
        <x:f>Chart_Data!Q191</x:f>
        <x:v>-293.66134891224647</x:v>
      </x:c>
      <x:c r="C927" t="n">
        <x:f>Chart_Data!P191</x:f>
        <x:v>34.5</x:v>
      </x:c>
      <x:c r="D927" t="n">
        <x:f>Chart_Data!R191</x:f>
        <x:v>-295.78985259904584</x:v>
      </x:c>
      <x:c r="E927" t="n">
        <x:f>Chart_Data!P191</x:f>
        <x:v>34.5</x:v>
      </x:c>
      <x:c r="F927" t="n">
        <x:f>Chart_Data!S191</x:f>
        <x:v>-44.09329563246944</x:v>
      </x:c>
      <x:c r="G927" t="n">
        <x:f>Chart_Data!P191</x:f>
        <x:v>34.5</x:v>
      </x:c>
      <x:c r="H927" t="n">
        <x:f>Chart_Data!T191</x:f>
        <x:v>-44.41289078063752</x:v>
      </x:c>
    </x:row>
    <x:row r="928">
      <x:c r="A928" t="n">
        <x:f>Chart_Data!P192</x:f>
        <x:v>35</x:v>
      </x:c>
      <x:c r="B928" t="n">
        <x:f>Chart_Data!Q192</x:f>
        <x:v>-297.8675206210937</x:v>
      </x:c>
      <x:c r="C928" t="n">
        <x:f>Chart_Data!P192</x:f>
        <x:v>35</x:v>
      </x:c>
      <x:c r="D928" t="n">
        <x:f>Chart_Data!R192</x:f>
        <x:v>-307.8352331618589</x:v>
      </x:c>
      <x:c r="E928" t="n">
        <x:f>Chart_Data!P192</x:f>
        <x:v>35</x:v>
      </x:c>
      <x:c r="F928" t="n">
        <x:f>Chart_Data!S192</x:f>
        <x:v>-44.72485294611017</x:v>
      </x:c>
      <x:c r="G928" t="n">
        <x:f>Chart_Data!P192</x:f>
        <x:v>35</x:v>
      </x:c>
      <x:c r="H928" t="n">
        <x:f>Chart_Data!T192</x:f>
        <x:v>-46.2215064807596</x:v>
      </x:c>
    </x:row>
    <x:row r="929">
      <x:c r="A929" t="n">
        <x:f>Chart_Data!P193</x:f>
        <x:v>35.5</x:v>
      </x:c>
      <x:c r="B929" t="n">
        <x:f>Chart_Data!Q193</x:f>
        <x:v>-302.0715784808999</x:v>
      </x:c>
      <x:c r="C929" t="n">
        <x:f>Chart_Data!P193</x:f>
        <x:v>35.5</x:v>
      </x:c>
      <x:c r="D929" t="n">
        <x:f>Chart_Data!R193</x:f>
        <x:v>-286.6069943915136</x:v>
      </x:c>
      <x:c r="E929" t="n">
        <x:f>Chart_Data!P193</x:f>
        <x:v>35.5</x:v>
      </x:c>
      <x:c r="F929" t="n">
        <x:f>Chart_Data!S193</x:f>
        <x:v>-45.356092864999994</x:v>
      </x:c>
      <x:c r="G929" t="n">
        <x:f>Chart_Data!P193</x:f>
        <x:v>35.5</x:v>
      </x:c>
      <x:c r="H929" t="n">
        <x:f>Chart_Data!T193</x:f>
        <x:v>-43.03408324196901</x:v>
      </x:c>
    </x:row>
    <x:row r="930">
      <x:c r="A930" t="n">
        <x:f>Chart_Data!P194</x:f>
        <x:v>36</x:v>
      </x:c>
      <x:c r="B930" t="n">
        <x:f>Chart_Data!Q194</x:f>
        <x:v>-306.2734947710851</x:v>
      </x:c>
      <x:c r="C930" t="n">
        <x:f>Chart_Data!P194</x:f>
        <x:v>36</x:v>
      </x:c>
      <x:c r="D930" t="n">
        <x:f>Chart_Data!R194</x:f>
        <x:v>-256.20808419480454</x:v>
      </x:c>
      <x:c r="E930" t="n">
        <x:f>Chart_Data!P194</x:f>
        <x:v>36</x:v>
      </x:c>
      <x:c r="F930" t="n">
        <x:f>Chart_Data!S194</x:f>
        <x:v>-45.987011226889656</x:v>
      </x:c>
      <x:c r="G930" t="n">
        <x:f>Chart_Data!P194</x:f>
        <x:v>36</x:v>
      </x:c>
      <x:c r="H930" t="n">
        <x:f>Chart_Data!T194</x:f>
        <x:v>-38.46968231153222</x:v>
      </x:c>
    </x:row>
    <x:row r="931">
      <x:c r="A931" t="n">
        <x:f>Chart_Data!P195</x:f>
        <x:v>36.5</x:v>
      </x:c>
      <x:c r="B931" t="n">
        <x:f>Chart_Data!Q195</x:f>
        <x:v>-310.4732418857566</x:v>
      </x:c>
      <x:c r="C931" t="n">
        <x:f>Chart_Data!P195</x:f>
        <x:v>36.5</x:v>
      </x:c>
      <x:c r="D931" t="n">
        <x:f>Chart_Data!R195</x:f>
        <x:v>-270.33211644011317</x:v>
      </x:c>
      <x:c r="E931" t="n">
        <x:f>Chart_Data!P195</x:f>
        <x:v>36.5</x:v>
      </x:c>
      <x:c r="F931" t="n">
        <x:f>Chart_Data!S195</x:f>
        <x:v>-46.61760388675024</x:v>
      </x:c>
      <x:c r="G931" t="n">
        <x:f>Chart_Data!P195</x:f>
        <x:v>36.5</x:v>
      </x:c>
      <x:c r="H931" t="n">
        <x:f>Chart_Data!T195</x:f>
        <x:v>-40.59040787389087</x:v>
      </x:c>
    </x:row>
    <x:row r="932">
      <x:c r="A932" t="n">
        <x:f>Chart_Data!P196</x:f>
        <x:v>37</x:v>
      </x:c>
      <x:c r="B932" t="n">
        <x:f>Chart_Data!Q196</x:f>
        <x:v>-314.6707923143367</x:v>
      </x:c>
      <x:c r="C932" t="n">
        <x:f>Chart_Data!P196</x:f>
        <x:v>37</x:v>
      </x:c>
      <x:c r="D932" t="n">
        <x:f>Chart_Data!R196</x:f>
        <x:v>-304.7320025682893</x:v>
      </x:c>
      <x:c r="E932" t="n">
        <x:f>Chart_Data!P196</x:f>
        <x:v>37</x:v>
      </x:c>
      <x:c r="F932" t="n">
        <x:f>Chart_Data!S196</x:f>
        <x:v>-47.247866713864376</x:v>
      </x:c>
      <x:c r="G932" t="n">
        <x:f>Chart_Data!P196</x:f>
        <x:v>37</x:v>
      </x:c>
      <x:c r="H932" t="n">
        <x:f>Chart_Data!T196</x:f>
        <x:v>-45.75555594118459</x:v>
      </x:c>
    </x:row>
    <x:row r="933">
      <x:c r="A933" t="n">
        <x:f>Chart_Data!P197</x:f>
        <x:v>37.5</x:v>
      </x:c>
      <x:c r="B933" t="n">
        <x:f>Chart_Data!Q197</x:f>
        <x:v>-318.8661186490208</x:v>
      </x:c>
      <x:c r="C933" t="n">
        <x:f>Chart_Data!P197</x:f>
        <x:v>37.5</x:v>
      </x:c>
      <x:c r="D933" t="n">
        <x:f>Chart_Data!R197</x:f>
        <x:v>-310.94330885744057</x:v>
      </x:c>
      <x:c r="E933" t="n">
        <x:f>Chart_Data!P197</x:f>
        <x:v>37.5</x:v>
      </x:c>
      <x:c r="F933" t="n">
        <x:f>Chart_Data!S197</x:f>
        <x:v>-47.87779559294607</x:v>
      </x:c>
      <x:c r="G933" t="n">
        <x:f>Chart_Data!P197</x:f>
        <x:v>37.5</x:v>
      </x:c>
      <x:c r="H933" t="n">
        <x:f>Chart_Data!T197</x:f>
        <x:v>-46.688184513129215</x:v>
      </x:c>
    </x:row>
    <x:row r="934">
      <x:c r="A934" t="n">
        <x:f>Chart_Data!P198</x:f>
        <x:v>38</x:v>
      </x:c>
      <x:c r="B934" t="n">
        <x:f>Chart_Data!Q198</x:f>
        <x:v>-323.0591935966004</x:v>
      </x:c>
      <x:c r="C934" t="n">
        <x:f>Chart_Data!P198</x:f>
        <x:v>38</x:v>
      </x:c>
      <x:c r="D934" t="n">
        <x:f>Chart_Data!R198</x:f>
        <x:v>-274.9239634749756</x:v>
      </x:c>
      <x:c r="E934" t="n">
        <x:f>Chart_Data!P198</x:f>
        <x:v>38</x:v>
      </x:c>
      <x:c r="F934" t="n">
        <x:f>Chart_Data!S198</x:f>
        <x:v>-48.507386425915975</x:v>
      </x:c>
      <x:c r="G934" t="n">
        <x:f>Chart_Data!P198</x:f>
        <x:v>38</x:v>
      </x:c>
      <x:c r="H934" t="n">
        <x:f>Chart_Data!T198</x:f>
        <x:v>-41.27987439564199</x:v>
      </x:c>
    </x:row>
    <x:row r="935">
      <x:c r="A935" t="n">
        <x:f>Chart_Data!P199</x:f>
        <x:v>38.5</x:v>
      </x:c>
      <x:c r="B935" t="n">
        <x:f>Chart_Data!Q199</x:f>
        <x:v>-327.2499899624563</x:v>
      </x:c>
      <x:c r="C935" t="n">
        <x:f>Chart_Data!P199</x:f>
        <x:v>38.5</x:v>
      </x:c>
      <x:c r="D935" t="n">
        <x:f>Chart_Data!R199</x:f>
        <x:v>-295.00116253339</x:v>
      </x:c>
      <x:c r="E935" t="n">
        <x:f>Chart_Data!P199</x:f>
        <x:v>38.5</x:v>
      </x:c>
      <x:c r="F935" t="n">
        <x:f>Chart_Data!S199</x:f>
        <x:v>-49.13663512949795</x:v>
      </x:c>
      <x:c r="G935" t="n">
        <x:f>Chart_Data!P199</x:f>
        <x:v>38.5</x:v>
      </x:c>
      <x:c r="H935" t="n">
        <x:f>Chart_Data!T199</x:f>
        <x:v>-44.29446884885736</x:v>
      </x:c>
    </x:row>
    <x:row r="936">
      <x:c r="A936" t="n">
        <x:f>Chart_Data!P200</x:f>
        <x:v>39</x:v>
      </x:c>
      <x:c r="B936" t="n">
        <x:f>Chart_Data!Q200</x:f>
        <x:v>-331.4384806597445</x:v>
      </x:c>
      <x:c r="C936" t="n">
        <x:f>Chart_Data!P200</x:f>
        <x:v>39</x:v>
      </x:c>
      <x:c r="D936" t="n">
        <x:f>Chart_Data!R200</x:f>
        <x:v>-351.0190914843406</x:v>
      </x:c>
      <x:c r="E936" t="n">
        <x:f>Chart_Data!P200</x:f>
        <x:v>39</x:v>
      </x:c>
      <x:c r="F936" t="n">
        <x:f>Chart_Data!S200</x:f>
        <x:v>-49.76553763659828</x:v>
      </x:c>
      <x:c r="G936" t="n">
        <x:f>Chart_Data!P200</x:f>
        <x:v>39</x:v>
      </x:c>
      <x:c r="H936" t="n">
        <x:f>Chart_Data!T200</x:f>
        <x:v>-52.705569291943036</x:v>
      </x:c>
    </x:row>
    <x:row r="937">
      <x:c r="A937" t="n">
        <x:f>Chart_Data!P201</x:f>
        <x:v>39.5</x:v>
      </x:c>
      <x:c r="B937" t="n">
        <x:f>Chart_Data!Q201</x:f>
        <x:v>-335.62463871039654</x:v>
      </x:c>
      <x:c r="C937" t="n">
        <x:f>Chart_Data!P201</x:f>
        <x:v>39.5</x:v>
      </x:c>
      <x:c r="D937" t="n">
        <x:f>Chart_Data!R201</x:f>
        <x:v>-332.6760334270148</x:v>
      </x:c>
      <x:c r="E937" t="n">
        <x:f>Chart_Data!P201</x:f>
        <x:v>39.5</x:v>
      </x:c>
      <x:c r="F937" t="n">
        <x:f>Chart_Data!S201</x:f>
        <x:v>-50.39408989645594</x:v>
      </x:c>
      <x:c r="G937" t="n">
        <x:f>Chart_Data!P201</x:f>
        <x:v>39.5</x:v>
      </x:c>
      <x:c r="H937" t="n">
        <x:f>Chart_Data!T201</x:f>
        <x:v>-49.951356370422644</x:v>
      </x:c>
    </x:row>
    <x:row r="938">
      <x:c r="A938" t="n">
        <x:f>Chart_Data!P202</x:f>
        <x:v>40</x:v>
      </x:c>
      <x:c r="B938" t="n">
        <x:f>Chart_Data!Q202</x:f>
        <x:v>-339.80843724993974</x:v>
      </x:c>
      <x:c r="C938" t="n">
        <x:f>Chart_Data!P202</x:f>
        <x:v>40</x:v>
      </x:c>
      <x:c r="D938" t="n">
        <x:f>Chart_Data!R202</x:f>
        <x:v>-337.1917719139674</x:v>
      </x:c>
      <x:c r="E938" t="n">
        <x:f>Chart_Data!P202</x:f>
        <x:v>40</x:v>
      </x:c>
      <x:c r="F938" t="n">
        <x:f>Chart_Data!S202</x:f>
        <x:v>-51.02228787536633</x:v>
      </x:c>
      <x:c r="G938" t="n">
        <x:f>Chart_Data!P202</x:f>
        <x:v>40</x:v>
      </x:c>
      <x:c r="H938" t="n">
        <x:f>Chart_Data!T202</x:f>
        <x:v>-50.62939518227739</x:v>
      </x:c>
    </x:row>
    <x:row r="939">
      <x:c r="A939" t="n">
        <x:f>Chart_Data!P203</x:f>
        <x:v>40.5</x:v>
      </x:c>
      <x:c r="B939" t="n">
        <x:f>Chart_Data!Q203</x:f>
        <x:v>-343.98984952458704</x:v>
      </x:c>
      <x:c r="C939" t="n">
        <x:f>Chart_Data!P203</x:f>
        <x:v>40.5</x:v>
      </x:c>
      <x:c r="D939" t="n">
        <x:f>Chart_Data!R203</x:f>
        <x:v>-388.8944572384389</x:v>
      </x:c>
      <x:c r="E939" t="n">
        <x:f>Chart_Data!P203</x:f>
        <x:v>40.5</x:v>
      </x:c>
      <x:c r="F939" t="n">
        <x:f>Chart_Data!S203</x:f>
        <x:v>-51.65012755624431</x:v>
      </x:c>
      <x:c r="G939" t="n">
        <x:f>Chart_Data!P203</x:f>
        <x:v>40.5</x:v>
      </x:c>
      <x:c r="H939" t="n">
        <x:f>Chart_Data!T203</x:f>
        <x:v>-58.392561146912755</x:v>
      </x:c>
    </x:row>
    <x:row r="940">
      <x:c r="A940" t="n">
        <x:f>Chart_Data!P204</x:f>
        <x:v>41</x:v>
      </x:c>
      <x:c r="B940" t="n">
        <x:f>Chart_Data!Q204</x:f>
        <x:v>-348.16884888314235</x:v>
      </x:c>
      <x:c r="C940" t="n">
        <x:f>Chart_Data!P204</x:f>
        <x:v>41</x:v>
      </x:c>
      <x:c r="D940" t="n">
        <x:f>Chart_Data!R204</x:f>
        <x:v>-398.15439784842965</x:v>
      </x:c>
      <x:c r="E940" t="n">
        <x:f>Chart_Data!P204</x:f>
        <x:v>41</x:v>
      </x:c>
      <x:c r="F940" t="n">
        <x:f>Chart_Data!S204</x:f>
        <x:v>-52.27760493740877</x:v>
      </x:c>
      <x:c r="G940" t="n">
        <x:f>Chart_Data!P204</x:f>
        <x:v>41</x:v>
      </x:c>
      <x:c r="H940" t="n">
        <x:f>Chart_Data!T204</x:f>
        <x:v>-59.78294261988434</x:v>
      </x:c>
    </x:row>
    <x:row r="941">
      <x:c r="A941" t="n">
        <x:f>Chart_Data!P205</x:f>
        <x:v>41.5</x:v>
      </x:c>
      <x:c r="B941" t="n">
        <x:f>Chart_Data!Q205</x:f>
        <x:v>-352.3454087967366</x:v>
      </x:c>
      <x:c r="C941" t="n">
        <x:f>Chart_Data!P205</x:f>
        <x:v>41.5</x:v>
      </x:c>
      <x:c r="D941" t="n">
        <x:f>Chart_Data!R205</x:f>
        <x:v>-361.1079984811113</x:v>
      </x:c>
      <x:c r="E941" t="n">
        <x:f>Chart_Data!P205</x:f>
        <x:v>41.5</x:v>
      </x:c>
      <x:c r="F941" t="n">
        <x:f>Chart_Data!S205</x:f>
        <x:v>-52.90471603554604</x:v>
      </x:c>
      <x:c r="G941" t="n">
        <x:f>Chart_Data!P205</x:f>
        <x:v>41.5</x:v>
      </x:c>
      <x:c r="H941" t="n">
        <x:f>Chart_Data!T205</x:f>
        <x:v>-54.22042019235906</x:v>
      </x:c>
    </x:row>
    <x:row r="942">
      <x:c r="A942" t="n">
        <x:f>Chart_Data!P206</x:f>
        <x:v>42</x:v>
      </x:c>
      <x:c r="B942" t="n">
        <x:f>Chart_Data!Q206</x:f>
        <x:v>-356.5195028526432</x:v>
      </x:c>
      <x:c r="C942" t="n">
        <x:f>Chart_Data!P206</x:f>
        <x:v>42</x:v>
      </x:c>
      <x:c r="D942" t="n">
        <x:f>Chart_Data!R206</x:f>
        <x:v>-371.61471890167377</x:v>
      </x:c>
      <x:c r="E942" t="n">
        <x:f>Chart_Data!P206</x:f>
        <x:v>42</x:v>
      </x:c>
      <x:c r="F942" t="n">
        <x:f>Chart_Data!S206</x:f>
        <x:v>-53.531456884781264</x:v>
      </x:c>
      <x:c r="G942" t="n">
        <x:f>Chart_Data!P206</x:f>
        <x:v>42</x:v>
      </x:c>
      <x:c r="H942" t="n">
        <x:f>Chart_Data!T206</x:f>
        <x:v>-55.79800584109216</x:v>
      </x:c>
    </x:row>
    <x:row r="943">
      <x:c r="A943" t="n">
        <x:f>Chart_Data!P207</x:f>
        <x:v>42.5</x:v>
      </x:c>
      <x:c r="B943" t="n">
        <x:f>Chart_Data!Q207</x:f>
        <x:v>-360.6911047401809</x:v>
      </x:c>
      <x:c r="C943" t="n">
        <x:f>Chart_Data!P207</x:f>
        <x:v>42.5</x:v>
      </x:c>
      <x:c r="D943" t="n">
        <x:f>Chart_Data!R207</x:f>
        <x:v>-398.58972229558276</x:v>
      </x:c>
      <x:c r="E943" t="n">
        <x:f>Chart_Data!P207</x:f>
        <x:v>42.5</x:v>
      </x:c>
      <x:c r="F943" t="n">
        <x:f>Chart_Data!S207</x:f>
        <x:v>-54.1578235345617</x:v>
      </x:c>
      <x:c r="G943" t="n">
        <x:f>Chart_Data!P207</x:f>
        <x:v>42.5</x:v>
      </x:c>
      <x:c r="H943" t="n">
        <x:f>Chart_Data!T207</x:f>
        <x:v>-59.848306650988405</x:v>
      </x:c>
    </x:row>
    <x:row r="944">
      <x:c r="A944" t="n">
        <x:f>Chart_Data!P208</x:f>
        <x:v>43</x:v>
      </x:c>
      <x:c r="B944" t="n">
        <x:f>Chart_Data!Q208</x:f>
        <x:v>-364.8601882793628</x:v>
      </x:c>
      <x:c r="C944" t="n">
        <x:f>Chart_Data!P208</x:f>
        <x:v>43</x:v>
      </x:c>
      <x:c r="D944" t="n">
        <x:f>Chart_Data!R208</x:f>
        <x:v>-419.4335216990112</x:v>
      </x:c>
      <x:c r="E944" t="n">
        <x:f>Chart_Data!P208</x:f>
        <x:v>43</x:v>
      </x:c>
      <x:c r="F944" t="n">
        <x:f>Chart_Data!S208</x:f>
        <x:v>-54.78381205395838</x:v>
      </x:c>
      <x:c r="G944" t="n">
        <x:f>Chart_Data!P208</x:f>
        <x:v>43</x:v>
      </x:c>
      <x:c r="H944" t="n">
        <x:f>Chart_Data!T208</x:f>
        <x:v>-62.978006261112796</x:v>
      </x:c>
    </x:row>
    <x:row r="945">
      <x:c r="A945" t="n">
        <x:f>Chart_Data!P209</x:f>
        <x:v>43.5</x:v>
      </x:c>
      <x:c r="B945" t="n">
        <x:f>Chart_Data!Q209</x:f>
        <x:v>-369.0267273985228</x:v>
      </x:c>
      <x:c r="C945" t="n">
        <x:f>Chart_Data!P209</x:f>
        <x:v>43.5</x:v>
      </x:c>
      <x:c r="D945" t="n">
        <x:f>Chart_Data!R209</x:f>
        <x:v>-429.9051877553211</x:v>
      </x:c>
      <x:c r="E945" t="n">
        <x:f>Chart_Data!P209</x:f>
        <x:v>43.5</x:v>
      </x:c>
      <x:c r="F945" t="n">
        <x:f>Chart_Data!S209</x:f>
        <x:v>-55.40941852830673</x:v>
      </x:c>
      <x:c r="G945" t="n">
        <x:f>Chart_Data!P209</x:f>
        <x:v>43.5</x:v>
      </x:c>
      <x:c r="H945" t="n">
        <x:f>Chart_Data!T209</x:f>
        <x:v>-64.55032849178995</x:v>
      </x:c>
    </x:row>
    <x:row r="946">
      <x:c r="A946" t="n">
        <x:f>Chart_Data!P210</x:f>
        <x:v>44</x:v>
      </x:c>
      <x:c r="B946" t="n">
        <x:f>Chart_Data!Q210</x:f>
        <x:v>-373.1906961457753</x:v>
      </x:c>
      <x:c r="C946" t="n">
        <x:f>Chart_Data!P210</x:f>
        <x:v>44</x:v>
      </x:c>
      <x:c r="D946" t="n">
        <x:f>Chart_Data!R210</x:f>
        <x:v>-446.6345676146375</x:v>
      </x:c>
      <x:c r="E946" t="n">
        <x:f>Chart_Data!P210</x:f>
        <x:v>44</x:v>
      </x:c>
      <x:c r="F946" t="n">
        <x:f>Chart_Data!S210</x:f>
        <x:v>-56.034639060927226</x:v>
      </x:c>
      <x:c r="G946" t="n">
        <x:f>Chart_Data!P210</x:f>
        <x:v>44</x:v>
      </x:c>
      <x:c r="H946" t="n">
        <x:f>Chart_Data!T210</x:f>
        <x:v>-67.06224738958521</x:v>
      </x:c>
    </x:row>
    <x:row r="947">
      <x:c r="A947" t="n">
        <x:f>Chart_Data!P211</x:f>
        <x:v>44.5</x:v>
      </x:c>
      <x:c r="B947" t="n">
        <x:f>Chart_Data!Q211</x:f>
        <x:v>-377.3520686901975</x:v>
      </x:c>
      <x:c r="C947" t="n">
        <x:f>Chart_Data!P211</x:f>
        <x:v>44.5</x:v>
      </x:c>
      <x:c r="D947" t="n">
        <x:f>Chart_Data!R211</x:f>
        <x:v>-446.31989555336986</x:v>
      </x:c>
      <x:c r="E947" t="n">
        <x:f>Chart_Data!P211</x:f>
        <x:v>44.5</x:v>
      </x:c>
      <x:c r="F947" t="n">
        <x:f>Chart_Data!S211</x:f>
        <x:v>-56.65946977330293</x:v>
      </x:c>
      <x:c r="G947" t="n">
        <x:f>Chart_Data!P211</x:f>
        <x:v>44.5</x:v>
      </x:c>
      <x:c r="H947" t="n">
        <x:f>Chart_Data!T211</x:f>
        <x:v>-67.01499933233782</x:v>
      </x:c>
    </x:row>
    <x:row r="948">
      <x:c r="A948" t="n">
        <x:f>Chart_Data!P212</x:f>
        <x:v>45</x:v>
      </x:c>
      <x:c r="B948" t="n">
        <x:f>Chart_Data!Q212</x:f>
        <x:v>-381.5108193193737</x:v>
      </x:c>
      <x:c r="C948" t="n">
        <x:f>Chart_Data!P212</x:f>
        <x:v>45</x:v>
      </x:c>
      <x:c r="D948" t="n">
        <x:f>Chart_Data!R212</x:f>
        <x:v>-397.70995031030907</x:v>
      </x:c>
      <x:c r="E948" t="n">
        <x:f>Chart_Data!P212</x:f>
        <x:v>45</x:v>
      </x:c>
      <x:c r="F948" t="n">
        <x:f>Chart_Data!S212</x:f>
        <x:v>-57.28390680471077</x:v>
      </x:c>
      <x:c r="G948" t="n">
        <x:f>Chart_Data!P212</x:f>
        <x:v>45</x:v>
      </x:c>
      <x:c r="H948" t="n">
        <x:f>Chart_Data!T212</x:f>
        <x:v>-59.716208755301665</x:v>
      </x:c>
    </x:row>
    <x:row r="949">
      <x:c r="A949" t="n">
        <x:f>Chart_Data!P213</x:f>
        <x:v>45.5</x:v>
      </x:c>
      <x:c r="B949" t="n">
        <x:f>Chart_Data!Q213</x:f>
        <x:v>-385.6669224382131</x:v>
      </x:c>
      <x:c r="C949" t="n">
        <x:f>Chart_Data!P213</x:f>
        <x:v>45.5</x:v>
      </x:c>
      <x:c r="D949" t="n">
        <x:f>Chart_Data!R213</x:f>
        <x:v>-414.2659457460468</x:v>
      </x:c>
      <x:c r="E949" t="n">
        <x:f>Chart_Data!P213</x:f>
        <x:v>45.5</x:v>
      </x:c>
      <x:c r="F949" t="n">
        <x:f>Chart_Data!S213</x:f>
        <x:v>-57.90794631204401</x:v>
      </x:c>
      <x:c r="G949" t="n">
        <x:f>Chart_Data!P213</x:f>
        <x:v>45.5</x:v>
      </x:c>
      <x:c r="H949" t="n">
        <x:f>Chart_Data!T213</x:f>
        <x:v>-62.202093955862885</x:v>
      </x:c>
    </x:row>
    <x:row r="950">
      <x:c r="A950" t="n">
        <x:f>Chart_Data!P214</x:f>
        <x:v>46</x:v>
      </x:c>
      <x:c r="B950" t="n">
        <x:f>Chart_Data!Q214</x:f>
        <x:v>-389.8203525829558</x:v>
      </x:c>
      <x:c r="C950" t="n">
        <x:f>Chart_Data!P214</x:f>
        <x:v>46</x:v>
      </x:c>
      <x:c r="D950" t="n">
        <x:f>Chart_Data!R214</x:f>
        <x:v>-458.6307151440451</x:v>
      </x:c>
      <x:c r="E950" t="n">
        <x:f>Chart_Data!P214</x:f>
        <x:v>46</x:v>
      </x:c>
      <x:c r="F950" t="n">
        <x:f>Chart_Data!S214</x:f>
        <x:v>-58.531584471915295</x:v>
      </x:c>
      <x:c r="G950" t="n">
        <x:f>Chart_Data!P214</x:f>
        <x:v>46</x:v>
      </x:c>
      <x:c r="H950" t="n">
        <x:f>Chart_Data!T214</x:f>
        <x:v>-68.86347074234912</x:v>
      </x:c>
    </x:row>
    <x:row r="951">
      <x:c r="A951" t="n">
        <x:f>Chart_Data!P215</x:f>
        <x:v>46.5</x:v>
      </x:c>
      <x:c r="B951" t="n">
        <x:f>Chart_Data!Q215</x:f>
        <x:v>-393.9710844109868</x:v>
      </x:c>
      <x:c r="C951" t="n">
        <x:f>Chart_Data!P215</x:f>
        <x:v>46.5</x:v>
      </x:c>
      <x:c r="D951" t="n">
        <x:f>Chart_Data!R215</x:f>
        <x:v>-438.4974537015296</x:v>
      </x:c>
      <x:c r="E951" t="n">
        <x:f>Chart_Data!P215</x:f>
        <x:v>46.5</x:v>
      </x:c>
      <x:c r="F951" t="n">
        <x:f>Chart_Data!S215</x:f>
        <x:v>-59.15481747912715</x:v>
      </x:c>
      <x:c r="G951" t="n">
        <x:f>Chart_Data!P215</x:f>
        <x:v>46.5</x:v>
      </x:c>
      <x:c r="H951" t="n">
        <x:f>Chart_Data!T215</x:f>
        <x:v>-65.84045851374319</x:v>
      </x:c>
    </x:row>
    <x:row r="952">
      <x:c r="A952" t="n">
        <x:f>Chart_Data!P216</x:f>
        <x:v>47</x:v>
      </x:c>
      <x:c r="B952" t="n">
        <x:f>Chart_Data!Q216</x:f>
        <x:v>-398.1190926891031</x:v>
      </x:c>
      <x:c r="C952" t="n">
        <x:f>Chart_Data!P216</x:f>
        <x:v>47</x:v>
      </x:c>
      <x:c r="D952" t="n">
        <x:f>Chart_Data!R216</x:f>
        <x:v>-425.83713410422206</x:v>
      </x:c>
      <x:c r="E952" t="n">
        <x:f>Chart_Data!P216</x:f>
        <x:v>47</x:v>
      </x:c>
      <x:c r="F952" t="n">
        <x:f>Chart_Data!S216</x:f>
        <x:v>-59.77764154491039</x:v>
      </x:c>
      <x:c r="G952" t="n">
        <x:f>Chart_Data!P216</x:f>
        <x:v>47</x:v>
      </x:c>
      <x:c r="H952" t="n">
        <x:f>Chart_Data!T216</x:f>
        <x:v>-63.93950962525857</x:v>
      </x:c>
    </x:row>
    <x:row r="953">
      <x:c r="A953" t="n">
        <x:f>Chart_Data!P217</x:f>
        <x:v>47.5</x:v>
      </x:c>
      <x:c r="B953" t="n">
        <x:f>Chart_Data!Q217</x:f>
        <x:v>-402.26435232361837</x:v>
      </x:c>
      <x:c r="C953" t="n">
        <x:f>Chart_Data!P217</x:f>
        <x:v>47.5</x:v>
      </x:c>
      <x:c r="D953" t="n">
        <x:f>Chart_Data!R217</x:f>
        <x:v>-393.00673283623837</x:v>
      </x:c>
      <x:c r="E953" t="n">
        <x:f>Chart_Data!P217</x:f>
        <x:v>47.5</x:v>
      </x:c>
      <x:c r="F953" t="n">
        <x:f>Chart_Data!S217</x:f>
        <x:v>-60.400052901444205</x:v>
      </x:c>
      <x:c r="G953" t="n">
        <x:f>Chart_Data!P217</x:f>
        <x:v>47.5</x:v>
      </x:c>
      <x:c r="H953" t="n">
        <x:f>Chart_Data!T217</x:f>
        <x:v>-59.01001994538114</x:v>
      </x:c>
    </x:row>
    <x:row r="954">
      <x:c r="A954" t="n">
        <x:f>Chart_Data!P218</x:f>
        <x:v>48</x:v>
      </x:c>
      <x:c r="B954" t="n">
        <x:f>Chart_Data!Q218</x:f>
        <x:v>-406.40683834462834</x:v>
      </x:c>
      <x:c r="C954" t="n">
        <x:f>Chart_Data!P218</x:f>
        <x:v>48</x:v>
      </x:c>
      <x:c r="D954" t="n">
        <x:f>Chart_Data!R218</x:f>
        <x:v>-396.2138094164402</x:v>
      </x:c>
      <x:c r="E954" t="n">
        <x:f>Chart_Data!P218</x:f>
        <x:v>48</x:v>
      </x:c>
      <x:c r="F954" t="n">
        <x:f>Chart_Data!S218</x:f>
        <x:v>-61.02204779949375</x:v>
      </x:c>
      <x:c r="G954" t="n">
        <x:f>Chart_Data!P218</x:f>
        <x:v>48</x:v>
      </x:c>
      <x:c r="H954" t="n">
        <x:f>Chart_Data!T218</x:f>
        <x:v>-59.491562975441475</x:v>
      </x:c>
    </x:row>
    <x:row r="955">
      <x:c r="A955" t="n">
        <x:f>Chart_Data!P219</x:f>
        <x:v>48.5</x:v>
      </x:c>
      <x:c r="B955" t="n">
        <x:f>Chart_Data!Q219</x:f>
        <x:v>-410.54652591110425</x:v>
      </x:c>
      <x:c r="C955" t="n">
        <x:f>Chart_Data!P219</x:f>
        <x:v>48.5</x:v>
      </x:c>
      <x:c r="D955" t="n">
        <x:f>Chart_Data!R219</x:f>
        <x:v>-435.0026550449911</x:v>
      </x:c>
      <x:c r="E955" t="n">
        <x:f>Chart_Data!P219</x:f>
        <x:v>48.5</x:v>
      </x:c>
      <x:c r="F955" t="n">
        <x:f>Chart_Data!S219</x:f>
        <x:v>-61.64362250917482</x:v>
      </x:c>
      <x:c r="G955" t="n">
        <x:f>Chart_Data!P219</x:f>
        <x:v>48.5</x:v>
      </x:c>
      <x:c r="H955" t="n">
        <x:f>Chart_Data!T219</x:f>
        <x:v>-65.31571397071939</x:v>
      </x:c>
    </x:row>
    <x:row r="956">
      <x:c r="A956" t="n">
        <x:f>Chart_Data!P220</x:f>
        <x:v>49</x:v>
      </x:c>
      <x:c r="B956" t="n">
        <x:f>Chart_Data!Q220</x:f>
        <x:v>-414.6833903003426</x:v>
      </x:c>
      <x:c r="C956" t="n">
        <x:f>Chart_Data!P220</x:f>
        <x:v>49</x:v>
      </x:c>
      <x:c r="D956" t="n">
        <x:f>Chart_Data!R220</x:f>
        <x:v>-412.3174071446556</x:v>
      </x:c>
      <x:c r="E956" t="n">
        <x:f>Chart_Data!P220</x:f>
        <x:v>49</x:v>
      </x:c>
      <x:c r="F956" t="n">
        <x:f>Chart_Data!S220</x:f>
        <x:v>-62.26477331836976</x:v>
      </x:c>
      <x:c r="G956" t="n">
        <x:f>Chart_Data!P220</x:f>
        <x:v>49</x:v>
      </x:c>
      <x:c r="H956" t="n">
        <x:f>Chart_Data!T220</x:f>
        <x:v>-61.90952059229063</x:v>
      </x:c>
    </x:row>
    <x:row r="957">
      <x:c r="A957" t="n">
        <x:f>Chart_Data!P221</x:f>
        <x:v>49.5</x:v>
      </x:c>
      <x:c r="B957" t="n">
        <x:f>Chart_Data!Q221</x:f>
        <x:v>-418.81740692178937</x:v>
      </x:c>
      <x:c r="C957" t="n">
        <x:f>Chart_Data!P221</x:f>
        <x:v>49.5</x:v>
      </x:c>
      <x:c r="D957" t="n">
        <x:f>Chart_Data!R221</x:f>
        <x:v>-409.9288273368984</x:v>
      </x:c>
      <x:c r="E957" t="n">
        <x:f>Chart_Data!P221</x:f>
        <x:v>49.5</x:v>
      </x:c>
      <x:c r="F957" t="n">
        <x:f>Chart_Data!S221</x:f>
        <x:v>-62.88549653480322</x:v>
      </x:c>
      <x:c r="G957" t="n">
        <x:f>Chart_Data!P221</x:f>
        <x:v>49.5</x:v>
      </x:c>
      <x:c r="H957" t="n">
        <x:f>Chart_Data!T221</x:f>
        <x:v>-61.550874975510276</x:v>
      </x:c>
    </x:row>
    <x:row r="958">
      <x:c r="A958" t="n">
        <x:f>Chart_Data!P222</x:f>
        <x:v>50</x:v>
      </x:c>
      <x:c r="B958" t="n">
        <x:f>Chart_Data!Q222</x:f>
        <x:v>-422.9485513214968</x:v>
      </x:c>
      <x:c r="C958" t="n">
        <x:f>Chart_Data!P222</x:f>
        <x:v>50</x:v>
      </x:c>
      <x:c r="D958" t="n">
        <x:f>Chart_Data!R222</x:f>
        <x:v>-389.68272555466683</x:v>
      </x:c>
      <x:c r="E958" t="n">
        <x:f>Chart_Data!P222</x:f>
        <x:v>50</x:v>
      </x:c>
      <x:c r="F958" t="n">
        <x:f>Chart_Data!S222</x:f>
        <x:v>-63.50578848671123</x:v>
      </x:c>
      <x:c r="G958" t="n">
        <x:f>Chart_Data!P222</x:f>
        <x:v>50</x:v>
      </x:c>
      <x:c r="H958" t="n">
        <x:f>Chart_Data!T222</x:f>
        <x:v>-58.51091975295298</x:v>
      </x:c>
    </x:row>
    <x:row r="959">
      <x:c r="A959" t="n">
        <x:f>Chart_Data!P223</x:f>
        <x:v>50.5</x:v>
      </x:c>
      <x:c r="B959" t="n">
        <x:f>Chart_Data!Q223</x:f>
        <x:v>-427.0767991610228</x:v>
      </x:c>
      <x:c r="C959" t="n">
        <x:f>Chart_Data!P223</x:f>
        <x:v>50.5</x:v>
      </x:c>
      <x:c r="D959" t="n">
        <x:f>Chart_Data!R223</x:f>
        <x:v>-392.7478406424598</x:v>
      </x:c>
      <x:c r="E959" t="n">
        <x:f>Chart_Data!P223</x:f>
        <x:v>50.5</x:v>
      </x:c>
      <x:c r="F959" t="n">
        <x:f>Chart_Data!S223</x:f>
        <x:v>-64.1256455196731</x:v>
      </x:c>
      <x:c r="G959" t="n">
        <x:f>Chart_Data!P223</x:f>
        <x:v>50.5</x:v>
      </x:c>
      <x:c r="H959" t="n">
        <x:f>Chart_Data!T223</x:f>
        <x:v>-58.971147243612585</x:v>
      </x:c>
    </x:row>
    <x:row r="960">
      <x:c r="A960" t="n">
        <x:f>Chart_Data!P224</x:f>
        <x:v>51</x:v>
      </x:c>
      <x:c r="B960" t="n">
        <x:f>Chart_Data!Q224</x:f>
        <x:v>-431.2021262460803</x:v>
      </x:c>
      <x:c r="C960" t="n">
        <x:f>Chart_Data!P224</x:f>
        <x:v>51</x:v>
      </x:c>
      <x:c r="D960" t="n">
        <x:f>Chart_Data!R224</x:f>
        <x:v>-395.66337661017315</x:v>
      </x:c>
      <x:c r="E960" t="n">
        <x:f>Chart_Data!P224</x:f>
        <x:v>51</x:v>
      </x:c>
      <x:c r="F960" t="n">
        <x:f>Chart_Data!S224</x:f>
        <x:v>-64.74506400091296</x:v>
      </x:c>
      <x:c r="G960" t="n">
        <x:f>Chart_Data!P224</x:f>
        <x:v>51</x:v>
      </x:c>
      <x:c r="H960" t="n">
        <x:f>Chart_Data!T224</x:f>
        <x:v>-59.40891540693291</x:v>
      </x:c>
    </x:row>
    <x:row r="961">
      <x:c r="A961" t="n">
        <x:f>Chart_Data!P225</x:f>
        <x:v>51.5</x:v>
      </x:c>
      <x:c r="B961" t="n">
        <x:f>Chart_Data!Q225</x:f>
        <x:v>-435.32450851025715</x:v>
      </x:c>
      <x:c r="C961" t="n">
        <x:f>Chart_Data!P225</x:f>
        <x:v>51.5</x:v>
      </x:c>
      <x:c r="D961" t="n">
        <x:f>Chart_Data!R225</x:f>
        <x:v>-388.336184705895</x:v>
      </x:c>
      <x:c r="E961" t="n">
        <x:f>Chart_Data!P225</x:f>
        <x:v>51.5</x:v>
      </x:c>
      <x:c r="F961" t="n">
        <x:f>Chart_Data!S225</x:f>
        <x:v>-65.36404031685544</x:v>
      </x:c>
      <x:c r="G961" t="n">
        <x:f>Chart_Data!P225</x:f>
        <x:v>51.5</x:v>
      </x:c>
      <x:c r="H961" t="n">
        <x:f>Chart_Data!T225</x:f>
        <x:v>-58.308736442326584</x:v>
      </x:c>
    </x:row>
    <x:row r="962">
      <x:c r="A962" t="n">
        <x:f>Chart_Data!P226</x:f>
        <x:v>52</x:v>
      </x:c>
      <x:c r="B962" t="n">
        <x:f>Chart_Data!Q226</x:f>
        <x:v>-439.4439220161985</x:v>
      </x:c>
      <x:c r="C962" t="n">
        <x:f>Chart_Data!P226</x:f>
        <x:v>52</x:v>
      </x:c>
      <x:c r="D962" t="n">
        <x:f>Chart_Data!R226</x:f>
        <x:v>-432.5621530304488</x:v>
      </x:c>
      <x:c r="E962" t="n">
        <x:f>Chart_Data!P226</x:f>
        <x:v>52</x:v>
      </x:c>
      <x:c r="F962" t="n">
        <x:f>Chart_Data!S226</x:f>
        <x:v>-65.98257087330308</x:v>
      </x:c>
      <x:c r="G962" t="n">
        <x:f>Chart_Data!P226</x:f>
        <x:v>52</x:v>
      </x:c>
      <x:c r="H962" t="n">
        <x:f>Chart_Data!T226</x:f>
        <x:v>-64.94927222679412</x:v>
      </x:c>
    </x:row>
    <x:row r="963">
      <x:c r="A963" t="n">
        <x:f>Chart_Data!P227</x:f>
        <x:v>52.5</x:v>
      </x:c>
      <x:c r="B963" t="n">
        <x:f>Chart_Data!Q227</x:f>
        <x:v>-443.56034297125007</x:v>
      </x:c>
      <x:c r="C963" t="n">
        <x:f>Chart_Data!P227</x:f>
        <x:v>52.5</x:v>
      </x:c>
      <x:c r="D963" t="n">
        <x:f>Chart_Data!R227</x:f>
        <x:v>-417.6767255714367</x:v>
      </x:c>
      <x:c r="E963" t="n">
        <x:f>Chart_Data!P227</x:f>
        <x:v>52.5</x:v>
      </x:c>
      <x:c r="F963" t="n">
        <x:f>Chart_Data!S227</x:f>
        <x:v>-66.6006520977853</x:v>
      </x:c>
      <x:c r="G963" t="n">
        <x:f>Chart_Data!P227</x:f>
        <x:v>52.5</x:v>
      </x:c>
      <x:c r="H963" t="n">
        <x:f>Chart_Data!T227</x:f>
        <x:v>-62.71422305877428</x:v>
      </x:c>
    </x:row>
    <x:row r="964">
      <x:c r="A964" t="n">
        <x:f>Chart_Data!P228</x:f>
        <x:v>53</x:v>
      </x:c>
      <x:c r="B964" t="n">
        <x:f>Chart_Data!Q228</x:f>
        <x:v>-447.67374769307935</x:v>
      </x:c>
      <x:c r="C964" t="n">
        <x:f>Chart_Data!P228</x:f>
        <x:v>53</x:v>
      </x:c>
      <x:c r="D964" t="n">
        <x:f>Chart_Data!R228</x:f>
        <x:v>-421.09802518143624</x:v>
      </x:c>
      <x:c r="E964" t="n">
        <x:f>Chart_Data!P228</x:f>
        <x:v>53</x:v>
      </x:c>
      <x:c r="F964" t="n">
        <x:f>Chart_Data!S228</x:f>
        <x:v>-67.2182804343963</x:v>
      </x:c>
      <x:c r="G964" t="n">
        <x:f>Chart_Data!P228</x:f>
        <x:v>53</x:v>
      </x:c>
      <x:c r="H964" t="n">
        <x:f>Chart_Data!T228</x:f>
        <x:v>-63.227931708924366</x:v>
      </x:c>
    </x:row>
    <x:row r="965">
      <x:c r="A965" t="n">
        <x:f>Chart_Data!P229</x:f>
        <x:v>53.5</x:v>
      </x:c>
      <x:c r="B965" t="n">
        <x:f>Chart_Data!Q229</x:f>
        <x:v>-451.7841126563326</x:v>
      </x:c>
      <x:c r="C965" t="n">
        <x:f>Chart_Data!P229</x:f>
        <x:v>53.5</x:v>
      </x:c>
      <x:c r="D965" t="n">
        <x:f>Chart_Data!R229</x:f>
        <x:v>-455.0459523180507</x:v>
      </x:c>
      <x:c r="E965" t="n">
        <x:f>Chart_Data!P229</x:f>
        <x:v>53.5</x:v>
      </x:c>
      <x:c r="F965" t="n">
        <x:f>Chart_Data!S229</x:f>
        <x:v>-67.8354523508007</x:v>
      </x:c>
      <x:c r="G965" t="n">
        <x:f>Chart_Data!P229</x:f>
        <x:v>53.5</x:v>
      </x:c>
      <x:c r="H965" t="n">
        <x:f>Chart_Data!T229</x:f>
        <x:v>-68.32521806577338</x:v>
      </x:c>
    </x:row>
    <x:row r="966">
      <x:c r="A966" t="n">
        <x:f>Chart_Data!P230</x:f>
        <x:v>54</x:v>
      </x:c>
      <x:c r="B966" t="n">
        <x:f>Chart_Data!Q230</x:f>
        <x:v>-455.89141447326256</x:v>
      </x:c>
      <x:c r="C966" t="n">
        <x:f>Chart_Data!P230</x:f>
        <x:v>54</x:v>
      </x:c>
      <x:c r="D966" t="n">
        <x:f>Chart_Data!R230</x:f>
        <x:v>-462.8956826819376</x:v>
      </x:c>
      <x:c r="E966" t="n">
        <x:f>Chart_Data!P230</x:f>
        <x:v>54</x:v>
      </x:c>
      <x:c r="F966" t="n">
        <x:f>Chart_Data!S230</x:f>
        <x:v>-68.45216433532471</x:v>
      </x:c>
      <x:c r="G966" t="n">
        <x:f>Chart_Data!P230</x:f>
        <x:v>54</x:v>
      </x:c>
      <x:c r="H966" t="n">
        <x:f>Chart_Data!T230</x:f>
        <x:v>-69.50385625854919</x:v>
      </x:c>
    </x:row>
    <x:row r="967">
      <x:c r="A967" t="n">
        <x:f>Chart_Data!P231</x:f>
        <x:v>54.5</x:v>
      </x:c>
      <x:c r="B967" t="n">
        <x:f>Chart_Data!Q231</x:f>
        <x:v>-459.9956298745383</x:v>
      </x:c>
      <x:c r="C967" t="n">
        <x:f>Chart_Data!P231</x:f>
        <x:v>54.5</x:v>
      </x:c>
      <x:c r="D967" t="n">
        <x:f>Chart_Data!R231</x:f>
        <x:v>-449.1931834153547</x:v>
      </x:c>
      <x:c r="E967" t="n">
        <x:f>Chart_Data!P231</x:f>
        <x:v>54.5</x:v>
      </x:c>
      <x:c r="F967" t="n">
        <x:f>Chart_Data!S231</x:f>
        <x:v>-69.06841289407483</x:v>
      </x:c>
      <x:c r="G967" t="n">
        <x:f>Chart_Data!P231</x:f>
        <x:v>54.5</x:v>
      </x:c>
      <x:c r="H967" t="n">
        <x:f>Chart_Data!T231</x:f>
        <x:v>-67.44642393623946</x:v>
      </x:c>
    </x:row>
    <x:row r="968">
      <x:c r="A968" t="n">
        <x:f>Chart_Data!P232</x:f>
        <x:v>55</x:v>
      </x:c>
      <x:c r="B968" t="n">
        <x:f>Chart_Data!Q232</x:f>
        <x:v>-464.0967357390764</x:v>
      </x:c>
      <x:c r="C968" t="n">
        <x:f>Chart_Data!P232</x:f>
        <x:v>55</x:v>
      </x:c>
      <x:c r="D968" t="n">
        <x:f>Chart_Data!R232</x:f>
        <x:v>-455.00982441772067</x:v>
      </x:c>
      <x:c r="E968" t="n">
        <x:f>Chart_Data!P232</x:f>
        <x:v>55</x:v>
      </x:c>
      <x:c r="F968" t="n">
        <x:f>Chart_Data!S232</x:f>
        <x:v>-69.68419455541688</x:v>
      </x:c>
      <x:c r="G968" t="n">
        <x:f>Chart_Data!P232</x:f>
        <x:v>55</x:v>
      </x:c>
      <x:c r="H968" t="n">
        <x:f>Chart_Data!T232</x:f>
        <x:v>-68.31979345611423</x:v>
      </x:c>
    </x:row>
    <x:row r="969">
      <x:c r="A969" t="n">
        <x:f>Chart_Data!P233</x:f>
        <x:v>55.5</x:v>
      </x:c>
      <x:c r="B969" t="n">
        <x:f>Chart_Data!Q233</x:f>
        <x:v>-468.1947090801259</x:v>
      </x:c>
      <x:c r="C969" t="n">
        <x:f>Chart_Data!P233</x:f>
        <x:v>55.5</x:v>
      </x:c>
      <x:c r="D969" t="n">
        <x:f>Chart_Data!R233</x:f>
        <x:v>-470.8662445768823</x:v>
      </x:c>
      <x:c r="E969" t="n">
        <x:f>Chart_Data!P233</x:f>
        <x:v>55.5</x:v>
      </x:c>
      <x:c r="F969" t="n">
        <x:f>Chart_Data!S233</x:f>
        <x:v>-70.29950586788678</x:v>
      </x:c>
      <x:c r="G969" t="n">
        <x:f>Chart_Data!P233</x:f>
        <x:v>55.5</x:v>
      </x:c>
      <x:c r="H969" t="n">
        <x:f>Chart_Data!T233</x:f>
        <x:v>-70.70063732385621</x:v>
      </x:c>
    </x:row>
    <x:row r="970">
      <x:c r="A970" t="n">
        <x:f>Chart_Data!P234</x:f>
        <x:v>56</x:v>
      </x:c>
      <x:c r="B970" t="n">
        <x:f>Chart_Data!Q234</x:f>
        <x:v>-472.2895270569097</x:v>
      </x:c>
      <x:c r="C970" t="n">
        <x:f>Chart_Data!P234</x:f>
        <x:v>56</x:v>
      </x:c>
      <x:c r="D970" t="n">
        <x:f>Chart_Data!R234</x:f>
        <x:v>-460.6295562019113</x:v>
      </x:c>
      <x:c r="E970" t="n">
        <x:f>Chart_Data!P234</x:f>
        <x:v>56</x:v>
      </x:c>
      <x:c r="F970" t="n">
        <x:f>Chart_Data!S234</x:f>
        <x:v>-70.9143434019384</x:v>
      </x:c>
      <x:c r="G970" t="n">
        <x:f>Chart_Data!P234</x:f>
        <x:v>56</x:v>
      </x:c>
      <x:c r="H970" t="n">
        <x:f>Chart_Data!T234</x:f>
        <x:v>-69.16359702731403</x:v>
      </x:c>
    </x:row>
    <x:row r="971">
      <x:c r="A971" t="n">
        <x:f>Chart_Data!P235</x:f>
        <x:v>56.5</x:v>
      </x:c>
      <x:c r="B971" t="n">
        <x:f>Chart_Data!Q235</x:f>
        <x:v>-476.38116695534336</x:v>
      </x:c>
      <x:c r="C971" t="n">
        <x:f>Chart_Data!P235</x:f>
        <x:v>56.5</x:v>
      </x:c>
      <x:c r="D971" t="n">
        <x:f>Chart_Data!R235</x:f>
        <x:v>-454.89450199102066</x:v>
      </x:c>
      <x:c r="E971" t="n">
        <x:f>Chart_Data!P235</x:f>
        <x:v>56.5</x:v>
      </x:c>
      <x:c r="F971" t="n">
        <x:f>Chart_Data!S235</x:f>
        <x:v>-71.52870374704855</x:v>
      </x:c>
      <x:c r="G971" t="n">
        <x:f>Chart_Data!P235</x:f>
        <x:v>56.5</x:v>
      </x:c>
      <x:c r="H971" t="n">
        <x:f>Chart_Data!T235</x:f>
        <x:v>-68.30247777642954</x:v>
      </x:c>
    </x:row>
    <x:row r="972">
      <x:c r="A972" t="n">
        <x:f>Chart_Data!P236</x:f>
        <x:v>57</x:v>
      </x:c>
      <x:c r="B972" t="n">
        <x:f>Chart_Data!Q236</x:f>
        <x:v>-480.4696062107723</x:v>
      </x:c>
      <x:c r="C972" t="n">
        <x:f>Chart_Data!P236</x:f>
        <x:v>57</x:v>
      </x:c>
      <x:c r="D972" t="n">
        <x:f>Chart_Data!R236</x:f>
        <x:v>-499.14395786781824</x:v>
      </x:c>
      <x:c r="E972" t="n">
        <x:f>Chart_Data!P236</x:f>
        <x:v>57</x:v>
      </x:c>
      <x:c r="F972" t="n">
        <x:f>Chart_Data!S236</x:f>
        <x:v>-72.14258351513098</x:v>
      </x:c>
      <x:c r="G972" t="n">
        <x:f>Chart_Data!P236</x:f>
        <x:v>57</x:v>
      </x:c>
      <x:c r="H972" t="n">
        <x:f>Chart_Data!T236</x:f>
        <x:v>-74.94654022039313</x:v>
      </x:c>
    </x:row>
    <x:row r="973">
      <x:c r="A973" t="n">
        <x:f>Chart_Data!P237</x:f>
        <x:v>57.5</x:v>
      </x:c>
      <x:c r="B973" t="n">
        <x:f>Chart_Data!Q237</x:f>
        <x:v>-484.554822402788</x:v>
      </x:c>
      <x:c r="C973" t="n">
        <x:f>Chart_Data!P237</x:f>
        <x:v>57.5</x:v>
      </x:c>
      <x:c r="D973" t="n">
        <x:f>Chart_Data!R237</x:f>
        <x:v>-494.387775107225</x:v>
      </x:c>
      <x:c r="E973" t="n">
        <x:f>Chart_Data!P237</x:f>
        <x:v>57.5</x:v>
      </x:c>
      <x:c r="F973" t="n">
        <x:f>Chart_Data!S237</x:f>
        <x:v>-72.75597933975796</x:v>
      </x:c>
      <x:c r="G973" t="n">
        <x:f>Chart_Data!P237</x:f>
        <x:v>57.5</x:v>
      </x:c>
      <x:c r="H973" t="n">
        <x:f>Chart_Data!T237</x:f>
        <x:v>-74.2323986647485</x:v>
      </x:c>
    </x:row>
    <x:row r="974">
      <x:c r="A974" t="n">
        <x:f>Chart_Data!P238</x:f>
        <x:v>58</x:v>
      </x:c>
      <x:c r="B974" t="n">
        <x:f>Chart_Data!Q238</x:f>
        <x:v>-488.63679323794713</x:v>
      </x:c>
      <x:c r="C974" t="n">
        <x:f>Chart_Data!P238</x:f>
        <x:v>58</x:v>
      </x:c>
      <x:c r="D974" t="n">
        <x:f>Chart_Data!R238</x:f>
        <x:v>-473.0108753379682</x:v>
      </x:c>
      <x:c r="E974" t="n">
        <x:f>Chart_Data!P238</x:f>
        <x:v>58</x:v>
      </x:c>
      <x:c r="F974" t="n">
        <x:f>Chart_Data!S238</x:f>
        <x:v>-73.36888787356564</x:v>
      </x:c>
      <x:c r="G974" t="n">
        <x:f>Chart_Data!P238</x:f>
        <x:v>58</x:v>
      </x:c>
      <x:c r="H974" t="n">
        <x:f>Chart_Data!T238</x:f>
        <x:v>-71.02265395464988</x:v>
      </x:c>
    </x:row>
    <x:row r="975">
      <x:c r="A975" t="n">
        <x:f>Chart_Data!P239</x:f>
        <x:v>58.5</x:v>
      </x:c>
      <x:c r="B975" t="n">
        <x:f>Chart_Data!Q239</x:f>
        <x:v>-492.71549658133154</x:v>
      </x:c>
      <x:c r="C975" t="n">
        <x:f>Chart_Data!P239</x:f>
        <x:v>58.5</x:v>
      </x:c>
      <x:c r="D975" t="n">
        <x:f>Chart_Data!R239</x:f>
        <x:v>-494.11679295681097</x:v>
      </x:c>
      <x:c r="E975" t="n">
        <x:f>Chart_Data!P239</x:f>
        <x:v>58.5</x:v>
      </x:c>
      <x:c r="F975" t="n">
        <x:f>Chart_Data!S239</x:f>
        <x:v>-73.98130579299273</x:v>
      </x:c>
      <x:c r="G975" t="n">
        <x:f>Chart_Data!P239</x:f>
        <x:v>58.5</x:v>
      </x:c>
      <x:c r="H975" t="n">
        <x:f>Chart_Data!T239</x:f>
        <x:v>-74.19171065417582</x:v>
      </x:c>
    </x:row>
    <x:row r="976">
      <x:c r="A976" t="n">
        <x:f>Chart_Data!P240</x:f>
        <x:v>59</x:v>
      </x:c>
      <x:c r="B976" t="n">
        <x:f>Chart_Data!Q240</x:f>
        <x:v>-496.7909104278988</x:v>
      </x:c>
      <x:c r="C976" t="n">
        <x:f>Chart_Data!P240</x:f>
        <x:v>59</x:v>
      </x:c>
      <x:c r="D976" t="n">
        <x:f>Chart_Data!R240</x:f>
        <x:v>-527.305412295209</x:v>
      </x:c>
      <x:c r="E976" t="n">
        <x:f>Chart_Data!P240</x:f>
        <x:v>59</x:v>
      </x:c>
      <x:c r="F976" t="n">
        <x:f>Chart_Data!S240</x:f>
        <x:v>-74.59322979397881</x:v>
      </x:c>
      <x:c r="G976" t="n">
        <x:f>Chart_Data!P240</x:f>
        <x:v>59</x:v>
      </x:c>
      <x:c r="H976" t="n">
        <x:f>Chart_Data!T240</x:f>
        <x:v>-79.17498683111246</x:v>
      </x:c>
    </x:row>
    <x:row r="977">
      <x:c r="A977" t="n">
        <x:f>Chart_Data!P241</x:f>
        <x:v>59.5</x:v>
      </x:c>
      <x:c r="B977" t="n">
        <x:f>Chart_Data!Q241</x:f>
        <x:v>-500.86301291985365</x:v>
      </x:c>
      <x:c r="C977" t="n">
        <x:f>Chart_Data!P241</x:f>
        <x:v>59.5</x:v>
      </x:c>
      <x:c r="D977" t="n">
        <x:f>Chart_Data!R241</x:f>
        <x:v>-523.5958188716722</x:v>
      </x:c>
      <x:c r="E977" t="n">
        <x:f>Chart_Data!P241</x:f>
        <x:v>59.5</x:v>
      </x:c>
      <x:c r="F977" t="n">
        <x:f>Chart_Data!S241</x:f>
        <x:v>-75.20465659457263</x:v>
      </x:c>
      <x:c r="G977" t="n">
        <x:f>Chart_Data!P241</x:f>
        <x:v>59.5</x:v>
      </x:c>
      <x:c r="H977" t="n">
        <x:f>Chart_Data!T241</x:f>
        <x:v>-78.61799082157242</x:v>
      </x:c>
    </x:row>
    <x:row r="978">
      <x:c r="A978" t="n">
        <x:f>Chart_Data!P242</x:f>
        <x:v>60</x:v>
      </x:c>
      <x:c r="B978" t="n">
        <x:f>Chart_Data!Q242</x:f>
        <x:v>-502.89823360690207</x:v>
      </x:c>
      <x:c r="C978" t="n">
        <x:f>Chart_Data!P242</x:f>
        <x:v>60</x:v>
      </x:c>
      <x:c r="D978" t="n">
        <x:f>Chart_Data!R242</x:f>
        <x:v>-470.52756543034775</x:v>
      </x:c>
      <x:c r="E978" t="n">
        <x:f>Chart_Data!P242</x:f>
        <x:v>60</x:v>
      </x:c>
      <x:c r="F978" t="n">
        <x:f>Chart_Data!S242</x:f>
        <x:v>-75.51024528632163</x:v>
      </x:c>
      <x:c r="G978" t="n">
        <x:f>Chart_Data!P242</x:f>
        <x:v>60</x:v>
      </x:c>
      <x:c r="H978" t="n">
        <x:f>Chart_Data!T242</x:f>
        <x:v>-70.64978459915132</x:v>
      </x:c>
    </x:row>
    <x:row r="981">
      <x:c r="A981" t="s">
        <x:v>724</x:v>
      </x:c>
    </x:row>
    <x:row r="982">
      <x:c r="A982" t="s">
        <x:v>705</x:v>
      </x:c>
      <x:c r="B982" t="s">
        <x:v>706</x:v>
      </x:c>
      <x:c r="C982" t="s">
        <x:v>707</x:v>
      </x:c>
      <x:c r="D982" t="s">
        <x:v>708</x:v>
      </x:c>
      <x:c r="E982" t="s">
        <x:v>709</x:v>
      </x:c>
      <x:c r="F982" t="s">
        <x:v>710</x:v>
      </x:c>
      <x:c r="G982" t="s">
        <x:v>711</x:v>
      </x:c>
      <x:c r="H982" t="s">
        <x:v>712</x:v>
      </x:c>
    </x:row>
    <x:row r="983">
      <x:c r="A983" t="n">
        <x:f>Dashboard_Live_Data!O2</x:f>
        <x:v>-60</x:v>
      </x:c>
      <x:c r="B983" t="n">
        <x:f>Dashboard_Live_Data!P2</x:f>
        <x:v>2695.1978892010684</x:v>
      </x:c>
      <x:c r="C983" t="n">
        <x:f>Dashboard_Live_Data!Q2</x:f>
        <x:v>-400</x:v>
      </x:c>
      <x:c r="D983" t="n">
        <x:f>Dashboard_Live_Data!R2</x:f>
        <x:v>2668.5127615852166</x:v>
      </x:c>
      <x:c r="E983" t="n">
        <x:f>Dashboard_Live_Data!S2</x:f>
        <x:v>-800</x:v>
      </x:c>
      <x:c r="F983" t="n">
        <x:f>Dashboard_Live_Data!T2</x:f>
        <x:v>6671.281903963041</x:v>
      </x:c>
      <x:c r="G983" t="n">
        <x:f>Dashboard_Live_Data!U2</x:f>
        <x:v>-800</x:v>
      </x:c>
      <x:c r="H983" t="n">
        <x:f>Dashboard_Live_Data!V2</x:f>
        <x:v>6671.281903963041</x:v>
      </x:c>
    </x:row>
    <x:row r="984">
      <x:c r="A984" t="n">
        <x:f>Dashboard_Live_Data!O3</x:f>
        <x:v>-59.519999999999996</x:v>
      </x:c>
      <x:c r="B984" t="n">
        <x:f>Dashboard_Live_Data!P3</x:f>
        <x:v>2694.7726350073826</x:v>
      </x:c>
      <x:c r="C984" t="n">
        <x:f>Dashboard_Live_Data!Q3</x:f>
        <x:v>-396.8</x:v>
      </x:c>
      <x:c r="D984" t="n">
        <x:f>Dashboard_Live_Data!R3</x:f>
        <x:v>2629.7083164113487</x:v>
      </x:c>
      <x:c r="E984" t="n">
        <x:f>Dashboard_Live_Data!S3</x:f>
        <x:v>-793.6</x:v>
      </x:c>
      <x:c r="F984" t="n">
        <x:f>Dashboard_Live_Data!T3</x:f>
        <x:v>6568.689329736241</x:v>
      </x:c>
      <x:c r="G984" t="n">
        <x:f>Dashboard_Live_Data!U3</x:f>
        <x:v>-793.6</x:v>
      </x:c>
      <x:c r="H984" t="n">
        <x:f>Dashboard_Live_Data!V3</x:f>
        <x:v>6567.626194252024</x:v>
      </x:c>
    </x:row>
    <x:row r="985">
      <x:c r="A985" t="n">
        <x:f>Dashboard_Live_Data!O4</x:f>
        <x:v>-58.98</x:v>
      </x:c>
      <x:c r="B985" t="n">
        <x:f>Dashboard_Live_Data!P4</x:f>
        <x:v>2694.2983068640106</x:v>
      </x:c>
      <x:c r="C985" t="n">
        <x:f>Dashboard_Live_Data!Q4</x:f>
        <x:v>-393.2</x:v>
      </x:c>
      <x:c r="D985" t="n">
        <x:f>Dashboard_Live_Data!R4</x:f>
        <x:v>2586.4258733286742</x:v>
      </x:c>
      <x:c r="E985" t="n">
        <x:f>Dashboard_Live_Data!S4</x:f>
        <x:v>-786.4</x:v>
      </x:c>
      <x:c r="F985" t="n">
        <x:f>Dashboard_Live_Data!T4</x:f>
        <x:v>6454.2576651478</x:v>
      </x:c>
      <x:c r="G985" t="n">
        <x:f>Dashboard_Live_Data!U4</x:f>
        <x:v>-786.4</x:v>
      </x:c>
      <x:c r="H985" t="n">
        <x:f>Dashboard_Live_Data!V4</x:f>
        <x:v>6452.008709305155</x:v>
      </x:c>
    </x:row>
    <x:row r="986">
      <x:c r="A986" t="n">
        <x:f>Dashboard_Live_Data!O5</x:f>
        <x:v>-58.5</x:v>
      </x:c>
      <x:c r="B986" t="n">
        <x:f>Dashboard_Live_Data!P5</x:f>
        <x:v>2693.8803110250356</x:v>
      </x:c>
      <x:c r="C986" t="n">
        <x:f>Dashboard_Live_Data!Q5</x:f>
        <x:v>-390</x:v>
      </x:c>
      <x:c r="D986" t="n">
        <x:f>Dashboard_Live_Data!R5</x:f>
        <x:v>2548.2837530222323</x:v>
      </x:c>
      <x:c r="E986" t="n">
        <x:f>Dashboard_Live_Data!S5</x:f>
        <x:v>-780</x:v>
      </x:c>
      <x:c r="F986" t="n">
        <x:f>Dashboard_Live_Data!T5</x:f>
        <x:v>6353.416168995152</x:v>
      </x:c>
      <x:c r="G986" t="n">
        <x:f>Dashboard_Live_Data!U5</x:f>
        <x:v>-780</x:v>
      </x:c>
      <x:c r="H986" t="n">
        <x:f>Dashboard_Live_Data!V5</x:f>
        <x:v>6350.12222355507</x:v>
      </x:c>
    </x:row>
    <x:row r="987">
      <x:c r="A987" t="n">
        <x:f>Dashboard_Live_Data!O6</x:f>
        <x:v>-58.019999999999996</x:v>
      </x:c>
      <x:c r="B987" t="n">
        <x:f>Dashboard_Live_Data!P6</x:f>
        <x:v>2693.465730882396</x:v>
      </x:c>
      <x:c r="C987" t="n">
        <x:f>Dashboard_Live_Data!Q6</x:f>
        <x:v>-386.8</x:v>
      </x:c>
      <x:c r="D987" t="n">
        <x:f>Dashboard_Live_Data!R6</x:f>
        <x:v>2510.4533150063435</x:v>
      </x:c>
      <x:c r="E987" t="n">
        <x:f>Dashboard_Live_Data!S6</x:f>
        <x:v>-773.6</x:v>
      </x:c>
      <x:c r="F987" t="n">
        <x:f>Dashboard_Live_Data!T6</x:f>
        <x:v>6253.398709583282</x:v>
      </x:c>
      <x:c r="G987" t="n">
        <x:f>Dashboard_Live_Data!U6</x:f>
        <x:v>-773.6</x:v>
      </x:c>
      <x:c r="H987" t="n">
        <x:f>Dashboard_Live_Data!V6</x:f>
        <x:v>6249.068313786602</x:v>
      </x:c>
    </x:row>
    <x:row r="988">
      <x:c r="A988" t="n">
        <x:f>Dashboard_Live_Data!O7</x:f>
        <x:v>-57.48</x:v>
      </x:c>
      <x:c r="B988" t="n">
        <x:f>Dashboard_Live_Data!P7</x:f>
        <x:v>2693.0034110464517</x:v>
      </x:c>
      <x:c r="C988" t="n">
        <x:f>Dashboard_Live_Data!Q7</x:f>
        <x:v>-383.2</x:v>
      </x:c>
      <x:c r="D988" t="n">
        <x:f>Dashboard_Live_Data!R7</x:f>
        <x:v>2468.266629976395</x:v>
      </x:c>
      <x:c r="E988" t="n">
        <x:f>Dashboard_Live_Data!S7</x:f>
        <x:v>-766.4</x:v>
      </x:c>
      <x:c r="F988" t="n">
        <x:f>Dashboard_Live_Data!T7</x:f>
        <x:v>6141.864049161637</x:v>
      </x:c>
      <x:c r="G988" t="n">
        <x:f>Dashboard_Live_Data!U7</x:f>
        <x:v>-766.4</x:v>
      </x:c>
      <x:c r="H988" t="n">
        <x:f>Dashboard_Live_Data!V7</x:f>
        <x:v>6136.377853775093</x:v>
      </x:c>
    </x:row>
    <x:row r="989">
      <x:c r="A989" t="n">
        <x:f>Dashboard_Live_Data!O8</x:f>
        <x:v>-57</x:v>
      </x:c>
      <x:c r="B989" t="n">
        <x:f>Dashboard_Live_Data!P8</x:f>
        <x:v>2692.596089258523</x:v>
      </x:c>
      <x:c r="C989" t="n">
        <x:f>Dashboard_Live_Data!Q8</x:f>
        <x:v>-380</x:v>
      </x:c>
      <x:c r="D989" t="n">
        <x:f>Dashboard_Live_Data!R8</x:f>
        <x:v>2431.0985168279312</x:v>
      </x:c>
      <x:c r="E989" t="n">
        <x:f>Dashboard_Live_Data!S8</x:f>
        <x:v>-760</x:v>
      </x:c>
      <x:c r="F989" t="n">
        <x:f>Dashboard_Live_Data!T8</x:f>
        <x:v>6043.597667823918</x:v>
      </x:c>
      <x:c r="G989" t="n">
        <x:f>Dashboard_Live_Data!U8</x:f>
        <x:v>-760</x:v>
      </x:c>
      <x:c r="H989" t="n">
        <x:f>Dashboard_Live_Data!V8</x:f>
        <x:v>6037.093167967554</x:v>
      </x:c>
    </x:row>
    <x:row r="990">
      <x:c r="A990" t="n">
        <x:f>Dashboard_Live_Data!O9</x:f>
        <x:v>-56.519999999999996</x:v>
      </x:c>
      <x:c r="B990" t="n">
        <x:f>Dashboard_Live_Data!P9</x:f>
        <x:v>2692.1921831669297</x:v>
      </x:c>
      <x:c r="C990" t="n">
        <x:f>Dashboard_Live_Data!Q9</x:f>
        <x:v>-376.79999999999995</x:v>
      </x:c>
      <x:c r="D990" t="n">
        <x:f>Dashboard_Live_Data!R9</x:f>
        <x:v>2394.2420859700205</x:v>
      </x:c>
      <x:c r="E990" t="n">
        <x:f>Dashboard_Live_Data!S9</x:f>
        <x:v>-753.5999999999999</x:v>
      </x:c>
      <x:c r="F990" t="n">
        <x:f>Dashboard_Live_Data!T9</x:f>
        <x:v>5946.155323226975</x:v>
      </x:c>
      <x:c r="G990" t="n">
        <x:f>Dashboard_Live_Data!U9</x:f>
        <x:v>-753.5999999999999</x:v>
      </x:c>
      <x:c r="H990" t="n">
        <x:f>Dashboard_Live_Data!V9</x:f>
        <x:v>5938.6410581416285</x:v>
      </x:c>
    </x:row>
    <x:row r="991">
      <x:c r="A991" t="n">
        <x:f>Dashboard_Live_Data!O10</x:f>
        <x:v>-55.980000000000004</x:v>
      </x:c>
      <x:c r="B991" t="n">
        <x:f>Dashboard_Live_Data!P10</x:f>
        <x:v>2691.7418716384122</x:v>
      </x:c>
      <x:c r="C991" t="n">
        <x:f>Dashboard_Live_Data!Q10</x:f>
        <x:v>-373.20000000000005</x:v>
      </x:c>
      <x:c r="D991" t="n">
        <x:f>Dashboard_Live_Data!R10</x:f>
        <x:v>2353.1511589928</x:v>
      </x:c>
      <x:c r="E991" t="n">
        <x:f>Dashboard_Live_Data!S10</x:f>
        <x:v>-746.4000000000001</x:v>
      </x:c>
      <x:c r="F991" t="n">
        <x:f>Dashboard_Live_Data!T10</x:f>
        <x:v>5837.51766697213</x:v>
      </x:c>
      <x:c r="G991" t="n">
        <x:f>Dashboard_Live_Data!U10</x:f>
        <x:v>-746.4000000000001</x:v>
      </x:c>
      <x:c r="H991" t="n">
        <x:f>Dashboard_Live_Data!V10</x:f>
        <x:v>5828.87762306549</x:v>
      </x:c>
    </x:row>
    <x:row r="992">
      <x:c r="A992" t="n">
        <x:f>Dashboard_Live_Data!O11</x:f>
        <x:v>-55.5</x:v>
      </x:c>
      <x:c r="B992" t="n">
        <x:f>Dashboard_Live_Data!P11</x:f>
        <x:v>2691.34522390153</x:v>
      </x:c>
      <x:c r="C992" t="n">
        <x:f>Dashboard_Live_Data!Q11</x:f>
        <x:v>-370</x:v>
      </x:c>
      <x:c r="D992" t="n">
        <x:f>Dashboard_Live_Data!R11</x:f>
        <x:v>2316.957053002314</x:v>
      </x:c>
      <x:c r="E992" t="n">
        <x:f>Dashboard_Live_Data!S11</x:f>
        <x:v>-740</x:v>
      </x:c>
      <x:c r="F992" t="n">
        <x:f>Dashboard_Live_Data!T11</x:f>
        <x:v>5741.82640044934</x:v>
      </x:c>
      <x:c r="G992" t="n">
        <x:f>Dashboard_Live_Data!U11</x:f>
        <x:v>-740</x:v>
      </x:c>
      <x:c r="H992" t="n">
        <x:f>Dashboard_Live_Data!V11</x:f>
        <x:v>5732.194737200494</x:v>
      </x:c>
    </x:row>
    <x:row r="993">
      <x:c r="A993" t="n">
        <x:f>Dashboard_Live_Data!O12</x:f>
        <x:v>-55.02</x:v>
      </x:c>
      <x:c r="B993" t="n">
        <x:f>Dashboard_Live_Data!P12</x:f>
        <x:v>2690.951991860983</x:v>
      </x:c>
      <x:c r="C993" t="n">
        <x:f>Dashboard_Live_Data!Q12</x:f>
        <x:v>-366.8</x:v>
      </x:c>
      <x:c r="D993" t="n">
        <x:f>Dashboard_Live_Data!R12</x:f>
        <x:v>2281.0746293023826</x:v>
      </x:c>
      <x:c r="E993" t="n">
        <x:f>Dashboard_Live_Data!S12</x:f>
        <x:v>-733.6</x:v>
      </x:c>
      <x:c r="F993" t="n">
        <x:f>Dashboard_Live_Data!T12</x:f>
        <x:v>5646.959170667329</x:v>
      </x:c>
      <x:c r="G993" t="n">
        <x:f>Dashboard_Live_Data!U12</x:f>
        <x:v>-733.6</x:v>
      </x:c>
      <x:c r="H993" t="n">
        <x:f>Dashboard_Live_Data!V12</x:f>
        <x:v>5636.344427317114</x:v>
      </x:c>
    </x:row>
    <x:row r="994">
      <x:c r="A994" t="n">
        <x:f>Dashboard_Live_Data!O13</x:f>
        <x:v>-54.480000000000004</x:v>
      </x:c>
      <x:c r="B994" t="n">
        <x:f>Dashboard_Live_Data!P13</x:f>
        <x:v>2690.5136886398923</x:v>
      </x:c>
      <x:c r="C994" t="n">
        <x:f>Dashboard_Live_Data!Q13</x:f>
        <x:v>-363.2</x:v>
      </x:c>
      <x:c r="D994" t="n">
        <x:f>Dashboard_Live_Data!R13</x:f>
        <x:v>2241.0794603778854</x:v>
      </x:c>
      <x:c r="E994" t="n">
        <x:f>Dashboard_Live_Data!S13</x:f>
        <x:v>-726.4</x:v>
      </x:c>
      <x:c r="F994" t="n">
        <x:f>Dashboard_Live_Data!T13</x:f>
        <x:v>5541.218518579276</x:v>
      </x:c>
      <x:c r="G994" t="n">
        <x:f>Dashboard_Live_Data!U13</x:f>
        <x:v>-726.4</x:v>
      </x:c>
      <x:c r="H994" t="n">
        <x:f>Dashboard_Live_Data!V13</x:f>
        <x:v>5529.508017176336</x:v>
      </x:c>
    </x:row>
    <x:row r="995">
      <x:c r="A995" t="n">
        <x:f>Dashboard_Live_Data!O14</x:f>
        <x:v>-54</x:v>
      </x:c>
      <x:c r="B995" t="n">
        <x:f>Dashboard_Live_Data!P14</x:f>
        <x:v>2690.1277149540565</x:v>
      </x:c>
      <x:c r="C995" t="n">
        <x:f>Dashboard_Live_Data!Q14</x:f>
        <x:v>-360</x:v>
      </x:c>
      <x:c r="D995" t="n">
        <x:f>Dashboard_Live_Data!R14</x:f>
        <x:v>2205.8593615453797</x:v>
      </x:c>
      <x:c r="E995" t="n">
        <x:f>Dashboard_Live_Data!S14</x:f>
        <x:v>-720</x:v>
      </x:c>
      <x:c r="F995" t="n">
        <x:f>Dashboard_Live_Data!T14</x:f>
        <x:v>5448.102366871419</x:v>
      </x:c>
      <x:c r="G995" t="n">
        <x:f>Dashboard_Live_Data!U14</x:f>
        <x:v>-720</x:v>
      </x:c>
      <x:c r="H995" t="n">
        <x:f>Dashboard_Live_Data!V14</x:f>
        <x:v>5435.426931253887</x:v>
      </x:c>
    </x:row>
    <x:row r="996">
      <x:c r="A996" t="n">
        <x:f>Dashboard_Live_Data!O15</x:f>
        <x:v>-53.52</x:v>
      </x:c>
      <x:c r="B996" t="n">
        <x:f>Dashboard_Live_Data!P15</x:f>
        <x:v>2689.745156964556</x:v>
      </x:c>
      <x:c r="C996" t="n">
        <x:f>Dashboard_Live_Data!Q15</x:f>
        <x:v>-356.8</x:v>
      </x:c>
      <x:c r="D996" t="n">
        <x:f>Dashboard_Live_Data!R15</x:f>
        <x:v>2170.9509450034266</x:v>
      </x:c>
      <x:c r="E996" t="n">
        <x:f>Dashboard_Live_Data!S15</x:f>
        <x:v>-713.6</x:v>
      </x:c>
      <x:c r="F996" t="n">
        <x:f>Dashboard_Live_Data!T15</x:f>
        <x:v>5355.810251904337</x:v>
      </x:c>
      <x:c r="G996" t="n">
        <x:f>Dashboard_Live_Data!U15</x:f>
        <x:v>-713.6</x:v>
      </x:c>
      <x:c r="H996" t="n">
        <x:f>Dashboard_Live_Data!V15</x:f>
        <x:v>5342.178421313054</x:v>
      </x:c>
    </x:row>
    <x:row r="997">
      <x:c r="A997" t="n">
        <x:f>Dashboard_Live_Data!O16</x:f>
        <x:v>-52.980000000000004</x:v>
      </x:c>
      <x:c r="B997" t="n">
        <x:f>Dashboard_Live_Data!P16</x:f>
        <x:v>2689.3188620508927</x:v>
      </x:c>
      <x:c r="C997" t="n">
        <x:f>Dashboard_Live_Data!Q16</x:f>
        <x:v>-353.2</x:v>
      </x:c>
      <x:c r="D997" t="n">
        <x:f>Dashboard_Live_Data!R16</x:f>
        <x:v>2132.051534131656</x:v>
      </x:c>
      <x:c r="E997" t="n">
        <x:f>Dashboard_Live_Data!S16</x:f>
        <x:v>-706.4</x:v>
      </x:c>
      <x:c r="F997" t="n">
        <x:f>Dashboard_Live_Data!T16</x:f>
        <x:v>5252.966603983079</x:v>
      </x:c>
      <x:c r="G997" t="n">
        <x:f>Dashboard_Live_Data!U16</x:f>
        <x:v>-706.4</x:v>
      </x:c>
      <x:c r="H997" t="n">
        <x:f>Dashboard_Live_Data!V16</x:f>
        <x:v>5238.269036107639</x:v>
      </x:c>
    </x:row>
    <x:row r="998">
      <x:c r="A998" t="n">
        <x:f>Dashboard_Live_Data!O17</x:f>
        <x:v>-52.5</x:v>
      </x:c>
      <x:c r="B998" t="n">
        <x:f>Dashboard_Live_Data!P17</x:f>
        <x:v>2688.9435624161033</x:v>
      </x:c>
      <x:c r="C998" t="n">
        <x:f>Dashboard_Live_Data!Q17</x:f>
        <x:v>-350</x:v>
      </x:c>
      <x:c r="D998" t="n">
        <x:f>Dashboard_Live_Data!R17</x:f>
        <x:v>2097.8054424571283</x:v>
      </x:c>
      <x:c r="E998" t="n">
        <x:f>Dashboard_Live_Data!S17</x:f>
        <x:v>-700</x:v>
      </x:c>
      <x:c r="F998" t="n">
        <x:f>Dashboard_Live_Data!T17</x:f>
        <x:v>5162.42556709015</x:v>
      </x:c>
      <x:c r="G998" t="n">
        <x:f>Dashboard_Live_Data!U17</x:f>
        <x:v>-700</x:v>
      </x:c>
      <x:c r="H998" t="n">
        <x:f>Dashboard_Live_Data!V17</x:f>
        <x:v>5146.789750127737</x:v>
      </x:c>
    </x:row>
    <x:row r="999">
      <x:c r="A999" t="n">
        <x:f>Dashboard_Live_Data!O18</x:f>
        <x:v>-52.019999999999996</x:v>
      </x:c>
      <x:c r="B999" t="n">
        <x:f>Dashboard_Live_Data!P18</x:f>
        <x:v>2688.5716784776487</x:v>
      </x:c>
      <x:c r="C999" t="n">
        <x:f>Dashboard_Live_Data!Q18</x:f>
        <x:v>-346.8</x:v>
      </x:c>
      <x:c r="D999" t="n">
        <x:f>Dashboard_Live_Data!R18</x:f>
        <x:v>2063.8710330731533</x:v>
      </x:c>
      <x:c r="E999" t="n">
        <x:f>Dashboard_Live_Data!S18</x:f>
        <x:v>-693.6</x:v>
      </x:c>
      <x:c r="F999" t="n">
        <x:f>Dashboard_Live_Data!T18</x:f>
        <x:v>5072.708566937998</x:v>
      </x:c>
      <x:c r="G999" t="n">
        <x:f>Dashboard_Live_Data!U18</x:f>
        <x:v>-693.6</x:v>
      </x:c>
      <x:c r="H999" t="n">
        <x:f>Dashboard_Live_Data!V18</x:f>
        <x:v>5056.143040129448</x:v>
      </x:c>
    </x:row>
    <x:row r="1000">
      <x:c r="A1000" t="n">
        <x:f>Dashboard_Live_Data!O19</x:f>
        <x:v>-51.48</x:v>
      </x:c>
      <x:c r="B1000" t="n">
        <x:f>Dashboard_Live_Data!P19</x:f>
        <x:v>2688.1573918714125</x:v>
      </x:c>
      <x:c r="C1000" t="n">
        <x:f>Dashboard_Live_Data!Q19</x:f>
        <x:v>-343.2</x:v>
      </x:c>
      <x:c r="D1000" t="n">
        <x:f>Dashboard_Live_Data!R19</x:f>
        <x:v>2026.067380254109</x:v>
      </x:c>
      <x:c r="E1000" t="n">
        <x:f>Dashboard_Live_Data!S19</x:f>
        <x:v>-686.4</x:v>
      </x:c>
      <x:c r="F1000" t="n">
        <x:f>Dashboard_Live_Data!T19</x:f>
        <x:v>4972.761923183538</x:v>
      </x:c>
      <x:c r="G1000" t="n">
        <x:f>Dashboard_Live_Data!U19</x:f>
        <x:v>-686.4</x:v>
      </x:c>
      <x:c r="H1000" t="n">
        <x:f>Dashboard_Live_Data!V19</x:f>
        <x:v>4955.1606798593975</x:v>
      </x:c>
    </x:row>
    <x:row r="1001">
      <x:c r="A1001" t="n">
        <x:f>Dashboard_Live_Data!O20</x:f>
        <x:v>-51</x:v>
      </x:c>
      <x:c r="B1001" t="n">
        <x:f>Dashboard_Live_Data!P20</x:f>
        <x:v>2687.7927662876696</x:v>
      </x:c>
      <x:c r="C1001" t="n">
        <x:f>Dashboard_Live_Data!Q20</x:f>
        <x:v>-340</x:v>
      </x:c>
      <x:c r="D1001" t="n">
        <x:f>Dashboard_Live_Data!R20</x:f>
        <x:v>1992.7952957375599</x:v>
      </x:c>
      <x:c r="E1001" t="n">
        <x:f>Dashboard_Live_Data!S20</x:f>
        <x:v>-680</x:v>
      </x:c>
      <x:c r="F1001" t="n">
        <x:f>Dashboard_Live_Data!T20</x:f>
        <x:v>4884.7960011055375</x:v>
      </x:c>
      <x:c r="G1001" t="n">
        <x:f>Dashboard_Live_Data!U20</x:f>
        <x:v>-680</x:v>
      </x:c>
      <x:c r="H1001" t="n">
        <x:f>Dashboard_Live_Data!V20</x:f>
        <x:v>4866.28319382204</x:v>
      </x:c>
    </x:row>
    <x:row r="1002">
      <x:c r="A1002" t="n">
        <x:f>Dashboard_Live_Data!O21</x:f>
        <x:v>-50.519999999999996</x:v>
      </x:c>
      <x:c r="B1002" t="n">
        <x:f>Dashboard_Live_Data!P21</x:f>
        <x:v>2687.431556400261</x:v>
      </x:c>
      <x:c r="C1002" t="n">
        <x:f>Dashboard_Live_Data!Q21</x:f>
        <x:v>-336.8</x:v>
      </x:c>
      <x:c r="D1002" t="n">
        <x:f>Dashboard_Live_Data!R21</x:f>
        <x:v>1959.8348935115644</x:v>
      </x:c>
      <x:c r="E1002" t="n">
        <x:f>Dashboard_Live_Data!S21</x:f>
        <x:v>-673.6</x:v>
      </x:c>
      <x:c r="F1002" t="n">
        <x:f>Dashboard_Live_Data!T21</x:f>
        <x:v>4797.654115768317</x:v>
      </x:c>
      <x:c r="G1002" t="n">
        <x:f>Dashboard_Live_Data!U21</x:f>
        <x:v>-673.6</x:v>
      </x:c>
      <x:c r="H1002" t="n">
        <x:f>Dashboard_Live_Data!V21</x:f>
        <x:v>4778.238283766299</x:v>
      </x:c>
    </x:row>
    <x:row r="1003">
      <x:c r="A1003" t="n">
        <x:f>Dashboard_Live_Data!O22</x:f>
        <x:v>-49.98</x:v>
      </x:c>
      <x:c r="B1003" t="n">
        <x:f>Dashboard_Live_Data!P22</x:f>
        <x:v>2687.0292781014527</x:v>
      </x:c>
      <x:c r="C1003" t="n">
        <x:f>Dashboard_Live_Data!Q22</x:f>
        <x:v>-333.2</x:v>
      </x:c>
      <x:c r="D1003" t="n">
        <x:f>Dashboard_Live_Data!R22</x:f>
        <x:v>1923.1269987452456</x:v>
      </x:c>
      <x:c r="E1003" t="n">
        <x:f>Dashboard_Live_Data!S22</x:f>
        <x:v>-666.4</x:v>
      </x:c>
      <x:c r="F1003" t="n">
        <x:f>Dashboard_Live_Data!T22</x:f>
        <x:v>4700.604476180652</x:v>
      </x:c>
      <x:c r="G1003" t="n">
        <x:f>Dashboard_Live_Data!U22</x:f>
        <x:v>-666.4</x:v>
      </x:c>
      <x:c r="H1003" t="n">
        <x:f>Dashboard_Live_Data!V22</x:f>
        <x:v>4680.182948431611</x:v>
      </x:c>
    </x:row>
    <x:row r="1004">
      <x:c r="A1004" t="n">
        <x:f>Dashboard_Live_Data!O23</x:f>
        <x:v>-49.5</x:v>
      </x:c>
      <x:c r="B1004" t="n">
        <x:f>Dashboard_Live_Data!P23</x:f>
        <x:v>2686.6753265687557</x:v>
      </x:c>
      <x:c r="C1004" t="n">
        <x:f>Dashboard_Live_Data!Q23</x:f>
        <x:v>-330</x:v>
      </x:c>
      <x:c r="D1004" t="n">
        <x:f>Dashboard_Live_Data!R23</x:f>
        <x:v>1890.8289213866744</x:v>
      </x:c>
      <x:c r="E1004" t="n">
        <x:f>Dashboard_Live_Data!S23</x:f>
        <x:v>-660</x:v>
      </x:c>
      <x:c r="F1004" t="n">
        <x:f>Dashboard_Live_Data!T23</x:f>
        <x:v>4615.213668917581</x:v>
      </x:c>
      <x:c r="G1004" t="n">
        <x:f>Dashboard_Live_Data!U23</x:f>
        <x:v>-660</x:v>
      </x:c>
      <x:c r="H1004" t="n">
        <x:f>Dashboard_Live_Data!V23</x:f>
        <x:v>4593.907262336798</x:v>
      </x:c>
    </x:row>
    <x:row r="1005">
      <x:c r="A1005" t="n">
        <x:f>Dashboard_Live_Data!O24</x:f>
        <x:v>-49.019999999999996</x:v>
      </x:c>
      <x:c r="B1005" t="n">
        <x:f>Dashboard_Live_Data!P24</x:f>
        <x:v>2686.324790732394</x:v>
      </x:c>
      <x:c r="C1005" t="n">
        <x:f>Dashboard_Live_Data!Q24</x:f>
        <x:v>-326.79999999999995</x:v>
      </x:c>
      <x:c r="D1005" t="n">
        <x:f>Dashboard_Live_Data!R24</x:f>
        <x:v>1858.8425263186568</x:v>
      </x:c>
      <x:c r="E1005" t="n">
        <x:f>Dashboard_Live_Data!S24</x:f>
        <x:v>-653.5999999999999</x:v>
      </x:c>
      <x:c r="F1005" t="n">
        <x:f>Dashboard_Live_Data!T24</x:f>
        <x:v>4530.646898395288</x:v>
      </x:c>
      <x:c r="G1005" t="n">
        <x:f>Dashboard_Live_Data!U24</x:f>
        <x:v>-653.5999999999999</x:v>
      </x:c>
      <x:c r="H1005" t="n">
        <x:f>Dashboard_Live_Data!V24</x:f>
        <x:v>4508.464152223602</x:v>
      </x:c>
    </x:row>
    <x:row r="1006">
      <x:c r="A1006" t="n">
        <x:f>Dashboard_Live_Data!O25</x:f>
        <x:v>-48.480000000000004</x:v>
      </x:c>
      <x:c r="B1006" t="n">
        <x:f>Dashboard_Live_Data!P25</x:f>
        <x:v>2685.9345207410115</x:v>
      </x:c>
      <x:c r="C1006" t="n">
        <x:f>Dashboard_Live_Data!Q25</x:f>
        <x:v>-323.20000000000005</x:v>
      </x:c>
      <x:c r="D1006" t="n">
        <x:f>Dashboard_Live_Data!R25</x:f>
        <x:v>1823.2303896050653</x:v>
      </x:c>
      <x:c r="E1006" t="n">
        <x:f>Dashboard_Live_Data!S25</x:f>
        <x:v>-646.4000000000001</x:v>
      </x:c>
      <x:c r="F1006" t="n">
        <x:f>Dashboard_Live_Data!T25</x:f>
        <x:v>4436.494262974422</x:v>
      </x:c>
      <x:c r="G1006" t="n">
        <x:f>Dashboard_Live_Data!U25</x:f>
        <x:v>-646.4000000000001</x:v>
      </x:c>
      <x:c r="H1006" t="n">
        <x:f>Dashboard_Live_Data!V25</x:f>
        <x:v>4413.3358418242815</x:v>
      </x:c>
    </x:row>
    <x:row r="1007">
      <x:c r="A1007" t="n">
        <x:f>Dashboard_Live_Data!O26</x:f>
        <x:v>-48</x:v>
      </x:c>
      <x:c r="B1007" t="n">
        <x:f>Dashboard_Live_Data!P26</x:f>
        <x:v>2685.591243259362</x:v>
      </x:c>
      <x:c r="C1007" t="n">
        <x:f>Dashboard_Live_Data!Q26</x:f>
        <x:v>-320</x:v>
      </x:c>
      <x:c r="D1007" t="n">
        <x:f>Dashboard_Live_Data!R26</x:f>
        <x:v>1791.9063194044727</x:v>
      </x:c>
      <x:c r="E1007" t="n">
        <x:f>Dashboard_Live_Data!S26</x:f>
        <x:v>-640</x:v>
      </x:c>
      <x:c r="F1007" t="n">
        <x:f>Dashboard_Live_Data!T26</x:f>
        <x:v>4353.678570526281</x:v>
      </x:c>
      <x:c r="G1007" t="n">
        <x:f>Dashboard_Live_Data!U26</x:f>
        <x:v>-640</x:v>
      </x:c>
      <x:c r="H1007" t="n">
        <x:f>Dashboard_Live_Data!V26</x:f>
        <x:v>4329.661955672014</x:v>
      </x:c>
    </x:row>
    <x:row r="1008">
      <x:c r="A1008" t="n">
        <x:f>Dashboard_Live_Data!O27</x:f>
        <x:v>-47.52</x:v>
      </x:c>
      <x:c r="B1008" t="n">
        <x:f>Dashboard_Live_Data!P27</x:f>
        <x:v>2685.251381474046</x:v>
      </x:c>
      <x:c r="C1008" t="n">
        <x:f>Dashboard_Live_Data!Q27</x:f>
        <x:v>-316.8</x:v>
      </x:c>
      <x:c r="D1008" t="n">
        <x:f>Dashboard_Live_Data!R27</x:f>
        <x:v>1760.8939314944344</x:v>
      </x:c>
      <x:c r="E1008" t="n">
        <x:f>Dashboard_Live_Data!S27</x:f>
        <x:v>-633.6</x:v>
      </x:c>
      <x:c r="F1008" t="n">
        <x:f>Dashboard_Live_Data!T27</x:f>
        <x:v>4271.686914818919</x:v>
      </x:c>
      <x:c r="G1008" t="n">
        <x:f>Dashboard_Live_Data!U27</x:f>
        <x:v>-633.6</x:v>
      </x:c>
      <x:c r="H1008" t="n">
        <x:f>Dashboard_Live_Data!V27</x:f>
        <x:v>4246.820645501362</x:v>
      </x:c>
    </x:row>
    <x:row r="1009">
      <x:c r="A1009" t="n">
        <x:f>Dashboard_Live_Data!O28</x:f>
        <x:v>-46.980000000000004</x:v>
      </x:c>
      <x:c r="B1009" t="n">
        <x:f>Dashboard_Live_Data!P28</x:f>
        <x:v>2684.873119790092</x:v>
      </x:c>
      <x:c r="C1009" t="n">
        <x:f>Dashboard_Live_Data!Q28</x:f>
        <x:v>-313.20000000000005</x:v>
      </x:c>
      <x:c r="D1009" t="n">
        <x:f>Dashboard_Live_Data!R28</x:f>
        <x:v>1726.3775528335677</x:v>
      </x:c>
      <x:c r="E1009" t="n">
        <x:f>Dashboard_Live_Data!S28</x:f>
        <x:v>-626.4000000000001</x:v>
      </x:c>
      <x:c r="F1009" t="n">
        <x:f>Dashboard_Live_Data!T28</x:f>
        <x:v>4180.431283564847</x:v>
      </x:c>
      <x:c r="G1009" t="n">
        <x:f>Dashboard_Live_Data!U28</x:f>
        <x:v>-626.4000000000001</x:v>
      </x:c>
      <x:c r="H1009" t="n">
        <x:f>Dashboard_Live_Data!V28</x:f>
        <x:v>4154.619360037404</x:v>
      </x:c>
    </x:row>
    <x:row r="1010">
      <x:c r="A1010" t="n">
        <x:f>Dashboard_Live_Data!O29</x:f>
        <x:v>-46.5</x:v>
      </x:c>
      <x:c r="B1010" t="n">
        <x:f>Dashboard_Live_Data!P29</x:f>
        <x:v>2684.540516359488</x:v>
      </x:c>
      <x:c r="C1010" t="n">
        <x:f>Dashboard_Live_Data!Q29</x:f>
        <x:v>-310</x:v>
      </x:c>
      <x:c r="D1010" t="n">
        <x:f>Dashboard_Live_Data!R29</x:f>
        <x:v>1696.0274897909542</x:v>
      </x:c>
      <x:c r="E1010" t="n">
        <x:f>Dashboard_Live_Data!S29</x:f>
        <x:v>-620</x:v>
      </x:c>
      <x:c r="F1010" t="n">
        <x:f>Dashboard_Live_Data!T29</x:f>
        <x:v>4100.190705931635</x:v>
      </x:c>
      <x:c r="G1010" t="n">
        <x:f>Dashboard_Live_Data!U29</x:f>
        <x:v>-620</x:v>
      </x:c>
      <x:c r="H1010" t="n">
        <x:f>Dashboard_Live_Data!V29</x:f>
        <x:v>4073.547273827683</x:v>
      </x:c>
    </x:row>
    <x:row r="1011">
      <x:c r="A1011" t="n">
        <x:f>Dashboard_Live_Data!O30</x:f>
        <x:v>-46.02</x:v>
      </x:c>
      <x:c r="B1011" t="n">
        <x:f>Dashboard_Live_Data!P30</x:f>
        <x:v>2684.211328625219</x:v>
      </x:c>
      <x:c r="C1011" t="n">
        <x:f>Dashboard_Live_Data!Q30</x:f>
        <x:v>-306.8</x:v>
      </x:c>
      <x:c r="D1011" t="n">
        <x:f>Dashboard_Live_Data!R30</x:f>
        <x:v>1665.989109038894</x:v>
      </x:c>
      <x:c r="E1011" t="n">
        <x:f>Dashboard_Live_Data!S30</x:f>
        <x:v>-613.6</x:v>
      </x:c>
      <x:c r="F1011" t="n">
        <x:f>Dashboard_Live_Data!T30</x:f>
        <x:v>4020.774165039202</x:v>
      </x:c>
      <x:c r="G1011" t="n">
        <x:f>Dashboard_Live_Data!U30</x:f>
        <x:v>-613.6</x:v>
      </x:c>
      <x:c r="H1011" t="n">
        <x:f>Dashboard_Live_Data!V30</x:f>
        <x:v>3993.3077635995774</x:v>
      </x:c>
    </x:row>
    <x:row r="1012">
      <x:c r="A1012" t="n">
        <x:f>Dashboard_Live_Data!O31</x:f>
        <x:v>-45.480000000000004</x:v>
      </x:c>
      <x:c r="B1012" t="n">
        <x:f>Dashboard_Live_Data!P31</x:f>
        <x:v>2683.8450752486906</x:v>
      </x:c>
      <x:c r="C1012" t="n">
        <x:f>Dashboard_Live_Data!Q31</x:f>
        <x:v>-303.2</x:v>
      </x:c>
      <x:c r="D1012" t="n">
        <x:f>Dashboard_Live_Data!R31</x:f>
        <x:v>1632.568488430753</x:v>
      </x:c>
      <x:c r="E1012" t="n">
        <x:f>Dashboard_Live_Data!S31</x:f>
        <x:v>-606.4</x:v>
      </x:c>
      <x:c r="F1012" t="n">
        <x:f>Dashboard_Live_Data!T31</x:f>
        <x:v>3932.415537951925</x:v>
      </x:c>
      <x:c r="G1012" t="n">
        <x:f>Dashboard_Live_Data!U31</x:f>
        <x:v>-606.4</x:v>
      </x:c>
      <x:c r="H1012" t="n">
        <x:f>Dashboard_Live_Data!V31</x:f>
        <x:v>3904.0335030709807</x:v>
      </x:c>
    </x:row>
    <x:row r="1013">
      <x:c r="A1013" t="n">
        <x:f>Dashboard_Live_Data!O32</x:f>
        <x:v>-45</x:v>
      </x:c>
      <x:c r="B1013" t="n">
        <x:f>Dashboard_Live_Data!P32</x:f>
        <x:v>2683.5231458691333</x:v>
      </x:c>
      <x:c r="C1013" t="n">
        <x:f>Dashboard_Live_Data!Q32</x:f>
        <x:v>-300</x:v>
      </x:c>
      <x:c r="D1013" t="n">
        <x:f>Dashboard_Live_Data!R32</x:f>
        <x:v>1603.1924325461182</x:v>
      </x:c>
      <x:c r="E1013" t="n">
        <x:f>Dashboard_Live_Data!S32</x:f>
        <x:v>-600</x:v>
      </x:c>
      <x:c r="F1013" t="n">
        <x:f>Dashboard_Live_Data!T32</x:f>
        <x:v>3854.7500751336447</x:v>
      </x:c>
      <x:c r="G1013" t="n">
        <x:f>Dashboard_Live_Data!U32</x:f>
        <x:v>-600</x:v>
      </x:c>
      <x:c r="H1013" t="n">
        <x:f>Dashboard_Live_Data!V32</x:f>
        <x:v>3825.5632168038064</x:v>
      </x:c>
    </x:row>
    <x:row r="1014">
      <x:c r="A1014" t="n">
        <x:f>Dashboard_Live_Data!O33</x:f>
        <x:v>-44.519999999999996</x:v>
      </x:c>
      <x:c r="B1014" t="n">
        <x:f>Dashboard_Live_Data!P33</x:f>
        <x:v>2683.20463218591</x:v>
      </x:c>
      <x:c r="C1014" t="n">
        <x:f>Dashboard_Live_Data!Q33</x:f>
        <x:v>-296.8</x:v>
      </x:c>
      <x:c r="D1014" t="n">
        <x:f>Dashboard_Live_Data!R33</x:f>
        <x:v>1574.1280589520366</x:v>
      </x:c>
      <x:c r="E1014" t="n">
        <x:f>Dashboard_Live_Data!S33</x:f>
        <x:v>-593.6</x:v>
      </x:c>
      <x:c r="F1014" t="n">
        <x:f>Dashboard_Live_Data!T33</x:f>
        <x:v>3777.908649056141</x:v>
      </x:c>
      <x:c r="G1014" t="n">
        <x:f>Dashboard_Live_Data!U33</x:f>
        <x:v>-593.6</x:v>
      </x:c>
      <x:c r="H1014" t="n">
        <x:f>Dashboard_Live_Data!V33</x:f>
        <x:v>3747.925506518246</x:v>
      </x:c>
    </x:row>
    <x:row r="1015">
      <x:c r="A1015" t="n">
        <x:f>Dashboard_Live_Data!O34</x:f>
        <x:v>-43.980000000000004</x:v>
      </x:c>
      <x:c r="B1015" t="n">
        <x:f>Dashboard_Live_Data!P34</x:f>
        <x:v>2682.85038711681</x:v>
      </x:c>
      <x:c r="C1015" t="n">
        <x:f>Dashboard_Live_Data!Q34</x:f>
        <x:v>-293.2</x:v>
      </x:c>
      <x:c r="D1015" t="n">
        <x:f>Dashboard_Live_Data!R34</x:f>
        <x:v>1541.8031963966218</x:v>
      </x:c>
      <x:c r="E1015" t="n">
        <x:f>Dashboard_Live_Data!S34</x:f>
        <x:v>-586.4</x:v>
      </x:c>
      <x:c r="F1015" t="n">
        <x:f>Dashboard_Live_Data!T34</x:f>
        <x:v>3692.447026135661</x:v>
      </x:c>
      <x:c r="G1015" t="n">
        <x:f>Dashboard_Live_Data!U34</x:f>
        <x:v>-586.4</x:v>
      </x:c>
      <x:c r="H1015" t="n">
        <x:f>Dashboard_Live_Data!V34</x:f>
        <x:v>3661.5782709250147</x:v>
      </x:c>
    </x:row>
    <x:row r="1016">
      <x:c r="A1016" t="n">
        <x:f>Dashboard_Live_Data!O35</x:f>
        <x:v>-43.5</x:v>
      </x:c>
      <x:c r="B1016" t="n">
        <x:f>Dashboard_Live_Data!P35</x:f>
        <x:v>2682.539131788299</x:v>
      </x:c>
      <x:c r="C1016" t="n">
        <x:f>Dashboard_Live_Data!Q35</x:f>
        <x:v>-290</x:v>
      </x:c>
      <x:c r="D1016" t="n">
        <x:f>Dashboard_Live_Data!R35</x:f>
        <x:v>1513.401147669966</x:v>
      </x:c>
      <x:c r="E1016" t="n">
        <x:f>Dashboard_Live_Data!S35</x:f>
        <x:v>-580</x:v>
      </x:c>
      <x:c r="F1016" t="n">
        <x:f>Dashboard_Live_Data!T35</x:f>
        <x:v>3617.3566781323107</x:v>
      </x:c>
      <x:c r="G1016" t="n">
        <x:f>Dashboard_Live_Data!U35</x:f>
        <x:v>-580</x:v>
      </x:c>
      <x:c r="H1016" t="n">
        <x:f>Dashboard_Live_Data!V35</x:f>
        <x:v>3585.709784600385</x:v>
      </x:c>
    </x:row>
    <x:row r="1017">
      <x:c r="A1017" t="n">
        <x:f>Dashboard_Live_Data!O36</x:f>
        <x:v>-43.019999999999996</x:v>
      </x:c>
      <x:c r="B1017" t="n">
        <x:f>Dashboard_Live_Data!P36</x:f>
        <x:v>2682.231292156122</x:v>
      </x:c>
      <x:c r="C1017" t="n">
        <x:f>Dashboard_Live_Data!Q36</x:f>
        <x:v>-286.79999999999995</x:v>
      </x:c>
      <x:c r="D1017" t="n">
        <x:f>Dashboard_Live_Data!R36</x:f>
        <x:v>1485.3107812338621</x:v>
      </x:c>
      <x:c r="E1017" t="n">
        <x:f>Dashboard_Live_Data!S36</x:f>
        <x:v>-573.5999999999999</x:v>
      </x:c>
      <x:c r="F1017" t="n">
        <x:f>Dashboard_Live_Data!T36</x:f>
        <x:v>3543.0903668697347</x:v>
      </x:c>
      <x:c r="G1017" t="n">
        <x:f>Dashboard_Live_Data!U36</x:f>
        <x:v>-573.5999999999999</x:v>
      </x:c>
      <x:c r="H1017" t="n">
        <x:f>Dashboard_Live_Data!V36</x:f>
        <x:v>3510.67387425737</x:v>
      </x:c>
    </x:row>
    <x:row r="1018">
      <x:c r="A1018" t="n">
        <x:f>Dashboard_Live_Data!O37</x:f>
        <x:v>-42.48</x:v>
      </x:c>
      <x:c r="B1018" t="n">
        <x:f>Dashboard_Live_Data!P37</x:f>
        <x:v>2681.8890553944493</x:v>
      </x:c>
      <x:c r="C1018" t="n">
        <x:f>Dashboard_Live_Data!Q37</x:f>
        <x:v>-283.2</x:v>
      </x:c>
      <x:c r="D1018" t="n">
        <x:f>Dashboard_Live_Data!R37</x:f>
        <x:v>1454.0816767311737</x:v>
      </x:c>
      <x:c r="E1018" t="n">
        <x:f>Dashboard_Live_Data!S37</x:f>
        <x:v>-566.4</x:v>
      </x:c>
      <x:c r="F1018" t="n">
        <x:f>Dashboard_Live_Data!T37</x:f>
        <x:v>3460.525748116051</x:v>
      </x:c>
      <x:c r="G1018" t="n">
        <x:f>Dashboard_Live_Data!U37</x:f>
        <x:v>-566.4</x:v>
      </x:c>
      <x:c r="H1018" t="n">
        <x:f>Dashboard_Live_Data!V37</x:f>
        <x:v>3427.2536635995016</x:v>
      </x:c>
    </x:row>
    <x:row r="1019">
      <x:c r="A1019" t="n">
        <x:f>Dashboard_Live_Data!O38</x:f>
        <x:v>-42</x:v>
      </x:c>
      <x:c r="B1019" t="n">
        <x:f>Dashboard_Live_Data!P38</x:f>
        <x:v>2681.588474116984</x:v>
      </x:c>
      <x:c r="C1019" t="n">
        <x:f>Dashboard_Live_Data!Q38</x:f>
        <x:v>-280</x:v>
      </x:c>
      <x:c r="D1019" t="n">
        <x:f>Dashboard_Live_Data!R38</x:f>
        <x:v>1426.6536351624961</x:v>
      </x:c>
      <x:c r="E1019" t="n">
        <x:f>Dashboard_Live_Data!S38</x:f>
        <x:v>-560</x:v>
      </x:c>
      <x:c r="F1019" t="n">
        <x:f>Dashboard_Live_Data!T38</x:f>
        <x:v>3388.01051492763</x:v>
      </x:c>
      <x:c r="G1019" t="n">
        <x:f>Dashboard_Live_Data!U38</x:f>
        <x:v>-560</x:v>
      </x:c>
      <x:c r="H1019" t="n">
        <x:f>Dashboard_Live_Data!V38</x:f>
        <x:v>3353.9869772174184</x:v>
      </x:c>
    </x:row>
    <x:row r="1020">
      <x:c r="A1020" t="n">
        <x:f>Dashboard_Live_Data!O39</x:f>
        <x:v>-41.519999999999996</x:v>
      </x:c>
      <x:c r="B1020" t="n">
        <x:f>Dashboard_Live_Data!P39</x:f>
        <x:v>2681.2913085358537</x:v>
      </x:c>
      <x:c r="C1020" t="n">
        <x:f>Dashboard_Live_Data!Q39</x:f>
        <x:v>-276.79999999999995</x:v>
      </x:c>
      <x:c r="D1020" t="n">
        <x:f>Dashboard_Live_Data!R39</x:f>
        <x:v>1399.5372758843714</x:v>
      </x:c>
      <x:c r="E1020" t="n">
        <x:f>Dashboard_Live_Data!S39</x:f>
        <x:v>-553.5999999999999</x:v>
      </x:c>
      <x:c r="F1020" t="n">
        <x:f>Dashboard_Live_Data!T39</x:f>
        <x:v>3316.319318479985</x:v>
      </x:c>
      <x:c r="G1020" t="n">
        <x:f>Dashboard_Live_Data!U39</x:f>
        <x:v>-553.5999999999999</x:v>
      </x:c>
      <x:c r="H1020" t="n">
        <x:f>Dashboard_Live_Data!V39</x:f>
        <x:v>3281.552866816948</x:v>
      </x:c>
    </x:row>
    <x:row r="1021">
      <x:c r="A1021" t="n">
        <x:f>Dashboard_Live_Data!O40</x:f>
        <x:v>-40.980000000000004</x:v>
      </x:c>
      <x:c r="B1021" t="n">
        <x:f>Dashboard_Live_Data!P40</x:f>
        <x:v>2680.9610800816076</x:v>
      </x:c>
      <x:c r="C1021" t="n">
        <x:f>Dashboard_Live_Data!Q40</x:f>
        <x:v>-273.20000000000005</x:v>
      </x:c>
      <x:c r="D1021" t="n">
        <x:f>Dashboard_Live_Data!R40</x:f>
        <x:v>1369.4039294344093</x:v>
      </x:c>
      <x:c r="E1021" t="n">
        <x:f>Dashboard_Live_Data!S40</x:f>
        <x:v>-546.4000000000001</x:v>
      </x:c>
      <x:c r="F1021" t="n">
        <x:f>Dashboard_Live_Data!T40</x:f>
        <x:v>3236.6517038930992</x:v>
      </x:c>
      <x:c r="G1021" t="n">
        <x:f>Dashboard_Live_Data!U40</x:f>
        <x:v>-546.4000000000001</x:v>
      </x:c>
      <x:c r="H1021" t="n">
        <x:f>Dashboard_Live_Data!V40</x:f>
        <x:v>3201.059681094447</x:v>
      </x:c>
    </x:row>
    <x:row r="1022">
      <x:c r="A1022" t="n">
        <x:f>Dashboard_Live_Data!O41</x:f>
        <x:v>-40.5</x:v>
      </x:c>
      <x:c r="B1022" t="n">
        <x:f>Dashboard_Live_Data!P41</x:f>
        <x:v>2680.671172855189</x:v>
      </x:c>
      <x:c r="C1022" t="n">
        <x:f>Dashboard_Live_Data!Q41</x:f>
        <x:v>-270</x:v>
      </x:c>
      <x:c r="D1022" t="n">
        <x:f>Dashboard_Live_Data!R41</x:f>
        <x:v>1342.9498950237103</x:v>
      </x:c>
      <x:c r="E1022" t="n">
        <x:f>Dashboard_Live_Data!S41</x:f>
        <x:v>-540</x:v>
      </x:c>
      <x:c r="F1022" t="n">
        <x:f>Dashboard_Live_Data!T41</x:f>
        <x:v>3166.7115855196066</x:v>
      </x:c>
      <x:c r="G1022" t="n">
        <x:f>Dashboard_Live_Data!U41</x:f>
        <x:v>-540</x:v>
      </x:c>
      <x:c r="H1022" t="n">
        <x:f>Dashboard_Live_Data!V41</x:f>
        <x:v>3130.3947946549083</x:v>
      </x:c>
    </x:row>
    <x:row r="1023">
      <x:c r="A1023" t="n">
        <x:f>Dashboard_Live_Data!O42</x:f>
        <x:v>-40.02</x:v>
      </x:c>
      <x:c r="B1023" t="n">
        <x:f>Dashboard_Live_Data!P42</x:f>
        <x:v>2680.3846813251052</x:v>
      </x:c>
      <x:c r="C1023" t="n">
        <x:f>Dashboard_Live_Data!Q42</x:f>
        <x:v>-266.8</x:v>
      </x:c>
      <x:c r="D1023" t="n">
        <x:f>Dashboard_Live_Data!R42</x:f>
        <x:v>1316.8075429035646</x:v>
      </x:c>
      <x:c r="E1023" t="n">
        <x:f>Dashboard_Live_Data!S42</x:f>
        <x:v>-533.6</x:v>
      </x:c>
      <x:c r="F1023" t="n">
        <x:f>Dashboard_Live_Data!T42</x:f>
        <x:v>3097.5955038868924</x:v>
      </x:c>
      <x:c r="G1023" t="n">
        <x:f>Dashboard_Live_Data!U42</x:f>
        <x:v>-533.6</x:v>
      </x:c>
      <x:c r="H1023" t="n">
        <x:f>Dashboard_Live_Data!V42</x:f>
        <x:v>3060.5624841969843</x:v>
      </x:c>
    </x:row>
    <x:row r="1024">
      <x:c r="A1024" t="n">
        <x:f>Dashboard_Live_Data!O43</x:f>
        <x:v>-39.480000000000004</x:v>
      </x:c>
      <x:c r="B1024" t="n">
        <x:f>Dashboard_Live_Data!P43</x:f>
        <x:v>2680.0664611782863</x:v>
      </x:c>
      <x:c r="C1024" t="n">
        <x:f>Dashboard_Live_Data!Q43</x:f>
        <x:v>-263.20000000000005</x:v>
      </x:c>
      <x:c r="D1024" t="n">
        <x:f>Dashboard_Live_Data!R43</x:f>
        <x:v>1287.7699545063276</x:v>
      </x:c>
      <x:c r="E1024" t="n">
        <x:f>Dashboard_Live_Data!S43</x:f>
        <x:v>-526.4000000000001</x:v>
      </x:c>
      <x:c r="F1024" t="n">
        <x:f>Dashboard_Live_Data!T43</x:f>
        <x:v>3020.824893466801</x:v>
      </x:c>
      <x:c r="G1024" t="n">
        <x:f>Dashboard_Live_Data!U43</x:f>
        <x:v>-526.4000000000001</x:v>
      </x:c>
      <x:c r="H1024" t="n">
        <x:f>Dashboard_Live_Data!V43</x:f>
        <x:v>2982.9963234098454</x:v>
      </x:c>
    </x:row>
    <x:row r="1025">
      <x:c r="A1025" t="n">
        <x:f>Dashboard_Live_Data!O44</x:f>
        <x:v>-39</x:v>
      </x:c>
      <x:c r="B1025" t="n">
        <x:f>Dashboard_Live_Data!P44</x:f>
        <x:v>2679.7872280029137</x:v>
      </x:c>
      <x:c r="C1025" t="n">
        <x:f>Dashboard_Live_Data!Q44</x:f>
        <x:v>-260</x:v>
      </x:c>
      <x:c r="D1025" t="n">
        <x:f>Dashboard_Live_Data!R44</x:f>
        <x:v>1262.2899272536067</x:v>
      </x:c>
      <x:c r="E1025" t="n">
        <x:f>Dashboard_Live_Data!S44</x:f>
        <x:v>-520</x:v>
      </x:c>
      <x:c r="F1025" t="n">
        <x:f>Dashboard_Live_Data!T44</x:f>
        <x:v>2953.459889908238</x:v>
      </x:c>
      <x:c r="G1025" t="n">
        <x:f>Dashboard_Live_Data!U44</x:f>
        <x:v>-520</x:v>
      </x:c>
      <x:c r="H1025" t="n">
        <x:f>Dashboard_Live_Data!V44</x:f>
        <x:v>2914.9332369128515</x:v>
      </x:c>
    </x:row>
    <x:row r="1026">
      <x:c r="A1026" t="n">
        <x:f>Dashboard_Live_Data!O45</x:f>
        <x:v>-38.519999999999996</x:v>
      </x:c>
      <x:c r="B1026" t="n">
        <x:f>Dashboard_Live_Data!P45</x:f>
        <x:v>2679.5114105238763</x:v>
      </x:c>
      <x:c r="C1026" t="n">
        <x:f>Dashboard_Live_Data!Q45</x:f>
        <x:v>-256.8</x:v>
      </x:c>
      <x:c r="D1026" t="n">
        <x:f>Dashboard_Live_Data!R45</x:f>
        <x:v>1237.1215822914398</x:v>
      </x:c>
      <x:c r="E1026" t="n">
        <x:f>Dashboard_Live_Data!S45</x:f>
        <x:v>-513.6</x:v>
      </x:c>
      <x:c r="F1026" t="n">
        <x:f>Dashboard_Live_Data!T45</x:f>
        <x:v>2886.9189230904535</x:v>
      </x:c>
      <x:c r="G1026" t="n">
        <x:f>Dashboard_Live_Data!U45</x:f>
        <x:v>-513.6</x:v>
      </x:c>
      <x:c r="H1026" t="n">
        <x:f>Dashboard_Live_Data!V45</x:f>
        <x:v>2847.7027263974737</x:v>
      </x:c>
    </x:row>
    <x:row r="1027">
      <x:c r="A1027" t="n">
        <x:f>Dashboard_Live_Data!O46</x:f>
        <x:v>-37.980000000000004</x:v>
      </x:c>
      <x:c r="B1027" t="n">
        <x:f>Dashboard_Live_Data!P46</x:f>
        <x:v>2679.205198684485</x:v>
      </x:c>
      <x:c r="C1027" t="n">
        <x:f>Dashboard_Live_Data!Q46</x:f>
        <x:v>-253.2</x:v>
      </x:c>
      <x:c r="D1027" t="n">
        <x:f>Dashboard_Live_Data!R46</x:f>
        <x:v>1209.1797519469287</x:v>
      </x:c>
      <x:c r="E1027" t="n">
        <x:f>Dashboard_Live_Data!S46</x:f>
        <x:v>-506.4</x:v>
      </x:c>
      <x:c r="F1027" t="n">
        <x:f>Dashboard_Live_Data!T46</x:f>
        <x:v>2813.045316837157</x:v>
      </x:c>
      <x:c r="G1027" t="n">
        <x:f>Dashboard_Live_Data!U46</x:f>
        <x:v>-506.4</x:v>
      </x:c>
      <x:c r="H1027" t="n">
        <x:f>Dashboard_Live_Data!V46</x:f>
        <x:v>2773.063590545697</x:v>
      </x:c>
    </x:row>
    <x:row r="1028">
      <x:c r="A1028" t="n">
        <x:f>Dashboard_Live_Data!O47</x:f>
        <x:v>-37.5</x:v>
      </x:c>
      <x:c r="B1028" t="n">
        <x:f>Dashboard_Live_Data!P47</x:f>
        <x:v>2678.9366395601587</x:v>
      </x:c>
      <x:c r="C1028" t="n">
        <x:f>Dashboard_Live_Data!Q47</x:f>
        <x:v>-250</x:v>
      </x:c>
      <x:c r="D1028" t="n">
        <x:f>Dashboard_Live_Data!R47</x:f>
        <x:v>1184.6737318521868</x:v>
      </x:c>
      <x:c r="E1028" t="n">
        <x:f>Dashboard_Live_Data!S47</x:f>
        <x:v>-500</x:v>
      </x:c>
      <x:c r="F1028" t="n">
        <x:f>Dashboard_Live_Data!T47</x:f>
        <x:v>2748.2554280935246</x:v>
      </x:c>
      <x:c r="G1028" t="n">
        <x:f>Dashboard_Live_Data!U47</x:f>
        <x:v>-500</x:v>
      </x:c>
      <x:c r="H1028" t="n">
        <x:f>Dashboard_Live_Data!V47</x:f>
        <x:v>2707.6023039912498</x:v>
      </x:c>
    </x:row>
    <x:row r="1029">
      <x:c r="A1029" t="n">
        <x:f>Dashboard_Live_Data!O48</x:f>
        <x:v>-37.019999999999996</x:v>
      </x:c>
      <x:c r="B1029" t="n">
        <x:f>Dashboard_Live_Data!P48</x:f>
        <x:v>2678.6714961321677</x:v>
      </x:c>
      <x:c r="C1029" t="n">
        <x:f>Dashboard_Live_Data!Q48</x:f>
        <x:v>-246.8</x:v>
      </x:c>
      <x:c r="D1029" t="n">
        <x:f>Dashboard_Live_Data!R48</x:f>
        <x:v>1160.4793940479983</x:v>
      </x:c>
      <x:c r="E1029" t="n">
        <x:f>Dashboard_Live_Data!S48</x:f>
        <x:v>-493.6</x:v>
      </x:c>
      <x:c r="F1029" t="n">
        <x:f>Dashboard_Live_Data!T48</x:f>
        <x:v>2684.2895760906704</x:v>
      </x:c>
      <x:c r="G1029" t="n">
        <x:f>Dashboard_Live_Data!U48</x:f>
        <x:v>-493.6</x:v>
      </x:c>
      <x:c r="H1029" t="n">
        <x:f>Dashboard_Live_Data!V48</x:f>
        <x:v>2642.9735934184177</x:v>
      </x:c>
    </x:row>
    <x:row r="1030">
      <x:c r="A1030" t="n">
        <x:f>Dashboard_Live_Data!O49</x:f>
        <x:v>-36.480000000000004</x:v>
      </x:c>
      <x:c r="B1030" t="n">
        <x:f>Dashboard_Live_Data!P49</x:f>
        <x:v>2678.377292600203</x:v>
      </x:c>
      <x:c r="C1030" t="n">
        <x:f>Dashboard_Live_Data!Q49</x:f>
        <x:v>-243.2</x:v>
      </x:c>
      <x:c r="D1030" t="n">
        <x:f>Dashboard_Live_Data!R49</x:f>
        <x:v>1133.633321756213</x:v>
      </x:c>
      <x:c r="E1030" t="n">
        <x:f>Dashboard_Live_Data!S49</x:f>
        <x:v>-486.4</x:v>
      </x:c>
      <x:c r="F1030" t="n">
        <x:f>Dashboard_Live_Data!T49</x:f>
        <x:v>2613.312974004169</x:v>
      </x:c>
      <x:c r="G1030" t="n">
        <x:f>Dashboard_Live_Data!U49</x:f>
        <x:v>-486.4</x:v>
      </x:c>
      <x:c r="H1030" t="n">
        <x:f>Dashboard_Live_Data!V49</x:f>
        <x:v>2571.2614825020046</x:v>
      </x:c>
    </x:row>
    <x:row r="1031">
      <x:c r="A1031" t="n">
        <x:f>Dashboard_Live_Data!O50</x:f>
        <x:v>-36</x:v>
      </x:c>
      <x:c r="B1031" t="n">
        <x:f>Dashboard_Live_Data!P50</x:f>
        <x:v>2678.119407526923</x:v>
      </x:c>
      <x:c r="C1031" t="n">
        <x:f>Dashboard_Live_Data!Q50</x:f>
        <x:v>-240</x:v>
      </x:c>
      <x:c r="D1031" t="n">
        <x:f>Dashboard_Live_Data!R50</x:f>
        <x:v>1110.1013088194502</x:v>
      </x:c>
      <x:c r="E1031" t="n">
        <x:f>Dashboard_Live_Data!S50</x:f>
        <x:v>-480</x:v>
      </x:c>
      <x:c r="F1031" t="n">
        <x:f>Dashboard_Live_Data!T50</x:f>
        <x:v>2551.098200075467</x:v>
      </x:c>
      <x:c r="G1031" t="n">
        <x:f>Dashboard_Live_Data!U50</x:f>
        <x:v>-480</x:v>
      </x:c>
      <x:c r="H1031" t="n">
        <x:f>Dashboard_Live_Data!V50</x:f>
        <x:v>2508.4019958901035</x:v>
      </x:c>
    </x:row>
    <x:row r="1032">
      <x:c r="A1032" t="n">
        <x:f>Dashboard_Live_Data!O51</x:f>
        <x:v>-35.519999999999996</x:v>
      </x:c>
      <x:c r="B1032" t="n">
        <x:f>Dashboard_Live_Data!P51</x:f>
        <x:v>2677.8649381499786</x:v>
      </x:c>
      <x:c r="C1032" t="n">
        <x:f>Dashboard_Live_Data!Q51</x:f>
        <x:v>-236.79999999999998</x:v>
      </x:c>
      <x:c r="D1032" t="n">
        <x:f>Dashboard_Live_Data!R51</x:f>
        <x:v>1086.88097817324</x:v>
      </x:c>
      <x:c r="E1032" t="n">
        <x:f>Dashboard_Live_Data!S51</x:f>
        <x:v>-473.59999999999997</x:v>
      </x:c>
      <x:c r="F1032" t="n">
        <x:f>Dashboard_Live_Data!T51</x:f>
        <x:v>2489.7074628875416</x:v>
      </x:c>
      <x:c r="G1032" t="n">
        <x:f>Dashboard_Live_Data!U51</x:f>
        <x:v>-473.59999999999997</x:v>
      </x:c>
      <x:c r="H1032" t="n">
        <x:f>Dashboard_Live_Data!V51</x:f>
        <x:v>2446.3750852598164</x:v>
      </x:c>
    </x:row>
    <x:row r="1033">
      <x:c r="A1033" t="n">
        <x:f>Dashboard_Live_Data!O52</x:f>
        <x:v>-34.98</x:v>
      </x:c>
      <x:c r="B1033" t="n">
        <x:f>Dashboard_Live_Data!P52</x:f>
        <x:v>2677.582742925441</x:v>
      </x:c>
      <x:c r="C1033" t="n">
        <x:f>Dashboard_Live_Data!Q52</x:f>
        <x:v>-233.2</x:v>
      </x:c>
      <x:c r="D1033" t="n">
        <x:f>Dashboard_Live_Data!R52</x:f>
        <x:v>1061.1306639341806</x:v>
      </x:c>
      <x:c r="E1033" t="n">
        <x:f>Dashboard_Live_Data!S52</x:f>
        <x:v>-466.4</x:v>
      </x:c>
      <x:c r="F1033" t="n">
        <x:f>Dashboard_Live_Data!T52</x:f>
        <x:v>2421.627864967837</x:v>
      </x:c>
      <x:c r="G1033" t="n">
        <x:f>Dashboard_Live_Data!U52</x:f>
        <x:v>-466.4</x:v>
      </x:c>
      <x:c r="H1033" t="n">
        <x:f>Dashboard_Live_Data!V52</x:f>
        <x:v>2377.5899992787677</x:v>
      </x:c>
    </x:row>
    <x:row r="1034">
      <x:c r="A1034" t="n">
        <x:f>Dashboard_Live_Data!O53</x:f>
        <x:v>-34.5</x:v>
      </x:c>
      <x:c r="B1034" t="n">
        <x:f>Dashboard_Live_Data!P53</x:f>
        <x:v>2677.3355319032075</x:v>
      </x:c>
      <x:c r="C1034" t="n">
        <x:f>Dashboard_Live_Data!Q53</x:f>
        <x:v>-229.99999999999997</x:v>
      </x:c>
      <x:c r="D1034" t="n">
        <x:f>Dashboard_Live_Data!R53</x:f>
        <x:v>1038.572658155396</x:v>
      </x:c>
      <x:c r="E1034" t="n">
        <x:f>Dashboard_Live_Data!S53</x:f>
        <x:v>-459.99999999999994</x:v>
      </x:c>
      <x:c r="F1034" t="n">
        <x:f>Dashboard_Live_Data!T53</x:f>
        <x:v>2361.988205854064</x:v>
      </x:c>
      <x:c r="G1034" t="n">
        <x:f>Dashboard_Live_Data!U53</x:f>
        <x:v>-459.99999999999994</x:v>
      </x:c>
      <x:c r="H1034" t="n">
        <x:f>Dashboard_Live_Data!V53</x:f>
        <x:v>2317.3323126094115</x:v>
      </x:c>
    </x:row>
    <x:row r="1035">
      <x:c r="A1035" t="n">
        <x:f>Dashboard_Live_Data!O54</x:f>
        <x:v>-34.019999999999996</x:v>
      </x:c>
      <x:c r="B1035" t="n">
        <x:f>Dashboard_Live_Data!P54</x:f>
        <x:v>2677.091736577309</x:v>
      </x:c>
      <x:c r="C1035" t="n">
        <x:f>Dashboard_Live_Data!Q54</x:f>
        <x:v>-226.79999999999998</x:v>
      </x:c>
      <x:c r="D1035" t="n">
        <x:f>Dashboard_Live_Data!R54</x:f>
        <x:v>1016.3263346671649</x:v>
      </x:c>
      <x:c r="E1035" t="n">
        <x:f>Dashboard_Live_Data!S54</x:f>
        <x:v>-453.59999999999997</x:v>
      </x:c>
      <x:c r="F1035" t="n">
        <x:f>Dashboard_Live_Data!T54</x:f>
        <x:v>2303.172583481069</x:v>
      </x:c>
      <x:c r="G1035" t="n">
        <x:f>Dashboard_Live_Data!U54</x:f>
        <x:v>-453.59999999999997</x:v>
      </x:c>
      <x:c r="H1035" t="n">
        <x:f>Dashboard_Live_Data!V54</x:f>
        <x:v>2257.9072019216705</x:v>
      </x:c>
    </x:row>
    <x:row r="1036">
      <x:c r="A1036" t="n">
        <x:f>Dashboard_Live_Data!O55</x:f>
        <x:v>-33.480000000000004</x:v>
      </x:c>
      <x:c r="B1036" t="n">
        <x:f>Dashboard_Live_Data!P55</x:f>
        <x:v>2676.821549660199</x:v>
      </x:c>
      <x:c r="C1036" t="n">
        <x:f>Dashboard_Live_Data!Q55</x:f>
        <x:v>-223.20000000000002</x:v>
      </x:c>
      <x:c r="D1036" t="n">
        <x:f>Dashboard_Live_Data!R55</x:f>
        <x:v>991.6717784808318</x:v>
      </x:c>
      <x:c r="E1036" t="n">
        <x:f>Dashboard_Live_Data!S55</x:f>
        <x:v>-446.40000000000003</x:v>
      </x:c>
      <x:c r="F1036" t="n">
        <x:f>Dashboard_Live_Data!T55</x:f>
        <x:v>2237.989989728161</x:v>
      </x:c>
      <x:c r="G1036" t="n">
        <x:f>Dashboard_Live_Data!U55</x:f>
        <x:v>-446.40000000000003</x:v>
      </x:c>
      <x:c r="H1036" t="n">
        <x:f>Dashboard_Live_Data!V55</x:f>
        <x:v>2192.049140875986</x:v>
      </x:c>
    </x:row>
    <x:row r="1037">
      <x:c r="A1037" t="n">
        <x:f>Dashboard_Live_Data!O56</x:f>
        <x:v>-33</x:v>
      </x:c>
      <x:c r="B1037" t="n">
        <x:f>Dashboard_Live_Data!P56</x:f>
        <x:v>2676.585012689012</x:v>
      </x:c>
      <x:c r="C1037" t="n">
        <x:f>Dashboard_Live_Data!Q56</x:f>
        <x:v>-220.00000000000003</x:v>
      </x:c>
      <x:c r="D1037" t="n">
        <x:f>Dashboard_Live_Data!R56</x:f>
        <x:v>970.0877798600259</x:v>
      </x:c>
      <x:c r="E1037" t="n">
        <x:f>Dashboard_Live_Data!S56</x:f>
        <x:v>-440.00000000000006</x:v>
      </x:c>
      <x:c r="F1037" t="n">
        <x:f>Dashboard_Live_Data!T56</x:f>
        <x:v>2180.9254454293177</x:v>
      </x:c>
      <x:c r="G1037" t="n">
        <x:f>Dashboard_Live_Data!U56</x:f>
        <x:v>-440.00000000000006</x:v>
      </x:c>
      <x:c r="H1037" t="n">
        <x:f>Dashboard_Live_Data!V56</x:f>
        <x:v>2134.393254149176</x:v>
      </x:c>
    </x:row>
    <x:row r="1038">
      <x:c r="A1038" t="n">
        <x:f>Dashboard_Live_Data!O57</x:f>
        <x:v>-32.52</x:v>
      </x:c>
      <x:c r="B1038" t="n">
        <x:f>Dashboard_Live_Data!P57</x:f>
        <x:v>2676.3518914141596</x:v>
      </x:c>
      <x:c r="C1038" t="n">
        <x:f>Dashboard_Live_Data!Q57</x:f>
        <x:v>-216.8</x:v>
      </x:c>
      <x:c r="D1038" t="n">
        <x:f>Dashboard_Live_Data!R57</x:f>
        <x:v>948.8154635297731</x:v>
      </x:c>
      <x:c r="E1038" t="n">
        <x:f>Dashboard_Live_Data!S57</x:f>
        <x:v>-433.6</x:v>
      </x:c>
      <x:c r="F1038" t="n">
        <x:f>Dashboard_Live_Data!T57</x:f>
        <x:v>2124.6849378712523</x:v>
      </x:c>
      <x:c r="G1038" t="n">
        <x:f>Dashboard_Live_Data!U57</x:f>
        <x:v>-433.6</x:v>
      </x:c>
      <x:c r="H1038" t="n">
        <x:f>Dashboard_Live_Data!V57</x:f>
        <x:v>2077.56994340398</x:v>
      </x:c>
    </x:row>
    <x:row r="1039">
      <x:c r="A1039" t="n">
        <x:f>Dashboard_Live_Data!O58</x:f>
        <x:v>-31.98</x:v>
      </x:c>
      <x:c r="B1039" t="n">
        <x:f>Dashboard_Live_Data!P58</x:f>
        <x:v>2676.093712804476</x:v>
      </x:c>
      <x:c r="C1039" t="n">
        <x:f>Dashboard_Live_Data!Q58</x:f>
        <x:v>-213.20000000000002</x:v>
      </x:c>
      <x:c r="D1039" t="n">
        <x:f>Dashboard_Live_Data!R58</x:f>
        <x:v>925.2566653961659</x:v>
      </x:c>
      <x:c r="E1039" t="n">
        <x:f>Dashboard_Live_Data!S58</x:f>
        <x:v>-426.40000000000003</x:v>
      </x:c>
      <x:c r="F1039" t="n">
        <x:f>Dashboard_Live_Data!T58</x:f>
        <x:v>2062.3993482851392</x:v>
      </x:c>
      <x:c r="G1039" t="n">
        <x:f>Dashboard_Live_Data!U58</x:f>
        <x:v>-426.40000000000003</x:v>
      </x:c>
      <x:c r="H1039" t="n">
        <x:f>Dashboard_Live_Data!V58</x:f>
        <x:v>2014.6389072936586</x:v>
      </x:c>
    </x:row>
    <x:row r="1040">
      <x:c r="A1040" t="n">
        <x:f>Dashboard_Live_Data!O59</x:f>
        <x:v>-31.5</x:v>
      </x:c>
      <x:c r="B1040" t="n">
        <x:f>Dashboard_Live_Data!P59</x:f>
        <x:v>2675.867849884336</x:v>
      </x:c>
      <x:c r="C1040" t="n">
        <x:f>Dashboard_Live_Data!Q59</x:f>
        <x:v>-210</x:v>
      </x:c>
      <x:c r="D1040" t="n">
        <x:f>Dashboard_Live_Data!R59</x:f>
        <x:v>904.6466739333382</x:v>
      </x:c>
      <x:c r="E1040" t="n">
        <x:f>Dashboard_Live_Data!S59</x:f>
        <x:v>-420</x:v>
      </x:c>
      <x:c r="F1040" t="n">
        <x:f>Dashboard_Live_Data!T59</x:f>
        <x:v>2007.9099188012265</x:v>
      </x:c>
      <x:c r="G1040" t="n">
        <x:f>Dashboard_Live_Data!U59</x:f>
        <x:v>-420</x:v>
      </x:c>
      <x:c r="H1040" t="n">
        <x:f>Dashboard_Live_Data!V59</x:f>
        <x:v>1959.584820509394</x:v>
      </x:c>
    </x:row>
    <x:row r="1041">
      <x:c r="A1041" t="n">
        <x:f>Dashboard_Live_Data!O60</x:f>
        <x:v>-31.02</x:v>
      </x:c>
      <x:c r="B1041" t="n">
        <x:f>Dashboard_Live_Data!P60</x:f>
        <x:v>2675.6454026605297</x:v>
      </x:c>
      <x:c r="C1041" t="n">
        <x:f>Dashboard_Live_Data!Q60</x:f>
        <x:v>-206.8</x:v>
      </x:c>
      <x:c r="D1041" t="n">
        <x:f>Dashboard_Live_Data!R60</x:f>
        <x:v>884.3483647610641</x:v>
      </x:c>
      <x:c r="E1041" t="n">
        <x:f>Dashboard_Live_Data!S60</x:f>
        <x:v>-413.6</x:v>
      </x:c>
      <x:c r="F1041" t="n">
        <x:f>Dashboard_Live_Data!T60</x:f>
        <x:v>1954.2445260580903</x:v>
      </x:c>
      <x:c r="G1041" t="n">
        <x:f>Dashboard_Live_Data!U60</x:f>
        <x:v>-413.6</x:v>
      </x:c>
      <x:c r="H1041" t="n">
        <x:f>Dashboard_Live_Data!V60</x:f>
        <x:v>1905.3633097067436</x:v>
      </x:c>
    </x:row>
    <x:row r="1042">
      <x:c r="A1042" t="n">
        <x:f>Dashboard_Live_Data!O61</x:f>
        <x:v>-30.48</x:v>
      </x:c>
      <x:c r="B1042" t="n">
        <x:f>Dashboard_Live_Data!P61</x:f>
        <x:v>2675.3992323582734</x:v>
      </x:c>
      <x:c r="C1042" t="n">
        <x:f>Dashboard_Live_Data!Q61</x:f>
        <x:v>-203.2</x:v>
      </x:c>
      <x:c r="D1042" t="n">
        <x:f>Dashboard_Live_Data!R61</x:f>
        <x:v>861.8853246801826</x:v>
      </x:c>
      <x:c r="E1042" t="n">
        <x:f>Dashboard_Live_Data!S61</x:f>
        <x:v>-406.4</x:v>
      </x:c>
      <x:c r="F1042" t="n">
        <x:f>Dashboard_Live_Data!T61</x:f>
        <x:v>1894.8559406387737</x:v>
      </x:c>
      <x:c r="G1042" t="n">
        <x:f>Dashboard_Live_Data!U61</x:f>
        <x:v>-406.4</x:v>
      </x:c>
      <x:c r="H1042" t="n">
        <x:f>Dashboard_Live_Data!V61</x:f>
        <x:v>1845.3592985317862</x:v>
      </x:c>
    </x:row>
    <x:row r="1043">
      <x:c r="A1043" t="n">
        <x:f>Dashboard_Live_Data!O62</x:f>
        <x:v>-30</x:v>
      </x:c>
      <x:c r="B1043" t="n">
        <x:f>Dashboard_Live_Data!P62</x:f>
        <x:v>2675.184043489179</x:v>
      </x:c>
      <x:c r="C1043" t="n">
        <x:f>Dashboard_Live_Data!Q62</x:f>
        <x:v>-200</x:v>
      </x:c>
      <x:c r="D1043" t="n">
        <x:f>Dashboard_Live_Data!R62</x:f>
        <x:v>842.2493403753339</x:v>
      </x:c>
      <x:c r="E1043" t="n">
        <x:f>Dashboard_Live_Data!S62</x:f>
        <x:v>-400</x:v>
      </x:c>
      <x:c r="F1043" t="n">
        <x:f>Dashboard_Live_Data!T62</x:f>
        <x:v>1842.9416259697903</x:v>
      </x:c>
      <x:c r="G1043" t="n">
        <x:f>Dashboard_Live_Data!U62</x:f>
        <x:v>-400</x:v>
      </x:c>
      <x:c r="H1043" t="n">
        <x:f>Dashboard_Live_Data!V62</x:f>
        <x:v>1792.9070116900673</x:v>
      </x:c>
    </x:row>
    <x:row r="1044">
      <x:c r="A1044" t="n">
        <x:f>Dashboard_Live_Data!O63</x:f>
        <x:v>-29.52</x:v>
      </x:c>
      <x:c r="B1044" t="n">
        <x:f>Dashboard_Live_Data!P63</x:f>
        <x:v>2674.9722703164202</x:v>
      </x:c>
      <x:c r="C1044" t="n">
        <x:f>Dashboard_Live_Data!Q63</x:f>
        <x:v>-196.8</x:v>
      </x:c>
      <x:c r="D1044" t="n">
        <x:f>Dashboard_Live_Data!R63</x:f>
        <x:v>822.9250383610386</x:v>
      </x:c>
      <x:c r="E1044" t="n">
        <x:f>Dashboard_Live_Data!S63</x:f>
        <x:v>-393.6</x:v>
      </x:c>
      <x:c r="F1044" t="n">
        <x:f>Dashboard_Live_Data!T63</x:f>
        <x:v>1791.851348041584</x:v>
      </x:c>
      <x:c r="G1044" t="n">
        <x:f>Dashboard_Live_Data!U63</x:f>
        <x:v>-393.6</x:v>
      </x:c>
      <x:c r="H1044" t="n">
        <x:f>Dashboard_Live_Data!V63</x:f>
        <x:v>1741.2873008299634</x:v>
      </x:c>
    </x:row>
    <x:row r="1045">
      <x:c r="A1045" t="n">
        <x:f>Dashboard_Live_Data!O64</x:f>
        <x:v>-28.98</x:v>
      </x:c>
      <x:c r="B1045" t="n">
        <x:f>Dashboard_Live_Data!P64</x:f>
        <x:v>2674.738108321591</x:v>
      </x:c>
      <x:c r="C1045" t="n">
        <x:f>Dashboard_Live_Data!Q64</x:f>
        <x:v>-193.2</x:v>
      </x:c>
      <x:c r="D1045" t="n">
        <x:f>Dashboard_Live_Data!R64</x:f>
        <x:v>801.5577563328827</x:v>
      </x:c>
      <x:c r="E1045" t="n">
        <x:f>Dashboard_Live_Data!S64</x:f>
        <x:v>-386.4</x:v>
      </x:c>
      <x:c r="F1045" t="n">
        <x:f>Dashboard_Live_Data!T64</x:f>
        <x:v>1735.3597667890629</x:v>
      </x:c>
      <x:c r="G1045" t="n">
        <x:f>Dashboard_Live_Data!U64</x:f>
        <x:v>-386.4</x:v>
      </x:c>
      <x:c r="H1045" t="n">
        <x:f>Dashboard_Live_Data!V64</x:f>
        <x:v>1684.2103145903689</x:v>
      </x:c>
    </x:row>
    <x:row r="1046">
      <x:c r="A1046" t="n">
        <x:f>Dashboard_Live_Data!O65</x:f>
        <x:v>-28.5</x:v>
      </x:c>
      <x:c r="B1046" t="n">
        <x:f>Dashboard_Live_Data!P65</x:f>
        <x:v>2674.5335935035428</x:v>
      </x:c>
      <x:c r="C1046" t="n">
        <x:f>Dashboard_Live_Data!Q65</x:f>
        <x:v>-190</x:v>
      </x:c>
      <x:c r="D1046" t="n">
        <x:f>Dashboard_Live_Data!R65</x:f>
        <x:v>782.8957791860126</x:v>
      </x:c>
      <x:c r="E1046" t="n">
        <x:f>Dashboard_Live_Data!S65</x:f>
        <x:v>-380</x:v>
      </x:c>
      <x:c r="F1046" t="n">
        <x:f>Dashboard_Live_Data!T65</x:f>
        <x:v>1686.0205669350094</x:v>
      </x:c>
      <x:c r="G1046" t="n">
        <x:f>Dashboard_Live_Data!U65</x:f>
        <x:v>-380</x:v>
      </x:c>
      <x:c r="H1046" t="n">
        <x:f>Dashboard_Live_Data!V65</x:f>
        <x:v>1634.3598276911957</x:v>
      </x:c>
    </x:row>
    <x:row r="1047">
      <x:c r="A1047" t="n">
        <x:f>Dashboard_Live_Data!O66</x:f>
        <x:v>-28.020000000000003</x:v>
      </x:c>
      <x:c r="B1047" t="n">
        <x:f>Dashboard_Live_Data!P66</x:f>
        <x:v>2674.33249438183</x:v>
      </x:c>
      <x:c r="C1047" t="n">
        <x:f>Dashboard_Live_Data!Q66</x:f>
        <x:v>-186.80000000000004</x:v>
      </x:c>
      <x:c r="D1047" t="n">
        <x:f>Dashboard_Live_Data!R66</x:f>
        <x:v>764.545484329696</x:v>
      </x:c>
      <x:c r="E1047" t="n">
        <x:f>Dashboard_Live_Data!S66</x:f>
        <x:v>-373.6000000000001</x:v>
      </x:c>
      <x:c r="F1047" t="n">
        <x:f>Dashboard_Live_Data!T66</x:f>
        <x:v>1637.5054038217336</x:v>
      </x:c>
      <x:c r="G1047" t="n">
        <x:f>Dashboard_Live_Data!U66</x:f>
        <x:v>-373.6000000000001</x:v>
      </x:c>
      <x:c r="H1047" t="n">
        <x:f>Dashboard_Live_Data!V66</x:f>
        <x:v>1585.3419167736374</x:v>
      </x:c>
    </x:row>
    <x:row r="1048">
      <x:c r="A1048" t="n">
        <x:f>Dashboard_Live_Data!O67</x:f>
        <x:v>-27.479999999999997</x:v>
      </x:c>
      <x:c r="B1048" t="n">
        <x:f>Dashboard_Live_Data!P67</x:f>
        <x:v>2674.1103406944285</x:v>
      </x:c>
      <x:c r="C1048" t="n">
        <x:f>Dashboard_Live_Data!Q67</x:f>
        <x:v>-183.2</x:v>
      </x:c>
      <x:c r="D1048" t="n">
        <x:f>Dashboard_Live_Data!R67</x:f>
        <x:v>744.2739603542661</x:v>
      </x:c>
      <x:c r="E1048" t="n">
        <x:f>Dashboard_Live_Data!S67</x:f>
        <x:v>-366.4</x:v>
      </x:c>
      <x:c r="F1048" t="n">
        <x:f>Dashboard_Live_Data!T67</x:f>
        <x:v>1583.910826736008</x:v>
      </x:c>
      <x:c r="G1048" t="n">
        <x:f>Dashboard_Live_Data!U67</x:f>
        <x:v>-366.4</x:v>
      </x:c>
      <x:c r="H1048" t="n">
        <x:f>Dashboard_Live_Data!V67</x:f>
        <x:v>1531.1919554694066</x:v>
      </x:c>
    </x:row>
    <x:row r="1049">
      <x:c r="A1049" t="n">
        <x:f>Dashboard_Live_Data!O68</x:f>
        <x:v>-27</x:v>
      </x:c>
      <x:c r="B1049" t="n">
        <x:f>Dashboard_Live_Data!P68</x:f>
        <x:v>2673.9164999274262</x:v>
      </x:c>
      <x:c r="C1049" t="n">
        <x:f>Dashboard_Live_Data!Q68</x:f>
        <x:v>-179.99999999999997</x:v>
      </x:c>
      <x:c r="D1049" t="n">
        <x:f>Dashboard_Live_Data!R68</x:f>
        <x:v>726.5859903653746</x:v>
      </x:c>
      <x:c r="E1049" t="n">
        <x:f>Dashboard_Live_Data!S68</x:f>
        <x:v>-359.99999999999994</x:v>
      </x:c>
      <x:c r="F1049" t="n">
        <x:f>Dashboard_Live_Data!T68</x:f>
        <x:v>1537.146741696884</x:v>
      </x:c>
      <x:c r="G1049" t="n">
        <x:f>Dashboard_Live_Data!U68</x:f>
        <x:v>-359.99999999999994</x:v>
      </x:c>
      <x:c r="H1049" t="n">
        <x:f>Dashboard_Live_Data!V68</x:f>
        <x:v>1483.9432685127788</x:v>
      </x:c>
    </x:row>
    <x:row r="1050">
      <x:c r="A1050" t="n">
        <x:f>Dashboard_Live_Data!O69</x:f>
        <x:v>-26.519999999999996</x:v>
      </x:c>
      <x:c r="B1050" t="n">
        <x:f>Dashboard_Live_Data!P69</x:f>
        <x:v>2673.7260748567596</x:v>
      </x:c>
      <x:c r="C1050" t="n">
        <x:f>Dashboard_Live_Data!Q69</x:f>
        <x:v>-176.79999999999998</x:v>
      </x:c>
      <x:c r="D1050" t="n">
        <x:f>Dashboard_Live_Data!R69</x:f>
        <x:v>709.2097026670363</x:v>
      </x:c>
      <x:c r="E1050" t="n">
        <x:f>Dashboard_Live_Data!S69</x:f>
        <x:v>-353.59999999999997</x:v>
      </x:c>
      <x:c r="F1050" t="n">
        <x:f>Dashboard_Live_Data!T69</x:f>
        <x:v>1491.2066933985375</x:v>
      </x:c>
      <x:c r="G1050" t="n">
        <x:f>Dashboard_Live_Data!U69</x:f>
        <x:v>-353.59999999999997</x:v>
      </x:c>
      <x:c r="H1050" t="n">
        <x:f>Dashboard_Live_Data!V69</x:f>
        <x:v>1437.5271575377656</x:v>
      </x:c>
    </x:row>
    <x:row r="1051">
      <x:c r="A1051" t="n">
        <x:f>Dashboard_Live_Data!O70</x:f>
        <x:v>-25.980000000000004</x:v>
      </x:c>
      <x:c r="B1051" t="n">
        <x:f>Dashboard_Live_Data!P70</x:f>
        <x:v>2673.515929476785</x:v>
      </x:c>
      <x:c r="C1051" t="n">
        <x:f>Dashboard_Live_Data!Q70</x:f>
        <x:v>-173.20000000000002</x:v>
      </x:c>
      <x:c r="D1051" t="n">
        <x:f>Dashboard_Live_Data!R70</x:f>
        <x:v>690.0339367443328</x:v>
      </x:c>
      <x:c r="E1051" t="n">
        <x:f>Dashboard_Live_Data!S70</x:f>
        <x:v>-346.40000000000003</x:v>
      </x:c>
      <x:c r="F1051" t="n">
        <x:f>Dashboard_Live_Data!T70</x:f>
        <x:v>1440.509120479609</x:v>
      </x:c>
      <x:c r="G1051" t="n">
        <x:f>Dashboard_Live_Data!U70</x:f>
        <x:v>-346.40000000000003</x:v>
      </x:c>
      <x:c r="H1051" t="n">
        <x:f>Dashboard_Live_Data!V70</x:f>
        <x:v>1386.3042211688996</x:v>
      </x:c>
    </x:row>
    <x:row r="1052">
      <x:c r="A1052" t="n">
        <x:f>Dashboard_Live_Data!O71</x:f>
        <x:v>-25.5</x:v>
      </x:c>
      <x:c r="B1052" t="n">
        <x:f>Dashboard_Live_Data!P71</x:f>
        <x:v>2673.3327627608296</x:v>
      </x:c>
      <x:c r="C1052" t="n">
        <x:f>Dashboard_Live_Data!Q71</x:f>
        <x:v>-170.00000000000003</x:v>
      </x:c>
      <x:c r="D1052" t="n">
        <x:f>Dashboard_Live_Data!R71</x:f>
        <x:v>673.3199739134199</x:v>
      </x:c>
      <x:c r="E1052" t="n">
        <x:f>Dashboard_Live_Data!S71</x:f>
        <x:v>-340.00000000000006</x:v>
      </x:c>
      <x:c r="F1052" t="n">
        <x:f>Dashboard_Live_Data!T71</x:f>
        <x:v>1396.3201502554145</x:v>
      </x:c>
      <x:c r="G1052" t="n">
        <x:f>Dashboard_Live_Data!U71</x:f>
        <x:v>-340.00000000000006</x:v>
      </x:c>
      <x:c r="H1052" t="n">
        <x:f>Dashboard_Live_Data!V71</x:f>
        <x:v>1341.6573341548174</x:v>
      </x:c>
    </x:row>
    <x:row r="1053">
      <x:c r="A1053" t="n">
        <x:f>Dashboard_Live_Data!O72</x:f>
        <x:v>-25.020000000000003</x:v>
      </x:c>
      <x:c r="B1053" t="n">
        <x:f>Dashboard_Live_Data!P72</x:f>
        <x:v>2673.1530117412094</x:v>
      </x:c>
      <x:c r="C1053" t="n">
        <x:f>Dashboard_Live_Data!Q72</x:f>
        <x:v>-166.8</x:v>
      </x:c>
      <x:c r="D1053" t="n">
        <x:f>Dashboard_Live_Data!R72</x:f>
        <x:v>656.9176933730602</x:v>
      </x:c>
      <x:c r="E1053" t="n">
        <x:f>Dashboard_Live_Data!S72</x:f>
        <x:v>-333.6</x:v>
      </x:c>
      <x:c r="F1053" t="n">
        <x:f>Dashboard_Live_Data!T72</x:f>
        <x:v>1352.955216771998</x:v>
      </x:c>
      <x:c r="G1053" t="n">
        <x:f>Dashboard_Live_Data!U72</x:f>
        <x:v>-333.6</x:v>
      </x:c>
      <x:c r="H1053" t="n">
        <x:f>Dashboard_Live_Data!V72</x:f>
        <x:v>1297.8430231223497</x:v>
      </x:c>
    </x:row>
    <x:row r="1054">
      <x:c r="A1054" t="n">
        <x:f>Dashboard_Live_Data!O73</x:f>
        <x:v>-24.479999999999997</x:v>
      </x:c>
      <x:c r="B1054" t="n">
        <x:f>Dashboard_Live_Data!P73</x:f>
        <x:v>2672.954874668662</x:v>
      </x:c>
      <x:c r="C1054" t="n">
        <x:f>Dashboard_Live_Data!Q73</x:f>
        <x:v>-163.19999999999996</x:v>
      </x:c>
      <x:c r="D1054" t="n">
        <x:f>Dashboard_Live_Data!R73</x:f>
        <x:v>638.8376855030822</x:v>
      </x:c>
      <x:c r="E1054" t="n">
        <x:f>Dashboard_Live_Data!S73</x:f>
        <x:v>-326.3999999999999</x:v>
      </x:c>
      <x:c r="F1054" t="n">
        <x:f>Dashboard_Live_Data!T73</x:f>
        <x:v>1305.154648019864</x:v>
      </x:c>
      <x:c r="G1054" t="n">
        <x:f>Dashboard_Live_Data!U73</x:f>
        <x:v>-326.3999999999999</x:v>
      </x:c>
      <x:c r="H1054" t="n">
        <x:f>Dashboard_Live_Data!V73</x:f>
        <x:v>1249.5471116888466</x:v>
      </x:c>
    </x:row>
    <x:row r="1055">
      <x:c r="A1055" t="n">
        <x:f>Dashboard_Live_Data!O74</x:f>
        <x:v>-24</x:v>
      </x:c>
      <x:c r="B1055" t="n">
        <x:f>Dashboard_Live_Data!P74</x:f>
        <x:v>2672.782382003753</x:v>
      </x:c>
      <x:c r="C1055" t="n">
        <x:f>Dashboard_Live_Data!Q74</x:f>
        <x:v>-160</x:v>
      </x:c>
      <x:c r="D1055" t="n">
        <x:f>Dashboard_Live_Data!R74</x:f>
        <x:v>623.097729830148</x:v>
      </x:c>
      <x:c r="E1055" t="n">
        <x:f>Dashboard_Live_Data!S74</x:f>
        <x:v>-320</x:v>
      </x:c>
      <x:c r="F1055" t="n">
        <x:f>Dashboard_Live_Data!T74</x:f>
        <x:v>1263.5407926106002</x:v>
      </x:c>
      <x:c r="G1055" t="n">
        <x:f>Dashboard_Live_Data!U74</x:f>
        <x:v>-320</x:v>
      </x:c>
      <x:c r="H1055" t="n">
        <x:f>Dashboard_Live_Data!V74</x:f>
        <x:v>1207.5020246173106</x:v>
      </x:c>
    </x:row>
    <x:row r="1056">
      <x:c r="A1056" t="n">
        <x:f>Dashboard_Live_Data!O75</x:f>
        <x:v>-23.520000000000003</x:v>
      </x:c>
      <x:c r="B1056" t="n">
        <x:f>Dashboard_Live_Data!P75</x:f>
        <x:v>2672.6133050351787</x:v>
      </x:c>
      <x:c r="C1056" t="n">
        <x:f>Dashboard_Live_Data!Q75</x:f>
        <x:v>-156.8</x:v>
      </x:c>
      <x:c r="D1056" t="n">
        <x:f>Dashboard_Live_Data!R75</x:f>
        <x:v>607.6694564477671</x:v>
      </x:c>
      <x:c r="E1056" t="n">
        <x:f>Dashboard_Live_Data!S75</x:f>
        <x:v>-313.6</x:v>
      </x:c>
      <x:c r="F1056" t="n">
        <x:f>Dashboard_Live_Data!T75</x:f>
        <x:v>1222.750973942113</x:v>
      </x:c>
      <x:c r="G1056" t="n">
        <x:f>Dashboard_Live_Data!U75</x:f>
        <x:v>-313.6</x:v>
      </x:c>
      <x:c r="H1056" t="n">
        <x:f>Dashboard_Live_Data!V75</x:f>
        <x:v>1166.2895135273884</x:v>
      </x:c>
    </x:row>
    <x:row r="1057">
      <x:c r="A1057" t="n">
        <x:f>Dashboard_Live_Data!O76</x:f>
        <x:v>-22.980000000000004</x:v>
      </x:c>
      <x:c r="B1057" t="n">
        <x:f>Dashboard_Live_Data!P76</x:f>
        <x:v>2672.427176270058</x:v>
      </x:c>
      <x:c r="C1057" t="n">
        <x:f>Dashboard_Live_Data!Q76</x:f>
        <x:v>-153.2</x:v>
      </x:c>
      <x:c r="D1057" t="n">
        <x:f>Dashboard_Live_Data!R76</x:f>
        <x:v>590.685206630515</x:v>
      </x:c>
      <x:c r="E1057" t="n">
        <x:f>Dashboard_Live_Data!S76</x:f>
        <x:v>-306.4</x:v>
      </x:c>
      <x:c r="F1057" t="n">
        <x:f>Dashboard_Live_Data!T76</x:f>
        <x:v>1177.8474093567754</x:v>
      </x:c>
      <x:c r="G1057" t="n">
        <x:f>Dashboard_Live_Data!U76</x:f>
        <x:v>-306.4</x:v>
      </x:c>
      <x:c r="H1057" t="n">
        <x:f>Dashboard_Live_Data!V76</x:f>
        <x:v>1120.9206270292493</x:v>
      </x:c>
    </x:row>
    <x:row r="1058">
      <x:c r="A1058" t="n">
        <x:f>Dashboard_Live_Data!O77</x:f>
        <x:v>-22.5</x:v>
      </x:c>
      <x:c r="B1058" t="n">
        <x:f>Dashboard_Live_Data!P77</x:f>
        <x:v>2672.2653576561956</x:v>
      </x:c>
      <x:c r="C1058" t="n">
        <x:f>Dashboard_Live_Data!Q77</x:f>
        <x:v>-150</x:v>
      </x:c>
      <x:c r="D1058" t="n">
        <x:f>Dashboard_Live_Data!R77</x:f>
        <x:v>575.9192581155594</x:v>
      </x:c>
      <x:c r="E1058" t="n">
        <x:f>Dashboard_Live_Data!S77</x:f>
        <x:v>-300</x:v>
      </x:c>
      <x:c r="F1058" t="n">
        <x:f>Dashboard_Live_Data!T77</x:f>
        <x:v>1138.808668762441</x:v>
      </x:c>
      <x:c r="G1058" t="n">
        <x:f>Dashboard_Live_Data!U77</x:f>
        <x:v>-300</x:v>
      </x:c>
      <x:c r="H1058" t="n">
        <x:f>Dashboard_Live_Data!V77</x:f>
        <x:v>1081.4773399002586</x:v>
      </x:c>
    </x:row>
    <x:row r="1059">
      <x:c r="A1059" t="n">
        <x:f>Dashboard_Live_Data!O78</x:f>
        <x:v>-22.019999999999996</x:v>
      </x:c>
      <x:c r="B1059" t="n">
        <x:f>Dashboard_Live_Data!P78</x:f>
        <x:v>2672.106954738668</x:v>
      </x:c>
      <x:c r="C1059" t="n">
        <x:f>Dashboard_Live_Data!Q78</x:f>
        <x:v>-146.8</x:v>
      </x:c>
      <x:c r="D1059" t="n">
        <x:f>Dashboard_Live_Data!R78</x:f>
        <x:v>561.464991891157</x:v>
      </x:c>
      <x:c r="E1059" t="n">
        <x:f>Dashboard_Live_Data!S78</x:f>
        <x:v>-293.6</x:v>
      </x:c>
      <x:c r="F1059" t="n">
        <x:f>Dashboard_Live_Data!T78</x:f>
        <x:v>1100.593964908884</x:v>
      </x:c>
      <x:c r="G1059" t="n">
        <x:f>Dashboard_Live_Data!U78</x:f>
        <x:v>-293.6</x:v>
      </x:c>
      <x:c r="H1059" t="n">
        <x:f>Dashboard_Live_Data!V78</x:f>
        <x:v>1042.8666287528822</x:v>
      </x:c>
    </x:row>
    <x:row r="1060">
      <x:c r="A1060" t="n">
        <x:f>Dashboard_Live_Data!O79</x:f>
        <x:v>-21.479999999999997</x:v>
      </x:c>
      <x:c r="B1060" t="n">
        <x:f>Dashboard_Live_Data!P79</x:f>
        <x:v>2671.932834280975</x:v>
      </x:c>
      <x:c r="C1060" t="n">
        <x:f>Dashboard_Live_Data!Q79</x:f>
        <x:v>-143.2</x:v>
      </x:c>
      <x:c r="D1060" t="n">
        <x:f>Dashboard_Live_Data!R79</x:f>
        <x:v>545.576500126631</x:v>
      </x:c>
      <x:c r="E1060" t="n">
        <x:f>Dashboard_Live_Data!S79</x:f>
        <x:v>-286.4</x:v>
      </x:c>
      <x:c r="F1060" t="n">
        <x:f>Dashboard_Live_Data!T79</x:f>
        <x:v>1058.5874044903424</x:v>
      </x:c>
      <x:c r="G1060" t="n">
        <x:f>Dashboard_Live_Data!U79</x:f>
        <x:v>-286.4</x:v>
      </x:c>
      <x:c r="H1060" t="n">
        <x:f>Dashboard_Live_Data!V79</x:f>
        <x:v>1000.4247671901072</x:v>
      </x:c>
    </x:row>
    <x:row r="1061">
      <x:c r="A1061" t="n">
        <x:f>Dashboard_Live_Data!O80</x:f>
        <x:v>-21</x:v>
      </x:c>
      <x:c r="B1061" t="n">
        <x:f>Dashboard_Live_Data!P80</x:f>
        <x:v>2671.7816897181583</x:v>
      </x:c>
      <x:c r="C1061" t="n">
        <x:f>Dashboard_Live_Data!Q80</x:f>
        <x:v>-140</x:v>
      </x:c>
      <x:c r="D1061" t="n">
        <x:f>Dashboard_Live_Data!R80</x:f>
        <x:v>531.7845587696538</x:v>
      </x:c>
      <x:c r="E1061" t="n">
        <x:f>Dashboard_Live_Data!S80</x:f>
        <x:v>-280</x:v>
      </x:c>
      <x:c r="F1061" t="n">
        <x:f>Dashboard_Live_Data!T80</x:f>
        <x:v>1022.1237787109374</x:v>
      </x:c>
      <x:c r="G1061" t="n">
        <x:f>Dashboard_Live_Data!U80</x:f>
        <x:v>-280</x:v>
      </x:c>
      <x:c r="H1061" t="n">
        <x:f>Dashboard_Live_Data!V80</x:f>
        <x:v>963.5832800036617</x:v>
      </x:c>
    </x:row>
    <x:row r="1062">
      <x:c r="A1062" t="n">
        <x:f>Dashboard_Live_Data!O81</x:f>
        <x:v>-20.520000000000003</x:v>
      </x:c>
      <x:c r="B1062" t="n">
        <x:f>Dashboard_Live_Data!P81</x:f>
        <x:v>2671.633960851677</x:v>
      </x:c>
      <x:c r="C1062" t="n">
        <x:f>Dashboard_Live_Data!Q81</x:f>
        <x:v>-136.8</x:v>
      </x:c>
      <x:c r="D1062" t="n">
        <x:f>Dashboard_Live_Data!R81</x:f>
        <x:v>518.3042997032301</x:v>
      </x:c>
      <x:c r="E1062" t="n">
        <x:f>Dashboard_Live_Data!S81</x:f>
        <x:v>-273.6</x:v>
      </x:c>
      <x:c r="F1062" t="n">
        <x:f>Dashboard_Live_Data!T81</x:f>
        <x:v>986.4841896723101</x:v>
      </x:c>
      <x:c r="G1062" t="n">
        <x:f>Dashboard_Live_Data!U81</x:f>
        <x:v>-273.6</x:v>
      </x:c>
      <x:c r="H1062" t="n">
        <x:f>Dashboard_Live_Data!V81</x:f>
        <x:v>927.574368798831</x:v>
      </x:c>
    </x:row>
    <x:row r="1063">
      <x:c r="A1063" t="n">
        <x:f>Dashboard_Live_Data!O82</x:f>
        <x:v>-19.979999999999997</x:v>
      </x:c>
      <x:c r="B1063" t="n">
        <x:f>Dashboard_Live_Data!P82</x:f>
        <x:v>2671.4718487014106</x:v>
      </x:c>
      <x:c r="C1063" t="n">
        <x:f>Dashboard_Live_Data!Q82</x:f>
        <x:v>-133.2</x:v>
      </x:c>
      <x:c r="D1063" t="n">
        <x:f>Dashboard_Live_Data!R82</x:f>
        <x:v>503.51156599142996</x:v>
      </x:c>
      <x:c r="E1063" t="n">
        <x:f>Dashboard_Live_Data!S82</x:f>
        <x:v>-266.4</x:v>
      </x:c>
      <x:c r="F1063" t="n">
        <x:f>Dashboard_Live_Data!T82</x:f>
        <x:v>947.3746334205645</x:v>
      </x:c>
      <x:c r="G1063" t="n">
        <x:f>Dashboard_Live_Data!U82</x:f>
        <x:v>-266.4</x:v>
      </x:c>
      <x:c r="H1063" t="n">
        <x:f>Dashboard_Live_Data!V82</x:f>
        <x:v>888.0595321714195</x:v>
      </x:c>
    </x:row>
    <x:row r="1064">
      <x:c r="A1064" t="n">
        <x:f>Dashboard_Live_Data!O83</x:f>
        <x:v>-19.5</x:v>
      </x:c>
      <x:c r="B1064" t="n">
        <x:f>Dashboard_Live_Data!P83</x:f>
        <x:v>2671.331378189641</x:v>
      </x:c>
      <x:c r="C1064" t="n">
        <x:f>Dashboard_Live_Data!Q83</x:f>
        <x:v>-130</x:v>
      </x:c>
      <x:c r="D1064" t="n">
        <x:f>Dashboard_Live_Data!R83</x:f>
        <x:v>490.6936317924316</x:v>
      </x:c>
      <x:c r="E1064" t="n">
        <x:f>Dashboard_Live_Data!S83</x:f>
        <x:v>-260</x:v>
      </x:c>
      <x:c r="F1064" t="n">
        <x:f>Dashboard_Live_Data!T83</x:f>
        <x:v>913.4861224560894</x:v>
      </x:c>
      <x:c r="G1064" t="n">
        <x:f>Dashboard_Live_Data!U83</x:f>
        <x:v>-260</x:v>
      </x:c>
      <x:c r="H1064" t="n">
        <x:f>Dashboard_Live_Data!V83</x:f>
        <x:v>853.8198449275199</x:v>
      </x:c>
    </x:row>
    <x:row r="1065">
      <x:c r="A1065" t="n">
        <x:f>Dashboard_Live_Data!O84</x:f>
        <x:v>-19.019999999999996</x:v>
      </x:c>
      <x:c r="B1065" t="n">
        <x:f>Dashboard_Live_Data!P84</x:f>
        <x:v>2671.194323374206</x:v>
      </x:c>
      <x:c r="C1065" t="n">
        <x:f>Dashboard_Live_Data!Q84</x:f>
        <x:v>-126.79999999999995</x:v>
      </x:c>
      <x:c r="D1065" t="n">
        <x:f>Dashboard_Live_Data!R84</x:f>
        <x:v>478.18737988398607</x:v>
      </x:c>
      <x:c r="E1065" t="n">
        <x:f>Dashboard_Live_Data!S84</x:f>
        <x:v>-253.5999999999999</x:v>
      </x:c>
      <x:c r="F1065" t="n">
        <x:f>Dashboard_Live_Data!T84</x:f>
        <x:v>880.421648232391</x:v>
      </x:c>
      <x:c r="G1065" t="n">
        <x:f>Dashboard_Live_Data!U84</x:f>
        <x:v>-253.5999999999999</x:v>
      </x:c>
      <x:c r="H1065" t="n">
        <x:f>Dashboard_Live_Data!V84</x:f>
        <x:v>820.4127336652341</x:v>
      </x:c>
    </x:row>
    <x:row r="1066">
      <x:c r="A1066" t="n">
        <x:f>Dashboard_Live_Data!O85</x:f>
        <x:v>-18.480000000000004</x:v>
      </x:c>
      <x:c r="B1066" t="n">
        <x:f>Dashboard_Live_Data!P85</x:f>
        <x:v>2671.0442195313667</x:v>
      </x:c>
      <x:c r="C1066" t="n">
        <x:f>Dashboard_Live_Data!Q85</x:f>
        <x:v>-123.20000000000005</x:v>
      </x:c>
      <x:c r="D1066" t="n">
        <x:f>Dashboard_Live_Data!R85</x:f>
        <x:v>464.49040422491237</x:v>
      </x:c>
      <x:c r="E1066" t="n">
        <x:f>Dashboard_Live_Data!S85</x:f>
        <x:v>-246.4000000000001</x:v>
      </x:c>
      <x:c r="F1066" t="n">
        <x:f>Dashboard_Live_Data!T85</x:f>
        <x:v>844.2090961474427</x:v>
      </x:c>
      <x:c r="G1066" t="n">
        <x:f>Dashboard_Live_Data!U85</x:f>
        <x:v>-246.4000000000001</x:v>
      </x:c>
      <x:c r="H1066" t="n">
        <x:f>Dashboard_Live_Data!V85</x:f>
        <x:v>783.8249219731875</x:v>
      </x:c>
    </x:row>
    <x:row r="1067">
      <x:c r="A1067" t="n">
        <x:f>Dashboard_Live_Data!O86</x:f>
        <x:v>-18</x:v>
      </x:c>
      <x:c r="B1067" t="n">
        <x:f>Dashboard_Live_Data!P86</x:f>
        <x:v>2670.914423070643</x:v>
      </x:c>
      <x:c r="C1067" t="n">
        <x:f>Dashboard_Live_Data!Q86</x:f>
        <x:v>-120</x:v>
      </x:c>
      <x:c r="D1067" t="n">
        <x:f>Dashboard_Live_Data!R86</x:f>
        <x:v>452.64647718389233</x:v>
      </x:c>
      <x:c r="E1067" t="n">
        <x:f>Dashboard_Live_Data!S86</x:f>
        <x:v>-240</x:v>
      </x:c>
      <x:c r="F1067" t="n">
        <x:f>Dashboard_Live_Data!T86</x:f>
        <x:v>812.8956999978966</x:v>
      </x:c>
      <x:c r="G1067" t="n">
        <x:f>Dashboard_Live_Data!U86</x:f>
        <x:v>-240</x:v>
      </x:c>
      <x:c r="H1067" t="n">
        <x:f>Dashboard_Live_Data!V86</x:f>
        <x:v>752.1870346718329</x:v>
      </x:c>
    </x:row>
    <x:row r="1068">
      <x:c r="A1068" t="n">
        <x:f>Dashboard_Live_Data!O87</x:f>
        <x:v>-17.520000000000003</x:v>
      </x:c>
      <x:c r="B1068" t="n">
        <x:f>Dashboard_Live_Data!P87</x:f>
        <x:v>2670.7880423062543</x:v>
      </x:c>
      <x:c r="C1068" t="n">
        <x:f>Dashboard_Live_Data!Q87</x:f>
        <x:v>-116.80000000000001</x:v>
      </x:c>
      <x:c r="D1068" t="n">
        <x:f>Dashboard_Live_Data!R87</x:f>
        <x:v>441.11423243342574</x:v>
      </x:c>
      <x:c r="E1068" t="n">
        <x:f>Dashboard_Live_Data!S87</x:f>
        <x:v>-233.60000000000002</x:v>
      </x:c>
      <x:c r="F1068" t="n">
        <x:f>Dashboard_Live_Data!T87</x:f>
        <x:v>782.4063405891286</x:v>
      </x:c>
      <x:c r="G1068" t="n">
        <x:f>Dashboard_Live_Data!U87</x:f>
        <x:v>-233.60000000000002</x:v>
      </x:c>
      <x:c r="H1068" t="n">
        <x:f>Dashboard_Live_Data!V87</x:f>
        <x:v>721.3817233520933</x:v>
      </x:c>
    </x:row>
    <x:row r="1069">
      <x:c r="A1069" t="n">
        <x:f>Dashboard_Live_Data!O88</x:f>
        <x:v>-16.979999999999997</x:v>
      </x:c>
      <x:c r="B1069" t="n">
        <x:f>Dashboard_Live_Data!P88</x:f>
        <x:v>2670.6499467708427</x:v>
      </x:c>
      <x:c r="C1069" t="n">
        <x:f>Dashboard_Live_Data!Q88</x:f>
        <x:v>-113.19999999999999</x:v>
      </x:c>
      <x:c r="D1069" t="n">
        <x:f>Dashboard_Live_Data!R88</x:f>
        <x:v>428.5130148270775</x:v>
      </x:c>
      <x:c r="E1069" t="n">
        <x:f>Dashboard_Live_Data!S88</x:f>
        <x:v>-226.39999999999998</x:v>
      </x:c>
      <x:c r="F1069" t="n">
        <x:f>Dashboard_Live_Data!T88</x:f>
        <x:v>749.090792670975</x:v>
      </x:c>
      <x:c r="G1069" t="n">
        <x:f>Dashboard_Live_Data!U88</x:f>
        <x:v>-226.39999999999998</x:v>
      </x:c>
      <x:c r="H1069" t="n">
        <x:f>Dashboard_Live_Data!V88</x:f>
        <x:v>687.7209365954095</x:v>
      </x:c>
    </x:row>
    <x:row r="1070">
      <x:c r="A1070" t="n">
        <x:f>Dashboard_Live_Data!O89</x:f>
        <x:v>-16.5</x:v>
      </x:c>
      <x:c r="B1070" t="n">
        <x:f>Dashboard_Live_Data!P89</x:f>
        <x:v>2670.5308243611653</x:v>
      </x:c>
      <x:c r="C1070" t="n">
        <x:f>Dashboard_Live_Data!Q89</x:f>
        <x:v>-110</x:v>
      </x:c>
      <x:c r="D1070" t="n">
        <x:f>Dashboard_Live_Data!R89</x:f>
        <x:v>417.6430949440363</x:v>
      </x:c>
      <x:c r="E1070" t="n">
        <x:f>Dashboard_Live_Data!S89</x:f>
        <x:v>-220</x:v>
      </x:c>
      <x:c r="F1070" t="n">
        <x:f>Dashboard_Live_Data!T89</x:f>
        <x:v>720.3525113363593</x:v>
      </x:c>
      <x:c r="G1070" t="n">
        <x:f>Dashboard_Live_Data!U89</x:f>
        <x:v>-220</x:v>
      </x:c>
      <x:c r="H1070" t="n">
        <x:f>Dashboard_Live_Data!V89</x:f>
        <x:v>658.6848492366009</x:v>
      </x:c>
    </x:row>
    <x:row r="1071">
      <x:c r="A1071" t="n">
        <x:f>Dashboard_Live_Data!O90</x:f>
        <x:v>-16.020000000000003</x:v>
      </x:c>
      <x:c r="B1071" t="n">
        <x:f>Dashboard_Live_Data!P90</x:f>
        <x:v>2670.4151176478226</x:v>
      </x:c>
      <x:c r="C1071" t="n">
        <x:f>Dashboard_Live_Data!Q90</x:f>
        <x:v>-106.80000000000001</x:v>
      </x:c>
      <x:c r="D1071" t="n">
        <x:f>Dashboard_Live_Data!R90</x:f>
        <x:v>407.0848573515482</x:v>
      </x:c>
      <x:c r="E1071" t="n">
        <x:f>Dashboard_Live_Data!S90</x:f>
        <x:v>-213.60000000000002</x:v>
      </x:c>
      <x:c r="F1071" t="n">
        <x:f>Dashboard_Live_Data!T90</x:f>
        <x:v>692.4382667425209</x:v>
      </x:c>
      <x:c r="G1071" t="n">
        <x:f>Dashboard_Live_Data!U90</x:f>
        <x:v>-213.60000000000002</x:v>
      </x:c>
      <x:c r="H1071" t="n">
        <x:f>Dashboard_Live_Data!V90</x:f>
        <x:v>630.4813378594068</x:v>
      </x:c>
    </x:row>
    <x:row r="1072">
      <x:c r="A1072" t="n">
        <x:f>Dashboard_Live_Data!O91</x:f>
        <x:v>-15.480000000000004</x:v>
      </x:c>
      <x:c r="B1072" t="n">
        <x:f>Dashboard_Live_Data!P91</x:f>
        <x:v>2670.2890304198377</x:v>
      </x:c>
      <x:c r="C1072" t="n">
        <x:f>Dashboard_Live_Data!Q91</x:f>
        <x:v>-103.19999999999999</x:v>
      </x:c>
      <x:c r="D1072" t="n">
        <x:f>Dashboard_Live_Data!R91</x:f>
        <x:v>395.5793977979259</x:v>
      </x:c>
      <x:c r="E1072" t="n">
        <x:f>Dashboard_Live_Data!S91</x:f>
        <x:v>-206.39999999999998</x:v>
      </x:c>
      <x:c r="F1072" t="n">
        <x:f>Dashboard_Live_Data!T91</x:f>
        <x:v>662.0197229911632</x:v>
      </x:c>
      <x:c r="G1072" t="n">
        <x:f>Dashboard_Live_Data!U91</x:f>
        <x:v>-206.39999999999998</x:v>
      </x:c>
      <x:c r="H1072" t="n">
        <x:f>Dashboard_Live_Data!V91</x:f>
        <x:v>599.7475760380869</x:v>
      </x:c>
    </x:row>
    <x:row r="1073">
      <x:c r="A1073" t="n">
        <x:f>Dashboard_Live_Data!O92</x:f>
        <x:v>-15</x:v>
      </x:c>
      <x:c r="B1073" t="n">
        <x:f>Dashboard_Live_Data!P92</x:f>
        <x:v>2670.180582061207</x:v>
      </x:c>
      <x:c r="C1073" t="n">
        <x:f>Dashboard_Live_Data!Q92</x:f>
        <x:v>-100</x:v>
      </x:c>
      <x:c r="D1073" t="n">
        <x:f>Dashboard_Live_Data!R92</x:f>
        <x:v>385.68348507286333</x:v>
      </x:c>
      <x:c r="E1073" t="n">
        <x:f>Dashboard_Live_Data!S92</x:f>
        <x:v>-200</x:v>
      </x:c>
      <x:c r="F1073" t="n">
        <x:f>Dashboard_Live_Data!T92</x:f>
        <x:v>635.8565564714773</x:v>
      </x:c>
      <x:c r="G1073" t="n">
        <x:f>Dashboard_Live_Data!U92</x:f>
        <x:v>-200</x:v>
      </x:c>
      <x:c r="H1073" t="n">
        <x:f>Dashboard_Live_Data!V92</x:f>
        <x:v>573.3132886218239</x:v>
      </x:c>
    </x:row>
    <x:row r="1074">
      <x:c r="A1074" t="n">
        <x:f>Dashboard_Live_Data!O93</x:f>
        <x:v>-14.519999999999996</x:v>
      </x:c>
      <x:c r="B1074" t="n">
        <x:f>Dashboard_Live_Data!P93</x:f>
        <x:v>2670.075549398911</x:v>
      </x:c>
      <x:c r="C1074" t="n">
        <x:f>Dashboard_Live_Data!Q93</x:f>
        <x:v>-96.80000000000001</x:v>
      </x:c>
      <x:c r="D1074" t="n">
        <x:f>Dashboard_Live_Data!R93</x:f>
        <x:v>376.09925463835384</x:v>
      </x:c>
      <x:c r="E1074" t="n">
        <x:f>Dashboard_Live_Data!S93</x:f>
        <x:v>-193.60000000000002</x:v>
      </x:c>
      <x:c r="F1074" t="n">
        <x:f>Dashboard_Live_Data!T93</x:f>
        <x:v>610.5174266925688</x:v>
      </x:c>
      <x:c r="G1074" t="n">
        <x:f>Dashboard_Live_Data!U93</x:f>
        <x:v>-193.60000000000002</x:v>
      </x:c>
      <x:c r="H1074" t="n">
        <x:f>Dashboard_Live_Data!V93</x:f>
        <x:v>547.7115771871754</x:v>
      </x:c>
    </x:row>
    <x:row r="1075">
      <x:c r="A1075" t="n">
        <x:f>Dashboard_Live_Data!O94</x:f>
        <x:v>-13.979999999999997</x:v>
      </x:c>
      <x:c r="B1075" t="n">
        <x:f>Dashboard_Live_Data!P94</x:f>
        <x:v>2669.9614704783535</x:v>
      </x:c>
      <x:c r="C1075" t="n">
        <x:f>Dashboard_Live_Data!Q94</x:f>
        <x:v>-93.19999999999999</x:v>
      </x:c>
      <x:c r="D1075" t="n">
        <x:f>Dashboard_Live_Data!R94</x:f>
        <x:v>365.6895531374575</x:v>
      </x:c>
      <x:c r="E1075" t="n">
        <x:f>Dashboard_Live_Data!S94</x:f>
        <x:v>-186.39999999999998</x:v>
      </x:c>
      <x:c r="F1075" t="n">
        <x:f>Dashboard_Live_Data!T94</x:f>
        <x:v>582.9958871080072</x:v>
      </x:c>
      <x:c r="G1075" t="n">
        <x:f>Dashboard_Live_Data!U94</x:f>
        <x:v>-186.39999999999998</x:v>
      </x:c>
      <x:c r="H1075" t="n">
        <x:f>Dashboard_Live_Data!V94</x:f>
        <x:v>519.9048403012193</x:v>
      </x:c>
    </x:row>
    <x:row r="1076">
      <x:c r="A1076" t="n">
        <x:f>Dashboard_Live_Data!O95</x:f>
        <x:v>-13.5</x:v>
      </x:c>
      <x:c r="B1076" t="n">
        <x:f>Dashboard_Live_Data!P95</x:f>
        <x:v>2669.863696170769</x:v>
      </x:c>
      <x:c r="C1076" t="n">
        <x:f>Dashboard_Live_Data!Q95</x:f>
        <x:v>-90</x:v>
      </x:c>
      <x:c r="D1076" t="n">
        <x:f>Dashboard_Live_Data!R95</x:f>
        <x:v>356.7676475703735</x:v>
      </x:c>
      <x:c r="E1076" t="n">
        <x:f>Dashboard_Live_Data!S95</x:f>
        <x:v>-180</x:v>
      </x:c>
      <x:c r="F1076" t="n">
        <x:f>Dashboard_Live_Data!T95</x:f>
        <x:v>559.4078354032508</x:v>
      </x:c>
      <x:c r="G1076" t="n">
        <x:f>Dashboard_Live_Data!U95</x:f>
        <x:v>-180</x:v>
      </x:c>
      <x:c r="H1076" t="n">
        <x:f>Dashboard_Live_Data!V95</x:f>
        <x:v>496.0723528275018</x:v>
      </x:c>
    </x:row>
    <x:row r="1077">
      <x:c r="A1077" t="n">
        <x:f>Dashboard_Live_Data!O96</x:f>
        <x:v>-13.019999999999996</x:v>
      </x:c>
      <x:c r="B1077" t="n">
        <x:f>Dashboard_Live_Data!P96</x:f>
        <x:v>2669.769337559519</x:v>
      </x:c>
      <x:c r="C1077" t="n">
        <x:f>Dashboard_Live_Data!Q96</x:f>
        <x:v>-86.80000000000001</x:v>
      </x:c>
      <x:c r="D1077" t="n">
        <x:f>Dashboard_Live_Data!R96</x:f>
        <x:v>348.1574242938427</x:v>
      </x:c>
      <x:c r="E1077" t="n">
        <x:f>Dashboard_Live_Data!S96</x:f>
        <x:v>-173.60000000000002</x:v>
      </x:c>
      <x:c r="F1077" t="n">
        <x:f>Dashboard_Live_Data!T96</x:f>
        <x:v>536.6438204392722</x:v>
      </x:c>
      <x:c r="G1077" t="n">
        <x:f>Dashboard_Live_Data!U96</x:f>
        <x:v>-173.60000000000002</x:v>
      </x:c>
      <x:c r="H1077" t="n">
        <x:f>Dashboard_Live_Data!V96</x:f>
        <x:v>473.0724413353988</x:v>
      </x:c>
    </x:row>
    <x:row r="1078">
      <x:c r="A1078" t="n">
        <x:f>Dashboard_Live_Data!O97</x:f>
        <x:v>-12.479999999999997</x:v>
      </x:c>
      <x:c r="B1078" t="n">
        <x:f>Dashboard_Live_Data!P97</x:f>
        <x:v>2669.6672669463883</x:v>
      </x:c>
      <x:c r="C1078" t="n">
        <x:f>Dashboard_Live_Data!Q97</x:f>
        <x:v>-83.19999999999999</x:v>
      </x:c>
      <x:c r="D1078" t="n">
        <x:f>Dashboard_Live_Data!R97</x:f>
        <x:v>338.8434808456722</x:v>
      </x:c>
      <x:c r="E1078" t="n">
        <x:f>Dashboard_Live_Data!S97</x:f>
        <x:v>-166.39999999999998</x:v>
      </x:c>
      <x:c r="F1078" t="n">
        <x:f>Dashboard_Live_Data!T97</x:f>
        <x:v>512.0192850215063</x:v>
      </x:c>
      <x:c r="G1078" t="n">
        <x:f>Dashboard_Live_Data!U97</x:f>
        <x:v>-166.39999999999998</x:v>
      </x:c>
      <x:c r="H1078" t="n">
        <x:f>Dashboard_Live_Data!V97</x:f>
        <x:v>448.1927293848065</x:v>
      </x:c>
    </x:row>
    <x:row r="1079">
      <x:c r="A1079" t="n">
        <x:f>Dashboard_Live_Data!O98</x:f>
        <x:v>-12</x:v>
      </x:c>
      <x:c r="B1079" t="n">
        <x:f>Dashboard_Live_Data!P98</x:f>
        <x:v>2669.5801666898506</x:v>
      </x:c>
      <x:c r="C1079" t="n">
        <x:f>Dashboard_Live_Data!Q98</x:f>
        <x:v>-80</x:v>
      </x:c>
      <x:c r="D1079" t="n">
        <x:f>Dashboard_Live_Data!R98</x:f>
        <x:v>330.8955824365668</x:v>
      </x:c>
      <x:c r="E1079" t="n">
        <x:f>Dashboard_Live_Data!S98</x:f>
        <x:v>-160</x:v>
      </x:c>
      <x:c r="F1079" t="n">
        <x:f>Dashboard_Live_Data!T98</x:f>
        <x:v>491.00634813167994</x:v>
      </x:c>
      <x:c r="G1079" t="n">
        <x:f>Dashboard_Live_Data!U98</x:f>
        <x:v>-160</x:v>
      </x:c>
      <x:c r="H1079" t="n">
        <x:f>Dashboard_Live_Data!V98</x:f>
        <x:v>426.9620418536346</x:v>
      </x:c>
    </x:row>
    <x:row r="1080">
      <x:c r="A1080" t="n">
        <x:f>Dashboard_Live_Data!O99</x:f>
        <x:v>-11.519999999999996</x:v>
      </x:c>
      <x:c r="B1080" t="n">
        <x:f>Dashboard_Live_Data!P99</x:f>
        <x:v>2669.496482129647</x:v>
      </x:c>
      <x:c r="C1080" t="n">
        <x:f>Dashboard_Live_Data!Q99</x:f>
        <x:v>-76.79999999999995</x:v>
      </x:c>
      <x:c r="D1080" t="n">
        <x:f>Dashboard_Live_Data!R99</x:f>
        <x:v>323.2593663180145</x:v>
      </x:c>
      <x:c r="E1080" t="n">
        <x:f>Dashboard_Live_Data!S99</x:f>
        <x:v>-153.5999999999999</x:v>
      </x:c>
      <x:c r="F1080" t="n">
        <x:f>Dashboard_Live_Data!T99</x:f>
        <x:v>470.8174479826305</x:v>
      </x:c>
      <x:c r="G1080" t="n">
        <x:f>Dashboard_Live_Data!U99</x:f>
        <x:v>-153.5999999999999</x:v>
      </x:c>
      <x:c r="H1080" t="n">
        <x:f>Dashboard_Live_Data!V99</x:f>
        <x:v>406.563930304077</x:v>
      </x:c>
    </x:row>
    <x:row r="1081">
      <x:c r="A1081" t="n">
        <x:f>Dashboard_Live_Data!O100</x:f>
        <x:v>-10.980000000000004</x:v>
      </x:c>
      <x:c r="B1081" t="n">
        <x:f>Dashboard_Live_Data!P100</x:f>
        <x:v>2669.406419823944</x:v>
      </x:c>
      <x:c r="C1081" t="n">
        <x:f>Dashboard_Live_Data!Q100</x:f>
        <x:v>-73.20000000000005</x:v>
      </x:c>
      <x:c r="D1081" t="n">
        <x:f>Dashboard_Live_Data!R100</x:f>
        <x:v>315.04118092257016</x:v>
      </x:c>
      <x:c r="E1081" t="n">
        <x:f>Dashboard_Live_Data!S100</x:f>
        <x:v>-146.4000000000001</x:v>
      </x:c>
      <x:c r="F1081" t="n">
        <x:f>Dashboard_Live_Data!T100</x:f>
        <x:v>449.08991673166133</x:v>
      </x:c>
      <x:c r="G1081" t="n">
        <x:f>Dashboard_Live_Data!U100</x:f>
        <x:v>-146.4000000000001</x:v>
      </x:c>
      <x:c r="H1081" t="n">
        <x:f>Dashboard_Live_Data!V100</x:f>
        <x:v>384.6112432888491</x:v>
      </x:c>
    </x:row>
    <x:row r="1082">
      <x:c r="A1082" t="n">
        <x:f>Dashboard_Live_Data!O101</x:f>
        <x:v>-10.5</x:v>
      </x:c>
      <x:c r="B1082" t="n">
        <x:f>Dashboard_Live_Data!P101</x:f>
        <x:v>2669.329993618452</x:v>
      </x:c>
      <x:c r="C1082" t="n">
        <x:f>Dashboard_Live_Data!Q101</x:f>
        <x:v>-70</x:v>
      </x:c>
      <x:c r="D1082" t="n">
        <x:f>Dashboard_Live_Data!R101</x:f>
        <x:v>308.0672896714433</x:v>
      </x:c>
      <x:c r="E1082" t="n">
        <x:f>Dashboard_Live_Data!S101</x:f>
        <x:v>-140</x:v>
      </x:c>
      <x:c r="F1082" t="n">
        <x:f>Dashboard_Live_Data!T101</x:f>
        <x:v>430.6520946567642</x:v>
      </x:c>
      <x:c r="G1082" t="n">
        <x:f>Dashboard_Live_Data!U101</x:f>
        <x:v>-140</x:v>
      </x:c>
      <x:c r="H1082" t="n">
        <x:f>Dashboard_Live_Data!V101</x:f>
        <x:v>365.98235570022246</x:v>
      </x:c>
    </x:row>
    <x:row r="1083">
      <x:c r="A1083" t="n">
        <x:f>Dashboard_Live_Data!O102</x:f>
        <x:v>-10.020000000000003</x:v>
      </x:c>
      <x:c r="B1083" t="n">
        <x:f>Dashboard_Live_Data!P102</x:f>
        <x:v>2669.256983109295</x:v>
      </x:c>
      <x:c r="C1083" t="n">
        <x:f>Dashboard_Live_Data!Q102</x:f>
        <x:v>-66.80000000000001</x:v>
      </x:c>
      <x:c r="D1083" t="n">
        <x:f>Dashboard_Live_Data!R102</x:f>
        <x:v>301.40508071086964</x:v>
      </x:c>
      <x:c r="E1083" t="n">
        <x:f>Dashboard_Live_Data!S102</x:f>
        <x:v>-133.60000000000002</x:v>
      </x:c>
      <x:c r="F1083" t="n">
        <x:f>Dashboard_Live_Data!T102</x:f>
        <x:v>413.03830932264486</x:v>
      </x:c>
      <x:c r="G1083" t="n">
        <x:f>Dashboard_Live_Data!U102</x:f>
        <x:v>-133.60000000000002</x:v>
      </x:c>
      <x:c r="H1083" t="n">
        <x:f>Dashboard_Live_Data!V102</x:f>
        <x:v>348.1860440932107</x:v>
      </x:c>
    </x:row>
    <x:row r="1084">
      <x:c r="A1084" t="n">
        <x:f>Dashboard_Live_Data!O103</x:f>
        <x:v>-9.480000000000004</x:v>
      </x:c>
      <x:c r="B1084" t="n">
        <x:f>Dashboard_Live_Data!P103</x:f>
        <x:v>2669.1789291110185</x:v>
      </x:c>
      <x:c r="C1084" t="n">
        <x:f>Dashboard_Live_Data!Q103</x:f>
        <x:v>-63.19999999999999</x:v>
      </x:c>
      <x:c r="D1084" t="n">
        <x:f>Dashboard_Live_Data!R103</x:f>
        <x:v>294.2826533681511</x:v>
      </x:c>
      <x:c r="E1084" t="n">
        <x:f>Dashboard_Live_Data!S103</x:f>
        <x:v>-126.39999999999998</x:v>
      </x:c>
      <x:c r="F1084" t="n">
        <x:f>Dashboard_Live_Data!T103</x:f>
        <x:v>394.2077822384711</x:v>
      </x:c>
      <x:c r="G1084" t="n">
        <x:f>Dashboard_Live_Data!U103</x:f>
        <x:v>-126.39999999999998</x:v>
      </x:c>
      <x:c r="H1084" t="n">
        <x:f>Dashboard_Live_Data!V103</x:f>
        <x:v>329.160382013346</x:v>
      </x:c>
    </x:row>
    <x:row r="1085">
      <x:c r="A1085" t="n">
        <x:f>Dashboard_Live_Data!O104</x:f>
        <x:v>-9</x:v>
      </x:c>
      <x:c r="B1085" t="n">
        <x:f>Dashboard_Live_Data!P104</x:f>
        <x:v>2669.113176956573</x:v>
      </x:c>
      <x:c r="C1085" t="n">
        <x:f>Dashboard_Live_Data!Q104</x:f>
        <x:v>-60</x:v>
      </x:c>
      <x:c r="D1085" t="n">
        <x:f>Dashboard_Live_Data!R104</x:f>
        <x:v>288.2827692750029</x:v>
      </x:c>
      <x:c r="E1085" t="n">
        <x:f>Dashboard_Live_Data!S104</x:f>
        <x:v>-120</x:v>
      </x:c>
      <x:c r="F1085" t="n">
        <x:f>Dashboard_Live_Data!T104</x:f>
        <x:v>378.345074978504</x:v>
      </x:c>
      <x:c r="G1085" t="n">
        <x:f>Dashboard_Live_Data!U104</x:f>
        <x:v>-120</x:v>
      </x:c>
      <x:c r="H1085" t="n">
        <x:f>Dashboard_Live_Data!V104</x:f>
        <x:v>313.13329436726525</x:v>
      </x:c>
    </x:row>
    <x:row r="1086">
      <x:c r="A1086" t="n">
        <x:f>Dashboard_Live_Data!O105</x:f>
        <x:v>-8.520000000000003</x:v>
      </x:c>
      <x:c r="B1086" t="n">
        <x:f>Dashboard_Live_Data!P105</x:f>
        <x:v>2669.050840498462</x:v>
      </x:c>
      <x:c r="C1086" t="n">
        <x:f>Dashboard_Live_Data!Q105</x:f>
        <x:v>-56.80000000000001</x:v>
      </x:c>
      <x:c r="D1086" t="n">
        <x:f>Dashboard_Live_Data!R105</x:f>
        <x:v>282.5945674724079</x:v>
      </x:c>
      <x:c r="E1086" t="n">
        <x:f>Dashboard_Live_Data!S105</x:f>
        <x:v>-113.60000000000002</x:v>
      </x:c>
      <x:c r="F1086" t="n">
        <x:f>Dashboard_Live_Data!T105</x:f>
        <x:v>363.30640445931436</x:v>
      </x:c>
      <x:c r="G1086" t="n">
        <x:f>Dashboard_Live_Data!U105</x:f>
        <x:v>-113.60000000000002</x:v>
      </x:c>
      <x:c r="H1086" t="n">
        <x:f>Dashboard_Live_Data!V105</x:f>
        <x:v>297.9387827027991</x:v>
      </x:c>
    </x:row>
    <x:row r="1087">
      <x:c r="A1087" t="n">
        <x:f>Dashboard_Live_Data!O106</x:f>
        <x:v>-7.980000000000004</x:v>
      </x:c>
      <x:c r="B1087" t="n">
        <x:f>Dashboard_Live_Data!P106</x:f>
        <x:v>2668.984794807613</x:v>
      </x:c>
      <x:c r="C1087" t="n">
        <x:f>Dashboard_Live_Data!Q106</x:f>
        <x:v>-53.19999999999999</x:v>
      </x:c>
      <x:c r="D1087" t="n">
        <x:f>Dashboard_Live_Data!R106</x:f>
        <x:v>276.56789818241526</x:v>
      </x:c>
      <x:c r="E1087" t="n">
        <x:f>Dashboard_Live_Data!S106</x:f>
        <x:v>-106.39999999999998</x:v>
      </x:c>
      <x:c r="F1087" t="n">
        <x:f>Dashboard_Live_Data!T106</x:f>
        <x:v>347.3728815419365</x:v>
      </x:c>
      <x:c r="G1087" t="n">
        <x:f>Dashboard_Live_Data!U106</x:f>
        <x:v>-106.39999999999998</x:v>
      </x:c>
      <x:c r="H1087" t="n">
        <x:f>Dashboard_Live_Data!V106</x:f>
        <x:v>281.84014555829816</x:v>
      </x:c>
    </x:row>
    <x:row r="1088">
      <x:c r="A1088" t="n">
        <x:f>Dashboard_Live_Data!O107</x:f>
        <x:v>-7.5</x:v>
      </x:c>
      <x:c r="B1088" t="n">
        <x:f>Dashboard_Live_Data!P107</x:f>
        <x:v>2668.929716704214</x:v>
      </x:c>
      <x:c r="C1088" t="n">
        <x:f>Dashboard_Live_Data!Q107</x:f>
        <x:v>-50</x:v>
      </x:c>
      <x:c r="D1088" t="n">
        <x:f>Dashboard_Live_Data!R107</x:f>
        <x:v>271.54202124724566</x:v>
      </x:c>
      <x:c r="E1088" t="n">
        <x:f>Dashboard_Live_Data!S107</x:f>
        <x:v>-100</x:v>
      </x:c>
      <x:c r="F1088" t="n">
        <x:f>Dashboard_Live_Data!T107</x:f>
        <x:v>334.08528909689915</x:v>
      </x:c>
      <x:c r="G1088" t="n">
        <x:f>Dashboard_Live_Data!U107</x:f>
        <x:v>-100</x:v>
      </x:c>
      <x:c r="H1088" t="n">
        <x:f>Dashboard_Live_Data!V107</x:f>
        <x:v>268.414857854763</x:v>
      </x:c>
    </x:row>
    <x:row r="1089">
      <x:c r="A1089" t="n">
        <x:f>Dashboard_Live_Data!O108</x:f>
        <x:v>-7.019999999999996</x:v>
      </x:c>
      <x:c r="B1089" t="n">
        <x:f>Dashboard_Live_Data!P108</x:f>
        <x:v>2668.8780542971494</x:v>
      </x:c>
      <x:c r="C1089" t="n">
        <x:f>Dashboard_Live_Data!Q108</x:f>
        <x:v>-46.80000000000001</x:v>
      </x:c>
      <x:c r="D1089" t="n">
        <x:f>Dashboard_Live_Data!R108</x:f>
        <x:v>266.8278266026293</x:v>
      </x:c>
      <x:c r="E1089" t="n">
        <x:f>Dashboard_Live_Data!S108</x:f>
        <x:v>-93.60000000000002</x:v>
      </x:c>
      <x:c r="F1089" t="n">
        <x:f>Dashboard_Live_Data!T108</x:f>
        <x:v>321.6217333926393</x:v>
      </x:c>
      <x:c r="G1089" t="n">
        <x:f>Dashboard_Live_Data!U108</x:f>
        <x:v>-93.60000000000002</x:v>
      </x:c>
      <x:c r="H1089" t="n">
        <x:f>Dashboard_Live_Data!V108</x:f>
        <x:v>255.82214613284236</x:v>
      </x:c>
    </x:row>
    <x:row r="1090">
      <x:c r="A1090" t="n">
        <x:f>Dashboard_Live_Data!O109</x:f>
        <x:v>-6.479999999999997</x:v>
      </x:c>
      <x:c r="B1090" t="n">
        <x:f>Dashboard_Live_Data!P109</x:f>
        <x:v>2668.8240169137275</x:v>
      </x:c>
      <x:c r="C1090" t="n">
        <x:f>Dashboard_Live_Data!Q109</x:f>
        <x:v>-43.19999999999999</x:v>
      </x:c>
      <x:c r="D1090" t="n">
        <x:f>Dashboard_Live_Data!R109</x:f>
        <x:v>261.89691536536253</x:v>
      </x:c>
      <x:c r="E1090" t="n">
        <x:f>Dashboard_Live_Data!S109</x:f>
        <x:v>-86.39999999999998</x:v>
      </x:c>
      <x:c r="F1090" t="n">
        <x:f>Dashboard_Live_Data!T109</x:f>
        <x:v>308.58521464205745</x:v>
      </x:c>
      <x:c r="G1090" t="n">
        <x:f>Dashboard_Live_Data!U109</x:f>
        <x:v>-86.39999999999998</x:v>
      </x:c>
      <x:c r="H1090" t="n">
        <x:f>Dashboard_Live_Data!V109</x:f>
        <x:v>242.6505339237053</x:v>
      </x:c>
    </x:row>
    <x:row r="1091">
      <x:c r="A1091" t="n">
        <x:f>Dashboard_Live_Data!O110</x:f>
        <x:v>-6</x:v>
      </x:c>
      <x:c r="B1091" t="n">
        <x:f>Dashboard_Live_Data!P110</x:f>
        <x:v>2668.779612861375</x:v>
      </x:c>
      <x:c r="C1091" t="n">
        <x:f>Dashboard_Live_Data!Q110</x:f>
        <x:v>-40</x:v>
      </x:c>
      <x:c r="D1091" t="n">
        <x:f>Dashboard_Live_Data!R110</x:f>
        <x:v>257.8450455881715</x:v>
      </x:c>
      <x:c r="E1091" t="n">
        <x:f>Dashboard_Live_Data!S110</x:f>
        <x:v>-80</x:v>
      </x:c>
      <x:c r="F1091" t="n">
        <x:f>Dashboard_Live_Data!T110</x:f>
        <x:v>297.8727370119498</x:v>
      </x:c>
      <x:c r="G1091" t="n">
        <x:f>Dashboard_Live_Data!U110</x:f>
        <x:v>-80</x:v>
      </x:c>
      <x:c r="H1091" t="n">
        <x:f>Dashboard_Live_Data!V110</x:f>
        <x:v>231.82704616271567</x:v>
      </x:c>
    </x:row>
    <x:row r="1092">
      <x:c r="A1092" t="n">
        <x:f>Dashboard_Live_Data!O111</x:f>
        <x:v>-5.519999999999996</x:v>
      </x:c>
      <x:c r="B1092" t="n">
        <x:f>Dashboard_Live_Data!P111</x:f>
        <x:v>2668.738624505357</x:v>
      </x:c>
      <x:c r="C1092" t="n">
        <x:f>Dashboard_Live_Data!Q111</x:f>
        <x:v>-36.80000000000001</x:v>
      </x:c>
      <x:c r="D1092" t="n">
        <x:f>Dashboard_Live_Data!R111</x:f>
        <x:v>254.1048581015337</x:v>
      </x:c>
      <x:c r="E1092" t="n">
        <x:f>Dashboard_Live_Data!S111</x:f>
        <x:v>-73.60000000000002</x:v>
      </x:c>
      <x:c r="F1092" t="n">
        <x:f>Dashboard_Live_Data!T111</x:f>
        <x:v>287.98429612261964</x:v>
      </x:c>
      <x:c r="G1092" t="n">
        <x:f>Dashboard_Live_Data!U111</x:f>
        <x:v>-73.60000000000002</x:v>
      </x:c>
      <x:c r="H1092" t="n">
        <x:f>Dashboard_Live_Data!V111</x:f>
        <x:v>221.8361343833407</x:v>
      </x:c>
    </x:row>
    <x:row r="1093">
      <x:c r="A1093" t="n">
        <x:f>Dashboard_Live_Data!O112</x:f>
        <x:v>-4.979999999999997</x:v>
      </x:c>
      <x:c r="B1093" t="n">
        <x:f>Dashboard_Live_Data!P112</x:f>
        <x:v>2668.696595429362</x:v>
      </x:c>
      <x:c r="C1093" t="n">
        <x:f>Dashboard_Live_Data!Q112</x:f>
        <x:v>-33.19999999999999</x:v>
      </x:c>
      <x:c r="D1093" t="n">
        <x:f>Dashboard_Live_Data!R112</x:f>
        <x:v>250.26970491699296</x:v>
      </x:c>
      <x:c r="E1093" t="n">
        <x:f>Dashboard_Live_Data!S112</x:f>
        <x:v>-66.39999999999998</x:v>
      </x:c>
      <x:c r="F1093" t="n">
        <x:f>Dashboard_Live_Data!T112</x:f>
        <x:v>277.84478153883373</x:v>
      </x:c>
      <x:c r="G1093" t="n">
        <x:f>Dashboard_Live_Data!U112</x:f>
        <x:v>-66.39999999999998</x:v>
      </x:c>
      <x:c r="H1093" t="n">
        <x:f>Dashboard_Live_Data!V112</x:f>
        <x:v>211.59154710956733</x:v>
      </x:c>
    </x:row>
    <x:row r="1094">
      <x:c r="A1094" t="n">
        <x:f>Dashboard_Live_Data!O113</x:f>
        <x:v>-4.5</x:v>
      </x:c>
      <x:c r="B1094" t="n">
        <x:f>Dashboard_Live_Data!P113</x:f>
        <x:v>2668.6628654280557</x:v>
      </x:c>
      <x:c r="C1094" t="n">
        <x:f>Dashboard_Live_Data!Q113</x:f>
        <x:v>-30</x:v>
      </x:c>
      <x:c r="D1094" t="n">
        <x:f>Dashboard_Live_Data!R113</x:f>
        <x:v>247.19184229778054</x:v>
      </x:c>
      <x:c r="E1094" t="n">
        <x:f>Dashboard_Live_Data!S113</x:f>
        <x:v>-60</x:v>
      </x:c>
      <x:c r="F1094" t="n">
        <x:f>Dashboard_Live_Data!T113</x:f>
        <x:v>269.7074187236558</x:v>
      </x:c>
      <x:c r="G1094" t="n">
        <x:f>Dashboard_Live_Data!U113</x:f>
        <x:v>-60</x:v>
      </x:c>
      <x:c r="H1094" t="n">
        <x:f>Dashboard_Live_Data!V113</x:f>
        <x:v>203.36985929112333</x:v>
      </x:c>
    </x:row>
    <x:row r="1095">
      <x:c r="A1095" t="n">
        <x:f>Dashboard_Live_Data!O114</x:f>
        <x:v>-4.019999999999996</x:v>
      </x:c>
      <x:c r="B1095" t="n">
        <x:f>Dashboard_Live_Data!P114</x:f>
        <x:v>2668.632551123084</x:v>
      </x:c>
      <x:c r="C1095" t="n">
        <x:f>Dashboard_Live_Data!Q114</x:f>
        <x:v>-26.799999999999955</x:v>
      </x:c>
      <x:c r="D1095" t="n">
        <x:f>Dashboard_Live_Data!R114</x:f>
        <x:v>244.42566196912128</x:v>
      </x:c>
      <x:c r="E1095" t="n">
        <x:f>Dashboard_Live_Data!S114</x:f>
        <x:v>-53.59999999999991</x:v>
      </x:c>
      <x:c r="F1095" t="n">
        <x:f>Dashboard_Live_Data!T114</x:f>
        <x:v>262.3940926492553</x:v>
      </x:c>
      <x:c r="G1095" t="n">
        <x:f>Dashboard_Live_Data!U114</x:f>
        <x:v>-53.59999999999991</x:v>
      </x:c>
      <x:c r="H1095" t="n">
        <x:f>Dashboard_Live_Data!V114</x:f>
        <x:v>195.98074745429378</x:v>
      </x:c>
    </x:row>
    <x:row r="1096">
      <x:c r="A1096" t="n">
        <x:f>Dashboard_Live_Data!O115</x:f>
        <x:v>-3.480000000000004</x:v>
      </x:c>
      <x:c r="B1096" t="n">
        <x:f>Dashboard_Live_Data!P115</x:f>
        <x:v>2668.602530354516</x:v>
      </x:c>
      <x:c r="C1096" t="n">
        <x:f>Dashboard_Live_Data!Q115</x:f>
        <x:v>-23.200000000000045</x:v>
      </x:c>
      <x:c r="D1096" t="n">
        <x:f>Dashboard_Live_Data!R115</x:f>
        <x:v>241.68626683730656</x:v>
      </x:c>
      <x:c r="E1096" t="n">
        <x:f>Dashboard_Live_Data!S115</x:f>
        <x:v>-46.40000000000009</x:v>
      </x:c>
      <x:c r="F1096" t="n">
        <x:f>Dashboard_Live_Data!T115</x:f>
        <x:v>255.1515822322656</x:v>
      </x:c>
      <x:c r="G1096" t="n">
        <x:f>Dashboard_Live_Data!U115</x:f>
        <x:v>-46.40000000000009</x:v>
      </x:c>
      <x:c r="H1096" t="n">
        <x:f>Dashboard_Live_Data!V115</x:f>
        <x:v>188.66318511588446</x:v>
      </x:c>
    </x:row>
    <x:row r="1097">
      <x:c r="A1097" t="n">
        <x:f>Dashboard_Live_Data!O116</x:f>
        <x:v>-3</x:v>
      </x:c>
      <x:c r="B1097" t="n">
        <x:f>Dashboard_Live_Data!P116</x:f>
        <x:v>2668.579474404256</x:v>
      </x:c>
      <x:c r="C1097" t="n">
        <x:f>Dashboard_Live_Data!Q116</x:f>
        <x:v>-20</x:v>
      </x:c>
      <x:c r="D1097" t="n">
        <x:f>Dashboard_Live_Data!R116</x:f>
        <x:v>239.5824113760727</x:v>
      </x:c>
      <x:c r="E1097" t="n">
        <x:f>Dashboard_Live_Data!S116</x:f>
        <x:v>-40</x:v>
      </x:c>
      <x:c r="F1097" t="n">
        <x:f>Dashboard_Live_Data!T116</x:f>
        <x:v>249.58933423201725</x:v>
      </x:c>
      <x:c r="G1097" t="n">
        <x:f>Dashboard_Live_Data!U116</x:f>
        <x:v>-40</x:v>
      </x:c>
      <x:c r="H1097" t="n">
        <x:f>Dashboard_Live_Data!V116</x:f>
        <x:v>183.04329723998595</x:v>
      </x:c>
    </x:row>
    <x:row r="1098">
      <x:c r="A1098" t="n">
        <x:f>Dashboard_Live_Data!O117</x:f>
        <x:v>-2.520000000000003</x:v>
      </x:c>
      <x:c r="B1098" t="n">
        <x:f>Dashboard_Live_Data!P117</x:f>
        <x:v>2668.5598341503305</x:v>
      </x:c>
      <x:c r="C1098" t="n">
        <x:f>Dashboard_Live_Data!Q117</x:f>
        <x:v>-16.80000000000001</x:v>
      </x:c>
      <x:c r="D1098" t="n">
        <x:f>Dashboard_Live_Data!R117</x:f>
        <x:v>237.7902382053921</x:v>
      </x:c>
      <x:c r="E1098" t="n">
        <x:f>Dashboard_Live_Data!S117</x:f>
        <x:v>-33.60000000000002</x:v>
      </x:c>
      <x:c r="F1098" t="n">
        <x:f>Dashboard_Live_Data!T117</x:f>
        <x:v>244.85112297254656</x:v>
      </x:c>
      <x:c r="G1098" t="n">
        <x:f>Dashboard_Live_Data!U117</x:f>
        <x:v>-33.60000000000002</x:v>
      </x:c>
      <x:c r="H1098" t="n">
        <x:f>Dashboard_Live_Data!V117</x:f>
        <x:v>178.25598534570207</x:v>
      </x:c>
    </x:row>
    <x:row r="1099">
      <x:c r="A1099" t="n">
        <x:f>Dashboard_Live_Data!O118</x:f>
        <x:v>-1.980000000000004</x:v>
      </x:c>
      <x:c r="B1099" t="n">
        <x:f>Dashboard_Live_Data!P118</x:f>
        <x:v>2668.54182168919</x:v>
      </x:c>
      <x:c r="C1099" t="n">
        <x:f>Dashboard_Live_Data!Q118</x:f>
        <x:v>-13.199999999999989</x:v>
      </x:c>
      <x:c r="D1099" t="n">
        <x:f>Dashboard_Live_Data!R118</x:f>
        <x:v>236.14660112630315</x:v>
      </x:c>
      <x:c r="E1099" t="n">
        <x:f>Dashboard_Live_Data!S118</x:f>
        <x:v>-26.399999999999977</x:v>
      </x:c>
      <x:c r="F1099" t="n">
        <x:f>Dashboard_Live_Data!T118</x:f>
        <x:v>240.50561672235264</x:v>
      </x:c>
      <x:c r="G1099" t="n">
        <x:f>Dashboard_Live_Data!U118</x:f>
        <x:v>-26.399999999999977</x:v>
      </x:c>
      <x:c r="H1099" t="n">
        <x:f>Dashboard_Live_Data!V118</x:f>
        <x:v>173.86544794265637</x:v>
      </x:c>
    </x:row>
    <x:row r="1100">
      <x:c r="A1100" t="n">
        <x:f>Dashboard_Live_Data!O119</x:f>
        <x:v>-1.5</x:v>
      </x:c>
      <x:c r="B1100" t="n">
        <x:f>Dashboard_Live_Data!P119</x:f>
        <x:v>2668.5294397899765</x:v>
      </x:c>
      <x:c r="C1100" t="n">
        <x:f>Dashboard_Live_Data!Q119</x:f>
        <x:v>-10</x:v>
      </x:c>
      <x:c r="D1100" t="n">
        <x:f>Dashboard_Live_Data!R119</x:f>
        <x:v>235.01675282304802</x:v>
      </x:c>
      <x:c r="E1100" t="n">
        <x:f>Dashboard_Live_Data!S119</x:f>
        <x:v>-20</x:v>
      </x:c>
      <x:c r="F1100" t="n">
        <x:f>Dashboard_Live_Data!T119</x:f>
        <x:v>237.51848353703414</x:v>
      </x:c>
      <x:c r="G1100" t="n">
        <x:f>Dashboard_Live_Data!U119</x:f>
        <x:v>-20</x:v>
      </x:c>
      <x:c r="H1100" t="n">
        <x:f>Dashboard_Live_Data!V119</x:f>
        <x:v>170.8473600093035</x:v>
      </x:c>
    </x:row>
    <x:row r="1101">
      <x:c r="A1101" t="n">
        <x:f>Dashboard_Live_Data!O120</x:f>
        <x:v>-1.0200000000000031</x:v>
      </x:c>
      <x:c r="B1101" t="n">
        <x:f>Dashboard_Live_Data!P120</x:f>
        <x:v>2668.520473587097</x:v>
      </x:c>
      <x:c r="C1101" t="n">
        <x:f>Dashboard_Live_Data!Q120</x:f>
        <x:v>-6.800000000000011</x:v>
      </x:c>
      <x:c r="D1101" t="n">
        <x:f>Dashboard_Live_Data!R120</x:f>
        <x:v>234.19858681034597</x:v>
      </x:c>
      <x:c r="E1101" t="n">
        <x:f>Dashboard_Live_Data!S120</x:f>
        <x:v>-13.600000000000023</x:v>
      </x:c>
      <x:c r="F1101" t="n">
        <x:f>Dashboard_Live_Data!T120</x:f>
        <x:v>235.35538709249317</x:v>
      </x:c>
      <x:c r="G1101" t="n">
        <x:f>Dashboard_Live_Data!U120</x:f>
        <x:v>-13.600000000000023</x:v>
      </x:c>
      <x:c r="H1101" t="n">
        <x:f>Dashboard_Live_Data!V120</x:f>
        <x:v>168.6618480575652</x:v>
      </x:c>
    </x:row>
    <x:row r="1102">
      <x:c r="A1102" t="n">
        <x:f>Dashboard_Live_Data!O121</x:f>
        <x:v>-0.480000000000004</x:v>
      </x:c>
      <x:c r="B1102" t="n">
        <x:f>Dashboard_Live_Data!P121</x:f>
        <x:v>2668.514469433384</x:v>
      </x:c>
      <x:c r="C1102" t="n">
        <x:f>Dashboard_Live_Data!Q121</x:f>
        <x:v>-3.1999999999999886</x:v>
      </x:c>
      <x:c r="D1102" t="n">
        <x:f>Dashboard_Live_Data!R121</x:f>
        <x:v>233.65070778398297</x:v>
      </x:c>
      <x:c r="E1102" t="n">
        <x:f>Dashboard_Live_Data!S121</x:f>
        <x:v>-6.399999999999977</x:v>
      </x:c>
      <x:c r="F1102" t="n">
        <x:f>Dashboard_Live_Data!T121</x:f>
        <x:v>233.9068850090952</x:v>
      </x:c>
      <x:c r="G1102" t="n">
        <x:f>Dashboard_Live_Data!U121</x:f>
        <x:v>-6.399999999999977</x:v>
      </x:c>
      <x:c r="H1102" t="n">
        <x:f>Dashboard_Live_Data!V121</x:f>
        <x:v>167.19833558988333</x:v>
      </x:c>
    </x:row>
    <x:row r="1103">
      <x:c r="A1103" t="n">
        <x:f>Dashboard_Live_Data!O122</x:f>
        <x:v>0</x:v>
      </x:c>
      <x:c r="B1103" t="n">
        <x:f>Dashboard_Live_Data!P122</x:f>
        <x:v>2668.5127615852166</x:v>
      </x:c>
      <x:c r="C1103" t="n">
        <x:f>Dashboard_Live_Data!Q122</x:f>
        <x:v>0</x:v>
      </x:c>
      <x:c r="D1103" t="n">
        <x:f>Dashboard_Live_Data!R122</x:f>
        <x:v>233.49486663870644</x:v>
      </x:c>
      <x:c r="E1103" t="n">
        <x:f>Dashboard_Live_Data!S122</x:f>
        <x:v>0</x:v>
      </x:c>
      <x:c r="F1103" t="n">
        <x:f>Dashboard_Live_Data!T122</x:f>
        <x:v>233.49486663870644</x:v>
      </x:c>
      <x:c r="G1103" t="n">
        <x:f>Dashboard_Live_Data!U122</x:f>
        <x:v>0</x:v>
      </x:c>
      <x:c r="H1103" t="n">
        <x:f>Dashboard_Live_Data!V122</x:f>
        <x:v>166.78204759907604</x:v>
      </x:c>
    </x:row>
    <x:row r="1104">
      <x:c r="A1104" t="n">
        <x:f>Dashboard_Live_Data!O123</x:f>
        <x:v>0.480000000000004</x:v>
      </x:c>
      <x:c r="B1104" t="n">
        <x:f>Dashboard_Live_Data!P123</x:f>
        <x:v>2668.514469433384</x:v>
      </x:c>
      <x:c r="C1104" t="n">
        <x:f>Dashboard_Live_Data!Q123</x:f>
        <x:v>3.1999999999999886</x:v>
      </x:c>
      <x:c r="D1104" t="n">
        <x:f>Dashboard_Live_Data!R123</x:f>
        <x:v>233.65070778398297</x:v>
      </x:c>
      <x:c r="E1104" t="n">
        <x:f>Dashboard_Live_Data!S123</x:f>
        <x:v>6.399999999999977</x:v>
      </x:c>
      <x:c r="F1104" t="n">
        <x:f>Dashboard_Live_Data!T123</x:f>
        <x:v>233.9068850090952</x:v>
      </x:c>
      <x:c r="G1104" t="n">
        <x:f>Dashboard_Live_Data!U123</x:f>
        <x:v>6.399999999999977</x:v>
      </x:c>
      <x:c r="H1104" t="n">
        <x:f>Dashboard_Live_Data!V123</x:f>
        <x:v>167.19833558988333</x:v>
      </x:c>
    </x:row>
    <x:row r="1105">
      <x:c r="A1105" t="n">
        <x:f>Dashboard_Live_Data!O124</x:f>
        <x:v>1.019999999999996</x:v>
      </x:c>
      <x:c r="B1105" t="n">
        <x:f>Dashboard_Live_Data!P124</x:f>
        <x:v>2668.520473587097</x:v>
      </x:c>
      <x:c r="C1105" t="n">
        <x:f>Dashboard_Live_Data!Q124</x:f>
        <x:v>6.7999999999999545</x:v>
      </x:c>
      <x:c r="D1105" t="n">
        <x:f>Dashboard_Live_Data!R124</x:f>
        <x:v>234.19858681034597</x:v>
      </x:c>
      <x:c r="E1105" t="n">
        <x:f>Dashboard_Live_Data!S124</x:f>
        <x:v>13.599999999999909</x:v>
      </x:c>
      <x:c r="F1105" t="n">
        <x:f>Dashboard_Live_Data!T124</x:f>
        <x:v>235.35538709249312</x:v>
      </x:c>
      <x:c r="G1105" t="n">
        <x:f>Dashboard_Live_Data!U124</x:f>
        <x:v>13.599999999999909</x:v>
      </x:c>
      <x:c r="H1105" t="n">
        <x:f>Dashboard_Live_Data!V124</x:f>
        <x:v>168.66184805756518</x:v>
      </x:c>
    </x:row>
    <x:row r="1106">
      <x:c r="A1106" t="n">
        <x:f>Dashboard_Live_Data!O125</x:f>
        <x:v>1.499999999999993</x:v>
      </x:c>
      <x:c r="B1106" t="n">
        <x:f>Dashboard_Live_Data!P125</x:f>
        <x:v>2668.5294397899765</x:v>
      </x:c>
      <x:c r="C1106" t="n">
        <x:f>Dashboard_Live_Data!Q125</x:f>
        <x:v>9.999999999999943</x:v>
      </x:c>
      <x:c r="D1106" t="n">
        <x:f>Dashboard_Live_Data!R125</x:f>
        <x:v>235.01675282304802</x:v>
      </x:c>
      <x:c r="E1106" t="n">
        <x:f>Dashboard_Live_Data!S125</x:f>
        <x:v>19.999999999999886</x:v>
      </x:c>
      <x:c r="F1106" t="n">
        <x:f>Dashboard_Live_Data!T125</x:f>
        <x:v>237.51848353703411</x:v>
      </x:c>
      <x:c r="G1106" t="n">
        <x:f>Dashboard_Live_Data!U125</x:f>
        <x:v>19.999999999999886</x:v>
      </x:c>
      <x:c r="H1106" t="n">
        <x:f>Dashboard_Live_Data!V125</x:f>
        <x:v>170.84736000930343</x:v>
      </x:c>
    </x:row>
    <x:row r="1107">
      <x:c r="A1107" t="n">
        <x:f>Dashboard_Live_Data!O126</x:f>
        <x:v>1.9799999999999969</x:v>
      </x:c>
      <x:c r="B1107" t="n">
        <x:f>Dashboard_Live_Data!P126</x:f>
        <x:v>2668.54182168919</x:v>
      </x:c>
      <x:c r="C1107" t="n">
        <x:f>Dashboard_Live_Data!Q126</x:f>
        <x:v>13.199999999999989</x:v>
      </x:c>
      <x:c r="D1107" t="n">
        <x:f>Dashboard_Live_Data!R126</x:f>
        <x:v>236.14660112630315</x:v>
      </x:c>
      <x:c r="E1107" t="n">
        <x:f>Dashboard_Live_Data!S126</x:f>
        <x:v>26.399999999999977</x:v>
      </x:c>
      <x:c r="F1107" t="n">
        <x:f>Dashboard_Live_Data!T126</x:f>
        <x:v>240.50561672235264</x:v>
      </x:c>
      <x:c r="G1107" t="n">
        <x:f>Dashboard_Live_Data!U126</x:f>
        <x:v>26.399999999999977</x:v>
      </x:c>
      <x:c r="H1107" t="n">
        <x:f>Dashboard_Live_Data!V126</x:f>
        <x:v>173.86544794265637</x:v>
      </x:c>
    </x:row>
    <x:row r="1108">
      <x:c r="A1108" t="n">
        <x:f>Dashboard_Live_Data!O127</x:f>
        <x:v>2.520000000000003</x:v>
      </x:c>
      <x:c r="B1108" t="n">
        <x:f>Dashboard_Live_Data!P127</x:f>
        <x:v>2668.5598341503305</x:v>
      </x:c>
      <x:c r="C1108" t="n">
        <x:f>Dashboard_Live_Data!Q127</x:f>
        <x:v>16.80000000000001</x:v>
      </x:c>
      <x:c r="D1108" t="n">
        <x:f>Dashboard_Live_Data!R127</x:f>
        <x:v>237.7902382053921</x:v>
      </x:c>
      <x:c r="E1108" t="n">
        <x:f>Dashboard_Live_Data!S127</x:f>
        <x:v>33.60000000000002</x:v>
      </x:c>
      <x:c r="F1108" t="n">
        <x:f>Dashboard_Live_Data!T127</x:f>
        <x:v>244.85112297254656</x:v>
      </x:c>
      <x:c r="G1108" t="n">
        <x:f>Dashboard_Live_Data!U127</x:f>
        <x:v>33.60000000000002</x:v>
      </x:c>
      <x:c r="H1108" t="n">
        <x:f>Dashboard_Live_Data!V127</x:f>
        <x:v>178.25598534570207</x:v>
      </x:c>
    </x:row>
    <x:row r="1109">
      <x:c r="A1109" t="n">
        <x:f>Dashboard_Live_Data!O128</x:f>
        <x:v>3</x:v>
      </x:c>
      <x:c r="B1109" t="n">
        <x:f>Dashboard_Live_Data!P128</x:f>
        <x:v>2668.579474404256</x:v>
      </x:c>
      <x:c r="C1109" t="n">
        <x:f>Dashboard_Live_Data!Q128</x:f>
        <x:v>20</x:v>
      </x:c>
      <x:c r="D1109" t="n">
        <x:f>Dashboard_Live_Data!R128</x:f>
        <x:v>239.5824113760727</x:v>
      </x:c>
      <x:c r="E1109" t="n">
        <x:f>Dashboard_Live_Data!S128</x:f>
        <x:v>40</x:v>
      </x:c>
      <x:c r="F1109" t="n">
        <x:f>Dashboard_Live_Data!T128</x:f>
        <x:v>249.58933423201725</x:v>
      </x:c>
      <x:c r="G1109" t="n">
        <x:f>Dashboard_Live_Data!U128</x:f>
        <x:v>40</x:v>
      </x:c>
      <x:c r="H1109" t="n">
        <x:f>Dashboard_Live_Data!V128</x:f>
        <x:v>183.04329723998595</x:v>
      </x:c>
    </x:row>
    <x:row r="1110">
      <x:c r="A1110" t="n">
        <x:f>Dashboard_Live_Data!O129</x:f>
        <x:v>3.480000000000004</x:v>
      </x:c>
      <x:c r="B1110" t="n">
        <x:f>Dashboard_Live_Data!P129</x:f>
        <x:v>2668.602530354516</x:v>
      </x:c>
      <x:c r="C1110" t="n">
        <x:f>Dashboard_Live_Data!Q129</x:f>
        <x:v>23.200000000000045</x:v>
      </x:c>
      <x:c r="D1110" t="n">
        <x:f>Dashboard_Live_Data!R129</x:f>
        <x:v>241.68626683730656</x:v>
      </x:c>
      <x:c r="E1110" t="n">
        <x:f>Dashboard_Live_Data!S129</x:f>
        <x:v>46.40000000000009</x:v>
      </x:c>
      <x:c r="F1110" t="n">
        <x:f>Dashboard_Live_Data!T129</x:f>
        <x:v>255.1515822322656</x:v>
      </x:c>
      <x:c r="G1110" t="n">
        <x:f>Dashboard_Live_Data!U129</x:f>
        <x:v>46.40000000000009</x:v>
      </x:c>
      <x:c r="H1110" t="n">
        <x:f>Dashboard_Live_Data!V129</x:f>
        <x:v>188.66318511588446</x:v>
      </x:c>
    </x:row>
    <x:row r="1111">
      <x:c r="A1111" t="n">
        <x:f>Dashboard_Live_Data!O130</x:f>
        <x:v>4.019999999999996</x:v>
      </x:c>
      <x:c r="B1111" t="n">
        <x:f>Dashboard_Live_Data!P130</x:f>
        <x:v>2668.632551123084</x:v>
      </x:c>
      <x:c r="C1111" t="n">
        <x:f>Dashboard_Live_Data!Q130</x:f>
        <x:v>26.799999999999955</x:v>
      </x:c>
      <x:c r="D1111" t="n">
        <x:f>Dashboard_Live_Data!R130</x:f>
        <x:v>244.42566196912128</x:v>
      </x:c>
      <x:c r="E1111" t="n">
        <x:f>Dashboard_Live_Data!S130</x:f>
        <x:v>53.59999999999991</x:v>
      </x:c>
      <x:c r="F1111" t="n">
        <x:f>Dashboard_Live_Data!T130</x:f>
        <x:v>262.3940926492553</x:v>
      </x:c>
      <x:c r="G1111" t="n">
        <x:f>Dashboard_Live_Data!U130</x:f>
        <x:v>53.59999999999991</x:v>
      </x:c>
      <x:c r="H1111" t="n">
        <x:f>Dashboard_Live_Data!V130</x:f>
        <x:v>195.98074745429378</x:v>
      </x:c>
    </x:row>
    <x:row r="1112">
      <x:c r="A1112" t="n">
        <x:f>Dashboard_Live_Data!O131</x:f>
        <x:v>4.5</x:v>
      </x:c>
      <x:c r="B1112" t="n">
        <x:f>Dashboard_Live_Data!P131</x:f>
        <x:v>2668.6628654280557</x:v>
      </x:c>
      <x:c r="C1112" t="n">
        <x:f>Dashboard_Live_Data!Q131</x:f>
        <x:v>30</x:v>
      </x:c>
      <x:c r="D1112" t="n">
        <x:f>Dashboard_Live_Data!R131</x:f>
        <x:v>247.19184229778054</x:v>
      </x:c>
      <x:c r="E1112" t="n">
        <x:f>Dashboard_Live_Data!S131</x:f>
        <x:v>60</x:v>
      </x:c>
      <x:c r="F1112" t="n">
        <x:f>Dashboard_Live_Data!T131</x:f>
        <x:v>269.7074187236558</x:v>
      </x:c>
      <x:c r="G1112" t="n">
        <x:f>Dashboard_Live_Data!U131</x:f>
        <x:v>60</x:v>
      </x:c>
      <x:c r="H1112" t="n">
        <x:f>Dashboard_Live_Data!V131</x:f>
        <x:v>203.36985929112333</x:v>
      </x:c>
    </x:row>
    <x:row r="1113">
      <x:c r="A1113" t="n">
        <x:f>Dashboard_Live_Data!O132</x:f>
        <x:v>4.980000000000004</x:v>
      </x:c>
      <x:c r="B1113" t="n">
        <x:f>Dashboard_Live_Data!P132</x:f>
        <x:v>2668.696595429362</x:v>
      </x:c>
      <x:c r="C1113" t="n">
        <x:f>Dashboard_Live_Data!Q132</x:f>
        <x:v>33.19999999999999</x:v>
      </x:c>
      <x:c r="D1113" t="n">
        <x:f>Dashboard_Live_Data!R132</x:f>
        <x:v>250.26970491699296</x:v>
      </x:c>
      <x:c r="E1113" t="n">
        <x:f>Dashboard_Live_Data!S132</x:f>
        <x:v>66.39999999999998</x:v>
      </x:c>
      <x:c r="F1113" t="n">
        <x:f>Dashboard_Live_Data!T132</x:f>
        <x:v>277.84478153883373</x:v>
      </x:c>
      <x:c r="G1113" t="n">
        <x:f>Dashboard_Live_Data!U132</x:f>
        <x:v>66.39999999999998</x:v>
      </x:c>
      <x:c r="H1113" t="n">
        <x:f>Dashboard_Live_Data!V132</x:f>
        <x:v>211.59154710956733</x:v>
      </x:c>
    </x:row>
    <x:row r="1114">
      <x:c r="A1114" t="n">
        <x:f>Dashboard_Live_Data!O133</x:f>
        <x:v>5.52000000000001</x:v>
      </x:c>
      <x:c r="B1114" t="n">
        <x:f>Dashboard_Live_Data!P133</x:f>
        <x:v>2668.738624505357</x:v>
      </x:c>
      <x:c r="C1114" t="n">
        <x:f>Dashboard_Live_Data!Q133</x:f>
        <x:v>36.80000000000001</x:v>
      </x:c>
      <x:c r="D1114" t="n">
        <x:f>Dashboard_Live_Data!R133</x:f>
        <x:v>254.1048581015337</x:v>
      </x:c>
      <x:c r="E1114" t="n">
        <x:f>Dashboard_Live_Data!S133</x:f>
        <x:v>73.60000000000002</x:v>
      </x:c>
      <x:c r="F1114" t="n">
        <x:f>Dashboard_Live_Data!T133</x:f>
        <x:v>287.98429612261964</x:v>
      </x:c>
      <x:c r="G1114" t="n">
        <x:f>Dashboard_Live_Data!U133</x:f>
        <x:v>73.60000000000002</x:v>
      </x:c>
      <x:c r="H1114" t="n">
        <x:f>Dashboard_Live_Data!V133</x:f>
        <x:v>221.8361343833407</x:v>
      </x:c>
    </x:row>
    <x:row r="1115">
      <x:c r="A1115" t="n">
        <x:f>Dashboard_Live_Data!O134</x:f>
        <x:v>6</x:v>
      </x:c>
      <x:c r="B1115" t="n">
        <x:f>Dashboard_Live_Data!P134</x:f>
        <x:v>2668.779612861375</x:v>
      </x:c>
      <x:c r="C1115" t="n">
        <x:f>Dashboard_Live_Data!Q134</x:f>
        <x:v>40.00000000000006</x:v>
      </x:c>
      <x:c r="D1115" t="n">
        <x:f>Dashboard_Live_Data!R134</x:f>
        <x:v>257.8450455881716</x:v>
      </x:c>
      <x:c r="E1115" t="n">
        <x:f>Dashboard_Live_Data!S134</x:f>
        <x:v>80.00000000000011</x:v>
      </x:c>
      <x:c r="F1115" t="n">
        <x:f>Dashboard_Live_Data!T134</x:f>
        <x:v>297.87273701195</x:v>
      </x:c>
      <x:c r="G1115" t="n">
        <x:f>Dashboard_Live_Data!U134</x:f>
        <x:v>80.00000000000011</x:v>
      </x:c>
      <x:c r="H1115" t="n">
        <x:f>Dashboard_Live_Data!V134</x:f>
        <x:v>231.82704616271587</x:v>
      </x:c>
    </x:row>
    <x:row r="1116">
      <x:c r="A1116" t="n">
        <x:f>Dashboard_Live_Data!O135</x:f>
        <x:v>6.480000000000004</x:v>
      </x:c>
      <x:c r="B1116" t="n">
        <x:f>Dashboard_Live_Data!P135</x:f>
        <x:v>2668.8240169137275</x:v>
      </x:c>
      <x:c r="C1116" t="n">
        <x:f>Dashboard_Live_Data!Q135</x:f>
        <x:v>43.200000000000045</x:v>
      </x:c>
      <x:c r="D1116" t="n">
        <x:f>Dashboard_Live_Data!R135</x:f>
        <x:v>261.8969153653626</x:v>
      </x:c>
      <x:c r="E1116" t="n">
        <x:f>Dashboard_Live_Data!S135</x:f>
        <x:v>86.40000000000009</x:v>
      </x:c>
      <x:c r="F1116" t="n">
        <x:f>Dashboard_Live_Data!T135</x:f>
        <x:v>308.5852146420577</x:v>
      </x:c>
      <x:c r="G1116" t="n">
        <x:f>Dashboard_Live_Data!U135</x:f>
        <x:v>86.40000000000009</x:v>
      </x:c>
      <x:c r="H1116" t="n">
        <x:f>Dashboard_Live_Data!V135</x:f>
        <x:v>242.65053392370547</x:v>
      </x:c>
    </x:row>
    <x:row r="1117">
      <x:c r="A1117" t="n">
        <x:f>Dashboard_Live_Data!O136</x:f>
        <x:v>7.019999999999996</x:v>
      </x:c>
      <x:c r="B1117" t="n">
        <x:f>Dashboard_Live_Data!P136</x:f>
        <x:v>2668.8780542971494</x:v>
      </x:c>
      <x:c r="C1117" t="n">
        <x:f>Dashboard_Live_Data!Q136</x:f>
        <x:v>46.80000000000001</x:v>
      </x:c>
      <x:c r="D1117" t="n">
        <x:f>Dashboard_Live_Data!R136</x:f>
        <x:v>266.8278266026293</x:v>
      </x:c>
      <x:c r="E1117" t="n">
        <x:f>Dashboard_Live_Data!S136</x:f>
        <x:v>93.60000000000002</x:v>
      </x:c>
      <x:c r="F1117" t="n">
        <x:f>Dashboard_Live_Data!T136</x:f>
        <x:v>321.6217333926393</x:v>
      </x:c>
      <x:c r="G1117" t="n">
        <x:f>Dashboard_Live_Data!U136</x:f>
        <x:v>93.60000000000002</x:v>
      </x:c>
      <x:c r="H1117" t="n">
        <x:f>Dashboard_Live_Data!V136</x:f>
        <x:v>255.82214613284236</x:v>
      </x:c>
    </x:row>
    <x:row r="1118">
      <x:c r="A1118" t="n">
        <x:f>Dashboard_Live_Data!O137</x:f>
        <x:v>7.5</x:v>
      </x:c>
      <x:c r="B1118" t="n">
        <x:f>Dashboard_Live_Data!P137</x:f>
        <x:v>2668.929716704214</x:v>
      </x:c>
      <x:c r="C1118" t="n">
        <x:f>Dashboard_Live_Data!Q137</x:f>
        <x:v>50</x:v>
      </x:c>
      <x:c r="D1118" t="n">
        <x:f>Dashboard_Live_Data!R137</x:f>
        <x:v>271.54202124724566</x:v>
      </x:c>
      <x:c r="E1118" t="n">
        <x:f>Dashboard_Live_Data!S137</x:f>
        <x:v>100</x:v>
      </x:c>
      <x:c r="F1118" t="n">
        <x:f>Dashboard_Live_Data!T137</x:f>
        <x:v>334.08528909689915</x:v>
      </x:c>
      <x:c r="G1118" t="n">
        <x:f>Dashboard_Live_Data!U137</x:f>
        <x:v>100</x:v>
      </x:c>
      <x:c r="H1118" t="n">
        <x:f>Dashboard_Live_Data!V137</x:f>
        <x:v>268.414857854763</x:v>
      </x:c>
    </x:row>
    <x:row r="1119">
      <x:c r="A1119" t="n">
        <x:f>Dashboard_Live_Data!O138</x:f>
        <x:v>7.980000000000004</x:v>
      </x:c>
      <x:c r="B1119" t="n">
        <x:f>Dashboard_Live_Data!P138</x:f>
        <x:v>2668.984794807613</x:v>
      </x:c>
      <x:c r="C1119" t="n">
        <x:f>Dashboard_Live_Data!Q138</x:f>
        <x:v>53.19999999999999</x:v>
      </x:c>
      <x:c r="D1119" t="n">
        <x:f>Dashboard_Live_Data!R138</x:f>
        <x:v>276.56789818241526</x:v>
      </x:c>
      <x:c r="E1119" t="n">
        <x:f>Dashboard_Live_Data!S138</x:f>
        <x:v>106.39999999999998</x:v>
      </x:c>
      <x:c r="F1119" t="n">
        <x:f>Dashboard_Live_Data!T138</x:f>
        <x:v>347.3728815419365</x:v>
      </x:c>
      <x:c r="G1119" t="n">
        <x:f>Dashboard_Live_Data!U138</x:f>
        <x:v>106.39999999999998</x:v>
      </x:c>
      <x:c r="H1119" t="n">
        <x:f>Dashboard_Live_Data!V138</x:f>
        <x:v>281.84014555829816</x:v>
      </x:c>
    </x:row>
    <x:row r="1120">
      <x:c r="A1120" t="n">
        <x:f>Dashboard_Live_Data!O139</x:f>
        <x:v>8.519999999999996</x:v>
      </x:c>
      <x:c r="B1120" t="n">
        <x:f>Dashboard_Live_Data!P139</x:f>
        <x:v>2669.050840498462</x:v>
      </x:c>
      <x:c r="C1120" t="n">
        <x:f>Dashboard_Live_Data!Q139</x:f>
        <x:v>56.799999999999955</x:v>
      </x:c>
      <x:c r="D1120" t="n">
        <x:f>Dashboard_Live_Data!R139</x:f>
        <x:v>282.5945674724078</x:v>
      </x:c>
      <x:c r="E1120" t="n">
        <x:f>Dashboard_Live_Data!S139</x:f>
        <x:v>113.59999999999991</x:v>
      </x:c>
      <x:c r="F1120" t="n">
        <x:f>Dashboard_Live_Data!T139</x:f>
        <x:v>363.30640445931414</x:v>
      </x:c>
      <x:c r="G1120" t="n">
        <x:f>Dashboard_Live_Data!U139</x:f>
        <x:v>113.59999999999991</x:v>
      </x:c>
      <x:c r="H1120" t="n">
        <x:f>Dashboard_Live_Data!V139</x:f>
        <x:v>297.9387827027988</x:v>
      </x:c>
    </x:row>
    <x:row r="1121">
      <x:c r="A1121" t="n">
        <x:f>Dashboard_Live_Data!O140</x:f>
        <x:v>9</x:v>
      </x:c>
      <x:c r="B1121" t="n">
        <x:f>Dashboard_Live_Data!P140</x:f>
        <x:v>2669.113176956573</x:v>
      </x:c>
      <x:c r="C1121" t="n">
        <x:f>Dashboard_Live_Data!Q140</x:f>
        <x:v>59.99999999999994</x:v>
      </x:c>
      <x:c r="D1121" t="n">
        <x:f>Dashboard_Live_Data!R140</x:f>
        <x:v>288.2827692750028</x:v>
      </x:c>
      <x:c r="E1121" t="n">
        <x:f>Dashboard_Live_Data!S140</x:f>
        <x:v>119.99999999999989</x:v>
      </x:c>
      <x:c r="F1121" t="n">
        <x:f>Dashboard_Live_Data!T140</x:f>
        <x:v>378.3450749785037</x:v>
      </x:c>
      <x:c r="G1121" t="n">
        <x:f>Dashboard_Live_Data!U140</x:f>
        <x:v>119.99999999999989</x:v>
      </x:c>
      <x:c r="H1121" t="n">
        <x:f>Dashboard_Live_Data!V140</x:f>
        <x:v>313.1332943672649</x:v>
      </x:c>
    </x:row>
    <x:row r="1122">
      <x:c r="A1122" t="n">
        <x:f>Dashboard_Live_Data!O141</x:f>
        <x:v>9.47999999999999</x:v>
      </x:c>
      <x:c r="B1122" t="n">
        <x:f>Dashboard_Live_Data!P141</x:f>
        <x:v>2669.1789291110185</x:v>
      </x:c>
      <x:c r="C1122" t="n">
        <x:f>Dashboard_Live_Data!Q141</x:f>
        <x:v>63.19999999999999</x:v>
      </x:c>
      <x:c r="D1122" t="n">
        <x:f>Dashboard_Live_Data!R141</x:f>
        <x:v>294.2826533681511</x:v>
      </x:c>
      <x:c r="E1122" t="n">
        <x:f>Dashboard_Live_Data!S141</x:f>
        <x:v>126.39999999999998</x:v>
      </x:c>
      <x:c r="F1122" t="n">
        <x:f>Dashboard_Live_Data!T141</x:f>
        <x:v>394.2077822384711</x:v>
      </x:c>
      <x:c r="G1122" t="n">
        <x:f>Dashboard_Live_Data!U141</x:f>
        <x:v>126.39999999999998</x:v>
      </x:c>
      <x:c r="H1122" t="n">
        <x:f>Dashboard_Live_Data!V141</x:f>
        <x:v>329.160382013346</x:v>
      </x:c>
    </x:row>
    <x:row r="1123">
      <x:c r="A1123" t="n">
        <x:f>Dashboard_Live_Data!O142</x:f>
        <x:v>10.019999999999996</x:v>
      </x:c>
      <x:c r="B1123" t="n">
        <x:f>Dashboard_Live_Data!P142</x:f>
        <x:v>2669.256983109295</x:v>
      </x:c>
      <x:c r="C1123" t="n">
        <x:f>Dashboard_Live_Data!Q142</x:f>
        <x:v>66.80000000000001</x:v>
      </x:c>
      <x:c r="D1123" t="n">
        <x:f>Dashboard_Live_Data!R142</x:f>
        <x:v>301.40508071086964</x:v>
      </x:c>
      <x:c r="E1123" t="n">
        <x:f>Dashboard_Live_Data!S142</x:f>
        <x:v>133.60000000000002</x:v>
      </x:c>
      <x:c r="F1123" t="n">
        <x:f>Dashboard_Live_Data!T142</x:f>
        <x:v>413.03830932264486</x:v>
      </x:c>
      <x:c r="G1123" t="n">
        <x:f>Dashboard_Live_Data!U142</x:f>
        <x:v>133.60000000000002</x:v>
      </x:c>
      <x:c r="H1123" t="n">
        <x:f>Dashboard_Live_Data!V142</x:f>
        <x:v>348.1860440932107</x:v>
      </x:c>
    </x:row>
    <x:row r="1124">
      <x:c r="A1124" t="n">
        <x:f>Dashboard_Live_Data!O143</x:f>
        <x:v>10.5</x:v>
      </x:c>
      <x:c r="B1124" t="n">
        <x:f>Dashboard_Live_Data!P143</x:f>
        <x:v>2669.329993618452</x:v>
      </x:c>
      <x:c r="C1124" t="n">
        <x:f>Dashboard_Live_Data!Q143</x:f>
        <x:v>70</x:v>
      </x:c>
      <x:c r="D1124" t="n">
        <x:f>Dashboard_Live_Data!R143</x:f>
        <x:v>308.0672896714433</x:v>
      </x:c>
      <x:c r="E1124" t="n">
        <x:f>Dashboard_Live_Data!S143</x:f>
        <x:v>140</x:v>
      </x:c>
      <x:c r="F1124" t="n">
        <x:f>Dashboard_Live_Data!T143</x:f>
        <x:v>430.6520946567642</x:v>
      </x:c>
      <x:c r="G1124" t="n">
        <x:f>Dashboard_Live_Data!U143</x:f>
        <x:v>140</x:v>
      </x:c>
      <x:c r="H1124" t="n">
        <x:f>Dashboard_Live_Data!V143</x:f>
        <x:v>365.98235570022246</x:v>
      </x:c>
    </x:row>
    <x:row r="1125">
      <x:c r="A1125" t="n">
        <x:f>Dashboard_Live_Data!O144</x:f>
        <x:v>10.980000000000004</x:v>
      </x:c>
      <x:c r="B1125" t="n">
        <x:f>Dashboard_Live_Data!P144</x:f>
        <x:v>2669.406419823944</x:v>
      </x:c>
      <x:c r="C1125" t="n">
        <x:f>Dashboard_Live_Data!Q144</x:f>
        <x:v>73.20000000000005</x:v>
      </x:c>
      <x:c r="D1125" t="n">
        <x:f>Dashboard_Live_Data!R144</x:f>
        <x:v>315.04118092257016</x:v>
      </x:c>
      <x:c r="E1125" t="n">
        <x:f>Dashboard_Live_Data!S144</x:f>
        <x:v>146.4000000000001</x:v>
      </x:c>
      <x:c r="F1125" t="n">
        <x:f>Dashboard_Live_Data!T144</x:f>
        <x:v>449.08991673166133</x:v>
      </x:c>
      <x:c r="G1125" t="n">
        <x:f>Dashboard_Live_Data!U144</x:f>
        <x:v>146.4000000000001</x:v>
      </x:c>
      <x:c r="H1125" t="n">
        <x:f>Dashboard_Live_Data!V144</x:f>
        <x:v>384.6112432888491</x:v>
      </x:c>
    </x:row>
    <x:row r="1126">
      <x:c r="A1126" t="n">
        <x:f>Dashboard_Live_Data!O145</x:f>
        <x:v>11.519999999999996</x:v>
      </x:c>
      <x:c r="B1126" t="n">
        <x:f>Dashboard_Live_Data!P145</x:f>
        <x:v>2669.496482129647</x:v>
      </x:c>
      <x:c r="C1126" t="n">
        <x:f>Dashboard_Live_Data!Q145</x:f>
        <x:v>76.79999999999995</x:v>
      </x:c>
      <x:c r="D1126" t="n">
        <x:f>Dashboard_Live_Data!R145</x:f>
        <x:v>323.2593663180145</x:v>
      </x:c>
      <x:c r="E1126" t="n">
        <x:f>Dashboard_Live_Data!S145</x:f>
        <x:v>153.5999999999999</x:v>
      </x:c>
      <x:c r="F1126" t="n">
        <x:f>Dashboard_Live_Data!T145</x:f>
        <x:v>470.8174479826305</x:v>
      </x:c>
      <x:c r="G1126" t="n">
        <x:f>Dashboard_Live_Data!U145</x:f>
        <x:v>153.5999999999999</x:v>
      </x:c>
      <x:c r="H1126" t="n">
        <x:f>Dashboard_Live_Data!V145</x:f>
        <x:v>406.563930304077</x:v>
      </x:c>
    </x:row>
    <x:row r="1127">
      <x:c r="A1127" t="n">
        <x:f>Dashboard_Live_Data!O146</x:f>
        <x:v>12</x:v>
      </x:c>
      <x:c r="B1127" t="n">
        <x:f>Dashboard_Live_Data!P146</x:f>
        <x:v>2669.5801666898506</x:v>
      </x:c>
      <x:c r="C1127" t="n">
        <x:f>Dashboard_Live_Data!Q146</x:f>
        <x:v>80</x:v>
      </x:c>
      <x:c r="D1127" t="n">
        <x:f>Dashboard_Live_Data!R146</x:f>
        <x:v>330.8955824365668</x:v>
      </x:c>
      <x:c r="E1127" t="n">
        <x:f>Dashboard_Live_Data!S146</x:f>
        <x:v>160</x:v>
      </x:c>
      <x:c r="F1127" t="n">
        <x:f>Dashboard_Live_Data!T146</x:f>
        <x:v>491.00634813167994</x:v>
      </x:c>
      <x:c r="G1127" t="n">
        <x:f>Dashboard_Live_Data!U146</x:f>
        <x:v>160</x:v>
      </x:c>
      <x:c r="H1127" t="n">
        <x:f>Dashboard_Live_Data!V146</x:f>
        <x:v>426.9620418536346</x:v>
      </x:c>
    </x:row>
    <x:row r="1128">
      <x:c r="A1128" t="n">
        <x:f>Dashboard_Live_Data!O147</x:f>
        <x:v>12.480000000000004</x:v>
      </x:c>
      <x:c r="B1128" t="n">
        <x:f>Dashboard_Live_Data!P147</x:f>
        <x:v>2669.6672669463883</x:v>
      </x:c>
      <x:c r="C1128" t="n">
        <x:f>Dashboard_Live_Data!Q147</x:f>
        <x:v>83.19999999999999</x:v>
      </x:c>
      <x:c r="D1128" t="n">
        <x:f>Dashboard_Live_Data!R147</x:f>
        <x:v>338.8434808456722</x:v>
      </x:c>
      <x:c r="E1128" t="n">
        <x:f>Dashboard_Live_Data!S147</x:f>
        <x:v>166.39999999999998</x:v>
      </x:c>
      <x:c r="F1128" t="n">
        <x:f>Dashboard_Live_Data!T147</x:f>
        <x:v>512.0192850215063</x:v>
      </x:c>
      <x:c r="G1128" t="n">
        <x:f>Dashboard_Live_Data!U147</x:f>
        <x:v>166.39999999999998</x:v>
      </x:c>
      <x:c r="H1128" t="n">
        <x:f>Dashboard_Live_Data!V147</x:f>
        <x:v>448.1927293848065</x:v>
      </x:c>
    </x:row>
    <x:row r="1129">
      <x:c r="A1129" t="n">
        <x:f>Dashboard_Live_Data!O148</x:f>
        <x:v>13.02000000000001</x:v>
      </x:c>
      <x:c r="B1129" t="n">
        <x:f>Dashboard_Live_Data!P148</x:f>
        <x:v>2669.769337559519</x:v>
      </x:c>
      <x:c r="C1129" t="n">
        <x:f>Dashboard_Live_Data!Q148</x:f>
        <x:v>86.80000000000001</x:v>
      </x:c>
      <x:c r="D1129" t="n">
        <x:f>Dashboard_Live_Data!R148</x:f>
        <x:v>348.1574242938427</x:v>
      </x:c>
      <x:c r="E1129" t="n">
        <x:f>Dashboard_Live_Data!S148</x:f>
        <x:v>173.60000000000002</x:v>
      </x:c>
      <x:c r="F1129" t="n">
        <x:f>Dashboard_Live_Data!T148</x:f>
        <x:v>536.6438204392722</x:v>
      </x:c>
      <x:c r="G1129" t="n">
        <x:f>Dashboard_Live_Data!U148</x:f>
        <x:v>173.60000000000002</x:v>
      </x:c>
      <x:c r="H1129" t="n">
        <x:f>Dashboard_Live_Data!V148</x:f>
        <x:v>473.0724413353988</x:v>
      </x:c>
    </x:row>
    <x:row r="1130">
      <x:c r="A1130" t="n">
        <x:f>Dashboard_Live_Data!O149</x:f>
        <x:v>13.5</x:v>
      </x:c>
      <x:c r="B1130" t="n">
        <x:f>Dashboard_Live_Data!P149</x:f>
        <x:v>2669.863696170769</x:v>
      </x:c>
      <x:c r="C1130" t="n">
        <x:f>Dashboard_Live_Data!Q149</x:f>
        <x:v>90.00000000000006</x:v>
      </x:c>
      <x:c r="D1130" t="n">
        <x:f>Dashboard_Live_Data!R149</x:f>
        <x:v>356.76764757037364</x:v>
      </x:c>
      <x:c r="E1130" t="n">
        <x:f>Dashboard_Live_Data!S149</x:f>
        <x:v>180.0000000000001</x:v>
      </x:c>
      <x:c r="F1130" t="n">
        <x:f>Dashboard_Live_Data!T149</x:f>
        <x:v>559.4078354032513</x:v>
      </x:c>
      <x:c r="G1130" t="n">
        <x:f>Dashboard_Live_Data!U149</x:f>
        <x:v>180.0000000000001</x:v>
      </x:c>
      <x:c r="H1130" t="n">
        <x:f>Dashboard_Live_Data!V149</x:f>
        <x:v>496.0723528275021</x:v>
      </x:c>
    </x:row>
    <x:row r="1131">
      <x:c r="A1131" t="n">
        <x:f>Dashboard_Live_Data!O150</x:f>
        <x:v>13.980000000000004</x:v>
      </x:c>
      <x:c r="B1131" t="n">
        <x:f>Dashboard_Live_Data!P150</x:f>
        <x:v>2669.9614704783535</x:v>
      </x:c>
      <x:c r="C1131" t="n">
        <x:f>Dashboard_Live_Data!Q150</x:f>
        <x:v>93.20000000000005</x:v>
      </x:c>
      <x:c r="D1131" t="n">
        <x:f>Dashboard_Live_Data!R150</x:f>
        <x:v>365.68955313745766</x:v>
      </x:c>
      <x:c r="E1131" t="n">
        <x:f>Dashboard_Live_Data!S150</x:f>
        <x:v>186.4000000000001</x:v>
      </x:c>
      <x:c r="F1131" t="n">
        <x:f>Dashboard_Live_Data!T150</x:f>
        <x:v>582.9958871080077</x:v>
      </x:c>
      <x:c r="G1131" t="n">
        <x:f>Dashboard_Live_Data!U150</x:f>
        <x:v>186.4000000000001</x:v>
      </x:c>
      <x:c r="H1131" t="n">
        <x:f>Dashboard_Live_Data!V150</x:f>
        <x:v>519.9048403012197</x:v>
      </x:c>
    </x:row>
    <x:row r="1132">
      <x:c r="A1132" t="n">
        <x:f>Dashboard_Live_Data!O151</x:f>
        <x:v>14.519999999999996</x:v>
      </x:c>
      <x:c r="B1132" t="n">
        <x:f>Dashboard_Live_Data!P151</x:f>
        <x:v>2670.075549398911</x:v>
      </x:c>
      <x:c r="C1132" t="n">
        <x:f>Dashboard_Live_Data!Q151</x:f>
        <x:v>96.80000000000001</x:v>
      </x:c>
      <x:c r="D1132" t="n">
        <x:f>Dashboard_Live_Data!R151</x:f>
        <x:v>376.09925463835384</x:v>
      </x:c>
      <x:c r="E1132" t="n">
        <x:f>Dashboard_Live_Data!S151</x:f>
        <x:v>193.60000000000002</x:v>
      </x:c>
      <x:c r="F1132" t="n">
        <x:f>Dashboard_Live_Data!T151</x:f>
        <x:v>610.5174266925688</x:v>
      </x:c>
      <x:c r="G1132" t="n">
        <x:f>Dashboard_Live_Data!U151</x:f>
        <x:v>193.60000000000002</x:v>
      </x:c>
      <x:c r="H1132" t="n">
        <x:f>Dashboard_Live_Data!V151</x:f>
        <x:v>547.7115771871754</x:v>
      </x:c>
    </x:row>
    <x:row r="1133">
      <x:c r="A1133" t="n">
        <x:f>Dashboard_Live_Data!O152</x:f>
        <x:v>15</x:v>
      </x:c>
      <x:c r="B1133" t="n">
        <x:f>Dashboard_Live_Data!P152</x:f>
        <x:v>2670.180582061207</x:v>
      </x:c>
      <x:c r="C1133" t="n">
        <x:f>Dashboard_Live_Data!Q152</x:f>
        <x:v>100</x:v>
      </x:c>
      <x:c r="D1133" t="n">
        <x:f>Dashboard_Live_Data!R152</x:f>
        <x:v>385.68348507286333</x:v>
      </x:c>
      <x:c r="E1133" t="n">
        <x:f>Dashboard_Live_Data!S152</x:f>
        <x:v>200</x:v>
      </x:c>
      <x:c r="F1133" t="n">
        <x:f>Dashboard_Live_Data!T152</x:f>
        <x:v>635.8565564714773</x:v>
      </x:c>
      <x:c r="G1133" t="n">
        <x:f>Dashboard_Live_Data!U152</x:f>
        <x:v>200</x:v>
      </x:c>
      <x:c r="H1133" t="n">
        <x:f>Dashboard_Live_Data!V152</x:f>
        <x:v>573.3132886218239</x:v>
      </x:c>
    </x:row>
    <x:row r="1134">
      <x:c r="A1134" t="n">
        <x:f>Dashboard_Live_Data!O153</x:f>
        <x:v>15.480000000000004</x:v>
      </x:c>
      <x:c r="B1134" t="n">
        <x:f>Dashboard_Live_Data!P153</x:f>
        <x:v>2670.2890304198377</x:v>
      </x:c>
      <x:c r="C1134" t="n">
        <x:f>Dashboard_Live_Data!Q153</x:f>
        <x:v>103.19999999999999</x:v>
      </x:c>
      <x:c r="D1134" t="n">
        <x:f>Dashboard_Live_Data!R153</x:f>
        <x:v>395.5793977979259</x:v>
      </x:c>
      <x:c r="E1134" t="n">
        <x:f>Dashboard_Live_Data!S153</x:f>
        <x:v>206.39999999999998</x:v>
      </x:c>
      <x:c r="F1134" t="n">
        <x:f>Dashboard_Live_Data!T153</x:f>
        <x:v>662.0197229911632</x:v>
      </x:c>
      <x:c r="G1134" t="n">
        <x:f>Dashboard_Live_Data!U153</x:f>
        <x:v>206.39999999999998</x:v>
      </x:c>
      <x:c r="H1134" t="n">
        <x:f>Dashboard_Live_Data!V153</x:f>
        <x:v>599.7475760380869</x:v>
      </x:c>
    </x:row>
    <x:row r="1135">
      <x:c r="A1135" t="n">
        <x:f>Dashboard_Live_Data!O154</x:f>
        <x:v>16.019999999999996</x:v>
      </x:c>
      <x:c r="B1135" t="n">
        <x:f>Dashboard_Live_Data!P154</x:f>
        <x:v>2670.4151176478226</x:v>
      </x:c>
      <x:c r="C1135" t="n">
        <x:f>Dashboard_Live_Data!Q154</x:f>
        <x:v>106.79999999999995</x:v>
      </x:c>
      <x:c r="D1135" t="n">
        <x:f>Dashboard_Live_Data!R154</x:f>
        <x:v>407.08485735154807</x:v>
      </x:c>
      <x:c r="E1135" t="n">
        <x:f>Dashboard_Live_Data!S154</x:f>
        <x:v>213.5999999999999</x:v>
      </x:c>
      <x:c r="F1135" t="n">
        <x:f>Dashboard_Live_Data!T154</x:f>
        <x:v>692.4382667425206</x:v>
      </x:c>
      <x:c r="G1135" t="n">
        <x:f>Dashboard_Live_Data!U154</x:f>
        <x:v>213.5999999999999</x:v>
      </x:c>
      <x:c r="H1135" t="n">
        <x:f>Dashboard_Live_Data!V154</x:f>
        <x:v>630.4813378594064</x:v>
      </x:c>
    </x:row>
    <x:row r="1136">
      <x:c r="A1136" t="n">
        <x:f>Dashboard_Live_Data!O155</x:f>
        <x:v>16.5</x:v>
      </x:c>
      <x:c r="B1136" t="n">
        <x:f>Dashboard_Live_Data!P155</x:f>
        <x:v>2670.5308243611653</x:v>
      </x:c>
      <x:c r="C1136" t="n">
        <x:f>Dashboard_Live_Data!Q155</x:f>
        <x:v>109.99999999999994</x:v>
      </x:c>
      <x:c r="D1136" t="n">
        <x:f>Dashboard_Live_Data!R155</x:f>
        <x:v>417.6430949440361</x:v>
      </x:c>
      <x:c r="E1136" t="n">
        <x:f>Dashboard_Live_Data!S155</x:f>
        <x:v>219.9999999999999</x:v>
      </x:c>
      <x:c r="F1136" t="n">
        <x:f>Dashboard_Live_Data!T155</x:f>
        <x:v>720.3525113363587</x:v>
      </x:c>
      <x:c r="G1136" t="n">
        <x:f>Dashboard_Live_Data!U155</x:f>
        <x:v>219.9999999999999</x:v>
      </x:c>
      <x:c r="H1136" t="n">
        <x:f>Dashboard_Live_Data!V155</x:f>
        <x:v>658.6848492366003</x:v>
      </x:c>
    </x:row>
    <x:row r="1137">
      <x:c r="A1137" t="n">
        <x:f>Dashboard_Live_Data!O156</x:f>
        <x:v>16.97999999999999</x:v>
      </x:c>
      <x:c r="B1137" t="n">
        <x:f>Dashboard_Live_Data!P156</x:f>
        <x:v>2670.6499467708427</x:v>
      </x:c>
      <x:c r="C1137" t="n">
        <x:f>Dashboard_Live_Data!Q156</x:f>
        <x:v>113.19999999999993</x:v>
      </x:c>
      <x:c r="D1137" t="n">
        <x:f>Dashboard_Live_Data!R156</x:f>
        <x:v>428.51301482707726</x:v>
      </x:c>
      <x:c r="E1137" t="n">
        <x:f>Dashboard_Live_Data!S156</x:f>
        <x:v>226.39999999999986</x:v>
      </x:c>
      <x:c r="F1137" t="n">
        <x:f>Dashboard_Live_Data!T156</x:f>
        <x:v>749.0907926709743</x:v>
      </x:c>
      <x:c r="G1137" t="n">
        <x:f>Dashboard_Live_Data!U156</x:f>
        <x:v>226.39999999999986</x:v>
      </x:c>
      <x:c r="H1137" t="n">
        <x:f>Dashboard_Live_Data!V156</x:f>
        <x:v>687.7209365954091</x:v>
      </x:c>
    </x:row>
    <x:row r="1138">
      <x:c r="A1138" t="n">
        <x:f>Dashboard_Live_Data!O157</x:f>
        <x:v>17.519999999999996</x:v>
      </x:c>
      <x:c r="B1138" t="n">
        <x:f>Dashboard_Live_Data!P157</x:f>
        <x:v>2670.7880423062543</x:v>
      </x:c>
      <x:c r="C1138" t="n">
        <x:f>Dashboard_Live_Data!Q157</x:f>
        <x:v>116.80000000000007</x:v>
      </x:c>
      <x:c r="D1138" t="n">
        <x:f>Dashboard_Live_Data!R157</x:f>
        <x:v>441.11423243342597</x:v>
      </x:c>
      <x:c r="E1138" t="n">
        <x:f>Dashboard_Live_Data!S157</x:f>
        <x:v>233.60000000000014</x:v>
      </x:c>
      <x:c r="F1138" t="n">
        <x:f>Dashboard_Live_Data!T157</x:f>
        <x:v>782.4063405891291</x:v>
      </x:c>
      <x:c r="G1138" t="n">
        <x:f>Dashboard_Live_Data!U157</x:f>
        <x:v>233.60000000000014</x:v>
      </x:c>
      <x:c r="H1138" t="n">
        <x:f>Dashboard_Live_Data!V157</x:f>
        <x:v>721.3817233520938</x:v>
      </x:c>
    </x:row>
    <x:row r="1139">
      <x:c r="A1139" t="n">
        <x:f>Dashboard_Live_Data!O158</x:f>
        <x:v>18</x:v>
      </x:c>
      <x:c r="B1139" t="n">
        <x:f>Dashboard_Live_Data!P158</x:f>
        <x:v>2670.914423070643</x:v>
      </x:c>
      <x:c r="C1139" t="n">
        <x:f>Dashboard_Live_Data!Q158</x:f>
        <x:v>120</x:v>
      </x:c>
      <x:c r="D1139" t="n">
        <x:f>Dashboard_Live_Data!R158</x:f>
        <x:v>452.64647718389233</x:v>
      </x:c>
      <x:c r="E1139" t="n">
        <x:f>Dashboard_Live_Data!S158</x:f>
        <x:v>240</x:v>
      </x:c>
      <x:c r="F1139" t="n">
        <x:f>Dashboard_Live_Data!T158</x:f>
        <x:v>812.8956999978966</x:v>
      </x:c>
      <x:c r="G1139" t="n">
        <x:f>Dashboard_Live_Data!U158</x:f>
        <x:v>240</x:v>
      </x:c>
      <x:c r="H1139" t="n">
        <x:f>Dashboard_Live_Data!V158</x:f>
        <x:v>752.1870346718329</x:v>
      </x:c>
    </x:row>
    <x:row r="1140">
      <x:c r="A1140" t="n">
        <x:f>Dashboard_Live_Data!O159</x:f>
        <x:v>18.480000000000004</x:v>
      </x:c>
      <x:c r="B1140" t="n">
        <x:f>Dashboard_Live_Data!P159</x:f>
        <x:v>2671.0442195313667</x:v>
      </x:c>
      <x:c r="C1140" t="n">
        <x:f>Dashboard_Live_Data!Q159</x:f>
        <x:v>123.20000000000005</x:v>
      </x:c>
      <x:c r="D1140" t="n">
        <x:f>Dashboard_Live_Data!R159</x:f>
        <x:v>464.49040422491237</x:v>
      </x:c>
      <x:c r="E1140" t="n">
        <x:f>Dashboard_Live_Data!S159</x:f>
        <x:v>246.4000000000001</x:v>
      </x:c>
      <x:c r="F1140" t="n">
        <x:f>Dashboard_Live_Data!T159</x:f>
        <x:v>844.2090961474427</x:v>
      </x:c>
      <x:c r="G1140" t="n">
        <x:f>Dashboard_Live_Data!U159</x:f>
        <x:v>246.4000000000001</x:v>
      </x:c>
      <x:c r="H1140" t="n">
        <x:f>Dashboard_Live_Data!V159</x:f>
        <x:v>783.8249219731875</x:v>
      </x:c>
    </x:row>
    <x:row r="1141">
      <x:c r="A1141" t="n">
        <x:f>Dashboard_Live_Data!O160</x:f>
        <x:v>19.019999999999996</x:v>
      </x:c>
      <x:c r="B1141" t="n">
        <x:f>Dashboard_Live_Data!P160</x:f>
        <x:v>2671.194323374206</x:v>
      </x:c>
      <x:c r="C1141" t="n">
        <x:f>Dashboard_Live_Data!Q160</x:f>
        <x:v>126.79999999999995</x:v>
      </x:c>
      <x:c r="D1141" t="n">
        <x:f>Dashboard_Live_Data!R160</x:f>
        <x:v>478.18737988398607</x:v>
      </x:c>
      <x:c r="E1141" t="n">
        <x:f>Dashboard_Live_Data!S160</x:f>
        <x:v>253.5999999999999</x:v>
      </x:c>
      <x:c r="F1141" t="n">
        <x:f>Dashboard_Live_Data!T160</x:f>
        <x:v>880.421648232391</x:v>
      </x:c>
      <x:c r="G1141" t="n">
        <x:f>Dashboard_Live_Data!U160</x:f>
        <x:v>253.5999999999999</x:v>
      </x:c>
      <x:c r="H1141" t="n">
        <x:f>Dashboard_Live_Data!V160</x:f>
        <x:v>820.4127336652341</x:v>
      </x:c>
    </x:row>
    <x:row r="1142">
      <x:c r="A1142" t="n">
        <x:f>Dashboard_Live_Data!O161</x:f>
        <x:v>19.5</x:v>
      </x:c>
      <x:c r="B1142" t="n">
        <x:f>Dashboard_Live_Data!P161</x:f>
        <x:v>2671.331378189641</x:v>
      </x:c>
      <x:c r="C1142" t="n">
        <x:f>Dashboard_Live_Data!Q161</x:f>
        <x:v>130</x:v>
      </x:c>
      <x:c r="D1142" t="n">
        <x:f>Dashboard_Live_Data!R161</x:f>
        <x:v>490.6936317924316</x:v>
      </x:c>
      <x:c r="E1142" t="n">
        <x:f>Dashboard_Live_Data!S161</x:f>
        <x:v>260</x:v>
      </x:c>
      <x:c r="F1142" t="n">
        <x:f>Dashboard_Live_Data!T161</x:f>
        <x:v>913.4861224560894</x:v>
      </x:c>
      <x:c r="G1142" t="n">
        <x:f>Dashboard_Live_Data!U161</x:f>
        <x:v>260</x:v>
      </x:c>
      <x:c r="H1142" t="n">
        <x:f>Dashboard_Live_Data!V161</x:f>
        <x:v>853.8198449275199</x:v>
      </x:c>
    </x:row>
    <x:row r="1143">
      <x:c r="A1143" t="n">
        <x:f>Dashboard_Live_Data!O162</x:f>
        <x:v>19.980000000000004</x:v>
      </x:c>
      <x:c r="B1143" t="n">
        <x:f>Dashboard_Live_Data!P162</x:f>
        <x:v>2671.4718487014106</x:v>
      </x:c>
      <x:c r="C1143" t="n">
        <x:f>Dashboard_Live_Data!Q162</x:f>
        <x:v>133.19999999999993</x:v>
      </x:c>
      <x:c r="D1143" t="n">
        <x:f>Dashboard_Live_Data!R162</x:f>
        <x:v>503.51156599142973</x:v>
      </x:c>
      <x:c r="E1143" t="n">
        <x:f>Dashboard_Live_Data!S162</x:f>
        <x:v>266.39999999999986</x:v>
      </x:c>
      <x:c r="F1143" t="n">
        <x:f>Dashboard_Live_Data!T162</x:f>
        <x:v>947.3746334205639</x:v>
      </x:c>
      <x:c r="G1143" t="n">
        <x:f>Dashboard_Live_Data!U162</x:f>
        <x:v>266.39999999999986</x:v>
      </x:c>
      <x:c r="H1143" t="n">
        <x:f>Dashboard_Live_Data!V162</x:f>
        <x:v>888.059532171419</x:v>
      </x:c>
    </x:row>
    <x:row r="1144">
      <x:c r="A1144" t="n">
        <x:f>Dashboard_Live_Data!O163</x:f>
        <x:v>20.52000000000001</x:v>
      </x:c>
      <x:c r="B1144" t="n">
        <x:f>Dashboard_Live_Data!P163</x:f>
        <x:v>2671.633960851677</x:v>
      </x:c>
      <x:c r="C1144" t="n">
        <x:f>Dashboard_Live_Data!Q163</x:f>
        <x:v>136.80000000000007</x:v>
      </x:c>
      <x:c r="D1144" t="n">
        <x:f>Dashboard_Live_Data!R163</x:f>
        <x:v>518.3042997032304</x:v>
      </x:c>
      <x:c r="E1144" t="n">
        <x:f>Dashboard_Live_Data!S163</x:f>
        <x:v>273.60000000000014</x:v>
      </x:c>
      <x:c r="F1144" t="n">
        <x:f>Dashboard_Live_Data!T163</x:f>
        <x:v>986.484189672311</x:v>
      </x:c>
      <x:c r="G1144" t="n">
        <x:f>Dashboard_Live_Data!U163</x:f>
        <x:v>273.60000000000014</x:v>
      </x:c>
      <x:c r="H1144" t="n">
        <x:f>Dashboard_Live_Data!V163</x:f>
        <x:v>927.5743687988318</x:v>
      </x:c>
    </x:row>
    <x:row r="1145">
      <x:c r="A1145" t="n">
        <x:f>Dashboard_Live_Data!O164</x:f>
        <x:v>21</x:v>
      </x:c>
      <x:c r="B1145" t="n">
        <x:f>Dashboard_Live_Data!P164</x:f>
        <x:v>2671.7816897181583</x:v>
      </x:c>
      <x:c r="C1145" t="n">
        <x:f>Dashboard_Live_Data!Q164</x:f>
        <x:v>140</x:v>
      </x:c>
      <x:c r="D1145" t="n">
        <x:f>Dashboard_Live_Data!R164</x:f>
        <x:v>531.7845587696538</x:v>
      </x:c>
      <x:c r="E1145" t="n">
        <x:f>Dashboard_Live_Data!S164</x:f>
        <x:v>280</x:v>
      </x:c>
      <x:c r="F1145" t="n">
        <x:f>Dashboard_Live_Data!T164</x:f>
        <x:v>1022.1237787109374</x:v>
      </x:c>
      <x:c r="G1145" t="n">
        <x:f>Dashboard_Live_Data!U164</x:f>
        <x:v>280</x:v>
      </x:c>
      <x:c r="H1145" t="n">
        <x:f>Dashboard_Live_Data!V164</x:f>
        <x:v>963.5832800036617</x:v>
      </x:c>
    </x:row>
    <x:row r="1146">
      <x:c r="A1146" t="n">
        <x:f>Dashboard_Live_Data!O165</x:f>
        <x:v>21.480000000000004</x:v>
      </x:c>
      <x:c r="B1146" t="n">
        <x:f>Dashboard_Live_Data!P165</x:f>
        <x:v>2671.932834280975</x:v>
      </x:c>
      <x:c r="C1146" t="n">
        <x:f>Dashboard_Live_Data!Q165</x:f>
        <x:v>143.20000000000005</x:v>
      </x:c>
      <x:c r="D1146" t="n">
        <x:f>Dashboard_Live_Data!R165</x:f>
        <x:v>545.5765001266311</x:v>
      </x:c>
      <x:c r="E1146" t="n">
        <x:f>Dashboard_Live_Data!S165</x:f>
        <x:v>286.4000000000001</x:v>
      </x:c>
      <x:c r="F1146" t="n">
        <x:f>Dashboard_Live_Data!T165</x:f>
        <x:v>1058.5874044903426</x:v>
      </x:c>
      <x:c r="G1146" t="n">
        <x:f>Dashboard_Live_Data!U165</x:f>
        <x:v>286.4000000000001</x:v>
      </x:c>
      <x:c r="H1146" t="n">
        <x:f>Dashboard_Live_Data!V165</x:f>
        <x:v>1000.4247671901077</x:v>
      </x:c>
    </x:row>
    <x:row r="1147">
      <x:c r="A1147" t="n">
        <x:f>Dashboard_Live_Data!O166</x:f>
        <x:v>22.019999999999996</x:v>
      </x:c>
      <x:c r="B1147" t="n">
        <x:f>Dashboard_Live_Data!P166</x:f>
        <x:v>2672.106954738668</x:v>
      </x:c>
      <x:c r="C1147" t="n">
        <x:f>Dashboard_Live_Data!Q166</x:f>
        <x:v>146.79999999999995</x:v>
      </x:c>
      <x:c r="D1147" t="n">
        <x:f>Dashboard_Live_Data!R166</x:f>
        <x:v>561.4649918911567</x:v>
      </x:c>
      <x:c r="E1147" t="n">
        <x:f>Dashboard_Live_Data!S166</x:f>
        <x:v>293.5999999999999</x:v>
      </x:c>
      <x:c r="F1147" t="n">
        <x:f>Dashboard_Live_Data!T166</x:f>
        <x:v>1100.5939649088832</x:v>
      </x:c>
      <x:c r="G1147" t="n">
        <x:f>Dashboard_Live_Data!U166</x:f>
        <x:v>293.5999999999999</x:v>
      </x:c>
      <x:c r="H1147" t="n">
        <x:f>Dashboard_Live_Data!V166</x:f>
        <x:v>1042.8666287528815</x:v>
      </x:c>
    </x:row>
    <x:row r="1148">
      <x:c r="A1148" t="n">
        <x:f>Dashboard_Live_Data!O167</x:f>
        <x:v>22.5</x:v>
      </x:c>
      <x:c r="B1148" t="n">
        <x:f>Dashboard_Live_Data!P167</x:f>
        <x:v>2672.2653576561956</x:v>
      </x:c>
      <x:c r="C1148" t="n">
        <x:f>Dashboard_Live_Data!Q167</x:f>
        <x:v>150</x:v>
      </x:c>
      <x:c r="D1148" t="n">
        <x:f>Dashboard_Live_Data!R167</x:f>
        <x:v>575.9192581155594</x:v>
      </x:c>
      <x:c r="E1148" t="n">
        <x:f>Dashboard_Live_Data!S167</x:f>
        <x:v>300</x:v>
      </x:c>
      <x:c r="F1148" t="n">
        <x:f>Dashboard_Live_Data!T167</x:f>
        <x:v>1138.808668762441</x:v>
      </x:c>
      <x:c r="G1148" t="n">
        <x:f>Dashboard_Live_Data!U167</x:f>
        <x:v>300</x:v>
      </x:c>
      <x:c r="H1148" t="n">
        <x:f>Dashboard_Live_Data!V167</x:f>
        <x:v>1081.4773399002586</x:v>
      </x:c>
    </x:row>
    <x:row r="1149">
      <x:c r="A1149" t="n">
        <x:f>Dashboard_Live_Data!O168</x:f>
        <x:v>22.980000000000004</x:v>
      </x:c>
      <x:c r="B1149" t="n">
        <x:f>Dashboard_Live_Data!P168</x:f>
        <x:v>2672.427176270058</x:v>
      </x:c>
      <x:c r="C1149" t="n">
        <x:f>Dashboard_Live_Data!Q168</x:f>
        <x:v>153.20000000000005</x:v>
      </x:c>
      <x:c r="D1149" t="n">
        <x:f>Dashboard_Live_Data!R168</x:f>
        <x:v>590.6852066305153</x:v>
      </x:c>
      <x:c r="E1149" t="n">
        <x:f>Dashboard_Live_Data!S168</x:f>
        <x:v>306.4000000000001</x:v>
      </x:c>
      <x:c r="F1149" t="n">
        <x:f>Dashboard_Live_Data!T168</x:f>
        <x:v>1177.8474093567763</x:v>
      </x:c>
      <x:c r="G1149" t="n">
        <x:f>Dashboard_Live_Data!U168</x:f>
        <x:v>306.4000000000001</x:v>
      </x:c>
      <x:c r="H1149" t="n">
        <x:f>Dashboard_Live_Data!V168</x:f>
        <x:v>1120.9206270292505</x:v>
      </x:c>
    </x:row>
    <x:row r="1150">
      <x:c r="A1150" t="n">
        <x:f>Dashboard_Live_Data!O169</x:f>
        <x:v>23.519999999999996</x:v>
      </x:c>
      <x:c r="B1150" t="n">
        <x:f>Dashboard_Live_Data!P169</x:f>
        <x:v>2672.6133050351787</x:v>
      </x:c>
      <x:c r="C1150" t="n">
        <x:f>Dashboard_Live_Data!Q169</x:f>
        <x:v>156.79999999999995</x:v>
      </x:c>
      <x:c r="D1150" t="n">
        <x:f>Dashboard_Live_Data!R169</x:f>
        <x:v>607.6694564477666</x:v>
      </x:c>
      <x:c r="E1150" t="n">
        <x:f>Dashboard_Live_Data!S169</x:f>
        <x:v>313.5999999999999</x:v>
      </x:c>
      <x:c r="F1150" t="n">
        <x:f>Dashboard_Live_Data!T169</x:f>
        <x:v>1222.7509739421123</x:v>
      </x:c>
      <x:c r="G1150" t="n">
        <x:f>Dashboard_Live_Data!U169</x:f>
        <x:v>313.5999999999999</x:v>
      </x:c>
      <x:c r="H1150" t="n">
        <x:f>Dashboard_Live_Data!V169</x:f>
        <x:v>1166.2895135273877</x:v>
      </x:c>
    </x:row>
    <x:row r="1151">
      <x:c r="A1151" t="n">
        <x:f>Dashboard_Live_Data!O170</x:f>
        <x:v>24</x:v>
      </x:c>
      <x:c r="B1151" t="n">
        <x:f>Dashboard_Live_Data!P170</x:f>
        <x:v>2672.782382003753</x:v>
      </x:c>
      <x:c r="C1151" t="n">
        <x:f>Dashboard_Live_Data!Q170</x:f>
        <x:v>160</x:v>
      </x:c>
      <x:c r="D1151" t="n">
        <x:f>Dashboard_Live_Data!R170</x:f>
        <x:v>623.097729830148</x:v>
      </x:c>
      <x:c r="E1151" t="n">
        <x:f>Dashboard_Live_Data!S170</x:f>
        <x:v>320</x:v>
      </x:c>
      <x:c r="F1151" t="n">
        <x:f>Dashboard_Live_Data!T170</x:f>
        <x:v>1263.5407926106002</x:v>
      </x:c>
      <x:c r="G1151" t="n">
        <x:f>Dashboard_Live_Data!U170</x:f>
        <x:v>320</x:v>
      </x:c>
      <x:c r="H1151" t="n">
        <x:f>Dashboard_Live_Data!V170</x:f>
        <x:v>1207.5020246173106</x:v>
      </x:c>
    </x:row>
    <x:row r="1152">
      <x:c r="A1152" t="n">
        <x:f>Dashboard_Live_Data!O171</x:f>
        <x:v>24.47999999999999</x:v>
      </x:c>
      <x:c r="B1152" t="n">
        <x:f>Dashboard_Live_Data!P171</x:f>
        <x:v>2672.954874668662</x:v>
      </x:c>
      <x:c r="C1152" t="n">
        <x:f>Dashboard_Live_Data!Q171</x:f>
        <x:v>163.19999999999993</x:v>
      </x:c>
      <x:c r="D1152" t="n">
        <x:f>Dashboard_Live_Data!R171</x:f>
        <x:v>638.8376855030817</x:v>
      </x:c>
      <x:c r="E1152" t="n">
        <x:f>Dashboard_Live_Data!S171</x:f>
        <x:v>326.39999999999986</x:v>
      </x:c>
      <x:c r="F1152" t="n">
        <x:f>Dashboard_Live_Data!T171</x:f>
        <x:v>1305.1546480198635</x:v>
      </x:c>
      <x:c r="G1152" t="n">
        <x:f>Dashboard_Live_Data!U171</x:f>
        <x:v>326.39999999999986</x:v>
      </x:c>
      <x:c r="H1152" t="n">
        <x:f>Dashboard_Live_Data!V171</x:f>
        <x:v>1249.5471116888461</x:v>
      </x:c>
    </x:row>
    <x:row r="1153">
      <x:c r="A1153" t="n">
        <x:f>Dashboard_Live_Data!O172</x:f>
        <x:v>25.019999999999996</x:v>
      </x:c>
      <x:c r="B1153" t="n">
        <x:f>Dashboard_Live_Data!P172</x:f>
        <x:v>2673.1530117412094</x:v>
      </x:c>
      <x:c r="C1153" t="n">
        <x:f>Dashboard_Live_Data!Q172</x:f>
        <x:v>166.80000000000007</x:v>
      </x:c>
      <x:c r="D1153" t="n">
        <x:f>Dashboard_Live_Data!R172</x:f>
        <x:v>656.9176933730604</x:v>
      </x:c>
      <x:c r="E1153" t="n">
        <x:f>Dashboard_Live_Data!S172</x:f>
        <x:v>333.60000000000014</x:v>
      </x:c>
      <x:c r="F1153" t="n">
        <x:f>Dashboard_Live_Data!T172</x:f>
        <x:v>1352.9552167719985</x:v>
      </x:c>
      <x:c r="G1153" t="n">
        <x:f>Dashboard_Live_Data!U172</x:f>
        <x:v>333.60000000000014</x:v>
      </x:c>
      <x:c r="H1153" t="n">
        <x:f>Dashboard_Live_Data!V172</x:f>
        <x:v>1297.8430231223504</x:v>
      </x:c>
    </x:row>
    <x:row r="1154">
      <x:c r="A1154" t="n">
        <x:f>Dashboard_Live_Data!O173</x:f>
        <x:v>25.5</x:v>
      </x:c>
      <x:c r="B1154" t="n">
        <x:f>Dashboard_Live_Data!P173</x:f>
        <x:v>2673.3327627608296</x:v>
      </x:c>
      <x:c r="C1154" t="n">
        <x:f>Dashboard_Live_Data!Q173</x:f>
        <x:v>170</x:v>
      </x:c>
      <x:c r="D1154" t="n">
        <x:f>Dashboard_Live_Data!R173</x:f>
        <x:v>673.3199739134197</x:v>
      </x:c>
      <x:c r="E1154" t="n">
        <x:f>Dashboard_Live_Data!S173</x:f>
        <x:v>340</x:v>
      </x:c>
      <x:c r="F1154" t="n">
        <x:f>Dashboard_Live_Data!T173</x:f>
        <x:v>1396.3201502554143</x:v>
      </x:c>
      <x:c r="G1154" t="n">
        <x:f>Dashboard_Live_Data!U173</x:f>
        <x:v>340</x:v>
      </x:c>
      <x:c r="H1154" t="n">
        <x:f>Dashboard_Live_Data!V173</x:f>
        <x:v>1341.6573341548171</x:v>
      </x:c>
    </x:row>
    <x:row r="1155">
      <x:c r="A1155" t="n">
        <x:f>Dashboard_Live_Data!O174</x:f>
        <x:v>25.980000000000004</x:v>
      </x:c>
      <x:c r="B1155" t="n">
        <x:f>Dashboard_Live_Data!P174</x:f>
        <x:v>2673.515929476785</x:v>
      </x:c>
      <x:c r="C1155" t="n">
        <x:f>Dashboard_Live_Data!Q174</x:f>
        <x:v>173.20000000000005</x:v>
      </x:c>
      <x:c r="D1155" t="n">
        <x:f>Dashboard_Live_Data!R174</x:f>
        <x:v>690.0339367443329</x:v>
      </x:c>
      <x:c r="E1155" t="n">
        <x:f>Dashboard_Live_Data!S174</x:f>
        <x:v>346.4000000000001</x:v>
      </x:c>
      <x:c r="F1155" t="n">
        <x:f>Dashboard_Live_Data!T174</x:f>
        <x:v>1440.5091204796092</x:v>
      </x:c>
      <x:c r="G1155" t="n">
        <x:f>Dashboard_Live_Data!U174</x:f>
        <x:v>346.4000000000001</x:v>
      </x:c>
      <x:c r="H1155" t="n">
        <x:f>Dashboard_Live_Data!V174</x:f>
        <x:v>1386.3042211689</x:v>
      </x:c>
    </x:row>
    <x:row r="1156">
      <x:c r="A1156" t="n">
        <x:f>Dashboard_Live_Data!O175</x:f>
        <x:v>26.519999999999996</x:v>
      </x:c>
      <x:c r="B1156" t="n">
        <x:f>Dashboard_Live_Data!P175</x:f>
        <x:v>2673.7260748567596</x:v>
      </x:c>
      <x:c r="C1156" t="n">
        <x:f>Dashboard_Live_Data!Q175</x:f>
        <x:v>176.79999999999995</x:v>
      </x:c>
      <x:c r="D1156" t="n">
        <x:f>Dashboard_Live_Data!R175</x:f>
        <x:v>709.2097026670361</x:v>
      </x:c>
      <x:c r="E1156" t="n">
        <x:f>Dashboard_Live_Data!S175</x:f>
        <x:v>353.5999999999999</x:v>
      </x:c>
      <x:c r="F1156" t="n">
        <x:f>Dashboard_Live_Data!T175</x:f>
        <x:v>1491.206693398537</x:v>
      </x:c>
      <x:c r="G1156" t="n">
        <x:f>Dashboard_Live_Data!U175</x:f>
        <x:v>353.5999999999999</x:v>
      </x:c>
      <x:c r="H1156" t="n">
        <x:f>Dashboard_Live_Data!V175</x:f>
        <x:v>1437.527157537765</x:v>
      </x:c>
    </x:row>
    <x:row r="1157">
      <x:c r="A1157" t="n">
        <x:f>Dashboard_Live_Data!O176</x:f>
        <x:v>27</x:v>
      </x:c>
      <x:c r="B1157" t="n">
        <x:f>Dashboard_Live_Data!P176</x:f>
        <x:v>2673.9164999274262</x:v>
      </x:c>
      <x:c r="C1157" t="n">
        <x:f>Dashboard_Live_Data!Q176</x:f>
        <x:v>180</x:v>
      </x:c>
      <x:c r="D1157" t="n">
        <x:f>Dashboard_Live_Data!R176</x:f>
        <x:v>726.5859903653748</x:v>
      </x:c>
      <x:c r="E1157" t="n">
        <x:f>Dashboard_Live_Data!S176</x:f>
        <x:v>360</x:v>
      </x:c>
      <x:c r="F1157" t="n">
        <x:f>Dashboard_Live_Data!T176</x:f>
        <x:v>1537.1467416968844</x:v>
      </x:c>
      <x:c r="G1157" t="n">
        <x:f>Dashboard_Live_Data!U176</x:f>
        <x:v>360</x:v>
      </x:c>
      <x:c r="H1157" t="n">
        <x:f>Dashboard_Live_Data!V176</x:f>
        <x:v>1483.943268512779</x:v>
      </x:c>
    </x:row>
    <x:row r="1158">
      <x:c r="A1158" t="n">
        <x:f>Dashboard_Live_Data!O177</x:f>
        <x:v>27.480000000000004</x:v>
      </x:c>
      <x:c r="B1158" t="n">
        <x:f>Dashboard_Live_Data!P177</x:f>
        <x:v>2674.1103406944285</x:v>
      </x:c>
      <x:c r="C1158" t="n">
        <x:f>Dashboard_Live_Data!Q177</x:f>
        <x:v>183.19999999999993</x:v>
      </x:c>
      <x:c r="D1158" t="n">
        <x:f>Dashboard_Live_Data!R177</x:f>
        <x:v>744.2739603542658</x:v>
      </x:c>
      <x:c r="E1158" t="n">
        <x:f>Dashboard_Live_Data!S177</x:f>
        <x:v>366.39999999999986</x:v>
      </x:c>
      <x:c r="F1158" t="n">
        <x:f>Dashboard_Live_Data!T177</x:f>
        <x:v>1583.9108267360073</x:v>
      </x:c>
      <x:c r="G1158" t="n">
        <x:f>Dashboard_Live_Data!U177</x:f>
        <x:v>366.39999999999986</x:v>
      </x:c>
      <x:c r="H1158" t="n">
        <x:f>Dashboard_Live_Data!V177</x:f>
        <x:v>1531.191955469406</x:v>
      </x:c>
    </x:row>
    <x:row r="1159">
      <x:c r="A1159" t="n">
        <x:f>Dashboard_Live_Data!O178</x:f>
        <x:v>28.02000000000001</x:v>
      </x:c>
      <x:c r="B1159" t="n">
        <x:f>Dashboard_Live_Data!P178</x:f>
        <x:v>2674.33249438183</x:v>
      </x:c>
      <x:c r="C1159" t="n">
        <x:f>Dashboard_Live_Data!Q178</x:f>
        <x:v>186.80000000000007</x:v>
      </x:c>
      <x:c r="D1159" t="n">
        <x:f>Dashboard_Live_Data!R178</x:f>
        <x:v>764.5454843296961</x:v>
      </x:c>
      <x:c r="E1159" t="n">
        <x:f>Dashboard_Live_Data!S178</x:f>
        <x:v>373.60000000000014</x:v>
      </x:c>
      <x:c r="F1159" t="n">
        <x:f>Dashboard_Live_Data!T178</x:f>
        <x:v>1637.5054038217343</x:v>
      </x:c>
      <x:c r="G1159" t="n">
        <x:f>Dashboard_Live_Data!U178</x:f>
        <x:v>373.60000000000014</x:v>
      </x:c>
      <x:c r="H1159" t="n">
        <x:f>Dashboard_Live_Data!V178</x:f>
        <x:v>1585.341916773638</x:v>
      </x:c>
    </x:row>
    <x:row r="1160">
      <x:c r="A1160" t="n">
        <x:f>Dashboard_Live_Data!O179</x:f>
        <x:v>28.5</x:v>
      </x:c>
      <x:c r="B1160" t="n">
        <x:f>Dashboard_Live_Data!P179</x:f>
        <x:v>2674.5335935035428</x:v>
      </x:c>
      <x:c r="C1160" t="n">
        <x:f>Dashboard_Live_Data!Q179</x:f>
        <x:v>190</x:v>
      </x:c>
      <x:c r="D1160" t="n">
        <x:f>Dashboard_Live_Data!R179</x:f>
        <x:v>782.8957791860126</x:v>
      </x:c>
      <x:c r="E1160" t="n">
        <x:f>Dashboard_Live_Data!S179</x:f>
        <x:v>380</x:v>
      </x:c>
      <x:c r="F1160" t="n">
        <x:f>Dashboard_Live_Data!T179</x:f>
        <x:v>1686.0205669350094</x:v>
      </x:c>
      <x:c r="G1160" t="n">
        <x:f>Dashboard_Live_Data!U179</x:f>
        <x:v>380</x:v>
      </x:c>
      <x:c r="H1160" t="n">
        <x:f>Dashboard_Live_Data!V179</x:f>
        <x:v>1634.3598276911957</x:v>
      </x:c>
    </x:row>
    <x:row r="1161">
      <x:c r="A1161" t="n">
        <x:f>Dashboard_Live_Data!O180</x:f>
        <x:v>28.980000000000004</x:v>
      </x:c>
      <x:c r="B1161" t="n">
        <x:f>Dashboard_Live_Data!P180</x:f>
        <x:v>2674.738108321591</x:v>
      </x:c>
      <x:c r="C1161" t="n">
        <x:f>Dashboard_Live_Data!Q180</x:f>
        <x:v>193.20000000000005</x:v>
      </x:c>
      <x:c r="D1161" t="n">
        <x:f>Dashboard_Live_Data!R180</x:f>
        <x:v>801.557756332883</x:v>
      </x:c>
      <x:c r="E1161" t="n">
        <x:f>Dashboard_Live_Data!S180</x:f>
        <x:v>386.4000000000001</x:v>
      </x:c>
      <x:c r="F1161" t="n">
        <x:f>Dashboard_Live_Data!T180</x:f>
        <x:v>1735.3597667890638</x:v>
      </x:c>
      <x:c r="G1161" t="n">
        <x:f>Dashboard_Live_Data!U180</x:f>
        <x:v>386.4000000000001</x:v>
      </x:c>
      <x:c r="H1161" t="n">
        <x:f>Dashboard_Live_Data!V180</x:f>
        <x:v>1684.2103145903695</x:v>
      </x:c>
    </x:row>
    <x:row r="1162">
      <x:c r="A1162" t="n">
        <x:f>Dashboard_Live_Data!O181</x:f>
        <x:v>29.519999999999996</x:v>
      </x:c>
      <x:c r="B1162" t="n">
        <x:f>Dashboard_Live_Data!P181</x:f>
        <x:v>2674.9722703164202</x:v>
      </x:c>
      <x:c r="C1162" t="n">
        <x:f>Dashboard_Live_Data!Q181</x:f>
        <x:v>196.79999999999995</x:v>
      </x:c>
      <x:c r="D1162" t="n">
        <x:f>Dashboard_Live_Data!R181</x:f>
        <x:v>822.9250383610382</x:v>
      </x:c>
      <x:c r="E1162" t="n">
        <x:f>Dashboard_Live_Data!S181</x:f>
        <x:v>393.5999999999999</x:v>
      </x:c>
      <x:c r="F1162" t="n">
        <x:f>Dashboard_Live_Data!T181</x:f>
        <x:v>1791.8513480415836</x:v>
      </x:c>
      <x:c r="G1162" t="n">
        <x:f>Dashboard_Live_Data!U181</x:f>
        <x:v>393.5999999999999</x:v>
      </x:c>
      <x:c r="H1162" t="n">
        <x:f>Dashboard_Live_Data!V181</x:f>
        <x:v>1741.2873008299623</x:v>
      </x:c>
    </x:row>
    <x:row r="1163">
      <x:c r="A1163" t="n">
        <x:f>Dashboard_Live_Data!O182</x:f>
        <x:v>30</x:v>
      </x:c>
      <x:c r="B1163" t="n">
        <x:f>Dashboard_Live_Data!P182</x:f>
        <x:v>2675.184043489179</x:v>
      </x:c>
      <x:c r="C1163" t="n">
        <x:f>Dashboard_Live_Data!Q182</x:f>
        <x:v>200</x:v>
      </x:c>
      <x:c r="D1163" t="n">
        <x:f>Dashboard_Live_Data!R182</x:f>
        <x:v>842.2493403753339</x:v>
      </x:c>
      <x:c r="E1163" t="n">
        <x:f>Dashboard_Live_Data!S182</x:f>
        <x:v>400</x:v>
      </x:c>
      <x:c r="F1163" t="n">
        <x:f>Dashboard_Live_Data!T182</x:f>
        <x:v>1842.9416259697903</x:v>
      </x:c>
      <x:c r="G1163" t="n">
        <x:f>Dashboard_Live_Data!U182</x:f>
        <x:v>400</x:v>
      </x:c>
      <x:c r="H1163" t="n">
        <x:f>Dashboard_Live_Data!V182</x:f>
        <x:v>1792.9070116900673</x:v>
      </x:c>
    </x:row>
    <x:row r="1164">
      <x:c r="A1164" t="n">
        <x:f>Dashboard_Live_Data!O183</x:f>
        <x:v>30.480000000000004</x:v>
      </x:c>
      <x:c r="B1164" t="n">
        <x:f>Dashboard_Live_Data!P183</x:f>
        <x:v>2675.3992323582734</x:v>
      </x:c>
      <x:c r="C1164" t="n">
        <x:f>Dashboard_Live_Data!Q183</x:f>
        <x:v>203.20000000000005</x:v>
      </x:c>
      <x:c r="D1164" t="n">
        <x:f>Dashboard_Live_Data!R183</x:f>
        <x:v>861.8853246801829</x:v>
      </x:c>
      <x:c r="E1164" t="n">
        <x:f>Dashboard_Live_Data!S183</x:f>
        <x:v>406.4000000000001</x:v>
      </x:c>
      <x:c r="F1164" t="n">
        <x:f>Dashboard_Live_Data!T183</x:f>
        <x:v>1894.8559406387742</x:v>
      </x:c>
      <x:c r="G1164" t="n">
        <x:f>Dashboard_Live_Data!U183</x:f>
        <x:v>406.4000000000001</x:v>
      </x:c>
      <x:c r="H1164" t="n">
        <x:f>Dashboard_Live_Data!V183</x:f>
        <x:v>1845.3592985317866</x:v>
      </x:c>
    </x:row>
    <x:row r="1165">
      <x:c r="A1165" t="n">
        <x:f>Dashboard_Live_Data!O184</x:f>
        <x:v>31.019999999999996</x:v>
      </x:c>
      <x:c r="B1165" t="n">
        <x:f>Dashboard_Live_Data!P184</x:f>
        <x:v>2675.6454026605297</x:v>
      </x:c>
      <x:c r="C1165" t="n">
        <x:f>Dashboard_Live_Data!Q184</x:f>
        <x:v>206.79999999999995</x:v>
      </x:c>
      <x:c r="D1165" t="n">
        <x:f>Dashboard_Live_Data!R184</x:f>
        <x:v>884.3483647610641</x:v>
      </x:c>
      <x:c r="E1165" t="n">
        <x:f>Dashboard_Live_Data!S184</x:f>
        <x:v>413.5999999999999</x:v>
      </x:c>
      <x:c r="F1165" t="n">
        <x:f>Dashboard_Live_Data!T184</x:f>
        <x:v>1954.2445260580898</x:v>
      </x:c>
      <x:c r="G1165" t="n">
        <x:f>Dashboard_Live_Data!U184</x:f>
        <x:v>413.5999999999999</x:v>
      </x:c>
      <x:c r="H1165" t="n">
        <x:f>Dashboard_Live_Data!V184</x:f>
        <x:v>1905.3633097067434</x:v>
      </x:c>
    </x:row>
    <x:row r="1166">
      <x:c r="A1166" t="n">
        <x:f>Dashboard_Live_Data!O185</x:f>
        <x:v>31.5</x:v>
      </x:c>
      <x:c r="B1166" t="n">
        <x:f>Dashboard_Live_Data!P185</x:f>
        <x:v>2675.867849884336</x:v>
      </x:c>
      <x:c r="C1166" t="n">
        <x:f>Dashboard_Live_Data!Q185</x:f>
        <x:v>210</x:v>
      </x:c>
      <x:c r="D1166" t="n">
        <x:f>Dashboard_Live_Data!R185</x:f>
        <x:v>904.6466739333382</x:v>
      </x:c>
      <x:c r="E1166" t="n">
        <x:f>Dashboard_Live_Data!S185</x:f>
        <x:v>420</x:v>
      </x:c>
      <x:c r="F1166" t="n">
        <x:f>Dashboard_Live_Data!T185</x:f>
        <x:v>2007.9099188012265</x:v>
      </x:c>
      <x:c r="G1166" t="n">
        <x:f>Dashboard_Live_Data!U185</x:f>
        <x:v>420</x:v>
      </x:c>
      <x:c r="H1166" t="n">
        <x:f>Dashboard_Live_Data!V185</x:f>
        <x:v>1959.584820509394</x:v>
      </x:c>
    </x:row>
    <x:row r="1167">
      <x:c r="A1167" t="n">
        <x:f>Dashboard_Live_Data!O186</x:f>
        <x:v>31.97999999999999</x:v>
      </x:c>
      <x:c r="B1167" t="n">
        <x:f>Dashboard_Live_Data!P186</x:f>
        <x:v>2676.093712804476</x:v>
      </x:c>
      <x:c r="C1167" t="n">
        <x:f>Dashboard_Live_Data!Q186</x:f>
        <x:v>213.19999999999993</x:v>
      </x:c>
      <x:c r="D1167" t="n">
        <x:f>Dashboard_Live_Data!R186</x:f>
        <x:v>925.256665396165</x:v>
      </x:c>
      <x:c r="E1167" t="n">
        <x:f>Dashboard_Live_Data!S186</x:f>
        <x:v>426.39999999999986</x:v>
      </x:c>
      <x:c r="F1167" t="n">
        <x:f>Dashboard_Live_Data!T186</x:f>
        <x:v>2062.3993482851374</x:v>
      </x:c>
      <x:c r="G1167" t="n">
        <x:f>Dashboard_Live_Data!U186</x:f>
        <x:v>426.39999999999986</x:v>
      </x:c>
      <x:c r="H1167" t="n">
        <x:f>Dashboard_Live_Data!V186</x:f>
        <x:v>2014.638907293657</x:v>
      </x:c>
    </x:row>
    <x:row r="1168">
      <x:c r="A1168" t="n">
        <x:f>Dashboard_Live_Data!O187</x:f>
        <x:v>32.519999999999996</x:v>
      </x:c>
      <x:c r="B1168" t="n">
        <x:f>Dashboard_Live_Data!P187</x:f>
        <x:v>2676.3518914141596</x:v>
      </x:c>
      <x:c r="C1168" t="n">
        <x:f>Dashboard_Live_Data!Q187</x:f>
        <x:v>216.80000000000007</x:v>
      </x:c>
      <x:c r="D1168" t="n">
        <x:f>Dashboard_Live_Data!R187</x:f>
        <x:v>948.8154635297733</x:v>
      </x:c>
      <x:c r="E1168" t="n">
        <x:f>Dashboard_Live_Data!S187</x:f>
        <x:v>433.60000000000014</x:v>
      </x:c>
      <x:c r="F1168" t="n">
        <x:f>Dashboard_Live_Data!T187</x:f>
        <x:v>2124.684937871253</x:v>
      </x:c>
      <x:c r="G1168" t="n">
        <x:f>Dashboard_Live_Data!U187</x:f>
        <x:v>433.60000000000014</x:v>
      </x:c>
      <x:c r="H1168" t="n">
        <x:f>Dashboard_Live_Data!V187</x:f>
        <x:v>2077.5699434039807</x:v>
      </x:c>
    </x:row>
    <x:row r="1169">
      <x:c r="A1169" t="n">
        <x:f>Dashboard_Live_Data!O188</x:f>
        <x:v>33</x:v>
      </x:c>
      <x:c r="B1169" t="n">
        <x:f>Dashboard_Live_Data!P188</x:f>
        <x:v>2676.585012689012</x:v>
      </x:c>
      <x:c r="C1169" t="n">
        <x:f>Dashboard_Live_Data!Q188</x:f>
        <x:v>220</x:v>
      </x:c>
      <x:c r="D1169" t="n">
        <x:f>Dashboard_Live_Data!R188</x:f>
        <x:v>970.0877798600259</x:v>
      </x:c>
      <x:c r="E1169" t="n">
        <x:f>Dashboard_Live_Data!S188</x:f>
        <x:v>440</x:v>
      </x:c>
      <x:c r="F1169" t="n">
        <x:f>Dashboard_Live_Data!T188</x:f>
        <x:v>2180.9254454293177</x:v>
      </x:c>
      <x:c r="G1169" t="n">
        <x:f>Dashboard_Live_Data!U188</x:f>
        <x:v>440</x:v>
      </x:c>
      <x:c r="H1169" t="n">
        <x:f>Dashboard_Live_Data!V188</x:f>
        <x:v>2134.393254149176</x:v>
      </x:c>
    </x:row>
    <x:row r="1170">
      <x:c r="A1170" t="n">
        <x:f>Dashboard_Live_Data!O189</x:f>
        <x:v>33.480000000000004</x:v>
      </x:c>
      <x:c r="B1170" t="n">
        <x:f>Dashboard_Live_Data!P189</x:f>
        <x:v>2676.821549660199</x:v>
      </x:c>
      <x:c r="C1170" t="n">
        <x:f>Dashboard_Live_Data!Q189</x:f>
        <x:v>223.20000000000005</x:v>
      </x:c>
      <x:c r="D1170" t="n">
        <x:f>Dashboard_Live_Data!R189</x:f>
        <x:v>991.671778480832</x:v>
      </x:c>
      <x:c r="E1170" t="n">
        <x:f>Dashboard_Live_Data!S189</x:f>
        <x:v>446.4000000000001</x:v>
      </x:c>
      <x:c r="F1170" t="n">
        <x:f>Dashboard_Live_Data!T189</x:f>
        <x:v>2237.989989728162</x:v>
      </x:c>
      <x:c r="G1170" t="n">
        <x:f>Dashboard_Live_Data!U189</x:f>
        <x:v>446.4000000000001</x:v>
      </x:c>
      <x:c r="H1170" t="n">
        <x:f>Dashboard_Live_Data!V189</x:f>
        <x:v>2192.0491408759867</x:v>
      </x:c>
    </x:row>
    <x:row r="1171">
      <x:c r="A1171" t="n">
        <x:f>Dashboard_Live_Data!O190</x:f>
        <x:v>34.019999999999996</x:v>
      </x:c>
      <x:c r="B1171" t="n">
        <x:f>Dashboard_Live_Data!P190</x:f>
        <x:v>2677.091736577309</x:v>
      </x:c>
      <x:c r="C1171" t="n">
        <x:f>Dashboard_Live_Data!Q190</x:f>
        <x:v>226.79999999999995</x:v>
      </x:c>
      <x:c r="D1171" t="n">
        <x:f>Dashboard_Live_Data!R190</x:f>
        <x:v>1016.3263346671646</x:v>
      </x:c>
      <x:c r="E1171" t="n">
        <x:f>Dashboard_Live_Data!S190</x:f>
        <x:v>453.5999999999999</x:v>
      </x:c>
      <x:c r="F1171" t="n">
        <x:f>Dashboard_Live_Data!T190</x:f>
        <x:v>2303.1725834810677</x:v>
      </x:c>
      <x:c r="G1171" t="n">
        <x:f>Dashboard_Live_Data!U190</x:f>
        <x:v>453.5999999999999</x:v>
      </x:c>
      <x:c r="H1171" t="n">
        <x:f>Dashboard_Live_Data!V190</x:f>
        <x:v>2257.90720192167</x:v>
      </x:c>
    </x:row>
    <x:row r="1172">
      <x:c r="A1172" t="n">
        <x:f>Dashboard_Live_Data!O191</x:f>
        <x:v>34.5</x:v>
      </x:c>
      <x:c r="B1172" t="n">
        <x:f>Dashboard_Live_Data!P191</x:f>
        <x:v>2677.3355319032075</x:v>
      </x:c>
      <x:c r="C1172" t="n">
        <x:f>Dashboard_Live_Data!Q191</x:f>
        <x:v>230</x:v>
      </x:c>
      <x:c r="D1172" t="n">
        <x:f>Dashboard_Live_Data!R191</x:f>
        <x:v>1038.572658155396</x:v>
      </x:c>
      <x:c r="E1172" t="n">
        <x:f>Dashboard_Live_Data!S191</x:f>
        <x:v>460</x:v>
      </x:c>
      <x:c r="F1172" t="n">
        <x:f>Dashboard_Live_Data!T191</x:f>
        <x:v>2361.988205854064</x:v>
      </x:c>
      <x:c r="G1172" t="n">
        <x:f>Dashboard_Live_Data!U191</x:f>
        <x:v>460</x:v>
      </x:c>
      <x:c r="H1172" t="n">
        <x:f>Dashboard_Live_Data!V191</x:f>
        <x:v>2317.3323126094115</x:v>
      </x:c>
    </x:row>
    <x:row r="1173">
      <x:c r="A1173" t="n">
        <x:f>Dashboard_Live_Data!O192</x:f>
        <x:v>34.980000000000004</x:v>
      </x:c>
      <x:c r="B1173" t="n">
        <x:f>Dashboard_Live_Data!P192</x:f>
        <x:v>2677.582742925441</x:v>
      </x:c>
      <x:c r="C1173" t="n">
        <x:f>Dashboard_Live_Data!Q192</x:f>
        <x:v>233.19999999999993</x:v>
      </x:c>
      <x:c r="D1173" t="n">
        <x:f>Dashboard_Live_Data!R192</x:f>
        <x:v>1061.1306639341801</x:v>
      </x:c>
      <x:c r="E1173" t="n">
        <x:f>Dashboard_Live_Data!S192</x:f>
        <x:v>466.39999999999986</x:v>
      </x:c>
      <x:c r="F1173" t="n">
        <x:f>Dashboard_Live_Data!T192</x:f>
        <x:v>2421.627864967836</x:v>
      </x:c>
      <x:c r="G1173" t="n">
        <x:f>Dashboard_Live_Data!U192</x:f>
        <x:v>466.39999999999986</x:v>
      </x:c>
      <x:c r="H1173" t="n">
        <x:f>Dashboard_Live_Data!V192</x:f>
        <x:v>2377.5899992787668</x:v>
      </x:c>
    </x:row>
    <x:row r="1174">
      <x:c r="A1174" t="n">
        <x:f>Dashboard_Live_Data!O193</x:f>
        <x:v>35.52000000000001</x:v>
      </x:c>
      <x:c r="B1174" t="n">
        <x:f>Dashboard_Live_Data!P193</x:f>
        <x:v>2677.8649381499786</x:v>
      </x:c>
      <x:c r="C1174" t="n">
        <x:f>Dashboard_Live_Data!Q193</x:f>
        <x:v>236.80000000000007</x:v>
      </x:c>
      <x:c r="D1174" t="n">
        <x:f>Dashboard_Live_Data!R193</x:f>
        <x:v>1086.8809781732407</x:v>
      </x:c>
      <x:c r="E1174" t="n">
        <x:f>Dashboard_Live_Data!S193</x:f>
        <x:v>473.60000000000014</x:v>
      </x:c>
      <x:c r="F1174" t="n">
        <x:f>Dashboard_Live_Data!T193</x:f>
        <x:v>2489.7074628875434</x:v>
      </x:c>
      <x:c r="G1174" t="n">
        <x:f>Dashboard_Live_Data!U193</x:f>
        <x:v>473.60000000000014</x:v>
      </x:c>
      <x:c r="H1174" t="n">
        <x:f>Dashboard_Live_Data!V193</x:f>
        <x:v>2446.3750852598187</x:v>
      </x:c>
    </x:row>
    <x:row r="1175">
      <x:c r="A1175" t="n">
        <x:f>Dashboard_Live_Data!O194</x:f>
        <x:v>36</x:v>
      </x:c>
      <x:c r="B1175" t="n">
        <x:f>Dashboard_Live_Data!P194</x:f>
        <x:v>2678.119407526923</x:v>
      </x:c>
      <x:c r="C1175" t="n">
        <x:f>Dashboard_Live_Data!Q194</x:f>
        <x:v>240</x:v>
      </x:c>
      <x:c r="D1175" t="n">
        <x:f>Dashboard_Live_Data!R194</x:f>
        <x:v>1110.1013088194502</x:v>
      </x:c>
      <x:c r="E1175" t="n">
        <x:f>Dashboard_Live_Data!S194</x:f>
        <x:v>480</x:v>
      </x:c>
      <x:c r="F1175" t="n">
        <x:f>Dashboard_Live_Data!T194</x:f>
        <x:v>2551.098200075467</x:v>
      </x:c>
      <x:c r="G1175" t="n">
        <x:f>Dashboard_Live_Data!U194</x:f>
        <x:v>480</x:v>
      </x:c>
      <x:c r="H1175" t="n">
        <x:f>Dashboard_Live_Data!V194</x:f>
        <x:v>2508.4019958901035</x:v>
      </x:c>
    </x:row>
    <x:row r="1176">
      <x:c r="A1176" t="n">
        <x:f>Dashboard_Live_Data!O195</x:f>
        <x:v>36.480000000000004</x:v>
      </x:c>
      <x:c r="B1176" t="n">
        <x:f>Dashboard_Live_Data!P195</x:f>
        <x:v>2678.377292600203</x:v>
      </x:c>
      <x:c r="C1176" t="n">
        <x:f>Dashboard_Live_Data!Q195</x:f>
        <x:v>243.20000000000005</x:v>
      </x:c>
      <x:c r="D1176" t="n">
        <x:f>Dashboard_Live_Data!R195</x:f>
        <x:v>1133.6333217562135</x:v>
      </x:c>
      <x:c r="E1176" t="n">
        <x:f>Dashboard_Live_Data!S195</x:f>
        <x:v>486.4000000000001</x:v>
      </x:c>
      <x:c r="F1176" t="n">
        <x:f>Dashboard_Live_Data!T195</x:f>
        <x:v>2613.31297400417</x:v>
      </x:c>
      <x:c r="G1176" t="n">
        <x:f>Dashboard_Live_Data!U195</x:f>
        <x:v>486.4000000000001</x:v>
      </x:c>
      <x:c r="H1176" t="n">
        <x:f>Dashboard_Live_Data!V195</x:f>
        <x:v>2571.2614825020055</x:v>
      </x:c>
    </x:row>
    <x:row r="1177">
      <x:c r="A1177" t="n">
        <x:f>Dashboard_Live_Data!O196</x:f>
        <x:v>37.019999999999996</x:v>
      </x:c>
      <x:c r="B1177" t="n">
        <x:f>Dashboard_Live_Data!P196</x:f>
        <x:v>2678.6714961321677</x:v>
      </x:c>
      <x:c r="C1177" t="n">
        <x:f>Dashboard_Live_Data!Q196</x:f>
        <x:v>246.79999999999995</x:v>
      </x:c>
      <x:c r="D1177" t="n">
        <x:f>Dashboard_Live_Data!R196</x:f>
        <x:v>1160.4793940479979</x:v>
      </x:c>
      <x:c r="E1177" t="n">
        <x:f>Dashboard_Live_Data!S196</x:f>
        <x:v>493.5999999999999</x:v>
      </x:c>
      <x:c r="F1177" t="n">
        <x:f>Dashboard_Live_Data!T196</x:f>
        <x:v>2684.289576090669</x:v>
      </x:c>
      <x:c r="G1177" t="n">
        <x:f>Dashboard_Live_Data!U196</x:f>
        <x:v>493.5999999999999</x:v>
      </x:c>
      <x:c r="H1177" t="n">
        <x:f>Dashboard_Live_Data!V196</x:f>
        <x:v>2642.973593418417</x:v>
      </x:c>
    </x:row>
    <x:row r="1178">
      <x:c r="A1178" t="n">
        <x:f>Dashboard_Live_Data!O197</x:f>
        <x:v>37.5</x:v>
      </x:c>
      <x:c r="B1178" t="n">
        <x:f>Dashboard_Live_Data!P197</x:f>
        <x:v>2678.9366395601587</x:v>
      </x:c>
      <x:c r="C1178" t="n">
        <x:f>Dashboard_Live_Data!Q197</x:f>
        <x:v>250</x:v>
      </x:c>
      <x:c r="D1178" t="n">
        <x:f>Dashboard_Live_Data!R197</x:f>
        <x:v>1184.6737318521868</x:v>
      </x:c>
      <x:c r="E1178" t="n">
        <x:f>Dashboard_Live_Data!S197</x:f>
        <x:v>500</x:v>
      </x:c>
      <x:c r="F1178" t="n">
        <x:f>Dashboard_Live_Data!T197</x:f>
        <x:v>2748.2554280935246</x:v>
      </x:c>
      <x:c r="G1178" t="n">
        <x:f>Dashboard_Live_Data!U197</x:f>
        <x:v>500</x:v>
      </x:c>
      <x:c r="H1178" t="n">
        <x:f>Dashboard_Live_Data!V197</x:f>
        <x:v>2707.6023039912498</x:v>
      </x:c>
    </x:row>
    <x:row r="1179">
      <x:c r="A1179" t="n">
        <x:f>Dashboard_Live_Data!O198</x:f>
        <x:v>37.980000000000004</x:v>
      </x:c>
      <x:c r="B1179" t="n">
        <x:f>Dashboard_Live_Data!P198</x:f>
        <x:v>2679.205198684485</x:v>
      </x:c>
      <x:c r="C1179" t="n">
        <x:f>Dashboard_Live_Data!Q198</x:f>
        <x:v>253.20000000000005</x:v>
      </x:c>
      <x:c r="D1179" t="n">
        <x:f>Dashboard_Live_Data!R198</x:f>
        <x:v>1209.1797519469292</x:v>
      </x:c>
      <x:c r="E1179" t="n">
        <x:f>Dashboard_Live_Data!S198</x:f>
        <x:v>506.4000000000001</x:v>
      </x:c>
      <x:c r="F1179" t="n">
        <x:f>Dashboard_Live_Data!T198</x:f>
        <x:v>2813.0453168371578</x:v>
      </x:c>
      <x:c r="G1179" t="n">
        <x:f>Dashboard_Live_Data!U198</x:f>
        <x:v>506.4000000000001</x:v>
      </x:c>
      <x:c r="H1179" t="n">
        <x:f>Dashboard_Live_Data!V198</x:f>
        <x:v>2773.0635905456975</x:v>
      </x:c>
    </x:row>
    <x:row r="1180">
      <x:c r="A1180" t="n">
        <x:f>Dashboard_Live_Data!O199</x:f>
        <x:v>38.519999999999996</x:v>
      </x:c>
      <x:c r="B1180" t="n">
        <x:f>Dashboard_Live_Data!P199</x:f>
        <x:v>2679.5114105238763</x:v>
      </x:c>
      <x:c r="C1180" t="n">
        <x:f>Dashboard_Live_Data!Q199</x:f>
        <x:v>256.79999999999995</x:v>
      </x:c>
      <x:c r="D1180" t="n">
        <x:f>Dashboard_Live_Data!R199</x:f>
        <x:v>1237.1215822914396</x:v>
      </x:c>
      <x:c r="E1180" t="n">
        <x:f>Dashboard_Live_Data!S199</x:f>
        <x:v>513.5999999999999</x:v>
      </x:c>
      <x:c r="F1180" t="n">
        <x:f>Dashboard_Live_Data!T199</x:f>
        <x:v>2886.918923090452</x:v>
      </x:c>
      <x:c r="G1180" t="n">
        <x:f>Dashboard_Live_Data!U199</x:f>
        <x:v>513.5999999999999</x:v>
      </x:c>
      <x:c r="H1180" t="n">
        <x:f>Dashboard_Live_Data!V199</x:f>
        <x:v>2847.7027263974724</x:v>
      </x:c>
    </x:row>
    <x:row r="1181">
      <x:c r="A1181" t="n">
        <x:f>Dashboard_Live_Data!O200</x:f>
        <x:v>39</x:v>
      </x:c>
      <x:c r="B1181" t="n">
        <x:f>Dashboard_Live_Data!P200</x:f>
        <x:v>2679.7872280029137</x:v>
      </x:c>
      <x:c r="C1181" t="n">
        <x:f>Dashboard_Live_Data!Q200</x:f>
        <x:v>260</x:v>
      </x:c>
      <x:c r="D1181" t="n">
        <x:f>Dashboard_Live_Data!R200</x:f>
        <x:v>1262.2899272536067</x:v>
      </x:c>
      <x:c r="E1181" t="n">
        <x:f>Dashboard_Live_Data!S200</x:f>
        <x:v>520</x:v>
      </x:c>
      <x:c r="F1181" t="n">
        <x:f>Dashboard_Live_Data!T200</x:f>
        <x:v>2953.459889908238</x:v>
      </x:c>
      <x:c r="G1181" t="n">
        <x:f>Dashboard_Live_Data!U200</x:f>
        <x:v>520</x:v>
      </x:c>
      <x:c r="H1181" t="n">
        <x:f>Dashboard_Live_Data!V200</x:f>
        <x:v>2914.9332369128515</x:v>
      </x:c>
    </x:row>
    <x:row r="1182">
      <x:c r="A1182" t="n">
        <x:f>Dashboard_Live_Data!O201</x:f>
        <x:v>39.47999999999999</x:v>
      </x:c>
      <x:c r="B1182" t="n">
        <x:f>Dashboard_Live_Data!P201</x:f>
        <x:v>2680.0664611782863</x:v>
      </x:c>
      <x:c r="C1182" t="n">
        <x:f>Dashboard_Live_Data!Q201</x:f>
        <x:v>263.19999999999993</x:v>
      </x:c>
      <x:c r="D1182" t="n">
        <x:f>Dashboard_Live_Data!R201</x:f>
        <x:v>1287.7699545063265</x:v>
      </x:c>
      <x:c r="E1182" t="n">
        <x:f>Dashboard_Live_Data!S201</x:f>
        <x:v>526.3999999999999</x:v>
      </x:c>
      <x:c r="F1182" t="n">
        <x:f>Dashboard_Live_Data!T201</x:f>
        <x:v>3020.8248934667977</x:v>
      </x:c>
      <x:c r="G1182" t="n">
        <x:f>Dashboard_Live_Data!U201</x:f>
        <x:v>526.3999999999999</x:v>
      </x:c>
      <x:c r="H1182" t="n">
        <x:f>Dashboard_Live_Data!V201</x:f>
        <x:v>2982.996323409842</x:v>
      </x:c>
    </x:row>
    <x:row r="1183">
      <x:c r="A1183" t="n">
        <x:f>Dashboard_Live_Data!O202</x:f>
        <x:v>40.019999999999996</x:v>
      </x:c>
      <x:c r="B1183" t="n">
        <x:f>Dashboard_Live_Data!P202</x:f>
        <x:v>2680.3846813251052</x:v>
      </x:c>
      <x:c r="C1183" t="n">
        <x:f>Dashboard_Live_Data!Q202</x:f>
        <x:v>266.80000000000007</x:v>
      </x:c>
      <x:c r="D1183" t="n">
        <x:f>Dashboard_Live_Data!R202</x:f>
        <x:v>1316.8075429035648</x:v>
      </x:c>
      <x:c r="E1183" t="n">
        <x:f>Dashboard_Live_Data!S202</x:f>
        <x:v>533.6000000000001</x:v>
      </x:c>
      <x:c r="F1183" t="n">
        <x:f>Dashboard_Live_Data!T202</x:f>
        <x:v>3097.5955038868938</x:v>
      </x:c>
      <x:c r="G1183" t="n">
        <x:f>Dashboard_Live_Data!U202</x:f>
        <x:v>533.6000000000001</x:v>
      </x:c>
      <x:c r="H1183" t="n">
        <x:f>Dashboard_Live_Data!V202</x:f>
        <x:v>3060.562484196985</x:v>
      </x:c>
    </x:row>
    <x:row r="1184">
      <x:c r="A1184" t="n">
        <x:f>Dashboard_Live_Data!O203</x:f>
        <x:v>40.5</x:v>
      </x:c>
      <x:c r="B1184" t="n">
        <x:f>Dashboard_Live_Data!P203</x:f>
        <x:v>2680.671172855189</x:v>
      </x:c>
      <x:c r="C1184" t="n">
        <x:f>Dashboard_Live_Data!Q203</x:f>
        <x:v>270</x:v>
      </x:c>
      <x:c r="D1184" t="n">
        <x:f>Dashboard_Live_Data!R203</x:f>
        <x:v>1342.9498950237103</x:v>
      </x:c>
      <x:c r="E1184" t="n">
        <x:f>Dashboard_Live_Data!S203</x:f>
        <x:v>540</x:v>
      </x:c>
      <x:c r="F1184" t="n">
        <x:f>Dashboard_Live_Data!T203</x:f>
        <x:v>3166.7115855196066</x:v>
      </x:c>
      <x:c r="G1184" t="n">
        <x:f>Dashboard_Live_Data!U203</x:f>
        <x:v>540</x:v>
      </x:c>
      <x:c r="H1184" t="n">
        <x:f>Dashboard_Live_Data!V203</x:f>
        <x:v>3130.3947946549083</x:v>
      </x:c>
    </x:row>
    <x:row r="1185">
      <x:c r="A1185" t="n">
        <x:f>Dashboard_Live_Data!O204</x:f>
        <x:v>40.980000000000004</x:v>
      </x:c>
      <x:c r="B1185" t="n">
        <x:f>Dashboard_Live_Data!P204</x:f>
        <x:v>2680.9610800816076</x:v>
      </x:c>
      <x:c r="C1185" t="n">
        <x:f>Dashboard_Live_Data!Q204</x:f>
        <x:v>273.20000000000005</x:v>
      </x:c>
      <x:c r="D1185" t="n">
        <x:f>Dashboard_Live_Data!R204</x:f>
        <x:v>1369.4039294344093</x:v>
      </x:c>
      <x:c r="E1185" t="n">
        <x:f>Dashboard_Live_Data!S204</x:f>
        <x:v>546.4000000000001</x:v>
      </x:c>
      <x:c r="F1185" t="n">
        <x:f>Dashboard_Live_Data!T204</x:f>
        <x:v>3236.6517038930992</x:v>
      </x:c>
      <x:c r="G1185" t="n">
        <x:f>Dashboard_Live_Data!U204</x:f>
        <x:v>546.4000000000001</x:v>
      </x:c>
      <x:c r="H1185" t="n">
        <x:f>Dashboard_Live_Data!V204</x:f>
        <x:v>3201.059681094447</x:v>
      </x:c>
    </x:row>
    <x:row r="1186">
      <x:c r="A1186" t="n">
        <x:f>Dashboard_Live_Data!O205</x:f>
        <x:v>41.519999999999996</x:v>
      </x:c>
      <x:c r="B1186" t="n">
        <x:f>Dashboard_Live_Data!P205</x:f>
        <x:v>2681.2913085358537</x:v>
      </x:c>
      <x:c r="C1186" t="n">
        <x:f>Dashboard_Live_Data!Q205</x:f>
        <x:v>276.79999999999995</x:v>
      </x:c>
      <x:c r="D1186" t="n">
        <x:f>Dashboard_Live_Data!R205</x:f>
        <x:v>1399.5372758843714</x:v>
      </x:c>
      <x:c r="E1186" t="n">
        <x:f>Dashboard_Live_Data!S205</x:f>
        <x:v>553.5999999999999</x:v>
      </x:c>
      <x:c r="F1186" t="n">
        <x:f>Dashboard_Live_Data!T205</x:f>
        <x:v>3316.319318479985</x:v>
      </x:c>
      <x:c r="G1186" t="n">
        <x:f>Dashboard_Live_Data!U205</x:f>
        <x:v>553.5999999999999</x:v>
      </x:c>
      <x:c r="H1186" t="n">
        <x:f>Dashboard_Live_Data!V205</x:f>
        <x:v>3281.552866816948</x:v>
      </x:c>
    </x:row>
    <x:row r="1187">
      <x:c r="A1187" t="n">
        <x:f>Dashboard_Live_Data!O206</x:f>
        <x:v>42</x:v>
      </x:c>
      <x:c r="B1187" t="n">
        <x:f>Dashboard_Live_Data!P206</x:f>
        <x:v>2681.588474116984</x:v>
      </x:c>
      <x:c r="C1187" t="n">
        <x:f>Dashboard_Live_Data!Q206</x:f>
        <x:v>280</x:v>
      </x:c>
      <x:c r="D1187" t="n">
        <x:f>Dashboard_Live_Data!R206</x:f>
        <x:v>1426.6536351624961</x:v>
      </x:c>
      <x:c r="E1187" t="n">
        <x:f>Dashboard_Live_Data!S206</x:f>
        <x:v>560</x:v>
      </x:c>
      <x:c r="F1187" t="n">
        <x:f>Dashboard_Live_Data!T206</x:f>
        <x:v>3388.01051492763</x:v>
      </x:c>
      <x:c r="G1187" t="n">
        <x:f>Dashboard_Live_Data!U206</x:f>
        <x:v>560</x:v>
      </x:c>
      <x:c r="H1187" t="n">
        <x:f>Dashboard_Live_Data!V206</x:f>
        <x:v>3353.9869772174184</x:v>
      </x:c>
    </x:row>
    <x:row r="1188">
      <x:c r="A1188" t="n">
        <x:f>Dashboard_Live_Data!O207</x:f>
        <x:v>42.480000000000004</x:v>
      </x:c>
      <x:c r="B1188" t="n">
        <x:f>Dashboard_Live_Data!P207</x:f>
        <x:v>2681.8890553944493</x:v>
      </x:c>
      <x:c r="C1188" t="n">
        <x:f>Dashboard_Live_Data!Q207</x:f>
        <x:v>283.19999999999993</x:v>
      </x:c>
      <x:c r="D1188" t="n">
        <x:f>Dashboard_Live_Data!R207</x:f>
        <x:v>1454.0816767311733</x:v>
      </x:c>
      <x:c r="E1188" t="n">
        <x:f>Dashboard_Live_Data!S207</x:f>
        <x:v>566.3999999999999</x:v>
      </x:c>
      <x:c r="F1188" t="n">
        <x:f>Dashboard_Live_Data!T207</x:f>
        <x:v>3460.5257481160506</x:v>
      </x:c>
      <x:c r="G1188" t="n">
        <x:f>Dashboard_Live_Data!U207</x:f>
        <x:v>566.3999999999999</x:v>
      </x:c>
      <x:c r="H1188" t="n">
        <x:f>Dashboard_Live_Data!V207</x:f>
        <x:v>3427.2536635995016</x:v>
      </x:c>
    </x:row>
    <x:row r="1189">
      <x:c r="A1189" t="n">
        <x:f>Dashboard_Live_Data!O208</x:f>
        <x:v>43.02000000000001</x:v>
      </x:c>
      <x:c r="B1189" t="n">
        <x:f>Dashboard_Live_Data!P208</x:f>
        <x:v>2682.231292156122</x:v>
      </x:c>
      <x:c r="C1189" t="n">
        <x:f>Dashboard_Live_Data!Q208</x:f>
        <x:v>286.80000000000007</x:v>
      </x:c>
      <x:c r="D1189" t="n">
        <x:f>Dashboard_Live_Data!R208</x:f>
        <x:v>1485.3107812338633</x:v>
      </x:c>
      <x:c r="E1189" t="n">
        <x:f>Dashboard_Live_Data!S208</x:f>
        <x:v>573.6000000000001</x:v>
      </x:c>
      <x:c r="F1189" t="n">
        <x:f>Dashboard_Live_Data!T208</x:f>
        <x:v>3543.090366869737</x:v>
      </x:c>
      <x:c r="G1189" t="n">
        <x:f>Dashboard_Live_Data!U208</x:f>
        <x:v>573.6000000000001</x:v>
      </x:c>
      <x:c r="H1189" t="n">
        <x:f>Dashboard_Live_Data!V208</x:f>
        <x:v>3510.673874257372</x:v>
      </x:c>
    </x:row>
    <x:row r="1190">
      <x:c r="A1190" t="n">
        <x:f>Dashboard_Live_Data!O209</x:f>
        <x:v>43.5</x:v>
      </x:c>
      <x:c r="B1190" t="n">
        <x:f>Dashboard_Live_Data!P209</x:f>
        <x:v>2682.539131788299</x:v>
      </x:c>
      <x:c r="C1190" t="n">
        <x:f>Dashboard_Live_Data!Q209</x:f>
        <x:v>290</x:v>
      </x:c>
      <x:c r="D1190" t="n">
        <x:f>Dashboard_Live_Data!R209</x:f>
        <x:v>1513.401147669966</x:v>
      </x:c>
      <x:c r="E1190" t="n">
        <x:f>Dashboard_Live_Data!S209</x:f>
        <x:v>580</x:v>
      </x:c>
      <x:c r="F1190" t="n">
        <x:f>Dashboard_Live_Data!T209</x:f>
        <x:v>3617.3566781323107</x:v>
      </x:c>
      <x:c r="G1190" t="n">
        <x:f>Dashboard_Live_Data!U209</x:f>
        <x:v>580</x:v>
      </x:c>
      <x:c r="H1190" t="n">
        <x:f>Dashboard_Live_Data!V209</x:f>
        <x:v>3585.709784600385</x:v>
      </x:c>
    </x:row>
    <x:row r="1191">
      <x:c r="A1191" t="n">
        <x:f>Dashboard_Live_Data!O210</x:f>
        <x:v>43.980000000000004</x:v>
      </x:c>
      <x:c r="B1191" t="n">
        <x:f>Dashboard_Live_Data!P210</x:f>
        <x:v>2682.85038711681</x:v>
      </x:c>
      <x:c r="C1191" t="n">
        <x:f>Dashboard_Live_Data!Q210</x:f>
        <x:v>293.20000000000005</x:v>
      </x:c>
      <x:c r="D1191" t="n">
        <x:f>Dashboard_Live_Data!R210</x:f>
        <x:v>1541.803196396622</x:v>
      </x:c>
      <x:c r="E1191" t="n">
        <x:f>Dashboard_Live_Data!S210</x:f>
        <x:v>586.4000000000001</x:v>
      </x:c>
      <x:c r="F1191" t="n">
        <x:f>Dashboard_Live_Data!T210</x:f>
        <x:v>3692.4470261356614</x:v>
      </x:c>
      <x:c r="G1191" t="n">
        <x:f>Dashboard_Live_Data!U210</x:f>
        <x:v>586.4000000000001</x:v>
      </x:c>
      <x:c r="H1191" t="n">
        <x:f>Dashboard_Live_Data!V210</x:f>
        <x:v>3661.5782709250157</x:v>
      </x:c>
    </x:row>
    <x:row r="1192">
      <x:c r="A1192" t="n">
        <x:f>Dashboard_Live_Data!O211</x:f>
        <x:v>44.519999999999996</x:v>
      </x:c>
      <x:c r="B1192" t="n">
        <x:f>Dashboard_Live_Data!P211</x:f>
        <x:v>2683.20463218591</x:v>
      </x:c>
      <x:c r="C1192" t="n">
        <x:f>Dashboard_Live_Data!Q211</x:f>
        <x:v>296.79999999999995</x:v>
      </x:c>
      <x:c r="D1192" t="n">
        <x:f>Dashboard_Live_Data!R211</x:f>
        <x:v>1574.1280589520366</x:v>
      </x:c>
      <x:c r="E1192" t="n">
        <x:f>Dashboard_Live_Data!S211</x:f>
        <x:v>593.5999999999999</x:v>
      </x:c>
      <x:c r="F1192" t="n">
        <x:f>Dashboard_Live_Data!T211</x:f>
        <x:v>3777.90864905614</x:v>
      </x:c>
      <x:c r="G1192" t="n">
        <x:f>Dashboard_Live_Data!U211</x:f>
        <x:v>593.5999999999999</x:v>
      </x:c>
      <x:c r="H1192" t="n">
        <x:f>Dashboard_Live_Data!V211</x:f>
        <x:v>3747.9255065182456</x:v>
      </x:c>
    </x:row>
    <x:row r="1193">
      <x:c r="A1193" t="n">
        <x:f>Dashboard_Live_Data!O212</x:f>
        <x:v>45</x:v>
      </x:c>
      <x:c r="B1193" t="n">
        <x:f>Dashboard_Live_Data!P212</x:f>
        <x:v>2683.5231458691333</x:v>
      </x:c>
      <x:c r="C1193" t="n">
        <x:f>Dashboard_Live_Data!Q212</x:f>
        <x:v>300</x:v>
      </x:c>
      <x:c r="D1193" t="n">
        <x:f>Dashboard_Live_Data!R212</x:f>
        <x:v>1603.1924325461182</x:v>
      </x:c>
      <x:c r="E1193" t="n">
        <x:f>Dashboard_Live_Data!S212</x:f>
        <x:v>600</x:v>
      </x:c>
      <x:c r="F1193" t="n">
        <x:f>Dashboard_Live_Data!T212</x:f>
        <x:v>3854.7500751336447</x:v>
      </x:c>
      <x:c r="G1193" t="n">
        <x:f>Dashboard_Live_Data!U212</x:f>
        <x:v>600</x:v>
      </x:c>
      <x:c r="H1193" t="n">
        <x:f>Dashboard_Live_Data!V212</x:f>
        <x:v>3825.5632168038064</x:v>
      </x:c>
    </x:row>
    <x:row r="1194">
      <x:c r="A1194" t="n">
        <x:f>Dashboard_Live_Data!O213</x:f>
        <x:v>45.480000000000004</x:v>
      </x:c>
      <x:c r="B1194" t="n">
        <x:f>Dashboard_Live_Data!P213</x:f>
        <x:v>2683.8450752486906</x:v>
      </x:c>
      <x:c r="C1194" t="n">
        <x:f>Dashboard_Live_Data!Q213</x:f>
        <x:v>303.20000000000005</x:v>
      </x:c>
      <x:c r="D1194" t="n">
        <x:f>Dashboard_Live_Data!R213</x:f>
        <x:v>1632.5684884307536</x:v>
      </x:c>
      <x:c r="E1194" t="n">
        <x:f>Dashboard_Live_Data!S213</x:f>
        <x:v>606.4000000000001</x:v>
      </x:c>
      <x:c r="F1194" t="n">
        <x:f>Dashboard_Live_Data!T213</x:f>
        <x:v>3932.4155379519266</x:v>
      </x:c>
      <x:c r="G1194" t="n">
        <x:f>Dashboard_Live_Data!U213</x:f>
        <x:v>606.4000000000001</x:v>
      </x:c>
      <x:c r="H1194" t="n">
        <x:f>Dashboard_Live_Data!V213</x:f>
        <x:v>3904.0335030709825</x:v>
      </x:c>
    </x:row>
    <x:row r="1195">
      <x:c r="A1195" t="n">
        <x:f>Dashboard_Live_Data!O214</x:f>
        <x:v>46.019999999999996</x:v>
      </x:c>
      <x:c r="B1195" t="n">
        <x:f>Dashboard_Live_Data!P214</x:f>
        <x:v>2684.211328625219</x:v>
      </x:c>
      <x:c r="C1195" t="n">
        <x:f>Dashboard_Live_Data!Q214</x:f>
        <x:v>306.79999999999995</x:v>
      </x:c>
      <x:c r="D1195" t="n">
        <x:f>Dashboard_Live_Data!R214</x:f>
        <x:v>1665.9891090388933</x:v>
      </x:c>
      <x:c r="E1195" t="n">
        <x:f>Dashboard_Live_Data!S214</x:f>
        <x:v>613.5999999999999</x:v>
      </x:c>
      <x:c r="F1195" t="n">
        <x:f>Dashboard_Live_Data!T214</x:f>
        <x:v>4020.7741650392004</x:v>
      </x:c>
      <x:c r="G1195" t="n">
        <x:f>Dashboard_Live_Data!U214</x:f>
        <x:v>613.5999999999999</x:v>
      </x:c>
      <x:c r="H1195" t="n">
        <x:f>Dashboard_Live_Data!V214</x:f>
        <x:v>3993.3077635995755</x:v>
      </x:c>
    </x:row>
    <x:row r="1196">
      <x:c r="A1196" t="n">
        <x:f>Dashboard_Live_Data!O215</x:f>
        <x:v>46.5</x:v>
      </x:c>
      <x:c r="B1196" t="n">
        <x:f>Dashboard_Live_Data!P215</x:f>
        <x:v>2684.540516359488</x:v>
      </x:c>
      <x:c r="C1196" t="n">
        <x:f>Dashboard_Live_Data!Q215</x:f>
        <x:v>310</x:v>
      </x:c>
      <x:c r="D1196" t="n">
        <x:f>Dashboard_Live_Data!R215</x:f>
        <x:v>1696.0274897909542</x:v>
      </x:c>
      <x:c r="E1196" t="n">
        <x:f>Dashboard_Live_Data!S215</x:f>
        <x:v>620</x:v>
      </x:c>
      <x:c r="F1196" t="n">
        <x:f>Dashboard_Live_Data!T215</x:f>
        <x:v>4100.190705931635</x:v>
      </x:c>
      <x:c r="G1196" t="n">
        <x:f>Dashboard_Live_Data!U215</x:f>
        <x:v>620</x:v>
      </x:c>
      <x:c r="H1196" t="n">
        <x:f>Dashboard_Live_Data!V215</x:f>
        <x:v>4073.547273827683</x:v>
      </x:c>
    </x:row>
    <x:row r="1197">
      <x:c r="A1197" t="n">
        <x:f>Dashboard_Live_Data!O216</x:f>
        <x:v>46.97999999999999</x:v>
      </x:c>
      <x:c r="B1197" t="n">
        <x:f>Dashboard_Live_Data!P216</x:f>
        <x:v>2684.873119790092</x:v>
      </x:c>
      <x:c r="C1197" t="n">
        <x:f>Dashboard_Live_Data!Q216</x:f>
        <x:v>313.19999999999993</x:v>
      </x:c>
      <x:c r="D1197" t="n">
        <x:f>Dashboard_Live_Data!R216</x:f>
        <x:v>1726.3775528335661</x:v>
      </x:c>
      <x:c r="E1197" t="n">
        <x:f>Dashboard_Live_Data!S216</x:f>
        <x:v>626.3999999999999</x:v>
      </x:c>
      <x:c r="F1197" t="n">
        <x:f>Dashboard_Live_Data!T216</x:f>
        <x:v>4180.4312835648425</x:v>
      </x:c>
      <x:c r="G1197" t="n">
        <x:f>Dashboard_Live_Data!U216</x:f>
        <x:v>626.3999999999999</x:v>
      </x:c>
      <x:c r="H1197" t="n">
        <x:f>Dashboard_Live_Data!V216</x:f>
        <x:v>4154.619360037401</x:v>
      </x:c>
    </x:row>
    <x:row r="1198">
      <x:c r="A1198" t="n">
        <x:f>Dashboard_Live_Data!O217</x:f>
        <x:v>47.519999999999996</x:v>
      </x:c>
      <x:c r="B1198" t="n">
        <x:f>Dashboard_Live_Data!P217</x:f>
        <x:v>2685.251381474046</x:v>
      </x:c>
      <x:c r="C1198" t="n">
        <x:f>Dashboard_Live_Data!Q217</x:f>
        <x:v>316.80000000000007</x:v>
      </x:c>
      <x:c r="D1198" t="n">
        <x:f>Dashboard_Live_Data!R217</x:f>
        <x:v>1760.893931494435</x:v>
      </x:c>
      <x:c r="E1198" t="n">
        <x:f>Dashboard_Live_Data!S217</x:f>
        <x:v>633.6000000000001</x:v>
      </x:c>
      <x:c r="F1198" t="n">
        <x:f>Dashboard_Live_Data!T217</x:f>
        <x:v>4271.68691481892</x:v>
      </x:c>
      <x:c r="G1198" t="n">
        <x:f>Dashboard_Live_Data!U217</x:f>
        <x:v>633.6000000000001</x:v>
      </x:c>
      <x:c r="H1198" t="n">
        <x:f>Dashboard_Live_Data!V217</x:f>
        <x:v>4246.820645501364</x:v>
      </x:c>
    </x:row>
    <x:row r="1199">
      <x:c r="A1199" t="n">
        <x:f>Dashboard_Live_Data!O218</x:f>
        <x:v>48</x:v>
      </x:c>
      <x:c r="B1199" t="n">
        <x:f>Dashboard_Live_Data!P218</x:f>
        <x:v>2685.591243259362</x:v>
      </x:c>
      <x:c r="C1199" t="n">
        <x:f>Dashboard_Live_Data!Q218</x:f>
        <x:v>320</x:v>
      </x:c>
      <x:c r="D1199" t="n">
        <x:f>Dashboard_Live_Data!R218</x:f>
        <x:v>1791.9063194044727</x:v>
      </x:c>
      <x:c r="E1199" t="n">
        <x:f>Dashboard_Live_Data!S218</x:f>
        <x:v>640</x:v>
      </x:c>
      <x:c r="F1199" t="n">
        <x:f>Dashboard_Live_Data!T218</x:f>
        <x:v>4353.678570526281</x:v>
      </x:c>
      <x:c r="G1199" t="n">
        <x:f>Dashboard_Live_Data!U218</x:f>
        <x:v>640</x:v>
      </x:c>
      <x:c r="H1199" t="n">
        <x:f>Dashboard_Live_Data!V218</x:f>
        <x:v>4329.661955672014</x:v>
      </x:c>
    </x:row>
    <x:row r="1200">
      <x:c r="A1200" t="n">
        <x:f>Dashboard_Live_Data!O219</x:f>
        <x:v>48.480000000000004</x:v>
      </x:c>
      <x:c r="B1200" t="n">
        <x:f>Dashboard_Live_Data!P219</x:f>
        <x:v>2685.9345207410115</x:v>
      </x:c>
      <x:c r="C1200" t="n">
        <x:f>Dashboard_Live_Data!Q219</x:f>
        <x:v>323.20000000000005</x:v>
      </x:c>
      <x:c r="D1200" t="n">
        <x:f>Dashboard_Live_Data!R219</x:f>
        <x:v>1823.2303896050653</x:v>
      </x:c>
      <x:c r="E1200" t="n">
        <x:f>Dashboard_Live_Data!S219</x:f>
        <x:v>646.4000000000001</x:v>
      </x:c>
      <x:c r="F1200" t="n">
        <x:f>Dashboard_Live_Data!T219</x:f>
        <x:v>4436.494262974422</x:v>
      </x:c>
      <x:c r="G1200" t="n">
        <x:f>Dashboard_Live_Data!U219</x:f>
        <x:v>646.4000000000001</x:v>
      </x:c>
      <x:c r="H1200" t="n">
        <x:f>Dashboard_Live_Data!V219</x:f>
        <x:v>4413.3358418242815</x:v>
      </x:c>
    </x:row>
    <x:row r="1201">
      <x:c r="A1201" t="n">
        <x:f>Dashboard_Live_Data!O220</x:f>
        <x:v>49.019999999999996</x:v>
      </x:c>
      <x:c r="B1201" t="n">
        <x:f>Dashboard_Live_Data!P220</x:f>
        <x:v>2686.324790732394</x:v>
      </x:c>
      <x:c r="C1201" t="n">
        <x:f>Dashboard_Live_Data!Q220</x:f>
        <x:v>326.79999999999995</x:v>
      </x:c>
      <x:c r="D1201" t="n">
        <x:f>Dashboard_Live_Data!R220</x:f>
        <x:v>1858.8425263186568</x:v>
      </x:c>
      <x:c r="E1201" t="n">
        <x:f>Dashboard_Live_Data!S220</x:f>
        <x:v>653.5999999999999</x:v>
      </x:c>
      <x:c r="F1201" t="n">
        <x:f>Dashboard_Live_Data!T220</x:f>
        <x:v>4530.646898395288</x:v>
      </x:c>
      <x:c r="G1201" t="n">
        <x:f>Dashboard_Live_Data!U220</x:f>
        <x:v>653.5999999999999</x:v>
      </x:c>
      <x:c r="H1201" t="n">
        <x:f>Dashboard_Live_Data!V220</x:f>
        <x:v>4508.464152223602</x:v>
      </x:c>
    </x:row>
    <x:row r="1202">
      <x:c r="A1202" t="n">
        <x:f>Dashboard_Live_Data!O221</x:f>
        <x:v>49.5</x:v>
      </x:c>
      <x:c r="B1202" t="n">
        <x:f>Dashboard_Live_Data!P221</x:f>
        <x:v>2686.6753265687557</x:v>
      </x:c>
      <x:c r="C1202" t="n">
        <x:f>Dashboard_Live_Data!Q221</x:f>
        <x:v>330</x:v>
      </x:c>
      <x:c r="D1202" t="n">
        <x:f>Dashboard_Live_Data!R221</x:f>
        <x:v>1890.8289213866744</x:v>
      </x:c>
      <x:c r="E1202" t="n">
        <x:f>Dashboard_Live_Data!S221</x:f>
        <x:v>660</x:v>
      </x:c>
      <x:c r="F1202" t="n">
        <x:f>Dashboard_Live_Data!T221</x:f>
        <x:v>4615.213668917581</x:v>
      </x:c>
      <x:c r="G1202" t="n">
        <x:f>Dashboard_Live_Data!U221</x:f>
        <x:v>660</x:v>
      </x:c>
      <x:c r="H1202" t="n">
        <x:f>Dashboard_Live_Data!V221</x:f>
        <x:v>4593.907262336798</x:v>
      </x:c>
    </x:row>
    <x:row r="1203">
      <x:c r="A1203" t="n">
        <x:f>Dashboard_Live_Data!O222</x:f>
        <x:v>49.980000000000004</x:v>
      </x:c>
      <x:c r="B1203" t="n">
        <x:f>Dashboard_Live_Data!P222</x:f>
        <x:v>2687.0292781014527</x:v>
      </x:c>
      <x:c r="C1203" t="n">
        <x:f>Dashboard_Live_Data!Q222</x:f>
        <x:v>333.19999999999993</x:v>
      </x:c>
      <x:c r="D1203" t="n">
        <x:f>Dashboard_Live_Data!R222</x:f>
        <x:v>1923.1269987452447</x:v>
      </x:c>
      <x:c r="E1203" t="n">
        <x:f>Dashboard_Live_Data!S222</x:f>
        <x:v>666.3999999999999</x:v>
      </x:c>
      <x:c r="F1203" t="n">
        <x:f>Dashboard_Live_Data!T222</x:f>
        <x:v>4700.604476180651</x:v>
      </x:c>
      <x:c r="G1203" t="n">
        <x:f>Dashboard_Live_Data!U222</x:f>
        <x:v>666.3999999999999</x:v>
      </x:c>
      <x:c r="H1203" t="n">
        <x:f>Dashboard_Live_Data!V222</x:f>
        <x:v>4680.1829484316095</x:v>
      </x:c>
    </x:row>
    <x:row r="1204">
      <x:c r="A1204" t="n">
        <x:f>Dashboard_Live_Data!O223</x:f>
        <x:v>50.52000000000001</x:v>
      </x:c>
      <x:c r="B1204" t="n">
        <x:f>Dashboard_Live_Data!P223</x:f>
        <x:v>2687.431556400261</x:v>
      </x:c>
      <x:c r="C1204" t="n">
        <x:f>Dashboard_Live_Data!Q223</x:f>
        <x:v>336.80000000000007</x:v>
      </x:c>
      <x:c r="D1204" t="n">
        <x:f>Dashboard_Live_Data!R223</x:f>
        <x:v>1959.8348935115648</x:v>
      </x:c>
      <x:c r="E1204" t="n">
        <x:f>Dashboard_Live_Data!S223</x:f>
        <x:v>673.6000000000001</x:v>
      </x:c>
      <x:c r="F1204" t="n">
        <x:f>Dashboard_Live_Data!T223</x:f>
        <x:v>4797.654115768319</x:v>
      </x:c>
      <x:c r="G1204" t="n">
        <x:f>Dashboard_Live_Data!U223</x:f>
        <x:v>673.6000000000001</x:v>
      </x:c>
      <x:c r="H1204" t="n">
        <x:f>Dashboard_Live_Data!V223</x:f>
        <x:v>4778.2382837663</x:v>
      </x:c>
    </x:row>
    <x:row r="1205">
      <x:c r="A1205" t="n">
        <x:f>Dashboard_Live_Data!O224</x:f>
        <x:v>51</x:v>
      </x:c>
      <x:c r="B1205" t="n">
        <x:f>Dashboard_Live_Data!P224</x:f>
        <x:v>2687.7927662876696</x:v>
      </x:c>
      <x:c r="C1205" t="n">
        <x:f>Dashboard_Live_Data!Q224</x:f>
        <x:v>340</x:v>
      </x:c>
      <x:c r="D1205" t="n">
        <x:f>Dashboard_Live_Data!R224</x:f>
        <x:v>1992.7952957375599</x:v>
      </x:c>
      <x:c r="E1205" t="n">
        <x:f>Dashboard_Live_Data!S224</x:f>
        <x:v>680</x:v>
      </x:c>
      <x:c r="F1205" t="n">
        <x:f>Dashboard_Live_Data!T224</x:f>
        <x:v>4884.7960011055375</x:v>
      </x:c>
      <x:c r="G1205" t="n">
        <x:f>Dashboard_Live_Data!U224</x:f>
        <x:v>680</x:v>
      </x:c>
      <x:c r="H1205" t="n">
        <x:f>Dashboard_Live_Data!V224</x:f>
        <x:v>4866.28319382204</x:v>
      </x:c>
    </x:row>
    <x:row r="1206">
      <x:c r="A1206" t="n">
        <x:f>Dashboard_Live_Data!O225</x:f>
        <x:v>51.480000000000004</x:v>
      </x:c>
      <x:c r="B1206" t="n">
        <x:f>Dashboard_Live_Data!P225</x:f>
        <x:v>2688.1573918714125</x:v>
      </x:c>
      <x:c r="C1206" t="n">
        <x:f>Dashboard_Live_Data!Q225</x:f>
        <x:v>343.20000000000005</x:v>
      </x:c>
      <x:c r="D1206" t="n">
        <x:f>Dashboard_Live_Data!R225</x:f>
        <x:v>2026.0673802541094</x:v>
      </x:c>
      <x:c r="E1206" t="n">
        <x:f>Dashboard_Live_Data!S225</x:f>
        <x:v>686.4000000000001</x:v>
      </x:c>
      <x:c r="F1206" t="n">
        <x:f>Dashboard_Live_Data!T225</x:f>
        <x:v>4972.761923183538</x:v>
      </x:c>
      <x:c r="G1206" t="n">
        <x:f>Dashboard_Live_Data!U225</x:f>
        <x:v>686.4000000000001</x:v>
      </x:c>
      <x:c r="H1206" t="n">
        <x:f>Dashboard_Live_Data!V225</x:f>
        <x:v>4955.160679859399</x:v>
      </x:c>
    </x:row>
    <x:row r="1207">
      <x:c r="A1207" t="n">
        <x:f>Dashboard_Live_Data!O226</x:f>
        <x:v>52.019999999999996</x:v>
      </x:c>
      <x:c r="B1207" t="n">
        <x:f>Dashboard_Live_Data!P226</x:f>
        <x:v>2688.5716784776487</x:v>
      </x:c>
      <x:c r="C1207" t="n">
        <x:f>Dashboard_Live_Data!Q226</x:f>
        <x:v>346.79999999999995</x:v>
      </x:c>
      <x:c r="D1207" t="n">
        <x:f>Dashboard_Live_Data!R226</x:f>
        <x:v>2063.8710330731533</x:v>
      </x:c>
      <x:c r="E1207" t="n">
        <x:f>Dashboard_Live_Data!S226</x:f>
        <x:v>693.5999999999999</x:v>
      </x:c>
      <x:c r="F1207" t="n">
        <x:f>Dashboard_Live_Data!T226</x:f>
        <x:v>5072.708566937997</x:v>
      </x:c>
      <x:c r="G1207" t="n">
        <x:f>Dashboard_Live_Data!U226</x:f>
        <x:v>693.5999999999999</x:v>
      </x:c>
      <x:c r="H1207" t="n">
        <x:f>Dashboard_Live_Data!V226</x:f>
        <x:v>5056.143040129447</x:v>
      </x:c>
    </x:row>
    <x:row r="1208">
      <x:c r="A1208" t="n">
        <x:f>Dashboard_Live_Data!O227</x:f>
        <x:v>52.5</x:v>
      </x:c>
      <x:c r="B1208" t="n">
        <x:f>Dashboard_Live_Data!P227</x:f>
        <x:v>2688.9435624161033</x:v>
      </x:c>
      <x:c r="C1208" t="n">
        <x:f>Dashboard_Live_Data!Q227</x:f>
        <x:v>350</x:v>
      </x:c>
      <x:c r="D1208" t="n">
        <x:f>Dashboard_Live_Data!R227</x:f>
        <x:v>2097.8054424571283</x:v>
      </x:c>
      <x:c r="E1208" t="n">
        <x:f>Dashboard_Live_Data!S227</x:f>
        <x:v>700</x:v>
      </x:c>
      <x:c r="F1208" t="n">
        <x:f>Dashboard_Live_Data!T227</x:f>
        <x:v>5162.42556709015</x:v>
      </x:c>
      <x:c r="G1208" t="n">
        <x:f>Dashboard_Live_Data!U227</x:f>
        <x:v>700</x:v>
      </x:c>
      <x:c r="H1208" t="n">
        <x:f>Dashboard_Live_Data!V227</x:f>
        <x:v>5146.789750127737</x:v>
      </x:c>
    </x:row>
    <x:row r="1209">
      <x:c r="A1209" t="n">
        <x:f>Dashboard_Live_Data!O228</x:f>
        <x:v>52.980000000000004</x:v>
      </x:c>
      <x:c r="B1209" t="n">
        <x:f>Dashboard_Live_Data!P228</x:f>
        <x:v>2689.3188620508927</x:v>
      </x:c>
      <x:c r="C1209" t="n">
        <x:f>Dashboard_Live_Data!Q228</x:f>
        <x:v>353.20000000000005</x:v>
      </x:c>
      <x:c r="D1209" t="n">
        <x:f>Dashboard_Live_Data!R228</x:f>
        <x:v>2132.051534131657</x:v>
      </x:c>
      <x:c r="E1209" t="n">
        <x:f>Dashboard_Live_Data!S228</x:f>
        <x:v>706.4000000000001</x:v>
      </x:c>
      <x:c r="F1209" t="n">
        <x:f>Dashboard_Live_Data!T228</x:f>
        <x:v>5252.96660398308</x:v>
      </x:c>
      <x:c r="G1209" t="n">
        <x:f>Dashboard_Live_Data!U228</x:f>
        <x:v>706.4000000000001</x:v>
      </x:c>
      <x:c r="H1209" t="n">
        <x:f>Dashboard_Live_Data!V228</x:f>
        <x:v>5238.269036107641</x:v>
      </x:c>
    </x:row>
    <x:row r="1210">
      <x:c r="A1210" t="n">
        <x:f>Dashboard_Live_Data!O229</x:f>
        <x:v>53.519999999999996</x:v>
      </x:c>
      <x:c r="B1210" t="n">
        <x:f>Dashboard_Live_Data!P229</x:f>
        <x:v>2689.745156964556</x:v>
      </x:c>
      <x:c r="C1210" t="n">
        <x:f>Dashboard_Live_Data!Q229</x:f>
        <x:v>356.79999999999995</x:v>
      </x:c>
      <x:c r="D1210" t="n">
        <x:f>Dashboard_Live_Data!R229</x:f>
        <x:v>2170.9509450034257</x:v>
      </x:c>
      <x:c r="E1210" t="n">
        <x:f>Dashboard_Live_Data!S229</x:f>
        <x:v>713.5999999999999</x:v>
      </x:c>
      <x:c r="F1210" t="n">
        <x:f>Dashboard_Live_Data!T229</x:f>
        <x:v>5355.810251904335</x:v>
      </x:c>
      <x:c r="G1210" t="n">
        <x:f>Dashboard_Live_Data!U229</x:f>
        <x:v>713.5999999999999</x:v>
      </x:c>
      <x:c r="H1210" t="n">
        <x:f>Dashboard_Live_Data!V229</x:f>
        <x:v>5342.178421313052</x:v>
      </x:c>
    </x:row>
    <x:row r="1211">
      <x:c r="A1211" t="n">
        <x:f>Dashboard_Live_Data!O230</x:f>
        <x:v>54</x:v>
      </x:c>
      <x:c r="B1211" t="n">
        <x:f>Dashboard_Live_Data!P230</x:f>
        <x:v>2690.1277149540565</x:v>
      </x:c>
      <x:c r="C1211" t="n">
        <x:f>Dashboard_Live_Data!Q230</x:f>
        <x:v>360</x:v>
      </x:c>
      <x:c r="D1211" t="n">
        <x:f>Dashboard_Live_Data!R230</x:f>
        <x:v>2205.8593615453797</x:v>
      </x:c>
      <x:c r="E1211" t="n">
        <x:f>Dashboard_Live_Data!S230</x:f>
        <x:v>720</x:v>
      </x:c>
      <x:c r="F1211" t="n">
        <x:f>Dashboard_Live_Data!T230</x:f>
        <x:v>5448.102366871419</x:v>
      </x:c>
      <x:c r="G1211" t="n">
        <x:f>Dashboard_Live_Data!U230</x:f>
        <x:v>720</x:v>
      </x:c>
      <x:c r="H1211" t="n">
        <x:f>Dashboard_Live_Data!V230</x:f>
        <x:v>5435.426931253887</x:v>
      </x:c>
    </x:row>
    <x:row r="1212">
      <x:c r="A1212" t="n">
        <x:f>Dashboard_Live_Data!O231</x:f>
        <x:v>54.47999999999999</x:v>
      </x:c>
      <x:c r="B1212" t="n">
        <x:f>Dashboard_Live_Data!P231</x:f>
        <x:v>2690.5136886398923</x:v>
      </x:c>
      <x:c r="C1212" t="n">
        <x:f>Dashboard_Live_Data!Q231</x:f>
        <x:v>363.19999999999993</x:v>
      </x:c>
      <x:c r="D1212" t="n">
        <x:f>Dashboard_Live_Data!R231</x:f>
        <x:v>2241.079460377885</x:v>
      </x:c>
      <x:c r="E1212" t="n">
        <x:f>Dashboard_Live_Data!S231</x:f>
        <x:v>726.3999999999999</x:v>
      </x:c>
      <x:c r="F1212" t="n">
        <x:f>Dashboard_Live_Data!T231</x:f>
        <x:v>5541.218518579275</x:v>
      </x:c>
      <x:c r="G1212" t="n">
        <x:f>Dashboard_Live_Data!U231</x:f>
        <x:v>726.3999999999999</x:v>
      </x:c>
      <x:c r="H1212" t="n">
        <x:f>Dashboard_Live_Data!V231</x:f>
        <x:v>5529.508017176334</x:v>
      </x:c>
    </x:row>
    <x:row r="1213">
      <x:c r="A1213" t="n">
        <x:f>Dashboard_Live_Data!O232</x:f>
        <x:v>55.019999999999996</x:v>
      </x:c>
      <x:c r="B1213" t="n">
        <x:f>Dashboard_Live_Data!P232</x:f>
        <x:v>2690.951991860983</x:v>
      </x:c>
      <x:c r="C1213" t="n">
        <x:f>Dashboard_Live_Data!Q232</x:f>
        <x:v>366.80000000000007</x:v>
      </x:c>
      <x:c r="D1213" t="n">
        <x:f>Dashboard_Live_Data!R232</x:f>
        <x:v>2281.0746293023826</x:v>
      </x:c>
      <x:c r="E1213" t="n">
        <x:f>Dashboard_Live_Data!S232</x:f>
        <x:v>733.6000000000001</x:v>
      </x:c>
      <x:c r="F1213" t="n">
        <x:f>Dashboard_Live_Data!T232</x:f>
        <x:v>5646.95917066733</x:v>
      </x:c>
      <x:c r="G1213" t="n">
        <x:f>Dashboard_Live_Data!U232</x:f>
        <x:v>733.6000000000001</x:v>
      </x:c>
      <x:c r="H1213" t="n">
        <x:f>Dashboard_Live_Data!V232</x:f>
        <x:v>5636.344427317115</x:v>
      </x:c>
    </x:row>
    <x:row r="1214">
      <x:c r="A1214" t="n">
        <x:f>Dashboard_Live_Data!O233</x:f>
        <x:v>55.5</x:v>
      </x:c>
      <x:c r="B1214" t="n">
        <x:f>Dashboard_Live_Data!P233</x:f>
        <x:v>2691.34522390153</x:v>
      </x:c>
      <x:c r="C1214" t="n">
        <x:f>Dashboard_Live_Data!Q233</x:f>
        <x:v>370</x:v>
      </x:c>
      <x:c r="D1214" t="n">
        <x:f>Dashboard_Live_Data!R233</x:f>
        <x:v>2316.957053002314</x:v>
      </x:c>
      <x:c r="E1214" t="n">
        <x:f>Dashboard_Live_Data!S233</x:f>
        <x:v>740</x:v>
      </x:c>
      <x:c r="F1214" t="n">
        <x:f>Dashboard_Live_Data!T233</x:f>
        <x:v>5741.82640044934</x:v>
      </x:c>
      <x:c r="G1214" t="n">
        <x:f>Dashboard_Live_Data!U233</x:f>
        <x:v>740</x:v>
      </x:c>
      <x:c r="H1214" t="n">
        <x:f>Dashboard_Live_Data!V233</x:f>
        <x:v>5732.194737200494</x:v>
      </x:c>
    </x:row>
    <x:row r="1215">
      <x:c r="A1215" t="n">
        <x:f>Dashboard_Live_Data!O234</x:f>
        <x:v>55.980000000000004</x:v>
      </x:c>
      <x:c r="B1215" t="n">
        <x:f>Dashboard_Live_Data!P234</x:f>
        <x:v>2691.7418716384122</x:v>
      </x:c>
      <x:c r="C1215" t="n">
        <x:f>Dashboard_Live_Data!Q234</x:f>
        <x:v>373.20000000000005</x:v>
      </x:c>
      <x:c r="D1215" t="n">
        <x:f>Dashboard_Live_Data!R234</x:f>
        <x:v>2353.1511589928</x:v>
      </x:c>
      <x:c r="E1215" t="n">
        <x:f>Dashboard_Live_Data!S234</x:f>
        <x:v>746.4000000000001</x:v>
      </x:c>
      <x:c r="F1215" t="n">
        <x:f>Dashboard_Live_Data!T234</x:f>
        <x:v>5837.51766697213</x:v>
      </x:c>
      <x:c r="G1215" t="n">
        <x:f>Dashboard_Live_Data!U234</x:f>
        <x:v>746.4000000000001</x:v>
      </x:c>
      <x:c r="H1215" t="n">
        <x:f>Dashboard_Live_Data!V234</x:f>
        <x:v>5828.87762306549</x:v>
      </x:c>
    </x:row>
    <x:row r="1216">
      <x:c r="A1216" t="n">
        <x:f>Dashboard_Live_Data!O235</x:f>
        <x:v>56.519999999999996</x:v>
      </x:c>
      <x:c r="B1216" t="n">
        <x:f>Dashboard_Live_Data!P235</x:f>
        <x:v>2692.1921831669297</x:v>
      </x:c>
      <x:c r="C1216" t="n">
        <x:f>Dashboard_Live_Data!Q235</x:f>
        <x:v>376.79999999999995</x:v>
      </x:c>
      <x:c r="D1216" t="n">
        <x:f>Dashboard_Live_Data!R235</x:f>
        <x:v>2394.2420859700205</x:v>
      </x:c>
      <x:c r="E1216" t="n">
        <x:f>Dashboard_Live_Data!S235</x:f>
        <x:v>753.5999999999999</x:v>
      </x:c>
      <x:c r="F1216" t="n">
        <x:f>Dashboard_Live_Data!T235</x:f>
        <x:v>5946.155323226975</x:v>
      </x:c>
      <x:c r="G1216" t="n">
        <x:f>Dashboard_Live_Data!U235</x:f>
        <x:v>753.5999999999999</x:v>
      </x:c>
      <x:c r="H1216" t="n">
        <x:f>Dashboard_Live_Data!V235</x:f>
        <x:v>5938.6410581416285</x:v>
      </x:c>
    </x:row>
    <x:row r="1217">
      <x:c r="A1217" t="n">
        <x:f>Dashboard_Live_Data!O236</x:f>
        <x:v>57</x:v>
      </x:c>
      <x:c r="B1217" t="n">
        <x:f>Dashboard_Live_Data!P236</x:f>
        <x:v>2692.596089258523</x:v>
      </x:c>
      <x:c r="C1217" t="n">
        <x:f>Dashboard_Live_Data!Q236</x:f>
        <x:v>380</x:v>
      </x:c>
      <x:c r="D1217" t="n">
        <x:f>Dashboard_Live_Data!R236</x:f>
        <x:v>2431.0985168279312</x:v>
      </x:c>
      <x:c r="E1217" t="n">
        <x:f>Dashboard_Live_Data!S236</x:f>
        <x:v>760</x:v>
      </x:c>
      <x:c r="F1217" t="n">
        <x:f>Dashboard_Live_Data!T236</x:f>
        <x:v>6043.597667823918</x:v>
      </x:c>
      <x:c r="G1217" t="n">
        <x:f>Dashboard_Live_Data!U236</x:f>
        <x:v>760</x:v>
      </x:c>
      <x:c r="H1217" t="n">
        <x:f>Dashboard_Live_Data!V236</x:f>
        <x:v>6037.093167967554</x:v>
      </x:c>
    </x:row>
    <x:row r="1218">
      <x:c r="A1218" t="n">
        <x:f>Dashboard_Live_Data!O237</x:f>
        <x:v>57.480000000000004</x:v>
      </x:c>
      <x:c r="B1218" t="n">
        <x:f>Dashboard_Live_Data!P237</x:f>
        <x:v>2693.0034110464517</x:v>
      </x:c>
      <x:c r="C1218" t="n">
        <x:f>Dashboard_Live_Data!Q237</x:f>
        <x:v>383.19999999999993</x:v>
      </x:c>
      <x:c r="D1218" t="n">
        <x:f>Dashboard_Live_Data!R237</x:f>
        <x:v>2468.266629976394</x:v>
      </x:c>
      <x:c r="E1218" t="n">
        <x:f>Dashboard_Live_Data!S237</x:f>
        <x:v>766.3999999999999</x:v>
      </x:c>
      <x:c r="F1218" t="n">
        <x:f>Dashboard_Live_Data!T237</x:f>
        <x:v>6141.864049161635</x:v>
      </x:c>
      <x:c r="G1218" t="n">
        <x:f>Dashboard_Live_Data!U237</x:f>
        <x:v>766.3999999999999</x:v>
      </x:c>
      <x:c r="H1218" t="n">
        <x:f>Dashboard_Live_Data!V237</x:f>
        <x:v>6136.377853775092</x:v>
      </x:c>
    </x:row>
    <x:row r="1219">
      <x:c r="A1219" t="n">
        <x:f>Dashboard_Live_Data!O238</x:f>
        <x:v>58.02000000000001</x:v>
      </x:c>
      <x:c r="B1219" t="n">
        <x:f>Dashboard_Live_Data!P238</x:f>
        <x:v>2693.465730882396</x:v>
      </x:c>
      <x:c r="C1219" t="n">
        <x:f>Dashboard_Live_Data!Q238</x:f>
        <x:v>386.80000000000007</x:v>
      </x:c>
      <x:c r="D1219" t="n">
        <x:f>Dashboard_Live_Data!R238</x:f>
        <x:v>2510.4533150063444</x:v>
      </x:c>
      <x:c r="E1219" t="n">
        <x:f>Dashboard_Live_Data!S238</x:f>
        <x:v>773.6000000000001</x:v>
      </x:c>
      <x:c r="F1219" t="n">
        <x:f>Dashboard_Live_Data!T238</x:f>
        <x:v>6253.398709583284</x:v>
      </x:c>
      <x:c r="G1219" t="n">
        <x:f>Dashboard_Live_Data!U238</x:f>
        <x:v>773.6000000000001</x:v>
      </x:c>
      <x:c r="H1219" t="n">
        <x:f>Dashboard_Live_Data!V238</x:f>
        <x:v>6249.068313786602</x:v>
      </x:c>
    </x:row>
    <x:row r="1220">
      <x:c r="A1220" t="n">
        <x:f>Dashboard_Live_Data!O239</x:f>
        <x:v>58.5</x:v>
      </x:c>
      <x:c r="B1220" t="n">
        <x:f>Dashboard_Live_Data!P239</x:f>
        <x:v>2693.8803110250356</x:v>
      </x:c>
      <x:c r="C1220" t="n">
        <x:f>Dashboard_Live_Data!Q239</x:f>
        <x:v>390</x:v>
      </x:c>
      <x:c r="D1220" t="n">
        <x:f>Dashboard_Live_Data!R239</x:f>
        <x:v>2548.2837530222323</x:v>
      </x:c>
      <x:c r="E1220" t="n">
        <x:f>Dashboard_Live_Data!S239</x:f>
        <x:v>780</x:v>
      </x:c>
      <x:c r="F1220" t="n">
        <x:f>Dashboard_Live_Data!T239</x:f>
        <x:v>6353.416168995152</x:v>
      </x:c>
      <x:c r="G1220" t="n">
        <x:f>Dashboard_Live_Data!U239</x:f>
        <x:v>780</x:v>
      </x:c>
      <x:c r="H1220" t="n">
        <x:f>Dashboard_Live_Data!V239</x:f>
        <x:v>6350.12222355507</x:v>
      </x:c>
    </x:row>
    <x:row r="1221">
      <x:c r="A1221" t="n">
        <x:f>Dashboard_Live_Data!O240</x:f>
        <x:v>58.980000000000004</x:v>
      </x:c>
      <x:c r="B1221" t="n">
        <x:f>Dashboard_Live_Data!P240</x:f>
        <x:v>2694.2983068640106</x:v>
      </x:c>
      <x:c r="C1221" t="n">
        <x:f>Dashboard_Live_Data!Q240</x:f>
        <x:v>393.20000000000005</x:v>
      </x:c>
      <x:c r="D1221" t="n">
        <x:f>Dashboard_Live_Data!R240</x:f>
        <x:v>2586.425873328675</x:v>
      </x:c>
      <x:c r="E1221" t="n">
        <x:f>Dashboard_Live_Data!S240</x:f>
        <x:v>786.4000000000001</x:v>
      </x:c>
      <x:c r="F1221" t="n">
        <x:f>Dashboard_Live_Data!T240</x:f>
        <x:v>6454.257665147801</x:v>
      </x:c>
      <x:c r="G1221" t="n">
        <x:f>Dashboard_Live_Data!U240</x:f>
        <x:v>786.4000000000001</x:v>
      </x:c>
      <x:c r="H1221" t="n">
        <x:f>Dashboard_Live_Data!V240</x:f>
        <x:v>6452.008709305157</x:v>
      </x:c>
    </x:row>
    <x:row r="1222">
      <x:c r="A1222" t="n">
        <x:f>Dashboard_Live_Data!O241</x:f>
        <x:v>59.519999999999996</x:v>
      </x:c>
      <x:c r="B1222" t="n">
        <x:f>Dashboard_Live_Data!P241</x:f>
        <x:v>2694.7726350073826</x:v>
      </x:c>
      <x:c r="C1222" t="n">
        <x:f>Dashboard_Live_Data!Q241</x:f>
        <x:v>396.79999999999995</x:v>
      </x:c>
      <x:c r="D1222" t="n">
        <x:f>Dashboard_Live_Data!R241</x:f>
        <x:v>2629.708316411348</x:v>
      </x:c>
      <x:c r="E1222" t="n">
        <x:f>Dashboard_Live_Data!S241</x:f>
        <x:v>793.5999999999999</x:v>
      </x:c>
      <x:c r="F1222" t="n">
        <x:f>Dashboard_Live_Data!T241</x:f>
        <x:v>6568.689329736239</x:v>
      </x:c>
      <x:c r="G1222" t="n">
        <x:f>Dashboard_Live_Data!U241</x:f>
        <x:v>793.5999999999999</x:v>
      </x:c>
      <x:c r="H1222" t="n">
        <x:f>Dashboard_Live_Data!V241</x:f>
        <x:v>6567.626194252023</x:v>
      </x:c>
    </x:row>
    <x:row r="1223">
      <x:c r="A1223" t="n">
        <x:f>Dashboard_Live_Data!O242</x:f>
        <x:v>60</x:v>
      </x:c>
      <x:c r="B1223" t="n">
        <x:f>Dashboard_Live_Data!P242</x:f>
        <x:v>2695.1978892010684</x:v>
      </x:c>
      <x:c r="C1223" t="n">
        <x:f>Dashboard_Live_Data!Q242</x:f>
        <x:v>400</x:v>
      </x:c>
      <x:c r="D1223" t="n">
        <x:f>Dashboard_Live_Data!R242</x:f>
        <x:v>2668.5127615852166</x:v>
      </x:c>
      <x:c r="E1223" t="n">
        <x:f>Dashboard_Live_Data!S242</x:f>
        <x:v>800</x:v>
      </x:c>
      <x:c r="F1223" t="n">
        <x:f>Dashboard_Live_Data!T242</x:f>
        <x:v>6671.281903963041</x:v>
      </x:c>
      <x:c r="G1223" t="n">
        <x:f>Dashboard_Live_Data!U242</x:f>
        <x:v>800</x:v>
      </x:c>
      <x:c r="H1223" t="n">
        <x:f>Dashboard_Live_Data!V242</x:f>
        <x:v>6671.281903963041</x:v>
      </x:c>
    </x:row>
    <x:row r="1226">
      <x:c r="A1226" t="s">
        <x:v>725</x:v>
      </x:c>
    </x:row>
    <x:row r="1227">
      <x:c r="A1227" t="s">
        <x:v>705</x:v>
      </x:c>
      <x:c r="B1227" t="s">
        <x:v>706</x:v>
      </x:c>
      <x:c r="C1227" t="s">
        <x:v>707</x:v>
      </x:c>
      <x:c r="D1227" t="s">
        <x:v>708</x:v>
      </x:c>
      <x:c r="E1227" t="s">
        <x:v>709</x:v>
      </x:c>
      <x:c r="F1227" t="s">
        <x:v>710</x:v>
      </x:c>
      <x:c r="G1227" t="s">
        <x:v>711</x:v>
      </x:c>
      <x:c r="H1227" t="s">
        <x:v>712</x:v>
      </x:c>
    </x:row>
    <x:row r="1228">
      <x:c r="A1228" t="n">
        <x:f>Dashboard_Live_Data!X2</x:f>
        <x:v>-60</x:v>
      </x:c>
      <x:c r="B1228" t="n">
        <x:f>Dashboard_Live_Data!Y2</x:f>
        <x:v>2695.1794479163473</x:v>
      </x:c>
      <x:c r="C1228" t="n">
        <x:f>Dashboard_Live_Data!Z2</x:f>
        <x:v>-400</x:v>
      </x:c>
      <x:c r="D1228" t="n">
        <x:f>Dashboard_Live_Data!AA2</x:f>
        <x:v>2668.428145382045</x:v>
      </x:c>
      <x:c r="E1228" t="n">
        <x:f>Dashboard_Live_Data!AB2</x:f>
        <x:v>-800</x:v>
      </x:c>
      <x:c r="F1228" t="n">
        <x:f>Dashboard_Live_Data!AC2</x:f>
        <x:v>6671.247983955019</x:v>
      </x:c>
      <x:c r="G1228" t="n">
        <x:f>Dashboard_Live_Data!AD2</x:f>
        <x:v>-800</x:v>
      </x:c>
      <x:c r="H1228" t="n">
        <x:f>Dashboard_Live_Data!AE2</x:f>
        <x:v>6671.247983955019</x:v>
      </x:c>
    </x:row>
    <x:row r="1229">
      <x:c r="A1229" t="n">
        <x:f>Dashboard_Live_Data!X3</x:f>
        <x:v>-59.519999999999996</x:v>
      </x:c>
      <x:c r="B1229" t="n">
        <x:f>Dashboard_Live_Data!Y3</x:f>
        <x:v>2694.649504247689</x:v>
      </x:c>
      <x:c r="C1229" t="n">
        <x:f>Dashboard_Live_Data!Z3</x:f>
        <x:v>-396.8</x:v>
      </x:c>
      <x:c r="D1229" t="n">
        <x:f>Dashboard_Live_Data!AA3</x:f>
        <x:v>2629.6394627152467</x:v>
      </x:c>
      <x:c r="E1229" t="n">
        <x:f>Dashboard_Live_Data!AB3</x:f>
        <x:v>-793.6</x:v>
      </x:c>
      <x:c r="F1229" t="n">
        <x:f>Dashboard_Live_Data!AC3</x:f>
        <x:v>6568.698547910094</x:v>
      </x:c>
      <x:c r="G1229" t="n">
        <x:f>Dashboard_Live_Data!AD3</x:f>
        <x:v>-793.6</x:v>
      </x:c>
      <x:c r="H1229" t="n">
        <x:f>Dashboard_Live_Data!AE3</x:f>
        <x:v>6567.635412425879</x:v>
      </x:c>
    </x:row>
    <x:row r="1230">
      <x:c r="A1230" t="n">
        <x:f>Dashboard_Live_Data!X4</x:f>
        <x:v>-58.98</x:v>
      </x:c>
      <x:c r="B1230" t="n">
        <x:f>Dashboard_Live_Data!Y4</x:f>
        <x:v>2694.1888252313724</x:v>
      </x:c>
      <x:c r="C1230" t="n">
        <x:f>Dashboard_Live_Data!Z4</x:f>
        <x:v>-393.2</x:v>
      </x:c>
      <x:c r="D1230" t="n">
        <x:f>Dashboard_Live_Data!AA4</x:f>
        <x:v>2585.9914136189823</x:v>
      </x:c>
      <x:c r="E1230" t="n">
        <x:f>Dashboard_Live_Data!AB4</x:f>
        <x:v>-786.4</x:v>
      </x:c>
      <x:c r="F1230" t="n">
        <x:f>Dashboard_Live_Data!AC4</x:f>
        <x:v>6453.945176408153</x:v>
      </x:c>
      <x:c r="G1230" t="n">
        <x:f>Dashboard_Live_Data!AD4</x:f>
        <x:v>-786.4</x:v>
      </x:c>
      <x:c r="H1230" t="n">
        <x:f>Dashboard_Live_Data!AE4</x:f>
        <x:v>6451.696220565506</x:v>
      </x:c>
    </x:row>
    <x:row r="1231">
      <x:c r="A1231" t="n">
        <x:f>Dashboard_Live_Data!X5</x:f>
        <x:v>-58.5</x:v>
      </x:c>
      <x:c r="B1231" t="n">
        <x:f>Dashboard_Live_Data!Y5</x:f>
        <x:v>2693.7352285655793</x:v>
      </x:c>
      <x:c r="C1231" t="n">
        <x:f>Dashboard_Live_Data!Z5</x:f>
        <x:v>-390</x:v>
      </x:c>
      <x:c r="D1231" t="n">
        <x:f>Dashboard_Live_Data!AA5</x:f>
        <x:v>2547.8333970113854</x:v>
      </x:c>
      <x:c r="E1231" t="n">
        <x:f>Dashboard_Live_Data!AB5</x:f>
        <x:v>-780</x:v>
      </x:c>
      <x:c r="F1231" t="n">
        <x:f>Dashboard_Live_Data!AC5</x:f>
        <x:v>6353.461154685279</x:v>
      </x:c>
      <x:c r="G1231" t="n">
        <x:f>Dashboard_Live_Data!AD5</x:f>
        <x:v>-780</x:v>
      </x:c>
      <x:c r="H1231" t="n">
        <x:f>Dashboard_Live_Data!AE5</x:f>
        <x:v>6350.167209245198</x:v>
      </x:c>
    </x:row>
    <x:row r="1232">
      <x:c r="A1232" t="n">
        <x:f>Dashboard_Live_Data!X6</x:f>
        <x:v>-58.019999999999996</x:v>
      </x:c>
      <x:c r="B1232" t="n">
        <x:f>Dashboard_Live_Data!Y6</x:f>
        <x:v>2693.215329991879</x:v>
      </x:c>
      <x:c r="C1232" t="n">
        <x:f>Dashboard_Live_Data!Z6</x:f>
        <x:v>-386.8</x:v>
      </x:c>
      <x:c r="D1232" t="n">
        <x:f>Dashboard_Live_Data!AA6</x:f>
        <x:v>2510.4039491819062</x:v>
      </x:c>
      <x:c r="E1232" t="n">
        <x:f>Dashboard_Live_Data!AB6</x:f>
        <x:v>-773.6</x:v>
      </x:c>
      <x:c r="F1232" t="n">
        <x:f>Dashboard_Live_Data!AC6</x:f>
        <x:v>6253.070767176094</x:v>
      </x:c>
      <x:c r="G1232" t="n">
        <x:f>Dashboard_Live_Data!AD6</x:f>
        <x:v>-773.6</x:v>
      </x:c>
      <x:c r="H1232" t="n">
        <x:f>Dashboard_Live_Data!AE6</x:f>
        <x:v>6248.740371379414</x:v>
      </x:c>
    </x:row>
    <x:row r="1233">
      <x:c r="A1233" t="n">
        <x:f>Dashboard_Live_Data!X7</x:f>
        <x:v>-57.48</x:v>
      </x:c>
      <x:c r="B1233" t="n">
        <x:f>Dashboard_Live_Data!Y7</x:f>
        <x:v>2692.827045062799</x:v>
      </x:c>
      <x:c r="C1233" t="n">
        <x:f>Dashboard_Live_Data!Z7</x:f>
        <x:v>-383.2</x:v>
      </x:c>
      <x:c r="D1233" t="n">
        <x:f>Dashboard_Live_Data!AA7</x:f>
        <x:v>2468.416414407845</x:v>
      </x:c>
      <x:c r="E1233" t="n">
        <x:f>Dashboard_Live_Data!AB7</x:f>
        <x:v>-766.4</x:v>
      </x:c>
      <x:c r="F1233" t="n">
        <x:f>Dashboard_Live_Data!AC7</x:f>
        <x:v>6141.373980598753</x:v>
      </x:c>
      <x:c r="G1233" t="n">
        <x:f>Dashboard_Live_Data!AD7</x:f>
        <x:v>-766.4</x:v>
      </x:c>
      <x:c r="H1233" t="n">
        <x:f>Dashboard_Live_Data!AE7</x:f>
        <x:v>6135.887785212209</x:v>
      </x:c>
    </x:row>
    <x:row r="1234">
      <x:c r="A1234" t="n">
        <x:f>Dashboard_Live_Data!X8</x:f>
        <x:v>-57</x:v>
      </x:c>
      <x:c r="B1234" t="n">
        <x:f>Dashboard_Live_Data!Y8</x:f>
        <x:v>2692.226227498772</x:v>
      </x:c>
      <x:c r="C1234" t="n">
        <x:f>Dashboard_Live_Data!Z8</x:f>
        <x:v>-380</x:v>
      </x:c>
      <x:c r="D1234" t="n">
        <x:f>Dashboard_Live_Data!AA8</x:f>
        <x:v>2431.3222101605993</x:v>
      </x:c>
      <x:c r="E1234" t="n">
        <x:f>Dashboard_Live_Data!AB8</x:f>
        <x:v>-760</x:v>
      </x:c>
      <x:c r="F1234" t="n">
        <x:f>Dashboard_Live_Data!AC8</x:f>
        <x:v>6043.3407753063475</x:v>
      </x:c>
      <x:c r="G1234" t="n">
        <x:f>Dashboard_Live_Data!AD8</x:f>
        <x:v>-760</x:v>
      </x:c>
      <x:c r="H1234" t="n">
        <x:f>Dashboard_Live_Data!AE8</x:f>
        <x:v>6036.836275449983</x:v>
      </x:c>
    </x:row>
    <x:row r="1235">
      <x:c r="A1235" t="n">
        <x:f>Dashboard_Live_Data!X9</x:f>
        <x:v>-56.519999999999996</x:v>
      </x:c>
      <x:c r="B1235" t="n">
        <x:f>Dashboard_Live_Data!Y9</x:f>
        <x:v>2691.9513345452874</x:v>
      </x:c>
      <x:c r="C1235" t="n">
        <x:f>Dashboard_Live_Data!Z9</x:f>
        <x:v>-376.79999999999995</x:v>
      </x:c>
      <x:c r="D1235" t="n">
        <x:f>Dashboard_Live_Data!AA9</x:f>
        <x:v>2394.364951188643</x:v>
      </x:c>
      <x:c r="E1235" t="n">
        <x:f>Dashboard_Live_Data!AB9</x:f>
        <x:v>-753.5999999999999</x:v>
      </x:c>
      <x:c r="F1235" t="n">
        <x:f>Dashboard_Live_Data!AC9</x:f>
        <x:v>5945.633448560879</x:v>
      </x:c>
      <x:c r="G1235" t="n">
        <x:f>Dashboard_Live_Data!AD9</x:f>
        <x:v>-753.5999999999999</x:v>
      </x:c>
      <x:c r="H1235" t="n">
        <x:f>Dashboard_Live_Data!AE9</x:f>
        <x:v>5938.119183475531</x:v>
      </x:c>
    </x:row>
    <x:row r="1236">
      <x:c r="A1236" t="n">
        <x:f>Dashboard_Live_Data!X10</x:f>
        <x:v>-55.980000000000004</x:v>
      </x:c>
      <x:c r="B1236" t="n">
        <x:f>Dashboard_Live_Data!Y10</x:f>
        <x:v>2691.331788094177</x:v>
      </x:c>
      <x:c r="C1236" t="n">
        <x:f>Dashboard_Live_Data!Z10</x:f>
        <x:v>-373.20000000000005</x:v>
      </x:c>
      <x:c r="D1236" t="n">
        <x:f>Dashboard_Live_Data!AA10</x:f>
        <x:v>2353.0603134471708</x:v>
      </x:c>
      <x:c r="E1236" t="n">
        <x:f>Dashboard_Live_Data!AB10</x:f>
        <x:v>-746.4000000000001</x:v>
      </x:c>
      <x:c r="F1236" t="n">
        <x:f>Dashboard_Live_Data!AC10</x:f>
        <x:v>5837.185632869483</x:v>
      </x:c>
      <x:c r="G1236" t="n">
        <x:f>Dashboard_Live_Data!AD10</x:f>
        <x:v>-746.4000000000001</x:v>
      </x:c>
      <x:c r="H1236" t="n">
        <x:f>Dashboard_Live_Data!AE10</x:f>
        <x:v>5828.545588962842</x:v>
      </x:c>
    </x:row>
    <x:row r="1237">
      <x:c r="A1237" t="n">
        <x:f>Dashboard_Live_Data!X11</x:f>
        <x:v>-55.5</x:v>
      </x:c>
      <x:c r="B1237" t="n">
        <x:f>Dashboard_Live_Data!Y11</x:f>
        <x:v>2691.088402349562</x:v>
      </x:c>
      <x:c r="C1237" t="n">
        <x:f>Dashboard_Live_Data!Z11</x:f>
        <x:v>-370</x:v>
      </x:c>
      <x:c r="D1237" t="n">
        <x:f>Dashboard_Live_Data!AA11</x:f>
        <x:v>2316.8740711674914</x:v>
      </x:c>
      <x:c r="E1237" t="n">
        <x:f>Dashboard_Live_Data!AB11</x:f>
        <x:v>-740</x:v>
      </x:c>
      <x:c r="F1237" t="n">
        <x:f>Dashboard_Live_Data!AC11</x:f>
        <x:v>5741.729536296609</x:v>
      </x:c>
      <x:c r="G1237" t="n">
        <x:f>Dashboard_Live_Data!AD11</x:f>
        <x:v>-740</x:v>
      </x:c>
      <x:c r="H1237" t="n">
        <x:f>Dashboard_Live_Data!AE11</x:f>
        <x:v>5732.097873047763</x:v>
      </x:c>
    </x:row>
    <x:row r="1238">
      <x:c r="A1238" t="n">
        <x:f>Dashboard_Live_Data!X12</x:f>
        <x:v>-55.02</x:v>
      </x:c>
      <x:c r="B1238" t="n">
        <x:f>Dashboard_Live_Data!Y12</x:f>
        <x:v>2690.69544749007</x:v>
      </x:c>
      <x:c r="C1238" t="n">
        <x:f>Dashboard_Live_Data!Z12</x:f>
        <x:v>-366.8</x:v>
      </x:c>
      <x:c r="D1238" t="n">
        <x:f>Dashboard_Live_Data!AA12</x:f>
        <x:v>2281.42139016595</x:v>
      </x:c>
      <x:c r="E1238" t="n">
        <x:f>Dashboard_Live_Data!AB12</x:f>
        <x:v>-733.6</x:v>
      </x:c>
      <x:c r="F1238" t="n">
        <x:f>Dashboard_Live_Data!AC12</x:f>
        <x:v>5646.7277866164695</x:v>
      </x:c>
      <x:c r="G1238" t="n">
        <x:f>Dashboard_Live_Data!AD12</x:f>
        <x:v>-733.6</x:v>
      </x:c>
      <x:c r="H1238" t="n">
        <x:f>Dashboard_Live_Data!AE12</x:f>
        <x:v>5636.113043266254</x:v>
      </x:c>
    </x:row>
    <x:row r="1239">
      <x:c r="A1239" t="n">
        <x:f>Dashboard_Live_Data!X13</x:f>
        <x:v>-54.480000000000004</x:v>
      </x:c>
      <x:c r="B1239" t="n">
        <x:f>Dashboard_Live_Data!Y13</x:f>
        <x:v>2690.1320799792074</x:v>
      </x:c>
      <x:c r="C1239" t="n">
        <x:f>Dashboard_Live_Data!Z13</x:f>
        <x:v>-363.2</x:v>
      </x:c>
      <x:c r="D1239" t="n">
        <x:f>Dashboard_Live_Data!AA13</x:f>
        <x:v>2241.5050146309113</x:v>
      </x:c>
      <x:c r="E1239" t="n">
        <x:f>Dashboard_Live_Data!AB13</x:f>
        <x:v>-726.4</x:v>
      </x:c>
      <x:c r="F1239" t="n">
        <x:f>Dashboard_Live_Data!AC13</x:f>
        <x:v>5541.454225810645</x:v>
      </x:c>
      <x:c r="G1239" t="n">
        <x:f>Dashboard_Live_Data!AD13</x:f>
        <x:v>-726.4</x:v>
      </x:c>
      <x:c r="H1239" t="n">
        <x:f>Dashboard_Live_Data!AE13</x:f>
        <x:v>5529.743724407704</x:v>
      </x:c>
    </x:row>
    <x:row r="1240">
      <x:c r="A1240" t="n">
        <x:f>Dashboard_Live_Data!X14</x:f>
        <x:v>-54</x:v>
      </x:c>
      <x:c r="B1240" t="n">
        <x:f>Dashboard_Live_Data!Y14</x:f>
        <x:v>2689.8747687370624</x:v>
      </x:c>
      <x:c r="C1240" t="n">
        <x:f>Dashboard_Live_Data!Z14</x:f>
        <x:v>-360</x:v>
      </x:c>
      <x:c r="D1240" t="n">
        <x:f>Dashboard_Live_Data!AA14</x:f>
        <x:v>2205.928237430532</x:v>
      </x:c>
      <x:c r="E1240" t="n">
        <x:f>Dashboard_Live_Data!AB14</x:f>
        <x:v>-720</x:v>
      </x:c>
      <x:c r="F1240" t="n">
        <x:f>Dashboard_Live_Data!AC14</x:f>
        <x:v>5448.244174117028</x:v>
      </x:c>
      <x:c r="G1240" t="n">
        <x:f>Dashboard_Live_Data!AD14</x:f>
        <x:v>-720</x:v>
      </x:c>
      <x:c r="H1240" t="n">
        <x:f>Dashboard_Live_Data!AE14</x:f>
        <x:v>5435.568738499498</x:v>
      </x:c>
    </x:row>
    <x:row r="1241">
      <x:c r="A1241" t="n">
        <x:f>Dashboard_Live_Data!X15</x:f>
        <x:v>-53.52</x:v>
      </x:c>
      <x:c r="B1241" t="n">
        <x:f>Dashboard_Live_Data!Y15</x:f>
        <x:v>2689.409732962194</x:v>
      </x:c>
      <x:c r="C1241" t="n">
        <x:f>Dashboard_Live_Data!Z15</x:f>
        <x:v>-356.8</x:v>
      </x:c>
      <x:c r="D1241" t="n">
        <x:f>Dashboard_Live_Data!AA15</x:f>
        <x:v>2170.5785179125855</x:v>
      </x:c>
      <x:c r="E1241" t="n">
        <x:f>Dashboard_Live_Data!AB15</x:f>
        <x:v>-713.6</x:v>
      </x:c>
      <x:c r="F1241" t="n">
        <x:f>Dashboard_Live_Data!AC15</x:f>
        <x:v>5355.753564055641</x:v>
      </x:c>
      <x:c r="G1241" t="n">
        <x:f>Dashboard_Live_Data!AD15</x:f>
        <x:v>-713.6</x:v>
      </x:c>
      <x:c r="H1241" t="n">
        <x:f>Dashboard_Live_Data!AE15</x:f>
        <x:v>5342.121733464359</x:v>
      </x:c>
    </x:row>
    <x:row r="1242">
      <x:c r="A1242" t="n">
        <x:f>Dashboard_Live_Data!X16</x:f>
        <x:v>-52.980000000000004</x:v>
      </x:c>
      <x:c r="B1242" t="n">
        <x:f>Dashboard_Live_Data!Y16</x:f>
        <x:v>2688.980515660841</x:v>
      </x:c>
      <x:c r="C1242" t="n">
        <x:f>Dashboard_Live_Data!Z16</x:f>
        <x:v>-353.2</x:v>
      </x:c>
      <x:c r="D1242" t="n">
        <x:f>Dashboard_Live_Data!AA16</x:f>
        <x:v>2131.7740125261435</x:v>
      </x:c>
      <x:c r="E1242" t="n">
        <x:f>Dashboard_Live_Data!AB16</x:f>
        <x:v>-706.4</x:v>
      </x:c>
      <x:c r="F1242" t="n">
        <x:f>Dashboard_Live_Data!AC16</x:f>
        <x:v>5253.145120344409</x:v>
      </x:c>
      <x:c r="G1242" t="n">
        <x:f>Dashboard_Live_Data!AD16</x:f>
        <x:v>-706.4</x:v>
      </x:c>
      <x:c r="H1242" t="n">
        <x:f>Dashboard_Live_Data!AE16</x:f>
        <x:v>5238.447552468971</x:v>
      </x:c>
    </x:row>
    <x:row r="1243">
      <x:c r="A1243" t="n">
        <x:f>Dashboard_Live_Data!X17</x:f>
        <x:v>-52.5</x:v>
      </x:c>
      <x:c r="B1243" t="n">
        <x:f>Dashboard_Live_Data!Y17</x:f>
        <x:v>2688.663945378994</x:v>
      </x:c>
      <x:c r="C1243" t="n">
        <x:f>Dashboard_Live_Data!Z17</x:f>
        <x:v>-350</x:v>
      </x:c>
      <x:c r="D1243" t="n">
        <x:f>Dashboard_Live_Data!AA17</x:f>
        <x:v>2097.9403231136466</x:v>
      </x:c>
      <x:c r="E1243" t="n">
        <x:f>Dashboard_Live_Data!AB17</x:f>
        <x:v>-700</x:v>
      </x:c>
      <x:c r="F1243" t="n">
        <x:f>Dashboard_Live_Data!AC17</x:f>
        <x:v>5162.261744423182</x:v>
      </x:c>
      <x:c r="G1243" t="n">
        <x:f>Dashboard_Live_Data!AD17</x:f>
        <x:v>-700</x:v>
      </x:c>
      <x:c r="H1243" t="n">
        <x:f>Dashboard_Live_Data!AE17</x:f>
        <x:v>5146.625927460768</x:v>
      </x:c>
    </x:row>
    <x:row r="1244">
      <x:c r="A1244" t="n">
        <x:f>Dashboard_Live_Data!X18</x:f>
        <x:v>-52.019999999999996</x:v>
      </x:c>
      <x:c r="B1244" t="n">
        <x:f>Dashboard_Live_Data!Y18</x:f>
        <x:v>2688.3599201386814</x:v>
      </x:c>
      <x:c r="C1244" t="n">
        <x:f>Dashboard_Live_Data!Z18</x:f>
        <x:v>-346.8</x:v>
      </x:c>
      <x:c r="D1244" t="n">
        <x:f>Dashboard_Live_Data!AA18</x:f>
        <x:v>2064.052827462836</x:v>
      </x:c>
      <x:c r="E1244" t="n">
        <x:f>Dashboard_Live_Data!AB18</x:f>
        <x:v>-693.6</x:v>
      </x:c>
      <x:c r="F1244" t="n">
        <x:f>Dashboard_Live_Data!AC18</x:f>
        <x:v>5072.4876261424</x:v>
      </x:c>
      <x:c r="G1244" t="n">
        <x:f>Dashboard_Live_Data!AD18</x:f>
        <x:v>-693.6</x:v>
      </x:c>
      <x:c r="H1244" t="n">
        <x:f>Dashboard_Live_Data!AE18</x:f>
        <x:v>5055.92209933385</x:v>
      </x:c>
    </x:row>
    <x:row r="1245">
      <x:c r="A1245" t="n">
        <x:f>Dashboard_Live_Data!X19</x:f>
        <x:v>-51.48</x:v>
      </x:c>
      <x:c r="B1245" t="n">
        <x:f>Dashboard_Live_Data!Y19</x:f>
        <x:v>2687.8899442216875</x:v>
      </x:c>
      <x:c r="C1245" t="n">
        <x:f>Dashboard_Live_Data!Z19</x:f>
        <x:v>-343.2</x:v>
      </x:c>
      <x:c r="D1245" t="n">
        <x:f>Dashboard_Live_Data!AA19</x:f>
        <x:v>2025.8824537713756</x:v>
      </x:c>
      <x:c r="E1245" t="n">
        <x:f>Dashboard_Live_Data!AB19</x:f>
        <x:v>-686.4</x:v>
      </x:c>
      <x:c r="F1245" t="n">
        <x:f>Dashboard_Live_Data!AC19</x:f>
        <x:v>4972.64948397899</x:v>
      </x:c>
      <x:c r="G1245" t="n">
        <x:f>Dashboard_Live_Data!AD19</x:f>
        <x:v>-686.4</x:v>
      </x:c>
      <x:c r="H1245" t="n">
        <x:f>Dashboard_Live_Data!AE19</x:f>
        <x:v>4955.048240654851</x:v>
      </x:c>
    </x:row>
    <x:row r="1246">
      <x:c r="A1246" t="n">
        <x:f>Dashboard_Live_Data!X20</x:f>
        <x:v>-51</x:v>
      </x:c>
      <x:c r="B1246" t="n">
        <x:f>Dashboard_Live_Data!Y20</x:f>
        <x:v>2687.531860347289</x:v>
      </x:c>
      <x:c r="C1246" t="n">
        <x:f>Dashboard_Live_Data!Z20</x:f>
        <x:v>-340</x:v>
      </x:c>
      <x:c r="D1246" t="n">
        <x:f>Dashboard_Live_Data!AA20</x:f>
        <x:v>1992.3821270692197</x:v>
      </x:c>
      <x:c r="E1246" t="n">
        <x:f>Dashboard_Live_Data!AB20</x:f>
        <x:v>-680</x:v>
      </x:c>
      <x:c r="F1246" t="n">
        <x:f>Dashboard_Live_Data!AC20</x:f>
        <x:v>4884.268557637219</x:v>
      </x:c>
      <x:c r="G1246" t="n">
        <x:f>Dashboard_Live_Data!AD20</x:f>
        <x:v>-680</x:v>
      </x:c>
      <x:c r="H1246" t="n">
        <x:f>Dashboard_Live_Data!AE20</x:f>
        <x:v>4865.75575035372</x:v>
      </x:c>
    </x:row>
    <x:row r="1247">
      <x:c r="A1247" t="n">
        <x:f>Dashboard_Live_Data!X21</x:f>
        <x:v>-50.519999999999996</x:v>
      </x:c>
      <x:c r="B1247" t="n">
        <x:f>Dashboard_Live_Data!Y21</x:f>
        <x:v>2687.2430684507012</x:v>
      </x:c>
      <x:c r="C1247" t="n">
        <x:f>Dashboard_Live_Data!Z21</x:f>
        <x:v>-336.8</x:v>
      </x:c>
      <x:c r="D1247" t="n">
        <x:f>Dashboard_Live_Data!AA21</x:f>
        <x:v>1959.478663052429</x:v>
      </x:c>
      <x:c r="E1247" t="n">
        <x:f>Dashboard_Live_Data!AB21</x:f>
        <x:v>-673.6</x:v>
      </x:c>
      <x:c r="F1247" t="n">
        <x:f>Dashboard_Live_Data!AC21</x:f>
        <x:v>4797.520252737128</x:v>
      </x:c>
      <x:c r="G1247" t="n">
        <x:f>Dashboard_Live_Data!AD21</x:f>
        <x:v>-673.6</x:v>
      </x:c>
      <x:c r="H1247" t="n">
        <x:f>Dashboard_Live_Data!AE21</x:f>
        <x:v>4778.104420735111</x:v>
      </x:c>
    </x:row>
    <x:row r="1248">
      <x:c r="A1248" t="n">
        <x:f>Dashboard_Live_Data!X22</x:f>
        <x:v>-49.98</x:v>
      </x:c>
      <x:c r="B1248" t="n">
        <x:f>Dashboard_Live_Data!Y22</x:f>
        <x:v>2686.8370816958704</x:v>
      </x:c>
      <x:c r="C1248" t="n">
        <x:f>Dashboard_Live_Data!Z22</x:f>
        <x:v>-333.2</x:v>
      </x:c>
      <x:c r="D1248" t="n">
        <x:f>Dashboard_Live_Data!AA22</x:f>
        <x:v>1922.8302463603984</x:v>
      </x:c>
      <x:c r="E1248" t="n">
        <x:f>Dashboard_Live_Data!AB22</x:f>
        <x:v>-666.4</x:v>
      </x:c>
      <x:c r="F1248" t="n">
        <x:f>Dashboard_Live_Data!AC22</x:f>
        <x:v>4700.389166127263</x:v>
      </x:c>
      <x:c r="G1248" t="n">
        <x:f>Dashboard_Live_Data!AD22</x:f>
        <x:v>-666.4</x:v>
      </x:c>
      <x:c r="H1248" t="n">
        <x:f>Dashboard_Live_Data!AE22</x:f>
        <x:v>4679.967638378223</x:v>
      </x:c>
    </x:row>
    <x:row r="1249">
      <x:c r="A1249" t="n">
        <x:f>Dashboard_Live_Data!X23</x:f>
        <x:v>-49.5</x:v>
      </x:c>
      <x:c r="B1249" t="n">
        <x:f>Dashboard_Live_Data!Y23</x:f>
        <x:v>2686.329056234708</x:v>
      </x:c>
      <x:c r="C1249" t="n">
        <x:f>Dashboard_Live_Data!Z23</x:f>
        <x:v>-330</x:v>
      </x:c>
      <x:c r="D1249" t="n">
        <x:f>Dashboard_Live_Data!AA23</x:f>
        <x:v>1890.6642418919669</x:v>
      </x:c>
      <x:c r="E1249" t="n">
        <x:f>Dashboard_Live_Data!AB23</x:f>
        <x:v>-660</x:v>
      </x:c>
      <x:c r="F1249" t="n">
        <x:f>Dashboard_Live_Data!AC23</x:f>
        <x:v>4614.846299685641</x:v>
      </x:c>
      <x:c r="G1249" t="n">
        <x:f>Dashboard_Live_Data!AD23</x:f>
        <x:v>-660</x:v>
      </x:c>
      <x:c r="H1249" t="n">
        <x:f>Dashboard_Live_Data!AE23</x:f>
        <x:v>4593.5398931048585</x:v>
      </x:c>
    </x:row>
    <x:row r="1250">
      <x:c r="A1250" t="n">
        <x:f>Dashboard_Live_Data!X24</x:f>
        <x:v>-49.019999999999996</x:v>
      </x:c>
      <x:c r="B1250" t="n">
        <x:f>Dashboard_Live_Data!Y24</x:f>
        <x:v>2685.975086049943</x:v>
      </x:c>
      <x:c r="C1250" t="n">
        <x:f>Dashboard_Live_Data!Z24</x:f>
        <x:v>-326.79999999999995</x:v>
      </x:c>
      <x:c r="D1250" t="n">
        <x:f>Dashboard_Live_Data!AA24</x:f>
        <x:v>1858.6153385407672</x:v>
      </x:c>
      <x:c r="E1250" t="n">
        <x:f>Dashboard_Live_Data!AB24</x:f>
        <x:v>-653.5999999999999</x:v>
      </x:c>
      <x:c r="F1250" t="n">
        <x:f>Dashboard_Live_Data!AC24</x:f>
        <x:v>4530.509339233609</x:v>
      </x:c>
      <x:c r="G1250" t="n">
        <x:f>Dashboard_Live_Data!AD24</x:f>
        <x:v>-653.5999999999999</x:v>
      </x:c>
      <x:c r="H1250" t="n">
        <x:f>Dashboard_Live_Data!AE24</x:f>
        <x:v>4508.326593061924</x:v>
      </x:c>
    </x:row>
    <x:row r="1251">
      <x:c r="A1251" t="n">
        <x:f>Dashboard_Live_Data!X25</x:f>
        <x:v>-48.480000000000004</x:v>
      </x:c>
      <x:c r="B1251" t="n">
        <x:f>Dashboard_Live_Data!Y25</x:f>
        <x:v>2685.6117027895602</x:v>
      </x:c>
      <x:c r="C1251" t="n">
        <x:f>Dashboard_Live_Data!Z25</x:f>
        <x:v>-323.20000000000005</x:v>
      </x:c>
      <x:c r="D1251" t="n">
        <x:f>Dashboard_Live_Data!AA25</x:f>
        <x:v>1822.724543620418</x:v>
      </x:c>
      <x:c r="E1251" t="n">
        <x:f>Dashboard_Live_Data!AB25</x:f>
        <x:v>-646.4000000000001</x:v>
      </x:c>
      <x:c r="F1251" t="n">
        <x:f>Dashboard_Live_Data!AC25</x:f>
        <x:v>4436.086416176702</x:v>
      </x:c>
      <x:c r="G1251" t="n">
        <x:f>Dashboard_Live_Data!AD25</x:f>
        <x:v>-646.4000000000001</x:v>
      </x:c>
      <x:c r="H1251" t="n">
        <x:f>Dashboard_Live_Data!AE25</x:f>
        <x:v>4412.927995026562</x:v>
      </x:c>
    </x:row>
    <x:row r="1252">
      <x:c r="A1252" t="n">
        <x:f>Dashboard_Live_Data!X26</x:f>
        <x:v>-48</x:v>
      </x:c>
      <x:c r="B1252" t="n">
        <x:f>Dashboard_Live_Data!Y26</x:f>
        <x:v>2685.2198059365082</x:v>
      </x:c>
      <x:c r="C1252" t="n">
        <x:f>Dashboard_Live_Data!Z26</x:f>
        <x:v>-320</x:v>
      </x:c>
      <x:c r="D1252" t="n">
        <x:f>Dashboard_Live_Data!AA26</x:f>
        <x:v>1791.3103173149907</x:v>
      </x:c>
      <x:c r="E1252" t="n">
        <x:f>Dashboard_Live_Data!AB26</x:f>
        <x:v>-640</x:v>
      </x:c>
      <x:c r="F1252" t="n">
        <x:f>Dashboard_Live_Data!AC26</x:f>
        <x:v>4353.3618800404865</x:v>
      </x:c>
      <x:c r="G1252" t="n">
        <x:f>Dashboard_Live_Data!AD26</x:f>
        <x:v>-640</x:v>
      </x:c>
      <x:c r="H1252" t="n">
        <x:f>Dashboard_Live_Data!AE26</x:f>
        <x:v>4329.345265186219</x:v>
      </x:c>
    </x:row>
    <x:row r="1253">
      <x:c r="A1253" t="n">
        <x:f>Dashboard_Live_Data!X27</x:f>
        <x:v>-47.52</x:v>
      </x:c>
      <x:c r="B1253" t="n">
        <x:f>Dashboard_Live_Data!Y27</x:f>
        <x:v>2684.9493444150958</x:v>
      </x:c>
      <x:c r="C1253" t="n">
        <x:f>Dashboard_Live_Data!Z27</x:f>
        <x:v>-316.8</x:v>
      </x:c>
      <x:c r="D1253" t="n">
        <x:f>Dashboard_Live_Data!AA27</x:f>
        <x:v>1760.4310673656025</x:v>
      </x:c>
      <x:c r="E1253" t="n">
        <x:f>Dashboard_Live_Data!AB27</x:f>
        <x:v>-633.6</x:v>
      </x:c>
      <x:c r="F1253" t="n">
        <x:f>Dashboard_Live_Data!AC27</x:f>
        <x:v>4271.599231277331</x:v>
      </x:c>
      <x:c r="G1253" t="n">
        <x:f>Dashboard_Live_Data!AD27</x:f>
        <x:v>-633.6</x:v>
      </x:c>
      <x:c r="H1253" t="n">
        <x:f>Dashboard_Live_Data!AE27</x:f>
        <x:v>4246.732961959774</x:v>
      </x:c>
    </x:row>
    <x:row r="1254">
      <x:c r="A1254" t="n">
        <x:f>Dashboard_Live_Data!X28</x:f>
        <x:v>-46.980000000000004</x:v>
      </x:c>
      <x:c r="B1254" t="n">
        <x:f>Dashboard_Live_Data!Y28</x:f>
        <x:v>2684.621726220223</x:v>
      </x:c>
      <x:c r="C1254" t="n">
        <x:f>Dashboard_Live_Data!Z28</x:f>
        <x:v>-313.20000000000005</x:v>
      </x:c>
      <x:c r="D1254" t="n">
        <x:f>Dashboard_Live_Data!AA28</x:f>
        <x:v>1726.234115716435</x:v>
      </x:c>
      <x:c r="E1254" t="n">
        <x:f>Dashboard_Live_Data!AB28</x:f>
        <x:v>-626.4000000000001</x:v>
      </x:c>
      <x:c r="F1254" t="n">
        <x:f>Dashboard_Live_Data!AC28</x:f>
        <x:v>4179.935267849889</x:v>
      </x:c>
      <x:c r="G1254" t="n">
        <x:f>Dashboard_Live_Data!AD28</x:f>
        <x:v>-626.4000000000001</x:v>
      </x:c>
      <x:c r="H1254" t="n">
        <x:f>Dashboard_Live_Data!AE28</x:f>
        <x:v>4154.1233443224455</x:v>
      </x:c>
    </x:row>
    <x:row r="1255">
      <x:c r="A1255" t="n">
        <x:f>Dashboard_Live_Data!X29</x:f>
        <x:v>-46.5</x:v>
      </x:c>
      <x:c r="B1255" t="n">
        <x:f>Dashboard_Live_Data!Y29</x:f>
        <x:v>2684.1567187076917</x:v>
      </x:c>
      <x:c r="C1255" t="n">
        <x:f>Dashboard_Live_Data!Z29</x:f>
        <x:v>-310</x:v>
      </x:c>
      <x:c r="D1255" t="n">
        <x:f>Dashboard_Live_Data!AA29</x:f>
        <x:v>1695.8586735261722</x:v>
      </x:c>
      <x:c r="E1255" t="n">
        <x:f>Dashboard_Live_Data!AB29</x:f>
        <x:v>-620</x:v>
      </x:c>
      <x:c r="F1255" t="n">
        <x:f>Dashboard_Live_Data!AC29</x:f>
        <x:v>4099.965897790397</x:v>
      </x:c>
      <x:c r="G1255" t="n">
        <x:f>Dashboard_Live_Data!AD29</x:f>
        <x:v>-620</x:v>
      </x:c>
      <x:c r="H1255" t="n">
        <x:f>Dashboard_Live_Data!AE29</x:f>
        <x:v>4073.322465686445</x:v>
      </x:c>
    </x:row>
    <x:row r="1256">
      <x:c r="A1256" t="n">
        <x:f>Dashboard_Live_Data!X30</x:f>
        <x:v>-46.02</x:v>
      </x:c>
      <x:c r="B1256" t="n">
        <x:f>Dashboard_Live_Data!Y30</x:f>
        <x:v>2683.845136650238</x:v>
      </x:c>
      <x:c r="C1256" t="n">
        <x:f>Dashboard_Live_Data!Z30</x:f>
        <x:v>-306.8</x:v>
      </x:c>
      <x:c r="D1256" t="n">
        <x:f>Dashboard_Live_Data!AA30</x:f>
        <x:v>1665.8212925006906</x:v>
      </x:c>
      <x:c r="E1256" t="n">
        <x:f>Dashboard_Live_Data!AB30</x:f>
        <x:v>-613.6</x:v>
      </x:c>
      <x:c r="F1256" t="n">
        <x:f>Dashboard_Live_Data!AC30</x:f>
        <x:v>4020.642850016848</x:v>
      </x:c>
      <x:c r="G1256" t="n">
        <x:f>Dashboard_Live_Data!AD30</x:f>
        <x:v>-613.6</x:v>
      </x:c>
      <x:c r="H1256" t="n">
        <x:f>Dashboard_Live_Data!AE30</x:f>
        <x:v>3993.1764485772233</x:v>
      </x:c>
    </x:row>
    <x:row r="1257">
      <x:c r="A1257" t="n">
        <x:f>Dashboard_Live_Data!X31</x:f>
        <x:v>-45.480000000000004</x:v>
      </x:c>
      <x:c r="B1257" t="n">
        <x:f>Dashboard_Live_Data!Y31</x:f>
        <x:v>2683.5136176627734</x:v>
      </x:c>
      <x:c r="C1257" t="n">
        <x:f>Dashboard_Live_Data!Z31</x:f>
        <x:v>-303.2</x:v>
      </x:c>
      <x:c r="D1257" t="n">
        <x:f>Dashboard_Live_Data!AA31</x:f>
        <x:v>1632.376799481638</x:v>
      </x:c>
      <x:c r="E1257" t="n">
        <x:f>Dashboard_Live_Data!AB31</x:f>
        <x:v>-606.4</x:v>
      </x:c>
      <x:c r="F1257" t="n">
        <x:f>Dashboard_Live_Data!AC31</x:f>
        <x:v>3932.122421247776</x:v>
      </x:c>
      <x:c r="G1257" t="n">
        <x:f>Dashboard_Live_Data!AD31</x:f>
        <x:v>-606.4</x:v>
      </x:c>
      <x:c r="H1257" t="n">
        <x:f>Dashboard_Live_Data!AE31</x:f>
        <x:v>3903.7403863668314</x:v>
      </x:c>
    </x:row>
    <x:row r="1258">
      <x:c r="A1258" t="n">
        <x:f>Dashboard_Live_Data!X32</x:f>
        <x:v>-45</x:v>
      </x:c>
      <x:c r="B1258" t="n">
        <x:f>Dashboard_Live_Data!Y32</x:f>
        <x:v>2683.212269613844</x:v>
      </x:c>
      <x:c r="C1258" t="n">
        <x:f>Dashboard_Live_Data!Z32</x:f>
        <x:v>-300</x:v>
      </x:c>
      <x:c r="D1258" t="n">
        <x:f>Dashboard_Live_Data!AA32</x:f>
        <x:v>1602.8094295360397</x:v>
      </x:c>
      <x:c r="E1258" t="n">
        <x:f>Dashboard_Live_Data!AB32</x:f>
        <x:v>-600</x:v>
      </x:c>
      <x:c r="F1258" t="n">
        <x:f>Dashboard_Live_Data!AC32</x:f>
        <x:v>3854.83280751004</x:v>
      </x:c>
      <x:c r="G1258" t="n">
        <x:f>Dashboard_Live_Data!AD32</x:f>
        <x:v>-600</x:v>
      </x:c>
      <x:c r="H1258" t="n">
        <x:f>Dashboard_Live_Data!AE32</x:f>
        <x:v>3825.645949180202</x:v>
      </x:c>
    </x:row>
    <x:row r="1259">
      <x:c r="A1259" t="n">
        <x:f>Dashboard_Live_Data!X33</x:f>
        <x:v>-44.519999999999996</x:v>
      </x:c>
      <x:c r="B1259" t="n">
        <x:f>Dashboard_Live_Data!Y33</x:f>
        <x:v>2682.9899653906477</x:v>
      </x:c>
      <x:c r="C1259" t="n">
        <x:f>Dashboard_Live_Data!Z33</x:f>
        <x:v>-296.8</x:v>
      </x:c>
      <x:c r="D1259" t="n">
        <x:f>Dashboard_Live_Data!AA33</x:f>
        <x:v>1573.7599919685726</x:v>
      </x:c>
      <x:c r="E1259" t="n">
        <x:f>Dashboard_Live_Data!AB33</x:f>
        <x:v>-593.6</x:v>
      </x:c>
      <x:c r="F1259" t="n">
        <x:f>Dashboard_Live_Data!AC33</x:f>
        <x:v>3777.7390062611753</x:v>
      </x:c>
      <x:c r="G1259" t="n">
        <x:f>Dashboard_Live_Data!AD33</x:f>
        <x:v>-593.6</x:v>
      </x:c>
      <x:c r="H1259" t="n">
        <x:f>Dashboard_Live_Data!AE33</x:f>
        <x:v>3747.7558637232805</x:v>
      </x:c>
    </x:row>
    <x:row r="1260">
      <x:c r="A1260" t="n">
        <x:f>Dashboard_Live_Data!X34</x:f>
        <x:v>-43.980000000000004</x:v>
      </x:c>
      <x:c r="B1260" t="n">
        <x:f>Dashboard_Live_Data!Y34</x:f>
        <x:v>2682.6790087524896</x:v>
      </x:c>
      <x:c r="C1260" t="n">
        <x:f>Dashboard_Live_Data!Z34</x:f>
        <x:v>-293.2</x:v>
      </x:c>
      <x:c r="D1260" t="n">
        <x:f>Dashboard_Live_Data!AA34</x:f>
        <x:v>1541.9632012793968</x:v>
      </x:c>
      <x:c r="E1260" t="n">
        <x:f>Dashboard_Live_Data!AB34</x:f>
        <x:v>-586.4</x:v>
      </x:c>
      <x:c r="F1260" t="n">
        <x:f>Dashboard_Live_Data!AC34</x:f>
        <x:v>3692.4898473144344</x:v>
      </x:c>
      <x:c r="G1260" t="n">
        <x:f>Dashboard_Live_Data!AD34</x:f>
        <x:v>-586.4</x:v>
      </x:c>
      <x:c r="H1260" t="n">
        <x:f>Dashboard_Live_Data!AE34</x:f>
        <x:v>3661.621092103788</x:v>
      </x:c>
    </x:row>
    <x:row r="1261">
      <x:c r="A1261" t="n">
        <x:f>Dashboard_Live_Data!X35</x:f>
        <x:v>-43.5</x:v>
      </x:c>
      <x:c r="B1261" t="n">
        <x:f>Dashboard_Live_Data!Y35</x:f>
        <x:v>2682.3886623098647</x:v>
      </x:c>
      <x:c r="C1261" t="n">
        <x:f>Dashboard_Live_Data!Z35</x:f>
        <x:v>-290</x:v>
      </x:c>
      <x:c r="D1261" t="n">
        <x:f>Dashboard_Live_Data!AA35</x:f>
        <x:v>1513.653103462361</x:v>
      </x:c>
      <x:c r="E1261" t="n">
        <x:f>Dashboard_Live_Data!AB35</x:f>
        <x:v>-580</x:v>
      </x:c>
      <x:c r="F1261" t="n">
        <x:f>Dashboard_Live_Data!AC35</x:f>
        <x:v>3617.6794807622778</x:v>
      </x:c>
      <x:c r="G1261" t="n">
        <x:f>Dashboard_Live_Data!AD35</x:f>
        <x:v>-580</x:v>
      </x:c>
      <x:c r="H1261" t="n">
        <x:f>Dashboard_Live_Data!AE35</x:f>
        <x:v>3586.032587230352</x:v>
      </x:c>
    </x:row>
    <x:row r="1262">
      <x:c r="A1262" t="n">
        <x:f>Dashboard_Live_Data!X36</x:f>
        <x:v>-43.019999999999996</x:v>
      </x:c>
      <x:c r="B1262" t="n">
        <x:f>Dashboard_Live_Data!Y36</x:f>
        <x:v>2682.203202076833</x:v>
      </x:c>
      <x:c r="C1262" t="n">
        <x:f>Dashboard_Live_Data!Z36</x:f>
        <x:v>-286.79999999999995</x:v>
      </x:c>
      <x:c r="D1262" t="n">
        <x:f>Dashboard_Live_Data!AA36</x:f>
        <x:v>1485.0967429511395</x:v>
      </x:c>
      <x:c r="E1262" t="n">
        <x:f>Dashboard_Live_Data!AB36</x:f>
        <x:v>-573.5999999999999</x:v>
      </x:c>
      <x:c r="F1262" t="n">
        <x:f>Dashboard_Live_Data!AC36</x:f>
        <x:v>3542.9615560105917</x:v>
      </x:c>
      <x:c r="G1262" t="n">
        <x:f>Dashboard_Live_Data!AD36</x:f>
        <x:v>-573.5999999999999</x:v>
      </x:c>
      <x:c r="H1262" t="n">
        <x:f>Dashboard_Live_Data!AE36</x:f>
        <x:v>3510.545063398227</x:v>
      </x:c>
    </x:row>
    <x:row r="1263">
      <x:c r="A1263" t="n">
        <x:f>Dashboard_Live_Data!X37</x:f>
        <x:v>-42.48</x:v>
      </x:c>
      <x:c r="B1263" t="n">
        <x:f>Dashboard_Live_Data!Y37</x:f>
        <x:v>2681.7900212837867</x:v>
      </x:c>
      <x:c r="C1263" t="n">
        <x:f>Dashboard_Live_Data!Z37</x:f>
        <x:v>-283.2</x:v>
      </x:c>
      <x:c r="D1263" t="n">
        <x:f>Dashboard_Live_Data!AA37</x:f>
        <x:v>1453.6204263071954</x:v>
      </x:c>
      <x:c r="E1263" t="n">
        <x:f>Dashboard_Live_Data!AB37</x:f>
        <x:v>-566.4</x:v>
      </x:c>
      <x:c r="F1263" t="n">
        <x:f>Dashboard_Live_Data!AC37</x:f>
        <x:v>3460.5582527761903</x:v>
      </x:c>
      <x:c r="G1263" t="n">
        <x:f>Dashboard_Live_Data!AD37</x:f>
        <x:v>-566.4</x:v>
      </x:c>
      <x:c r="H1263" t="n">
        <x:f>Dashboard_Live_Data!AE37</x:f>
        <x:v>3427.2861682596404</x:v>
      </x:c>
    </x:row>
    <x:row r="1264">
      <x:c r="A1264" t="n">
        <x:f>Dashboard_Live_Data!X38</x:f>
        <x:v>-42</x:v>
      </x:c>
      <x:c r="B1264" t="n">
        <x:f>Dashboard_Live_Data!Y38</x:f>
        <x:v>2681.646456252919</x:v>
      </x:c>
      <x:c r="C1264" t="n">
        <x:f>Dashboard_Live_Data!Z38</x:f>
        <x:v>-280</x:v>
      </x:c>
      <x:c r="D1264" t="n">
        <x:f>Dashboard_Live_Data!AA38</x:f>
        <x:v>1426.4451757847892</x:v>
      </x:c>
      <x:c r="E1264" t="n">
        <x:f>Dashboard_Live_Data!AB38</x:f>
        <x:v>-560</x:v>
      </x:c>
      <x:c r="F1264" t="n">
        <x:f>Dashboard_Live_Data!AC38</x:f>
        <x:v>3387.9425003472197</x:v>
      </x:c>
      <x:c r="G1264" t="n">
        <x:f>Dashboard_Live_Data!AD38</x:f>
        <x:v>-560</x:v>
      </x:c>
      <x:c r="H1264" t="n">
        <x:f>Dashboard_Live_Data!AE38</x:f>
        <x:v>3353.9189626370085</x:v>
      </x:c>
    </x:row>
    <x:row r="1265">
      <x:c r="A1265" t="n">
        <x:f>Dashboard_Live_Data!X39</x:f>
        <x:v>-41.519999999999996</x:v>
      </x:c>
      <x:c r="B1265" t="n">
        <x:f>Dashboard_Live_Data!Y39</x:f>
        <x:v>2681.401843892318</x:v>
      </x:c>
      <x:c r="C1265" t="n">
        <x:f>Dashboard_Live_Data!Z39</x:f>
        <x:v>-276.79999999999995</x:v>
      </x:c>
      <x:c r="D1265" t="n">
        <x:f>Dashboard_Live_Data!AA39</x:f>
        <x:v>1399.6223178847788</x:v>
      </x:c>
      <x:c r="E1265" t="n">
        <x:f>Dashboard_Live_Data!AB39</x:f>
        <x:v>-553.5999999999999</x:v>
      </x:c>
      <x:c r="F1265" t="n">
        <x:f>Dashboard_Live_Data!AC39</x:f>
        <x:v>3315.7545835019173</x:v>
      </x:c>
      <x:c r="G1265" t="n">
        <x:f>Dashboard_Live_Data!AD39</x:f>
        <x:v>-553.5999999999999</x:v>
      </x:c>
      <x:c r="H1265" t="n">
        <x:f>Dashboard_Live_Data!AE39</x:f>
        <x:v>3280.9881318388802</x:v>
      </x:c>
    </x:row>
    <x:row r="1266">
      <x:c r="A1266" t="n">
        <x:f>Dashboard_Live_Data!X40</x:f>
        <x:v>-40.980000000000004</x:v>
      </x:c>
      <x:c r="B1266" t="n">
        <x:f>Dashboard_Live_Data!Y40</x:f>
        <x:v>2681.004627160038</x:v>
      </x:c>
      <x:c r="C1266" t="n">
        <x:f>Dashboard_Live_Data!Z40</x:f>
        <x:v>-273.20000000000005</x:v>
      </x:c>
      <x:c r="D1266" t="n">
        <x:f>Dashboard_Live_Data!AA40</x:f>
        <x:v>1369.53463092272</x:v>
      </x:c>
      <x:c r="E1266" t="n">
        <x:f>Dashboard_Live_Data!AB40</x:f>
        <x:v>-546.4000000000001</x:v>
      </x:c>
      <x:c r="F1266" t="n">
        <x:f>Dashboard_Live_Data!AC40</x:f>
        <x:v>3236.461382160853</x:v>
      </x:c>
      <x:c r="G1266" t="n">
        <x:f>Dashboard_Live_Data!AD40</x:f>
        <x:v>-546.4000000000001</x:v>
      </x:c>
      <x:c r="H1266" t="n">
        <x:f>Dashboard_Live_Data!AE40</x:f>
        <x:v>3200.8693593622015</x:v>
      </x:c>
    </x:row>
    <x:row r="1267">
      <x:c r="A1267" t="n">
        <x:f>Dashboard_Live_Data!X41</x:f>
        <x:v>-40.5</x:v>
      </x:c>
      <x:c r="B1267" t="n">
        <x:f>Dashboard_Live_Data!Y41</x:f>
        <x:v>2680.7715287985948</x:v>
      </x:c>
      <x:c r="C1267" t="n">
        <x:f>Dashboard_Live_Data!Z41</x:f>
        <x:v>-270</x:v>
      </x:c>
      <x:c r="D1267" t="n">
        <x:f>Dashboard_Live_Data!AA41</x:f>
        <x:v>1342.8567868048142</x:v>
      </x:c>
      <x:c r="E1267" t="n">
        <x:f>Dashboard_Live_Data!AB41</x:f>
        <x:v>-540</x:v>
      </x:c>
      <x:c r="F1267" t="n">
        <x:f>Dashboard_Live_Data!AC41</x:f>
        <x:v>3166.259400612072</x:v>
      </x:c>
      <x:c r="G1267" t="n">
        <x:f>Dashboard_Live_Data!AD41</x:f>
        <x:v>-540</x:v>
      </x:c>
      <x:c r="H1267" t="n">
        <x:f>Dashboard_Live_Data!AE41</x:f>
        <x:v>3129.9426097473734</x:v>
      </x:c>
    </x:row>
    <x:row r="1268">
      <x:c r="A1268" t="n">
        <x:f>Dashboard_Live_Data!X42</x:f>
        <x:v>-40.02</x:v>
      </x:c>
      <x:c r="B1268" t="n">
        <x:f>Dashboard_Live_Data!Y42</x:f>
        <x:v>2680.6232576705215</x:v>
      </x:c>
      <x:c r="C1268" t="n">
        <x:f>Dashboard_Live_Data!Z42</x:f>
        <x:v>-266.8</x:v>
      </x:c>
      <x:c r="D1268" t="n">
        <x:f>Dashboard_Live_Data!AA42</x:f>
        <x:v>1316.381263410234</x:v>
      </x:c>
      <x:c r="E1268" t="n">
        <x:f>Dashboard_Live_Data!AB42</x:f>
        <x:v>-533.6</x:v>
      </x:c>
      <x:c r="F1268" t="n">
        <x:f>Dashboard_Live_Data!AC42</x:f>
        <x:v>3096.909291927256</x:v>
      </x:c>
      <x:c r="G1268" t="n">
        <x:f>Dashboard_Live_Data!AD42</x:f>
        <x:v>-533.6</x:v>
      </x:c>
      <x:c r="H1268" t="n">
        <x:f>Dashboard_Live_Data!AE42</x:f>
        <x:v>3059.8762722373476</x:v>
      </x:c>
    </x:row>
    <x:row r="1269">
      <x:c r="A1269" t="n">
        <x:f>Dashboard_Live_Data!X43</x:f>
        <x:v>-39.480000000000004</x:v>
      </x:c>
      <x:c r="B1269" t="n">
        <x:f>Dashboard_Live_Data!Y43</x:f>
        <x:v>2680.3194831047786</x:v>
      </x:c>
      <x:c r="C1269" t="n">
        <x:f>Dashboard_Live_Data!Z43</x:f>
        <x:v>-263.20000000000005</x:v>
      </x:c>
      <x:c r="D1269" t="n">
        <x:f>Dashboard_Live_Data!AA43</x:f>
        <x:v>1287.3992463636328</x:v>
      </x:c>
      <x:c r="E1269" t="n">
        <x:f>Dashboard_Live_Data!AB43</x:f>
        <x:v>-526.4000000000001</x:v>
      </x:c>
      <x:c r="F1269" t="n">
        <x:f>Dashboard_Live_Data!AC43</x:f>
        <x:v>3020.7723219878835</x:v>
      </x:c>
      <x:c r="G1269" t="n">
        <x:f>Dashboard_Live_Data!AD43</x:f>
        <x:v>-526.4000000000001</x:v>
      </x:c>
      <x:c r="H1269" t="n">
        <x:f>Dashboard_Live_Data!AE43</x:f>
        <x:v>2982.9437519309276</x:v>
      </x:c>
    </x:row>
    <x:row r="1270">
      <x:c r="A1270" t="n">
        <x:f>Dashboard_Live_Data!X44</x:f>
        <x:v>-39</x:v>
      </x:c>
      <x:c r="B1270" t="n">
        <x:f>Dashboard_Live_Data!Y44</x:f>
        <x:v>2680.000843792842</x:v>
      </x:c>
      <x:c r="C1270" t="n">
        <x:f>Dashboard_Live_Data!Z44</x:f>
        <x:v>-260</x:v>
      </x:c>
      <x:c r="D1270" t="n">
        <x:f>Dashboard_Live_Data!AA44</x:f>
        <x:v>1262.192249150471</x:v>
      </x:c>
      <x:c r="E1270" t="n">
        <x:f>Dashboard_Live_Data!AB44</x:f>
        <x:v>-520</x:v>
      </x:c>
      <x:c r="F1270" t="n">
        <x:f>Dashboard_Live_Data!AC44</x:f>
        <x:v>2953.0454000908217</x:v>
      </x:c>
      <x:c r="G1270" t="n">
        <x:f>Dashboard_Live_Data!AD44</x:f>
        <x:v>-520</x:v>
      </x:c>
      <x:c r="H1270" t="n">
        <x:f>Dashboard_Live_Data!AE44</x:f>
        <x:v>2914.518747095435</x:v>
      </x:c>
    </x:row>
    <x:row r="1271">
      <x:c r="A1271" t="n">
        <x:f>Dashboard_Live_Data!X45</x:f>
        <x:v>-38.519999999999996</x:v>
      </x:c>
      <x:c r="B1271" t="n">
        <x:f>Dashboard_Live_Data!Y45</x:f>
        <x:v>2679.7722655199436</x:v>
      </x:c>
      <x:c r="C1271" t="n">
        <x:f>Dashboard_Live_Data!Z45</x:f>
        <x:v>-256.8</x:v>
      </x:c>
      <x:c r="D1271" t="n">
        <x:f>Dashboard_Live_Data!AA45</x:f>
        <x:v>1237.2988669437996</x:v>
      </x:c>
      <x:c r="E1271" t="n">
        <x:f>Dashboard_Live_Data!AB45</x:f>
        <x:v>-513.6</x:v>
      </x:c>
      <x:c r="F1271" t="n">
        <x:f>Dashboard_Live_Data!AC45</x:f>
        <x:v>2886.8093182607818</x:v>
      </x:c>
      <x:c r="G1271" t="n">
        <x:f>Dashboard_Live_Data!AD45</x:f>
        <x:v>-513.6</x:v>
      </x:c>
      <x:c r="H1271" t="n">
        <x:f>Dashboard_Live_Data!AE45</x:f>
        <x:v>2847.5931215678015</x:v>
      </x:c>
    </x:row>
    <x:row r="1272">
      <x:c r="A1272" t="n">
        <x:f>Dashboard_Live_Data!X46</x:f>
        <x:v>-37.980000000000004</x:v>
      </x:c>
      <x:c r="B1272" t="n">
        <x:f>Dashboard_Live_Data!Y46</x:f>
        <x:v>2679.480044723954</x:v>
      </x:c>
      <x:c r="C1272" t="n">
        <x:f>Dashboard_Live_Data!Z46</x:f>
        <x:v>-253.2</x:v>
      </x:c>
      <x:c r="D1272" t="n">
        <x:f>Dashboard_Live_Data!AA46</x:f>
        <x:v>1209.275771725714</x:v>
      </x:c>
      <x:c r="E1272" t="n">
        <x:f>Dashboard_Live_Data!AB46</x:f>
        <x:v>-506.4</x:v>
      </x:c>
      <x:c r="F1272" t="n">
        <x:f>Dashboard_Live_Data!AC46</x:f>
        <x:v>2813.212575155435</x:v>
      </x:c>
      <x:c r="G1272" t="n">
        <x:f>Dashboard_Live_Data!AD46</x:f>
        <x:v>-506.4</x:v>
      </x:c>
      <x:c r="H1272" t="n">
        <x:f>Dashboard_Live_Data!AE46</x:f>
        <x:v>2773.230848863975</x:v>
      </x:c>
    </x:row>
    <x:row r="1273">
      <x:c r="A1273" t="n">
        <x:f>Dashboard_Live_Data!X47</x:f>
        <x:v>-37.5</x:v>
      </x:c>
      <x:c r="B1273" t="n">
        <x:f>Dashboard_Live_Data!Y47</x:f>
        <x:v>2679.061348579185</x:v>
      </x:c>
      <x:c r="C1273" t="n">
        <x:f>Dashboard_Live_Data!Z47</x:f>
        <x:v>-250</x:v>
      </x:c>
      <x:c r="D1273" t="n">
        <x:f>Dashboard_Live_Data!AA47</x:f>
        <x:v>1184.3076782731637</x:v>
      </x:c>
      <x:c r="E1273" t="n">
        <x:f>Dashboard_Live_Data!AB47</x:f>
        <x:v>-500</x:v>
      </x:c>
      <x:c r="F1273" t="n">
        <x:f>Dashboard_Live_Data!AC47</x:f>
        <x:v>2747.97840059239</x:v>
      </x:c>
      <x:c r="G1273" t="n">
        <x:f>Dashboard_Live_Data!AD47</x:f>
        <x:v>-500</x:v>
      </x:c>
      <x:c r="H1273" t="n">
        <x:f>Dashboard_Live_Data!AE47</x:f>
        <x:v>2707.325276490115</x:v>
      </x:c>
    </x:row>
    <x:row r="1274">
      <x:c r="A1274" t="n">
        <x:f>Dashboard_Live_Data!X48</x:f>
        <x:v>-37.019999999999996</x:v>
      </x:c>
      <x:c r="B1274" t="n">
        <x:f>Dashboard_Live_Data!Y48</x:f>
        <x:v>2678.852471688513</x:v>
      </x:c>
      <x:c r="C1274" t="n">
        <x:f>Dashboard_Live_Data!Z48</x:f>
        <x:v>-246.8</x:v>
      </x:c>
      <x:c r="D1274" t="n">
        <x:f>Dashboard_Live_Data!AA48</x:f>
        <x:v>1160.1745172754654</x:v>
      </x:c>
      <x:c r="E1274" t="n">
        <x:f>Dashboard_Live_Data!AB48</x:f>
        <x:v>-493.6</x:v>
      </x:c>
      <x:c r="F1274" t="n">
        <x:f>Dashboard_Live_Data!AC48</x:f>
        <x:v>2684.529948367152</x:v>
      </x:c>
      <x:c r="G1274" t="n">
        <x:f>Dashboard_Live_Data!AD48</x:f>
        <x:v>-493.6</x:v>
      </x:c>
      <x:c r="H1274" t="n">
        <x:f>Dashboard_Live_Data!AE48</x:f>
        <x:v>2643.2139656948993</x:v>
      </x:c>
    </x:row>
    <x:row r="1275">
      <x:c r="A1275" t="n">
        <x:f>Dashboard_Live_Data!X49</x:f>
        <x:v>-36.480000000000004</x:v>
      </x:c>
      <x:c r="B1275" t="n">
        <x:f>Dashboard_Live_Data!Y49</x:f>
        <x:v>2678.5467573407996</x:v>
      </x:c>
      <x:c r="C1275" t="n">
        <x:f>Dashboard_Live_Data!Z49</x:f>
        <x:v>-243.2</x:v>
      </x:c>
      <x:c r="D1275" t="n">
        <x:f>Dashboard_Live_Data!AA49</x:f>
        <x:v>1133.8318204369273</x:v>
      </x:c>
      <x:c r="E1275" t="n">
        <x:f>Dashboard_Live_Data!AB49</x:f>
        <x:v>-486.4</x:v>
      </x:c>
      <x:c r="F1275" t="n">
        <x:f>Dashboard_Live_Data!AC49</x:f>
        <x:v>2613.1887828674326</x:v>
      </x:c>
      <x:c r="G1275" t="n">
        <x:f>Dashboard_Live_Data!AD49</x:f>
        <x:v>-486.4</x:v>
      </x:c>
      <x:c r="H1275" t="n">
        <x:f>Dashboard_Live_Data!AE49</x:f>
        <x:v>2571.137291365268</x:v>
      </x:c>
    </x:row>
    <x:row r="1276">
      <x:c r="A1276" t="n">
        <x:f>Dashboard_Live_Data!X50</x:f>
        <x:v>-36</x:v>
      </x:c>
      <x:c r="B1276" t="n">
        <x:f>Dashboard_Live_Data!Y50</x:f>
        <x:v>2678.134662495121</x:v>
      </x:c>
      <x:c r="C1276" t="n">
        <x:f>Dashboard_Live_Data!Z50</x:f>
        <x:v>-240</x:v>
      </x:c>
      <x:c r="D1276" t="n">
        <x:f>Dashboard_Live_Data!AA50</x:f>
        <x:v>1110.4114575267997</x:v>
      </x:c>
      <x:c r="E1276" t="n">
        <x:f>Dashboard_Live_Data!AB50</x:f>
        <x:v>-480</x:v>
      </x:c>
      <x:c r="F1276" t="n">
        <x:f>Dashboard_Live_Data!AC50</x:f>
        <x:v>2550.8882906400845</x:v>
      </x:c>
      <x:c r="G1276" t="n">
        <x:f>Dashboard_Live_Data!AD50</x:f>
        <x:v>-480</x:v>
      </x:c>
      <x:c r="H1276" t="n">
        <x:f>Dashboard_Live_Data!AE50</x:f>
        <x:v>2508.192086454721</x:v>
      </x:c>
    </x:row>
    <x:row r="1277">
      <x:c r="A1277" t="n">
        <x:f>Dashboard_Live_Data!X51</x:f>
        <x:v>-35.519999999999996</x:v>
      </x:c>
      <x:c r="B1277" t="n">
        <x:f>Dashboard_Live_Data!Y51</x:f>
        <x:v>2677.8312038609492</x:v>
      </x:c>
      <x:c r="C1277" t="n">
        <x:f>Dashboard_Live_Data!Z51</x:f>
        <x:v>-236.79999999999998</x:v>
      </x:c>
      <x:c r="D1277" t="n">
        <x:f>Dashboard_Live_Data!AA51</x:f>
        <x:v>1086.8427303999088</x:v>
      </x:c>
      <x:c r="E1277" t="n">
        <x:f>Dashboard_Live_Data!AB51</x:f>
        <x:v>-473.59999999999997</x:v>
      </x:c>
      <x:c r="F1277" t="n">
        <x:f>Dashboard_Live_Data!AC51</x:f>
        <x:v>2489.739262947348</x:v>
      </x:c>
      <x:c r="G1277" t="n">
        <x:f>Dashboard_Live_Data!AD51</x:f>
        <x:v>-473.59999999999997</x:v>
      </x:c>
      <x:c r="H1277" t="n">
        <x:f>Dashboard_Live_Data!AE51</x:f>
        <x:v>2446.4068853196227</x:v>
      </x:c>
    </x:row>
    <x:row r="1278">
      <x:c r="A1278" t="n">
        <x:f>Dashboard_Live_Data!X52</x:f>
        <x:v>-34.98</x:v>
      </x:c>
      <x:c r="B1278" t="n">
        <x:f>Dashboard_Live_Data!Y52</x:f>
        <x:v>2677.591373027257</x:v>
      </x:c>
      <x:c r="C1278" t="n">
        <x:f>Dashboard_Live_Data!Z52</x:f>
        <x:v>-233.2</x:v>
      </x:c>
      <x:c r="D1278" t="n">
        <x:f>Dashboard_Live_Data!AA52</x:f>
        <x:v>1061.12543171678</x:v>
      </x:c>
      <x:c r="E1278" t="n">
        <x:f>Dashboard_Live_Data!AB52</x:f>
        <x:v>-466.4</x:v>
      </x:c>
      <x:c r="F1278" t="n">
        <x:f>Dashboard_Live_Data!AC52</x:f>
        <x:v>2421.203933680219</x:v>
      </x:c>
      <x:c r="G1278" t="n">
        <x:f>Dashboard_Live_Data!AD52</x:f>
        <x:v>-466.4</x:v>
      </x:c>
      <x:c r="H1278" t="n">
        <x:f>Dashboard_Live_Data!AE52</x:f>
        <x:v>2377.1660679911497</x:v>
      </x:c>
    </x:row>
    <x:row r="1279">
      <x:c r="A1279" t="n">
        <x:f>Dashboard_Live_Data!X53</x:f>
        <x:v>-34.5</x:v>
      </x:c>
      <x:c r="B1279" t="n">
        <x:f>Dashboard_Live_Data!Y53</x:f>
        <x:v>2677.4013084133485</x:v>
      </x:c>
      <x:c r="C1279" t="n">
        <x:f>Dashboard_Live_Data!Z53</x:f>
        <x:v>-229.99999999999997</x:v>
      </x:c>
      <x:c r="D1279" t="n">
        <x:f>Dashboard_Live_Data!AA53</x:f>
        <x:v>1038.5909879836213</x:v>
      </x:c>
      <x:c r="E1279" t="n">
        <x:f>Dashboard_Live_Data!AB53</x:f>
        <x:v>-459.99999999999994</x:v>
      </x:c>
      <x:c r="F1279" t="n">
        <x:f>Dashboard_Live_Data!AC53</x:f>
        <x:v>2361.7787973155064</x:v>
      </x:c>
      <x:c r="G1279" t="n">
        <x:f>Dashboard_Live_Data!AD53</x:f>
        <x:v>-459.99999999999994</x:v>
      </x:c>
      <x:c r="H1279" t="n">
        <x:f>Dashboard_Live_Data!AE53</x:f>
        <x:v>2317.1229040708536</x:v>
      </x:c>
    </x:row>
    <x:row r="1280">
      <x:c r="A1280" t="n">
        <x:f>Dashboard_Live_Data!X54</x:f>
        <x:v>-34.019999999999996</x:v>
      </x:c>
      <x:c r="B1280" t="n">
        <x:f>Dashboard_Live_Data!Y54</x:f>
        <x:v>2677.108815515032</x:v>
      </x:c>
      <x:c r="C1280" t="n">
        <x:f>Dashboard_Live_Data!Z54</x:f>
        <x:v>-226.79999999999998</x:v>
      </x:c>
      <x:c r="D1280" t="n">
        <x:f>Dashboard_Live_Data!AA54</x:f>
        <x:v>1016.1344402669544</x:v>
      </x:c>
      <x:c r="E1280" t="n">
        <x:f>Dashboard_Live_Data!AB54</x:f>
        <x:v>-453.59999999999997</x:v>
      </x:c>
      <x:c r="F1280" t="n">
        <x:f>Dashboard_Live_Data!AC54</x:f>
        <x:v>2303.344286876124</x:v>
      </x:c>
      <x:c r="G1280" t="n">
        <x:f>Dashboard_Live_Data!AD54</x:f>
        <x:v>-453.59999999999997</x:v>
      </x:c>
      <x:c r="H1280" t="n">
        <x:f>Dashboard_Live_Data!AE54</x:f>
        <x:v>2258.078905316726</x:v>
      </x:c>
    </x:row>
    <x:row r="1281">
      <x:c r="A1281" t="n">
        <x:f>Dashboard_Live_Data!X55</x:f>
        <x:v>-33.480000000000004</x:v>
      </x:c>
      <x:c r="B1281" t="n">
        <x:f>Dashboard_Live_Data!Y55</x:f>
        <x:v>2676.694759763543</x:v>
      </x:c>
      <x:c r="C1281" t="n">
        <x:f>Dashboard_Live_Data!Z55</x:f>
        <x:v>-223.20000000000002</x:v>
      </x:c>
      <x:c r="D1281" t="n">
        <x:f>Dashboard_Live_Data!AA55</x:f>
        <x:v>991.5333258162572</x:v>
      </x:c>
      <x:c r="E1281" t="n">
        <x:f>Dashboard_Live_Data!AB55</x:f>
        <x:v>-446.40000000000003</x:v>
      </x:c>
      <x:c r="F1281" t="n">
        <x:f>Dashboard_Live_Data!AC55</x:f>
        <x:v>2237.6242728070965</x:v>
      </x:c>
      <x:c r="G1281" t="n">
        <x:f>Dashboard_Live_Data!AD55</x:f>
        <x:v>-446.40000000000003</x:v>
      </x:c>
      <x:c r="H1281" t="n">
        <x:f>Dashboard_Live_Data!AE55</x:f>
        <x:v>2191.683423954921</x:v>
      </x:c>
    </x:row>
    <x:row r="1282">
      <x:c r="A1282" t="n">
        <x:f>Dashboard_Live_Data!X56</x:f>
        <x:v>-33</x:v>
      </x:c>
      <x:c r="B1282" t="n">
        <x:f>Dashboard_Live_Data!Y56</x:f>
        <x:v>2676.499053404357</x:v>
      </x:c>
      <x:c r="C1282" t="n">
        <x:f>Dashboard_Live_Data!Z56</x:f>
        <x:v>-220.00000000000003</x:v>
      </x:c>
      <x:c r="D1282" t="n">
        <x:f>Dashboard_Live_Data!AA56</x:f>
        <x:v>970.1685104366036</x:v>
      </x:c>
      <x:c r="E1282" t="n">
        <x:f>Dashboard_Live_Data!AB56</x:f>
        <x:v>-440.00000000000006</x:v>
      </x:c>
      <x:c r="F1282" t="n">
        <x:f>Dashboard_Live_Data!AC56</x:f>
        <x:v>2180.866229244237</x:v>
      </x:c>
      <x:c r="G1282" t="n">
        <x:f>Dashboard_Live_Data!AD56</x:f>
        <x:v>-440.00000000000006</x:v>
      </x:c>
      <x:c r="H1282" t="n">
        <x:f>Dashboard_Live_Data!AE56</x:f>
        <x:v>2134.334037964095</x:v>
      </x:c>
    </x:row>
    <x:row r="1283">
      <x:c r="A1283" t="n">
        <x:f>Dashboard_Live_Data!X57</x:f>
        <x:v>-32.52</x:v>
      </x:c>
      <x:c r="B1283" t="n">
        <x:f>Dashboard_Live_Data!Y57</x:f>
        <x:v>2676.2200621956567</x:v>
      </x:c>
      <x:c r="C1283" t="n">
        <x:f>Dashboard_Live_Data!Z57</x:f>
        <x:v>-216.8</x:v>
      </x:c>
      <x:c r="D1283" t="n">
        <x:f>Dashboard_Live_Data!AA57</x:f>
        <x:v>948.7608368090656</x:v>
      </x:c>
      <x:c r="E1283" t="n">
        <x:f>Dashboard_Live_Data!AB57</x:f>
        <x:v>-433.6</x:v>
      </x:c>
      <x:c r="F1283" t="n">
        <x:f>Dashboard_Live_Data!AC57</x:f>
        <x:v>2124.696136137851</x:v>
      </x:c>
      <x:c r="G1283" t="n">
        <x:f>Dashboard_Live_Data!AD57</x:f>
        <x:v>-433.6</x:v>
      </x:c>
      <x:c r="H1283" t="n">
        <x:f>Dashboard_Live_Data!AE57</x:f>
        <x:v>2077.5811416705787</x:v>
      </x:c>
    </x:row>
    <x:row r="1284">
      <x:c r="A1284" t="n">
        <x:f>Dashboard_Live_Data!X58</x:f>
        <x:v>-31.98</x:v>
      </x:c>
      <x:c r="B1284" t="n">
        <x:f>Dashboard_Live_Data!Y58</x:f>
        <x:v>2676.1391391812404</x:v>
      </x:c>
      <x:c r="C1284" t="n">
        <x:f>Dashboard_Live_Data!Z58</x:f>
        <x:v>-213.20000000000002</x:v>
      </x:c>
      <x:c r="D1284" t="n">
        <x:f>Dashboard_Live_Data!AA58</x:f>
        <x:v>924.7601899779155</x:v>
      </x:c>
      <x:c r="E1284" t="n">
        <x:f>Dashboard_Live_Data!AB58</x:f>
        <x:v>-426.40000000000003</x:v>
      </x:c>
      <x:c r="F1284" t="n">
        <x:f>Dashboard_Live_Data!AC58</x:f>
        <x:v>2061.9306805806204</x:v>
      </x:c>
      <x:c r="G1284" t="n">
        <x:f>Dashboard_Live_Data!AD58</x:f>
        <x:v>-426.40000000000003</x:v>
      </x:c>
      <x:c r="H1284" t="n">
        <x:f>Dashboard_Live_Data!AE58</x:f>
        <x:v>2014.1702395891398</x:v>
      </x:c>
    </x:row>
    <x:row r="1285">
      <x:c r="A1285" t="n">
        <x:f>Dashboard_Live_Data!X59</x:f>
        <x:v>-31.5</x:v>
      </x:c>
      <x:c r="B1285" t="n">
        <x:f>Dashboard_Live_Data!Y59</x:f>
        <x:v>2675.80583486783</x:v>
      </x:c>
      <x:c r="C1285" t="n">
        <x:f>Dashboard_Live_Data!Z59</x:f>
        <x:v>-210</x:v>
      </x:c>
      <x:c r="D1285" t="n">
        <x:f>Dashboard_Live_Data!AA59</x:f>
        <x:v>904.2533098821133</x:v>
      </x:c>
      <x:c r="E1285" t="n">
        <x:f>Dashboard_Live_Data!AB59</x:f>
        <x:v>-420</x:v>
      </x:c>
      <x:c r="F1285" t="n">
        <x:f>Dashboard_Live_Data!AC59</x:f>
        <x:v>2007.8337102011103</x:v>
      </x:c>
      <x:c r="G1285" t="n">
        <x:f>Dashboard_Live_Data!AD59</x:f>
        <x:v>-420</x:v>
      </x:c>
      <x:c r="H1285" t="n">
        <x:f>Dashboard_Live_Data!AE59</x:f>
        <x:v>1959.5086119092775</x:v>
      </x:c>
    </x:row>
    <x:row r="1286">
      <x:c r="A1286" t="n">
        <x:f>Dashboard_Live_Data!X60</x:f>
        <x:v>-31.02</x:v>
      </x:c>
      <x:c r="B1286" t="n">
        <x:f>Dashboard_Live_Data!Y60</x:f>
        <x:v>2675.70219462797</x:v>
      </x:c>
      <x:c r="C1286" t="n">
        <x:f>Dashboard_Live_Data!Z60</x:f>
        <x:v>-206.8</x:v>
      </x:c>
      <x:c r="D1286" t="n">
        <x:f>Dashboard_Live_Data!AA60</x:f>
        <x:v>884.1203916379084</x:v>
      </x:c>
      <x:c r="E1286" t="n">
        <x:f>Dashboard_Live_Data!AB60</x:f>
        <x:v>-413.6</x:v>
      </x:c>
      <x:c r="F1286" t="n">
        <x:f>Dashboard_Live_Data!AC60</x:f>
        <x:v>1953.830454243079</x:v>
      </x:c>
      <x:c r="G1286" t="n">
        <x:f>Dashboard_Live_Data!AD60</x:f>
        <x:v>-413.6</x:v>
      </x:c>
      <x:c r="H1286" t="n">
        <x:f>Dashboard_Live_Data!AE60</x:f>
        <x:v>1904.9492378917325</x:v>
      </x:c>
    </x:row>
    <x:row r="1287">
      <x:c r="A1287" t="n">
        <x:f>Dashboard_Live_Data!X61</x:f>
        <x:v>-30.48</x:v>
      </x:c>
      <x:c r="B1287" t="n">
        <x:f>Dashboard_Live_Data!Y61</x:f>
        <x:v>2675.4695261018783</x:v>
      </x:c>
      <x:c r="C1287" t="n">
        <x:f>Dashboard_Live_Data!Z61</x:f>
        <x:v>-203.2</x:v>
      </x:c>
      <x:c r="D1287" t="n">
        <x:f>Dashboard_Live_Data!AA61</x:f>
        <x:v>861.7139405611684</x:v>
      </x:c>
      <x:c r="E1287" t="n">
        <x:f>Dashboard_Live_Data!AB61</x:f>
        <x:v>-406.4</x:v>
      </x:c>
      <x:c r="F1287" t="n">
        <x:f>Dashboard_Live_Data!AC61</x:f>
        <x:v>1894.3114493737276</x:v>
      </x:c>
      <x:c r="G1287" t="n">
        <x:f>Dashboard_Live_Data!AD61</x:f>
        <x:v>-406.4</x:v>
      </x:c>
      <x:c r="H1287" t="n">
        <x:f>Dashboard_Live_Data!AE61</x:f>
        <x:v>1844.81480726674</x:v>
      </x:c>
    </x:row>
    <x:row r="1288">
      <x:c r="A1288" t="n">
        <x:f>Dashboard_Live_Data!X62</x:f>
        <x:v>-30</x:v>
      </x:c>
      <x:c r="B1288" t="n">
        <x:f>Dashboard_Live_Data!Y62</x:f>
        <x:v>2675.3009110978614</x:v>
      </x:c>
      <x:c r="C1288" t="n">
        <x:f>Dashboard_Live_Data!Z62</x:f>
        <x:v>-200</x:v>
      </x:c>
      <x:c r="D1288" t="n">
        <x:f>Dashboard_Live_Data!AA62</x:f>
        <x:v>842.0910391477134</x:v>
      </x:c>
      <x:c r="E1288" t="n">
        <x:f>Dashboard_Live_Data!AB62</x:f>
        <x:v>-400</x:v>
      </x:c>
      <x:c r="F1288" t="n">
        <x:f>Dashboard_Live_Data!AC62</x:f>
        <x:v>1842.8570097666186</x:v>
      </x:c>
      <x:c r="G1288" t="n">
        <x:f>Dashboard_Live_Data!AD62</x:f>
        <x:v>-400</x:v>
      </x:c>
      <x:c r="H1288" t="n">
        <x:f>Dashboard_Live_Data!AE62</x:f>
        <x:v>1792.8223954868956</x:v>
      </x:c>
    </x:row>
    <x:row r="1289">
      <x:c r="A1289" t="n">
        <x:f>Dashboard_Live_Data!X63</x:f>
        <x:v>-29.52</x:v>
      </x:c>
      <x:c r="B1289" t="n">
        <x:f>Dashboard_Live_Data!Y63</x:f>
        <x:v>2675.1900720308854</x:v>
      </x:c>
      <x:c r="C1289" t="n">
        <x:f>Dashboard_Live_Data!Z63</x:f>
        <x:v>-196.8</x:v>
      </x:c>
      <x:c r="D1289" t="n">
        <x:f>Dashboard_Live_Data!AA63</x:f>
        <x:v>822.5520747808995</x:v>
      </x:c>
      <x:c r="E1289" t="n">
        <x:f>Dashboard_Live_Data!AB63</x:f>
        <x:v>-393.6</x:v>
      </x:c>
      <x:c r="F1289" t="n">
        <x:f>Dashboard_Live_Data!AC63</x:f>
        <x:v>1791.3583570829956</x:v>
      </x:c>
      <x:c r="G1289" t="n">
        <x:f>Dashboard_Live_Data!AD63</x:f>
        <x:v>-393.6</x:v>
      </x:c>
      <x:c r="H1289" t="n">
        <x:f>Dashboard_Live_Data!AE63</x:f>
        <x:v>1740.7943098713745</x:v>
      </x:c>
    </x:row>
    <x:row r="1290">
      <x:c r="A1290" t="n">
        <x:f>Dashboard_Live_Data!X64</x:f>
        <x:v>-28.98</x:v>
      </x:c>
      <x:c r="B1290" t="n">
        <x:f>Dashboard_Live_Data!Y64</x:f>
        <x:v>2674.966604122772</x:v>
      </x:c>
      <x:c r="C1290" t="n">
        <x:f>Dashboard_Live_Data!Z64</x:f>
        <x:v>-193.2</x:v>
      </x:c>
      <x:c r="D1290" t="n">
        <x:f>Dashboard_Live_Data!AA64</x:f>
        <x:v>800.788445167925</x:v>
      </x:c>
      <x:c r="E1290" t="n">
        <x:f>Dashboard_Live_Data!AB64</x:f>
        <x:v>-386.4</x:v>
      </x:c>
      <x:c r="F1290" t="n">
        <x:f>Dashboard_Live_Data!AC64</x:f>
        <x:v>1735.3520404808078</x:v>
      </x:c>
      <x:c r="G1290" t="n">
        <x:f>Dashboard_Live_Data!AD64</x:f>
        <x:v>-386.4</x:v>
      </x:c>
      <x:c r="H1290" t="n">
        <x:f>Dashboard_Live_Data!AE64</x:f>
        <x:v>1684.2025882821138</x:v>
      </x:c>
    </x:row>
    <x:row r="1291">
      <x:c r="A1291" t="n">
        <x:f>Dashboard_Live_Data!X65</x:f>
        <x:v>-28.5</x:v>
      </x:c>
      <x:c r="B1291" t="n">
        <x:f>Dashboard_Live_Data!Y65</x:f>
        <x:v>2674.73193988436</x:v>
      </x:c>
      <x:c r="C1291" t="n">
        <x:f>Dashboard_Live_Data!Z65</x:f>
        <x:v>-190</x:v>
      </x:c>
      <x:c r="D1291" t="n">
        <x:f>Dashboard_Live_Data!AA65</x:f>
        <x:v>782.182758595004</x:v>
      </x:c>
      <x:c r="E1291" t="n">
        <x:f>Dashboard_Live_Data!AB65</x:f>
        <x:v>-380</x:v>
      </x:c>
      <x:c r="F1291" t="n">
        <x:f>Dashboard_Live_Data!AC65</x:f>
        <x:v>1686.2442602676774</x:v>
      </x:c>
      <x:c r="G1291" t="n">
        <x:f>Dashboard_Live_Data!AD65</x:f>
        <x:v>-380</x:v>
      </x:c>
      <x:c r="H1291" t="n">
        <x:f>Dashboard_Live_Data!AE65</x:f>
        <x:v>1634.5835210238636</x:v>
      </x:c>
    </x:row>
    <x:row r="1292">
      <x:c r="A1292" t="n">
        <x:f>Dashboard_Live_Data!X66</x:f>
        <x:v>-28.020000000000003</x:v>
      </x:c>
      <x:c r="B1292" t="n">
        <x:f>Dashboard_Live_Data!Y66</x:f>
        <x:v>2674.723922285471</x:v>
      </x:c>
      <x:c r="C1292" t="n">
        <x:f>Dashboard_Live_Data!Z66</x:f>
        <x:v>-186.80000000000004</x:v>
      </x:c>
      <x:c r="D1292" t="n">
        <x:f>Dashboard_Live_Data!AA66</x:f>
        <x:v>764.2997508213764</x:v>
      </x:c>
      <x:c r="E1292" t="n">
        <x:f>Dashboard_Live_Data!AB66</x:f>
        <x:v>-373.6000000000001</x:v>
      </x:c>
      <x:c r="F1292" t="n">
        <x:f>Dashboard_Live_Data!AC66</x:f>
        <x:v>1637.3177434988154</x:v>
      </x:c>
      <x:c r="G1292" t="n">
        <x:f>Dashboard_Live_Data!AD66</x:f>
        <x:v>-373.6000000000001</x:v>
      </x:c>
      <x:c r="H1292" t="n">
        <x:f>Dashboard_Live_Data!AE66</x:f>
        <x:v>1585.154256450719</x:v>
      </x:c>
    </x:row>
    <x:row r="1293">
      <x:c r="A1293" t="n">
        <x:f>Dashboard_Live_Data!X67</x:f>
        <x:v>-27.479999999999997</x:v>
      </x:c>
      <x:c r="B1293" t="n">
        <x:f>Dashboard_Live_Data!Y67</x:f>
        <x:v>2674.5566383706246</x:v>
      </x:c>
      <x:c r="C1293" t="n">
        <x:f>Dashboard_Live_Data!Z67</x:f>
        <x:v>-183.2</x:v>
      </x:c>
      <x:c r="D1293" t="n">
        <x:f>Dashboard_Live_Data!AA67</x:f>
        <x:v>744.2996706468294</x:v>
      </x:c>
      <x:c r="E1293" t="n">
        <x:f>Dashboard_Live_Data!AB67</x:f>
        <x:v>-366.4</x:v>
      </x:c>
      <x:c r="F1293" t="n">
        <x:f>Dashboard_Live_Data!AC67</x:f>
        <x:v>1584.1474784934792</x:v>
      </x:c>
      <x:c r="G1293" t="n">
        <x:f>Dashboard_Live_Data!AD67</x:f>
        <x:v>-366.4</x:v>
      </x:c>
      <x:c r="H1293" t="n">
        <x:f>Dashboard_Live_Data!AE67</x:f>
        <x:v>1531.4286072268776</x:v>
      </x:c>
    </x:row>
    <x:row r="1294">
      <x:c r="A1294" t="n">
        <x:f>Dashboard_Live_Data!X68</x:f>
        <x:v>-27</x:v>
      </x:c>
      <x:c r="B1294" t="n">
        <x:f>Dashboard_Live_Data!Y68</x:f>
        <x:v>2674.381298406674</x:v>
      </x:c>
      <x:c r="C1294" t="n">
        <x:f>Dashboard_Live_Data!Z68</x:f>
        <x:v>-179.99999999999997</x:v>
      </x:c>
      <x:c r="D1294" t="n">
        <x:f>Dashboard_Live_Data!AA68</x:f>
        <x:v>726.3902763702735</x:v>
      </x:c>
      <x:c r="E1294" t="n">
        <x:f>Dashboard_Live_Data!AB68</x:f>
        <x:v>-359.99999999999994</x:v>
      </x:c>
      <x:c r="F1294" t="n">
        <x:f>Dashboard_Live_Data!AC68</x:f>
        <x:v>1537.2156175815205</x:v>
      </x:c>
      <x:c r="G1294" t="n">
        <x:f>Dashboard_Live_Data!AD68</x:f>
        <x:v>-359.99999999999994</x:v>
      </x:c>
      <x:c r="H1294" t="n">
        <x:f>Dashboard_Live_Data!AE68</x:f>
        <x:v>1484.0121443974156</x:v>
      </x:c>
    </x:row>
    <x:row r="1295">
      <x:c r="A1295" t="n">
        <x:f>Dashboard_Live_Data!X69</x:f>
        <x:v>-26.519999999999996</x:v>
      </x:c>
      <x:c r="B1295" t="n">
        <x:f>Dashboard_Live_Data!Y69</x:f>
        <x:v>2674.3335334564645</x:v>
      </x:c>
      <x:c r="C1295" t="n">
        <x:f>Dashboard_Live_Data!Z69</x:f>
        <x:v>-176.79999999999998</x:v>
      </x:c>
      <x:c r="D1295" t="n">
        <x:f>Dashboard_Live_Data!AA69</x:f>
        <x:v>708.5965223973278</x:v>
      </x:c>
      <x:c r="E1295" t="n">
        <x:f>Dashboard_Live_Data!AB69</x:f>
        <x:v>-353.59999999999997</x:v>
      </x:c>
      <x:c r="F1295" t="n">
        <x:f>Dashboard_Live_Data!AC69</x:f>
        <x:v>1491.014051093174</x:v>
      </x:c>
      <x:c r="G1295" t="n">
        <x:f>Dashboard_Live_Data!AD69</x:f>
        <x:v>-353.59999999999997</x:v>
      </x:c>
      <x:c r="H1295" t="n">
        <x:f>Dashboard_Live_Data!AE69</x:f>
        <x:v>1437.3345152324018</x:v>
      </x:c>
    </x:row>
    <x:row r="1296">
      <x:c r="A1296" t="n">
        <x:f>Dashboard_Live_Data!X70</x:f>
        <x:v>-25.980000000000004</x:v>
      </x:c>
      <x:c r="B1296" t="n">
        <x:f>Dashboard_Live_Data!Y70</x:f>
        <x:v>2674.121602551275</x:v>
      </x:c>
      <x:c r="C1296" t="n">
        <x:f>Dashboard_Live_Data!Z70</x:f>
        <x:v>-173.20000000000002</x:v>
      </x:c>
      <x:c r="D1296" t="n">
        <x:f>Dashboard_Live_Data!AA70</x:f>
        <x:v>689.6044707976647</x:v>
      </x:c>
      <x:c r="E1296" t="n">
        <x:f>Dashboard_Live_Data!AB70</x:f>
        <x:v>-346.40000000000003</x:v>
      </x:c>
      <x:c r="F1296" t="n">
        <x:f>Dashboard_Live_Data!AC70</x:f>
        <x:v>1440.7064420089464</x:v>
      </x:c>
      <x:c r="G1296" t="n">
        <x:f>Dashboard_Live_Data!AD70</x:f>
        <x:v>-346.40000000000003</x:v>
      </x:c>
      <x:c r="H1296" t="n">
        <x:f>Dashboard_Live_Data!AE70</x:f>
        <x:v>1386.501542698237</x:v>
      </x:c>
    </x:row>
    <x:row r="1297">
      <x:c r="A1297" t="n">
        <x:f>Dashboard_Live_Data!X71</x:f>
        <x:v>-25.5</x:v>
      </x:c>
      <x:c r="B1297" t="n">
        <x:f>Dashboard_Live_Data!Y71</x:f>
        <x:v>2674.028698460582</x:v>
      </x:c>
      <x:c r="C1297" t="n">
        <x:f>Dashboard_Live_Data!Z71</x:f>
        <x:v>-170.00000000000003</x:v>
      </x:c>
      <x:c r="D1297" t="n">
        <x:f>Dashboard_Live_Data!AA71</x:f>
        <x:v>673.529430210656</x:v>
      </x:c>
      <x:c r="E1297" t="n">
        <x:f>Dashboard_Live_Data!AB71</x:f>
        <x:v>-340.00000000000006</x:v>
      </x:c>
      <x:c r="F1297" t="n">
        <x:f>Dashboard_Live_Data!AC71</x:f>
        <x:v>1395.9069815926184</x:v>
      </x:c>
      <x:c r="G1297" t="n">
        <x:f>Dashboard_Live_Data!AD71</x:f>
        <x:v>-340.00000000000006</x:v>
      </x:c>
      <x:c r="H1297" t="n">
        <x:f>Dashboard_Live_Data!AE71</x:f>
        <x:v>1341.2441654920215</x:v>
      </x:c>
    </x:row>
    <x:row r="1298">
      <x:c r="A1298" t="n">
        <x:f>Dashboard_Live_Data!X72</x:f>
        <x:v>-25.020000000000003</x:v>
      </x:c>
      <x:c r="B1298" t="n">
        <x:f>Dashboard_Live_Data!Y72</x:f>
        <x:v>2673.836415166981</x:v>
      </x:c>
      <x:c r="C1298" t="n">
        <x:f>Dashboard_Live_Data!Z72</x:f>
        <x:v>-166.8</x:v>
      </x:c>
      <x:c r="D1298" t="n">
        <x:f>Dashboard_Live_Data!AA72</x:f>
        <x:v>657.1579289089054</x:v>
      </x:c>
      <x:c r="E1298" t="n">
        <x:f>Dashboard_Live_Data!AB72</x:f>
        <x:v>-333.6</x:v>
      </x:c>
      <x:c r="F1298" t="n">
        <x:f>Dashboard_Live_Data!AC72</x:f>
        <x:v>1352.5285718842533</x:v>
      </x:c>
      <x:c r="G1298" t="n">
        <x:f>Dashboard_Live_Data!AD72</x:f>
        <x:v>-333.6</x:v>
      </x:c>
      <x:c r="H1298" t="n">
        <x:f>Dashboard_Live_Data!AE72</x:f>
        <x:v>1297.4163782346052</x:v>
      </x:c>
    </x:row>
    <x:row r="1299">
      <x:c r="A1299" t="n">
        <x:f>Dashboard_Live_Data!X73</x:f>
        <x:v>-24.479999999999997</x:v>
      </x:c>
      <x:c r="B1299" t="n">
        <x:f>Dashboard_Live_Data!Y73</x:f>
        <x:v>2673.7029376385944</x:v>
      </x:c>
      <x:c r="C1299" t="n">
        <x:f>Dashboard_Live_Data!Z73</x:f>
        <x:v>-163.19999999999996</x:v>
      </x:c>
      <x:c r="D1299" t="n">
        <x:f>Dashboard_Live_Data!AA73</x:f>
        <x:v>638.7033528513318</x:v>
      </x:c>
      <x:c r="E1299" t="n">
        <x:f>Dashboard_Live_Data!AB73</x:f>
        <x:v>-326.3999999999999</x:v>
      </x:c>
      <x:c r="F1299" t="n">
        <x:f>Dashboard_Live_Data!AC73</x:f>
        <x:v>1304.9764199784206</x:v>
      </x:c>
      <x:c r="G1299" t="n">
        <x:f>Dashboard_Live_Data!AD73</x:f>
        <x:v>-326.3999999999999</x:v>
      </x:c>
      <x:c r="H1299" t="n">
        <x:f>Dashboard_Live_Data!AE73</x:f>
        <x:v>1249.3688836474032</x:v>
      </x:c>
    </x:row>
    <x:row r="1300">
      <x:c r="A1300" t="n">
        <x:f>Dashboard_Live_Data!X74</x:f>
        <x:v>-24</x:v>
      </x:c>
      <x:c r="B1300" t="n">
        <x:f>Dashboard_Live_Data!Y74</x:f>
        <x:v>2673.5261534625206</x:v>
      </x:c>
      <x:c r="C1300" t="n">
        <x:f>Dashboard_Live_Data!Z74</x:f>
        <x:v>-160</x:v>
      </x:c>
      <x:c r="D1300" t="n">
        <x:f>Dashboard_Live_Data!AA74</x:f>
        <x:v>622.9558192945855</x:v>
      </x:c>
      <x:c r="E1300" t="n">
        <x:f>Dashboard_Live_Data!AB74</x:f>
        <x:v>-320</x:v>
      </x:c>
      <x:c r="F1300" t="n">
        <x:f>Dashboard_Live_Data!AC74</x:f>
        <x:v>1262.944790521118</x:v>
      </x:c>
      <x:c r="G1300" t="n">
        <x:f>Dashboard_Live_Data!AD74</x:f>
        <x:v>-320</x:v>
      </x:c>
      <x:c r="H1300" t="n">
        <x:f>Dashboard_Live_Data!AE74</x:f>
        <x:v>1206.9060225278283</x:v>
      </x:c>
    </x:row>
    <x:row r="1301">
      <x:c r="A1301" t="n">
        <x:f>Dashboard_Live_Data!X75</x:f>
        <x:v>-23.520000000000003</x:v>
      </x:c>
      <x:c r="B1301" t="n">
        <x:f>Dashboard_Live_Data!Y75</x:f>
        <x:v>2673.5228751299887</x:v>
      </x:c>
      <x:c r="C1301" t="n">
        <x:f>Dashboard_Live_Data!Z75</x:f>
        <x:v>-156.8</x:v>
      </x:c>
      <x:c r="D1301" t="n">
        <x:f>Dashboard_Live_Data!AA75</x:f>
        <x:v>607.6984165072893</x:v>
      </x:c>
      <x:c r="E1301" t="n">
        <x:f>Dashboard_Live_Data!AB75</x:f>
        <x:v>-313.6</x:v>
      </x:c>
      <x:c r="F1301" t="n">
        <x:f>Dashboard_Live_Data!AC75</x:f>
        <x:v>1222.5976275941218</x:v>
      </x:c>
      <x:c r="G1301" t="n">
        <x:f>Dashboard_Live_Data!AD75</x:f>
        <x:v>-313.6</x:v>
      </x:c>
      <x:c r="H1301" t="n">
        <x:f>Dashboard_Live_Data!AE75</x:f>
        <x:v>1166.1361671793973</x:v>
      </x:c>
    </x:row>
    <x:row r="1302">
      <x:c r="A1302" t="n">
        <x:f>Dashboard_Live_Data!X76</x:f>
        <x:v>-22.980000000000004</x:v>
      </x:c>
      <x:c r="B1302" t="n">
        <x:f>Dashboard_Live_Data!Y76</x:f>
        <x:v>2673.292108029348</x:v>
      </x:c>
      <x:c r="C1302" t="n">
        <x:f>Dashboard_Live_Data!Z76</x:f>
        <x:v>-153.2</x:v>
      </x:c>
      <x:c r="D1302" t="n">
        <x:f>Dashboard_Live_Data!AA76</x:f>
        <x:v>590.6619711076781</x:v>
      </x:c>
      <x:c r="E1302" t="n">
        <x:f>Dashboard_Live_Data!AB76</x:f>
        <x:v>-306.4</x:v>
      </x:c>
      <x:c r="F1302" t="n">
        <x:f>Dashboard_Live_Data!AC76</x:f>
        <x:v>1177.579756144795</x:v>
      </x:c>
      <x:c r="G1302" t="n">
        <x:f>Dashboard_Live_Data!AD76</x:f>
        <x:v>-306.4</x:v>
      </x:c>
      <x:c r="H1302" t="n">
        <x:f>Dashboard_Live_Data!AE76</x:f>
        <x:v>1120.6529738172692</x:v>
      </x:c>
    </x:row>
    <x:row r="1303">
      <x:c r="A1303" t="n">
        <x:f>Dashboard_Live_Data!X77</x:f>
        <x:v>-22.5</x:v>
      </x:c>
      <x:c r="B1303" t="n">
        <x:f>Dashboard_Live_Data!Y77</x:f>
        <x:v>2673.18796223142</x:v>
      </x:c>
      <x:c r="C1303" t="n">
        <x:f>Dashboard_Live_Data!Z77</x:f>
        <x:v>-150</x:v>
      </x:c>
      <x:c r="D1303" t="n">
        <x:f>Dashboard_Live_Data!AA77</x:f>
        <x:v>576.2225881312249</x:v>
      </x:c>
      <x:c r="E1303" t="n">
        <x:f>Dashboard_Live_Data!AB77</x:f>
        <x:v>-300</x:v>
      </x:c>
      <x:c r="F1303" t="n">
        <x:f>Dashboard_Live_Data!AC77</x:f>
        <x:v>1138.4256657523622</x:v>
      </x:c>
      <x:c r="G1303" t="n">
        <x:f>Dashboard_Live_Data!AD77</x:f>
        <x:v>-300</x:v>
      </x:c>
      <x:c r="H1303" t="n">
        <x:f>Dashboard_Live_Data!AE77</x:f>
        <x:v>1081.0943368901799</x:v>
      </x:c>
    </x:row>
    <x:row r="1304">
      <x:c r="A1304" t="n">
        <x:f>Dashboard_Live_Data!X78</x:f>
        <x:v>-22.019999999999996</x:v>
      </x:c>
      <x:c r="B1304" t="n">
        <x:f>Dashboard_Live_Data!Y78</x:f>
        <x:v>2673.1305400369843</x:v>
      </x:c>
      <x:c r="C1304" t="n">
        <x:f>Dashboard_Live_Data!Z78</x:f>
        <x:v>-146.8</x:v>
      </x:c>
      <x:c r="D1304" t="n">
        <x:f>Dashboard_Live_Data!AA78</x:f>
        <x:v>561.8222462323213</x:v>
      </x:c>
      <x:c r="E1304" t="n">
        <x:f>Dashboard_Live_Data!AB78</x:f>
        <x:v>-293.6</x:v>
      </x:c>
      <x:c r="F1304" t="n">
        <x:f>Dashboard_Live_Data!AC78</x:f>
        <x:v>1100.5896963997259</x:v>
      </x:c>
      <x:c r="G1304" t="n">
        <x:f>Dashboard_Live_Data!AD78</x:f>
        <x:v>-293.6</x:v>
      </x:c>
      <x:c r="H1304" t="n">
        <x:f>Dashboard_Live_Data!AE78</x:f>
        <x:v>1042.862360243724</x:v>
      </x:c>
    </x:row>
    <x:row r="1305">
      <x:c r="A1305" t="n">
        <x:f>Dashboard_Live_Data!X79</x:f>
        <x:v>-21.479999999999997</x:v>
      </x:c>
      <x:c r="B1305" t="n">
        <x:f>Dashboard_Live_Data!Y79</x:f>
        <x:v>2672.9477639052798</x:v>
      </x:c>
      <x:c r="C1305" t="n">
        <x:f>Dashboard_Live_Data!Z79</x:f>
        <x:v>-143.2</x:v>
      </x:c>
      <x:c r="D1305" t="n">
        <x:f>Dashboard_Live_Data!AA79</x:f>
        <x:v>545.4683845610028</x:v>
      </x:c>
      <x:c r="E1305" t="n">
        <x:f>Dashboard_Live_Data!AB79</x:f>
        <x:v>-286.4</x:v>
      </x:c>
      <x:c r="F1305" t="n">
        <x:f>Dashboard_Live_Data!AC79</x:f>
        <x:v>1058.3002345586074</x:v>
      </x:c>
      <x:c r="G1305" t="n">
        <x:f>Dashboard_Live_Data!AD79</x:f>
        <x:v>-286.4</x:v>
      </x:c>
      <x:c r="H1305" t="n">
        <x:f>Dashboard_Live_Data!AE79</x:f>
        <x:v>1000.1375972583725</x:v>
      </x:c>
    </x:row>
    <x:row r="1306">
      <x:c r="A1306" t="n">
        <x:f>Dashboard_Live_Data!X80</x:f>
        <x:v>-21</x:v>
      </x:c>
      <x:c r="B1306" t="n">
        <x:f>Dashboard_Live_Data!Y80</x:f>
        <x:v>2672.7315331589957</x:v>
      </x:c>
      <x:c r="C1306" t="n">
        <x:f>Dashboard_Live_Data!Z80</x:f>
        <x:v>-140</x:v>
      </x:c>
      <x:c r="D1306" t="n">
        <x:f>Dashboard_Live_Data!AA80</x:f>
        <x:v>531.4420597563163</x:v>
      </x:c>
      <x:c r="E1306" t="n">
        <x:f>Dashboard_Live_Data!AB80</x:f>
        <x:v>-280</x:v>
      </x:c>
      <x:c r="F1306" t="n">
        <x:f>Dashboard_Live_Data!AC80</x:f>
        <x:v>1021.9153193332302</x:v>
      </x:c>
      <x:c r="G1306" t="n">
        <x:f>Dashboard_Live_Data!AD80</x:f>
        <x:v>-280</x:v>
      </x:c>
      <x:c r="H1306" t="n">
        <x:f>Dashboard_Live_Data!AE80</x:f>
        <x:v>963.3748206259548</x:v>
      </x:c>
    </x:row>
    <x:row r="1307">
      <x:c r="A1307" t="n">
        <x:f>Dashboard_Live_Data!X81</x:f>
        <x:v>-20.520000000000003</x:v>
      </x:c>
      <x:c r="B1307" t="n">
        <x:f>Dashboard_Live_Data!Y81</x:f>
        <x:v>2672.6976301058958</x:v>
      </x:c>
      <x:c r="C1307" t="n">
        <x:f>Dashboard_Live_Data!Z81</x:f>
        <x:v>-136.8</x:v>
      </x:c>
      <x:c r="D1307" t="n">
        <x:f>Dashboard_Live_Data!AA81</x:f>
        <x:v>518.30702957058</x:v>
      </x:c>
      <x:c r="E1307" t="n">
        <x:f>Dashboard_Live_Data!AB81</x:f>
        <x:v>-273.6</x:v>
      </x:c>
      <x:c r="F1307" t="n">
        <x:f>Dashboard_Live_Data!AC81</x:f>
        <x:v>986.6455688287625</x:v>
      </x:c>
      <x:c r="G1307" t="n">
        <x:f>Dashboard_Live_Data!AD81</x:f>
        <x:v>-273.6</x:v>
      </x:c>
      <x:c r="H1307" t="n">
        <x:f>Dashboard_Live_Data!AE81</x:f>
        <x:v>927.7357479552833</x:v>
      </x:c>
    </x:row>
    <x:row r="1308">
      <x:c r="A1308" t="n">
        <x:f>Dashboard_Live_Data!X82</x:f>
        <x:v>-19.979999999999997</x:v>
      </x:c>
      <x:c r="B1308" t="n">
        <x:f>Dashboard_Live_Data!Y82</x:f>
        <x:v>2672.4754623052013</x:v>
      </x:c>
      <x:c r="C1308" t="n">
        <x:f>Dashboard_Live_Data!Z82</x:f>
        <x:v>-133.2</x:v>
      </x:c>
      <x:c r="D1308" t="n">
        <x:f>Dashboard_Live_Data!AA82</x:f>
        <x:v>503.5300716509127</x:v>
      </x:c>
      <x:c r="E1308" t="n">
        <x:f>Dashboard_Live_Data!AB82</x:f>
        <x:v>-266.4</x:v>
      </x:c>
      <x:c r="F1308" t="n">
        <x:f>Dashboard_Live_Data!AC82</x:f>
        <x:v>946.9302890193869</x:v>
      </x:c>
      <x:c r="G1308" t="n">
        <x:f>Dashboard_Live_Data!AD82</x:f>
        <x:v>-266.4</x:v>
      </x:c>
      <x:c r="H1308" t="n">
        <x:f>Dashboard_Live_Data!AE82</x:f>
        <x:v>887.615187770242</x:v>
      </x:c>
    </x:row>
    <x:row r="1309">
      <x:c r="A1309" t="n">
        <x:f>Dashboard_Live_Data!X83</x:f>
        <x:v>-19.5</x:v>
      </x:c>
      <x:c r="B1309" t="n">
        <x:f>Dashboard_Live_Data!Y83</x:f>
        <x:v>2672.265680133479</x:v>
      </x:c>
      <x:c r="C1309" t="n">
        <x:f>Dashboard_Live_Data!Z83</x:f>
        <x:v>-130</x:v>
      </x:c>
      <x:c r="D1309" t="n">
        <x:f>Dashboard_Live_Data!AA83</x:f>
        <x:v>490.6119523498117</x:v>
      </x:c>
      <x:c r="E1309" t="n">
        <x:f>Dashboard_Live_Data!AB83</x:f>
        <x:v>-260</x:v>
      </x:c>
      <x:c r="F1309" t="n">
        <x:f>Dashboard_Live_Data!AC83</x:f>
        <x:v>913.3884443529537</x:v>
      </x:c>
      <x:c r="G1309" t="n">
        <x:f>Dashboard_Live_Data!AD83</x:f>
        <x:v>-260</x:v>
      </x:c>
      <x:c r="H1309" t="n">
        <x:f>Dashboard_Live_Data!AE83</x:f>
        <x:v>853.7221668243841</x:v>
      </x:c>
    </x:row>
    <x:row r="1310">
      <x:c r="A1310" t="n">
        <x:f>Dashboard_Live_Data!X84</x:f>
        <x:v>-19.019999999999996</x:v>
      </x:c>
      <x:c r="B1310" t="n">
        <x:f>Dashboard_Live_Data!Y84</x:f>
        <x:v>2672.115565841893</x:v>
      </x:c>
      <x:c r="C1310" t="n">
        <x:f>Dashboard_Live_Data!Z84</x:f>
        <x:v>-126.79999999999995</x:v>
      </x:c>
      <x:c r="D1310" t="n">
        <x:f>Dashboard_Live_Data!AA84</x:f>
        <x:v>478.15408387641</x:v>
      </x:c>
      <x:c r="E1310" t="n">
        <x:f>Dashboard_Live_Data!AB84</x:f>
        <x:v>-253.5999999999999</x:v>
      </x:c>
      <x:c r="F1310" t="n">
        <x:f>Dashboard_Live_Data!AC84</x:f>
        <x:v>880.5229562915246</x:v>
      </x:c>
      <x:c r="G1310" t="n">
        <x:f>Dashboard_Live_Data!AD84</x:f>
        <x:v>-253.5999999999999</x:v>
      </x:c>
      <x:c r="H1310" t="n">
        <x:f>Dashboard_Live_Data!AE84</x:f>
        <x:v>820.5140417243678</x:v>
      </x:c>
    </x:row>
    <x:row r="1311">
      <x:c r="A1311" t="n">
        <x:f>Dashboard_Live_Data!X85</x:f>
        <x:v>-18.480000000000004</x:v>
      </x:c>
      <x:c r="B1311" t="n">
        <x:f>Dashboard_Live_Data!Y85</x:f>
        <x:v>2671.975172884264</x:v>
      </x:c>
      <x:c r="C1311" t="n">
        <x:f>Dashboard_Live_Data!Z85</x:f>
        <x:v>-123.20000000000005</x:v>
      </x:c>
      <x:c r="D1311" t="n">
        <x:f>Dashboard_Live_Data!AA85</x:f>
        <x:v>464.2648822613425</x:v>
      </x:c>
      <x:c r="E1311" t="n">
        <x:f>Dashboard_Live_Data!AB85</x:f>
        <x:v>-246.4000000000001</x:v>
      </x:c>
      <x:c r="F1311" t="n">
        <x:f>Dashboard_Live_Data!AC85</x:f>
        <x:v>843.8524115089195</x:v>
      </x:c>
      <x:c r="G1311" t="n">
        <x:f>Dashboard_Live_Data!AD85</x:f>
        <x:v>-246.4000000000001</x:v>
      </x:c>
      <x:c r="H1311" t="n">
        <x:f>Dashboard_Live_Data!AE85</x:f>
        <x:v>783.4682373346647</x:v>
      </x:c>
    </x:row>
    <x:row r="1312">
      <x:c r="A1312" t="n">
        <x:f>Dashboard_Live_Data!X86</x:f>
        <x:v>-18</x:v>
      </x:c>
      <x:c r="B1312" t="n">
        <x:f>Dashboard_Live_Data!Y86</x:f>
        <x:v>2671.9092619653225</x:v>
      </x:c>
      <x:c r="C1312" t="n">
        <x:f>Dashboard_Live_Data!Z86</x:f>
        <x:v>-120</x:v>
      </x:c>
      <x:c r="D1312" t="n">
        <x:f>Dashboard_Live_Data!AA86</x:f>
        <x:v>452.12513673633794</x:v>
      </x:c>
      <x:c r="E1312" t="n">
        <x:f>Dashboard_Live_Data!AB86</x:f>
        <x:v>-240</x:v>
      </x:c>
      <x:c r="F1312" t="n">
        <x:f>Dashboard_Live_Data!AC86</x:f>
        <x:v>813.2058487052462</x:v>
      </x:c>
      <x:c r="G1312" t="n">
        <x:f>Dashboard_Live_Data!AD86</x:f>
        <x:v>-240</x:v>
      </x:c>
      <x:c r="H1312" t="n">
        <x:f>Dashboard_Live_Data!AE86</x:f>
        <x:v>752.4971833791826</x:v>
      </x:c>
    </x:row>
    <x:row r="1313">
      <x:c r="A1313" t="n">
        <x:f>Dashboard_Live_Data!X87</x:f>
        <x:v>-17.520000000000003</x:v>
      </x:c>
      <x:c r="B1313" t="n">
        <x:f>Dashboard_Live_Data!Y87</x:f>
        <x:v>2671.617255107805</x:v>
      </x:c>
      <x:c r="C1313" t="n">
        <x:f>Dashboard_Live_Data!Z87</x:f>
        <x:v>-116.80000000000001</x:v>
      </x:c>
      <x:c r="D1313" t="n">
        <x:f>Dashboard_Live_Data!AA87</x:f>
        <x:v>440.789520058493</x:v>
      </x:c>
      <x:c r="E1313" t="n">
        <x:f>Dashboard_Live_Data!AB87</x:f>
        <x:v>-233.60000000000002</x:v>
      </x:c>
      <x:c r="F1313" t="n">
        <x:f>Dashboard_Live_Data!AC87</x:f>
        <x:v>782.2383189807096</x:v>
      </x:c>
      <x:c r="G1313" t="n">
        <x:f>Dashboard_Live_Data!AD87</x:f>
        <x:v>-233.60000000000002</x:v>
      </x:c>
      <x:c r="H1313" t="n">
        <x:f>Dashboard_Live_Data!AE87</x:f>
        <x:v>721.2137017436742</x:v>
      </x:c>
    </x:row>
    <x:row r="1314">
      <x:c r="A1314" t="n">
        <x:f>Dashboard_Live_Data!X88</x:f>
        <x:v>-16.979999999999997</x:v>
      </x:c>
      <x:c r="B1314" t="n">
        <x:f>Dashboard_Live_Data!Y88</x:f>
        <x:v>2671.4755777744185</x:v>
      </x:c>
      <x:c r="C1314" t="n">
        <x:f>Dashboard_Live_Data!Z88</x:f>
        <x:v>-113.19999999999999</x:v>
      </x:c>
      <x:c r="D1314" t="n">
        <x:f>Dashboard_Live_Data!AA88</x:f>
        <x:v>428.42468286207804</x:v>
      </x:c>
      <x:c r="E1314" t="n">
        <x:f>Dashboard_Live_Data!AB88</x:f>
        <x:v>-226.39999999999998</x:v>
      </x:c>
      <x:c r="F1314" t="n">
        <x:f>Dashboard_Live_Data!AC88</x:f>
        <x:v>748.9308676883384</x:v>
      </x:c>
      <x:c r="G1314" t="n">
        <x:f>Dashboard_Live_Data!AD88</x:f>
        <x:v>-226.39999999999998</x:v>
      </x:c>
      <x:c r="H1314" t="n">
        <x:f>Dashboard_Live_Data!AE88</x:f>
        <x:v>687.5610116127729</x:v>
      </x:c>
    </x:row>
    <x:row r="1315">
      <x:c r="A1315" t="n">
        <x:f>Dashboard_Live_Data!X89</x:f>
        <x:v>-16.5</x:v>
      </x:c>
      <x:c r="B1315" t="n">
        <x:f>Dashboard_Live_Data!Y89</x:f>
        <x:v>2671.3571868013596</x:v>
      </x:c>
      <x:c r="C1315" t="n">
        <x:f>Dashboard_Live_Data!Z89</x:f>
        <x:v>-110</x:v>
      </x:c>
      <x:c r="D1315" t="n">
        <x:f>Dashboard_Live_Data!AA89</x:f>
        <x:v>417.67037608062077</x:v>
      </x:c>
      <x:c r="E1315" t="n">
        <x:f>Dashboard_Live_Data!AB89</x:f>
        <x:v>-220</x:v>
      </x:c>
      <x:c r="F1315" t="n">
        <x:f>Dashboard_Live_Data!AC89</x:f>
        <x:v>720.4332419129369</x:v>
      </x:c>
      <x:c r="G1315" t="n">
        <x:f>Dashboard_Live_Data!AD89</x:f>
        <x:v>-220</x:v>
      </x:c>
      <x:c r="H1315" t="n">
        <x:f>Dashboard_Live_Data!AE89</x:f>
        <x:v>658.7655798131786</x:v>
      </x:c>
    </x:row>
    <x:row r="1316">
      <x:c r="A1316" t="n">
        <x:f>Dashboard_Live_Data!X90</x:f>
        <x:v>-16.020000000000003</x:v>
      </x:c>
      <x:c r="B1316" t="n">
        <x:f>Dashboard_Live_Data!Y90</x:f>
        <x:v>2671.224880020979</x:v>
      </x:c>
      <x:c r="C1316" t="n">
        <x:f>Dashboard_Live_Data!Z90</x:f>
        <x:v>-106.80000000000001</x:v>
      </x:c>
      <x:c r="D1316" t="n">
        <x:f>Dashboard_Live_Data!AA90</x:f>
        <x:v>406.7470273897068</x:v>
      </x:c>
      <x:c r="E1316" t="n">
        <x:f>Dashboard_Live_Data!AB90</x:f>
        <x:v>-213.60000000000002</x:v>
      </x:c>
      <x:c r="F1316" t="n">
        <x:f>Dashboard_Live_Data!AC90</x:f>
        <x:v>691.9670551954491</x:v>
      </x:c>
      <x:c r="G1316" t="n">
        <x:f>Dashboard_Live_Data!AD90</x:f>
        <x:v>-213.60000000000002</x:v>
      </x:c>
      <x:c r="H1316" t="n">
        <x:f>Dashboard_Live_Data!AE90</x:f>
        <x:v>630.010126312335</x:v>
      </x:c>
    </x:row>
    <x:row r="1317">
      <x:c r="A1317" t="n">
        <x:f>Dashboard_Live_Data!X91</x:f>
        <x:v>-15.480000000000004</x:v>
      </x:c>
      <x:c r="B1317" t="n">
        <x:f>Dashboard_Live_Data!Y91</x:f>
        <x:v>2670.893062133703</x:v>
      </x:c>
      <x:c r="C1317" t="n">
        <x:f>Dashboard_Live_Data!Z91</x:f>
        <x:v>-103.19999999999999</x:v>
      </x:c>
      <x:c r="D1317" t="n">
        <x:f>Dashboard_Live_Data!AA91</x:f>
        <x:v>395.0892701821094</x:v>
      </x:c>
      <x:c r="E1317" t="n">
        <x:f>Dashboard_Live_Data!AB91</x:f>
        <x:v>-206.39999999999998</x:v>
      </x:c>
      <x:c r="F1317" t="n">
        <x:f>Dashboard_Live_Data!AC91</x:f>
        <x:v>661.6899994846148</x:v>
      </x:c>
      <x:c r="G1317" t="n">
        <x:f>Dashboard_Live_Data!AD91</x:f>
        <x:v>-206.39999999999998</x:v>
      </x:c>
      <x:c r="H1317" t="n">
        <x:f>Dashboard_Live_Data!AE91</x:f>
        <x:v>599.4178525315383</x:v>
      </x:c>
    </x:row>
    <x:row r="1318">
      <x:c r="A1318" t="n">
        <x:f>Dashboard_Live_Data!X92</x:f>
        <x:v>-15</x:v>
      </x:c>
      <x:c r="B1318" t="n">
        <x:f>Dashboard_Live_Data!Y92</x:f>
        <x:v>2670.784301778729</x:v>
      </x:c>
      <x:c r="C1318" t="n">
        <x:f>Dashboard_Live_Data!Z92</x:f>
        <x:v>-100</x:v>
      </x:c>
      <x:c r="D1318" t="n">
        <x:f>Dashboard_Live_Data!AA92</x:f>
        <x:v>385.3661380377797</x:v>
      </x:c>
      <x:c r="E1318" t="n">
        <x:f>Dashboard_Live_Data!AB92</x:f>
        <x:v>-200</x:v>
      </x:c>
      <x:c r="F1318" t="n">
        <x:f>Dashboard_Live_Data!AC92</x:f>
        <x:v>635.6982552438569</x:v>
      </x:c>
      <x:c r="G1318" t="n">
        <x:f>Dashboard_Live_Data!AD92</x:f>
        <x:v>-200</x:v>
      </x:c>
      <x:c r="H1318" t="n">
        <x:f>Dashboard_Live_Data!AE92</x:f>
        <x:v>573.1549873942034</x:v>
      </x:c>
    </x:row>
    <x:row r="1319">
      <x:c r="A1319" t="n">
        <x:f>Dashboard_Live_Data!X93</x:f>
        <x:v>-14.519999999999996</x:v>
      </x:c>
      <x:c r="B1319" t="n">
        <x:f>Dashboard_Live_Data!Y93</x:f>
        <x:v>2670.71087513689</x:v>
      </x:c>
      <x:c r="C1319" t="n">
        <x:f>Dashboard_Live_Data!Z93</x:f>
        <x:v>-96.80000000000001</x:v>
      </x:c>
      <x:c r="D1319" t="n">
        <x:f>Dashboard_Live_Data!AA93</x:f>
        <x:v>376.13515915351996</x:v>
      </x:c>
      <x:c r="E1319" t="n">
        <x:f>Dashboard_Live_Data!AB93</x:f>
        <x:v>-193.60000000000002</x:v>
      </x:c>
      <x:c r="F1319" t="n">
        <x:f>Dashboard_Live_Data!AC93</x:f>
        <x:v>609.849884961899</x:v>
      </x:c>
      <x:c r="G1319" t="n">
        <x:f>Dashboard_Live_Data!AD93</x:f>
        <x:v>-193.60000000000002</x:v>
      </x:c>
      <x:c r="H1319" t="n">
        <x:f>Dashboard_Live_Data!AE93</x:f>
        <x:v>547.0440354565055</x:v>
      </x:c>
    </x:row>
    <x:row r="1320">
      <x:c r="A1320" t="n">
        <x:f>Dashboard_Live_Data!X94</x:f>
        <x:v>-13.979999999999997</x:v>
      </x:c>
      <x:c r="B1320" t="n">
        <x:f>Dashboard_Live_Data!Y94</x:f>
        <x:v>2670.5085985921796</x:v>
      </x:c>
      <x:c r="C1320" t="n">
        <x:f>Dashboard_Live_Data!Z94</x:f>
        <x:v>-93.19999999999999</x:v>
      </x:c>
      <x:c r="D1320" t="n">
        <x:f>Dashboard_Live_Data!AA94</x:f>
        <x:v>365.6912781317871</x:v>
      </x:c>
      <x:c r="E1320" t="n">
        <x:f>Dashboard_Live_Data!AB94</x:f>
        <x:v>-186.39999999999998</x:v>
      </x:c>
      <x:c r="F1320" t="n">
        <x:f>Dashboard_Live_Data!AC94</x:f>
        <x:v>582.8251281434001</x:v>
      </x:c>
      <x:c r="G1320" t="n">
        <x:f>Dashboard_Live_Data!AD94</x:f>
        <x:v>-186.39999999999998</x:v>
      </x:c>
      <x:c r="H1320" t="n">
        <x:f>Dashboard_Live_Data!AE94</x:f>
        <x:v>519.7340813366122</x:v>
      </x:c>
    </x:row>
    <x:row r="1321">
      <x:c r="A1321" t="n">
        <x:f>Dashboard_Live_Data!X95</x:f>
        <x:v>-13.5</x:v>
      </x:c>
      <x:c r="B1321" t="n">
        <x:f>Dashboard_Live_Data!Y95</x:f>
        <x:v>2670.2708582144087</x:v>
      </x:c>
      <x:c r="C1321" t="n">
        <x:f>Dashboard_Live_Data!Z95</x:f>
        <x:v>-90</x:v>
      </x:c>
      <x:c r="D1321" t="n">
        <x:f>Dashboard_Live_Data!AA95</x:f>
        <x:v>356.4473590251376</x:v>
      </x:c>
      <x:c r="E1321" t="n">
        <x:f>Dashboard_Live_Data!AB95</x:f>
        <x:v>-180</x:v>
      </x:c>
      <x:c r="F1321" t="n">
        <x:f>Dashboard_Live_Data!AC95</x:f>
        <x:v>559.2121214109366</x:v>
      </x:c>
      <x:c r="G1321" t="n">
        <x:f>Dashboard_Live_Data!AD95</x:f>
        <x:v>-180</x:v>
      </x:c>
      <x:c r="H1321" t="n">
        <x:f>Dashboard_Live_Data!AE95</x:f>
        <x:v>495.87663883518746</x:v>
      </x:c>
    </x:row>
    <x:row r="1322">
      <x:c r="A1322" t="n">
        <x:f>Dashboard_Live_Data!X96</x:f>
        <x:v>-13.019999999999996</x:v>
      </x:c>
      <x:c r="B1322" t="n">
        <x:f>Dashboard_Live_Data!Y96</x:f>
        <x:v>2670.1536854385186</x:v>
      </x:c>
      <x:c r="C1322" t="n">
        <x:f>Dashboard_Live_Data!Z96</x:f>
        <x:v>-86.80000000000001</x:v>
      </x:c>
      <x:c r="D1322" t="n">
        <x:f>Dashboard_Live_Data!AA96</x:f>
        <x:v>347.79823047108033</x:v>
      </x:c>
      <x:c r="E1322" t="n">
        <x:f>Dashboard_Live_Data!AB96</x:f>
        <x:v>-173.60000000000002</x:v>
      </x:c>
      <x:c r="F1322" t="n">
        <x:f>Dashboard_Live_Data!AC96</x:f>
        <x:v>536.2003689690118</x:v>
      </x:c>
      <x:c r="G1322" t="n">
        <x:f>Dashboard_Live_Data!AD96</x:f>
        <x:v>-173.60000000000002</x:v>
      </x:c>
      <x:c r="H1322" t="n">
        <x:f>Dashboard_Live_Data!AE96</x:f>
        <x:v>472.6289898651386</x:v>
      </x:c>
    </x:row>
    <x:row r="1323">
      <x:c r="A1323" t="n">
        <x:f>Dashboard_Live_Data!X97</x:f>
        <x:v>-12.479999999999997</x:v>
      </x:c>
      <x:c r="B1323" t="n">
        <x:f>Dashboard_Live_Data!Y97</x:f>
        <x:v>2670.140214189564</x:v>
      </x:c>
      <x:c r="C1323" t="n">
        <x:f>Dashboard_Live_Data!Z97</x:f>
        <x:v>-83.19999999999999</x:v>
      </x:c>
      <x:c r="D1323" t="n">
        <x:f>Dashboard_Live_Data!AA97</x:f>
        <x:v>338.4523662185665</x:v>
      </x:c>
      <x:c r="E1323" t="n">
        <x:f>Dashboard_Live_Data!AB97</x:f>
        <x:v>-166.39999999999998</x:v>
      </x:c>
      <x:c r="F1323" t="n">
        <x:f>Dashboard_Live_Data!AC97</x:f>
        <x:v>512.3169245672518</x:v>
      </x:c>
      <x:c r="G1323" t="n">
        <x:f>Dashboard_Live_Data!AD97</x:f>
        <x:v>-166.39999999999998</x:v>
      </x:c>
      <x:c r="H1323" t="n">
        <x:f>Dashboard_Live_Data!AE97</x:f>
        <x:v>448.49036893055205</x:v>
      </x:c>
    </x:row>
    <x:row r="1324">
      <x:c r="A1324" t="n">
        <x:f>Dashboard_Live_Data!X98</x:f>
        <x:v>-12</x:v>
      </x:c>
      <x:c r="B1324" t="n">
        <x:f>Dashboard_Live_Data!Y98</x:f>
        <x:v>2669.897439151252</x:v>
      </x:c>
      <x:c r="C1324" t="n">
        <x:f>Dashboard_Live_Data!Z98</x:f>
        <x:v>-80</x:v>
      </x:c>
      <x:c r="D1324" t="n">
        <x:f>Dashboard_Live_Data!AA98</x:f>
        <x:v>330.8155353836898</x:v>
      </x:c>
      <x:c r="E1324" t="n">
        <x:f>Dashboard_Live_Data!AB98</x:f>
        <x:v>-160</x:v>
      </x:c>
      <x:c r="F1324" t="n">
        <x:f>Dashboard_Live_Data!AC98</x:f>
        <x:v>490.8644375961172</x:v>
      </x:c>
      <x:c r="G1324" t="n">
        <x:f>Dashboard_Live_Data!AD98</x:f>
        <x:v>-160</x:v>
      </x:c>
      <x:c r="H1324" t="n">
        <x:f>Dashboard_Live_Data!AE98</x:f>
        <x:v>426.82013131807196</x:v>
      </x:c>
    </x:row>
    <x:row r="1325">
      <x:c r="A1325" t="n">
        <x:f>Dashboard_Live_Data!X99</x:f>
        <x:v>-11.519999999999996</x:v>
      </x:c>
      <x:c r="B1325" t="n">
        <x:f>Dashboard_Live_Data!Y99</x:f>
        <x:v>2669.751857556238</x:v>
      </x:c>
      <x:c r="C1325" t="n">
        <x:f>Dashboard_Live_Data!Z99</x:f>
        <x:v>-76.79999999999995</x:v>
      </x:c>
      <x:c r="D1325" t="n">
        <x:f>Dashboard_Live_Data!AA99</x:f>
        <x:v>323.3793377034027</x:v>
      </x:c>
      <x:c r="E1325" t="n">
        <x:f>Dashboard_Live_Data!AB99</x:f>
        <x:v>-153.5999999999999</x:v>
      </x:c>
      <x:c r="F1325" t="n">
        <x:f>Dashboard_Live_Data!AC99</x:f>
        <x:v>470.8262366207247</x:v>
      </x:c>
      <x:c r="G1325" t="n">
        <x:f>Dashboard_Live_Data!AD99</x:f>
        <x:v>-153.5999999999999</x:v>
      </x:c>
      <x:c r="H1325" t="n">
        <x:f>Dashboard_Live_Data!AE99</x:f>
        <x:v>406.5727189421713</x:v>
      </x:c>
    </x:row>
    <x:row r="1326">
      <x:c r="A1326" t="n">
        <x:f>Dashboard_Live_Data!X100</x:f>
        <x:v>-10.980000000000004</x:v>
      </x:c>
      <x:c r="B1326" t="n">
        <x:f>Dashboard_Live_Data!Y100</x:f>
        <x:v>2669.6399802909527</x:v>
      </x:c>
      <x:c r="C1326" t="n">
        <x:f>Dashboard_Live_Data!Z100</x:f>
        <x:v>-73.20000000000005</x:v>
      </x:c>
      <x:c r="D1326" t="n">
        <x:f>Dashboard_Live_Data!AA100</x:f>
        <x:v>314.94112454596194</x:v>
      </x:c>
      <x:c r="E1326" t="n">
        <x:f>Dashboard_Live_Data!AB100</x:f>
        <x:v>-146.4000000000001</x:v>
      </x:c>
      <x:c r="F1326" t="n">
        <x:f>Dashboard_Live_Data!AC100</x:f>
        <x:v>449.3851411697194</x:v>
      </x:c>
      <x:c r="G1326" t="n">
        <x:f>Dashboard_Live_Data!AD100</x:f>
        <x:v>-146.4000000000001</x:v>
      </x:c>
      <x:c r="H1326" t="n">
        <x:f>Dashboard_Live_Data!AE100</x:f>
        <x:v>384.90646772690724</x:v>
      </x:c>
    </x:row>
    <x:row r="1327">
      <x:c r="A1327" t="n">
        <x:f>Dashboard_Live_Data!X101</x:f>
        <x:v>-10.5</x:v>
      </x:c>
      <x:c r="B1327" t="n">
        <x:f>Dashboard_Live_Data!Y101</x:f>
        <x:v>2669.6775428195497</x:v>
      </x:c>
      <x:c r="C1327" t="n">
        <x:f>Dashboard_Live_Data!Z101</x:f>
        <x:v>-70</x:v>
      </x:c>
      <x:c r="D1327" t="n">
        <x:f>Dashboard_Live_Data!AA101</x:f>
        <x:v>307.48456938359294</x:v>
      </x:c>
      <x:c r="E1327" t="n">
        <x:f>Dashboard_Live_Data!AB101</x:f>
        <x:v>-140</x:v>
      </x:c>
      <x:c r="F1327" t="n">
        <x:f>Dashboard_Live_Data!AC101</x:f>
        <x:v>430.3095956434267</x:v>
      </x:c>
      <x:c r="G1327" t="n">
        <x:f>Dashboard_Live_Data!AD101</x:f>
        <x:v>-140</x:v>
      </x:c>
      <x:c r="H1327" t="n">
        <x:f>Dashboard_Live_Data!AE101</x:f>
        <x:v>365.639856686885</x:v>
      </x:c>
    </x:row>
    <x:row r="1328">
      <x:c r="A1328" t="n">
        <x:f>Dashboard_Live_Data!X102</x:f>
        <x:v>-10.020000000000003</x:v>
      </x:c>
      <x:c r="B1328" t="n">
        <x:f>Dashboard_Live_Data!Y102</x:f>
        <x:v>2669.5329806107666</x:v>
      </x:c>
      <x:c r="C1328" t="n">
        <x:f>Dashboard_Live_Data!Z102</x:f>
        <x:v>-66.80000000000001</x:v>
      </x:c>
      <x:c r="D1328" t="n">
        <x:f>Dashboard_Live_Data!AA102</x:f>
        <x:v>300.7709446697845</x:v>
      </x:c>
      <x:c r="E1328" t="n">
        <x:f>Dashboard_Live_Data!AB102</x:f>
        <x:v>-133.60000000000002</x:v>
      </x:c>
      <x:c r="F1328" t="n">
        <x:f>Dashboard_Live_Data!AC102</x:f>
        <x:v>413.13501587361156</x:v>
      </x:c>
      <x:c r="G1328" t="n">
        <x:f>Dashboard_Live_Data!AD102</x:f>
        <x:v>-133.60000000000002</x:v>
      </x:c>
      <x:c r="H1328" t="n">
        <x:f>Dashboard_Live_Data!AE102</x:f>
        <x:v>348.2827506441774</x:v>
      </x:c>
    </x:row>
    <x:row r="1329">
      <x:c r="A1329" t="n">
        <x:f>Dashboard_Live_Data!X103</x:f>
        <x:v>-9.480000000000004</x:v>
      </x:c>
      <x:c r="B1329" t="n">
        <x:f>Dashboard_Live_Data!Y103</x:f>
        <x:v>2669.511245132921</x:v>
      </x:c>
      <x:c r="C1329" t="n">
        <x:f>Dashboard_Live_Data!Z103</x:f>
        <x:v>-63.19999999999999</x:v>
      </x:c>
      <x:c r="D1329" t="n">
        <x:f>Dashboard_Live_Data!AA103</x:f>
        <x:v>294.23661277989663</x:v>
      </x:c>
      <x:c r="E1329" t="n">
        <x:f>Dashboard_Live_Data!AB103</x:f>
        <x:v>-126.39999999999998</x:v>
      </x:c>
      <x:c r="F1329" t="n">
        <x:f>Dashboard_Live_Data!AC103</x:f>
        <x:v>394.10574765913475</x:v>
      </x:c>
      <x:c r="G1329" t="n">
        <x:f>Dashboard_Live_Data!AD103</x:f>
        <x:v>-126.39999999999998</x:v>
      </x:c>
      <x:c r="H1329" t="n">
        <x:f>Dashboard_Live_Data!AE103</x:f>
        <x:v>329.0583474340097</x:v>
      </x:c>
    </x:row>
    <x:row r="1330">
      <x:c r="A1330" t="n">
        <x:f>Dashboard_Live_Data!X104</x:f>
        <x:v>-9</x:v>
      </x:c>
      <x:c r="B1330" t="n">
        <x:f>Dashboard_Live_Data!Y104</x:f>
        <x:v>2669.4295389835215</x:v>
      </x:c>
      <x:c r="C1330" t="n">
        <x:f>Dashboard_Live_Data!Z104</x:f>
        <x:v>-60</x:v>
      </x:c>
      <x:c r="D1330" t="n">
        <x:f>Dashboard_Live_Data!AA104</x:f>
        <x:v>288.2643279902816</x:v>
      </x:c>
      <x:c r="E1330" t="n">
        <x:f>Dashboard_Live_Data!AB104</x:f>
        <x:v>-120</x:v>
      </x:c>
      <x:c r="F1330" t="n">
        <x:f>Dashboard_Live_Data!AC104</x:f>
        <x:v>377.82373453094965</x:v>
      </x:c>
      <x:c r="G1330" t="n">
        <x:f>Dashboard_Live_Data!AD104</x:f>
        <x:v>-120</x:v>
      </x:c>
      <x:c r="H1330" t="n">
        <x:f>Dashboard_Live_Data!AE104</x:f>
        <x:v>312.6119539197109</x:v>
      </x:c>
    </x:row>
    <x:row r="1331">
      <x:c r="A1331" t="n">
        <x:f>Dashboard_Live_Data!X105</x:f>
        <x:v>-8.520000000000003</x:v>
      </x:c>
      <x:c r="B1331" t="n">
        <x:f>Dashboard_Live_Data!Y105</x:f>
        <x:v>2669.3804992497408</x:v>
      </x:c>
      <x:c r="C1331" t="n">
        <x:f>Dashboard_Live_Data!Z105</x:f>
        <x:v>-56.80000000000001</x:v>
      </x:c>
      <x:c r="D1331" t="n">
        <x:f>Dashboard_Live_Data!AA105</x:f>
        <x:v>282.2269644534581</x:v>
      </x:c>
      <x:c r="E1331" t="n">
        <x:f>Dashboard_Live_Data!AB105</x:f>
        <x:v>-113.60000000000002</x:v>
      </x:c>
      <x:c r="F1331" t="n">
        <x:f>Dashboard_Live_Data!AC105</x:f>
        <x:v>363.28651770825104</x:v>
      </x:c>
      <x:c r="G1331" t="n">
        <x:f>Dashboard_Live_Data!AD105</x:f>
        <x:v>-113.60000000000002</x:v>
      </x:c>
      <x:c r="H1331" t="n">
        <x:f>Dashboard_Live_Data!AE105</x:f>
        <x:v>297.91889595173575</x:v>
      </x:c>
    </x:row>
    <x:row r="1332">
      <x:c r="A1332" t="n">
        <x:f>Dashboard_Live_Data!X106</x:f>
        <x:v>-7.980000000000004</x:v>
      </x:c>
      <x:c r="B1332" t="n">
        <x:f>Dashboard_Live_Data!Y106</x:f>
        <x:v>2669.298743883868</x:v>
      </x:c>
      <x:c r="C1332" t="n">
        <x:f>Dashboard_Live_Data!Z106</x:f>
        <x:v>-53.19999999999999</x:v>
      </x:c>
      <x:c r="D1332" t="n">
        <x:f>Dashboard_Live_Data!AA106</x:f>
        <x:v>276.2837891580153</x:v>
      </x:c>
      <x:c r="E1332" t="n">
        <x:f>Dashboard_Live_Data!AB106</x:f>
        <x:v>-106.39999999999998</x:v>
      </x:c>
      <x:c r="F1332" t="n">
        <x:f>Dashboard_Live_Data!AC106</x:f>
        <x:v>347.0216034279446</x:v>
      </x:c>
      <x:c r="G1332" t="n">
        <x:f>Dashboard_Live_Data!AD106</x:f>
        <x:v>-106.39999999999998</x:v>
      </x:c>
      <x:c r="H1332" t="n">
        <x:f>Dashboard_Live_Data!AE106</x:f>
        <x:v>281.48886744430627</x:v>
      </x:c>
    </x:row>
    <x:row r="1333">
      <x:c r="A1333" t="n">
        <x:f>Dashboard_Live_Data!X107</x:f>
        <x:v>-7.5</x:v>
      </x:c>
      <x:c r="B1333" t="n">
        <x:f>Dashboard_Live_Data!Y107</x:f>
        <x:v>2669.218074935372</x:v>
      </x:c>
      <x:c r="C1333" t="n">
        <x:f>Dashboard_Live_Data!Z107</x:f>
        <x:v>-50</x:v>
      </x:c>
      <x:c r="D1333" t="n">
        <x:f>Dashboard_Live_Data!AA107</x:f>
        <x:v>271.34832444874655</x:v>
      </x:c>
      <x:c r="E1333" t="n">
        <x:f>Dashboard_Live_Data!AB107</x:f>
        <x:v>-100</x:v>
      </x:c>
      <x:c r="F1333" t="n">
        <x:f>Dashboard_Live_Data!AC107</x:f>
        <x:v>333.7679420618156</x:v>
      </x:c>
      <x:c r="G1333" t="n">
        <x:f>Dashboard_Live_Data!AD107</x:f>
        <x:v>-100</x:v>
      </x:c>
      <x:c r="H1333" t="n">
        <x:f>Dashboard_Live_Data!AE107</x:f>
        <x:v>268.09751081967937</x:v>
      </x:c>
    </x:row>
    <x:row r="1334">
      <x:c r="A1334" t="n">
        <x:f>Dashboard_Live_Data!X108</x:f>
        <x:v>-7.019999999999996</x:v>
      </x:c>
      <x:c r="B1334" t="n">
        <x:f>Dashboard_Live_Data!Y108</x:f>
        <x:v>2669.21282651006</x:v>
      </x:c>
      <x:c r="C1334" t="n">
        <x:f>Dashboard_Live_Data!Z108</x:f>
        <x:v>-46.80000000000001</x:v>
      </x:c>
      <x:c r="D1334" t="n">
        <x:f>Dashboard_Live_Data!AA108</x:f>
        <x:v>266.4474931554244</x:v>
      </x:c>
      <x:c r="E1334" t="n">
        <x:f>Dashboard_Live_Data!AB108</x:f>
        <x:v>-93.60000000000002</x:v>
      </x:c>
      <x:c r="F1334" t="n">
        <x:f>Dashboard_Live_Data!AC108</x:f>
        <x:v>321.74541917953087</x:v>
      </x:c>
      <x:c r="G1334" t="n">
        <x:f>Dashboard_Live_Data!AD108</x:f>
        <x:v>-93.60000000000002</x:v>
      </x:c>
      <x:c r="H1334" t="n">
        <x:f>Dashboard_Live_Data!AE108</x:f>
        <x:v>255.945831919734</x:v>
      </x:c>
    </x:row>
    <x:row r="1335">
      <x:c r="A1335" t="n">
        <x:f>Dashboard_Live_Data!X109</x:f>
        <x:v>-6.479999999999997</x:v>
      </x:c>
      <x:c r="B1335" t="n">
        <x:f>Dashboard_Live_Data!Y109</x:f>
        <x:v>2669.153662121398</x:v>
      </x:c>
      <x:c r="C1335" t="n">
        <x:f>Dashboard_Live_Data!Z109</x:f>
        <x:v>-43.19999999999999</x:v>
      </x:c>
      <x:c r="D1335" t="n">
        <x:f>Dashboard_Live_Data!AA109</x:f>
        <x:v>261.83320614424036</x:v>
      </x:c>
      <x:c r="E1335" t="n">
        <x:f>Dashboard_Live_Data!AB109</x:f>
        <x:v>-86.39999999999998</x:v>
      </x:c>
      <x:c r="F1335" t="n">
        <x:f>Dashboard_Live_Data!AC109</x:f>
        <x:v>308.0933863732902</x:v>
      </x:c>
      <x:c r="G1335" t="n">
        <x:f>Dashboard_Live_Data!AD109</x:f>
        <x:v>-86.39999999999998</x:v>
      </x:c>
      <x:c r="H1335" t="n">
        <x:f>Dashboard_Live_Data!AE109</x:f>
        <x:v>242.15870565493802</x:v>
      </x:c>
    </x:row>
    <x:row r="1336">
      <x:c r="A1336" t="n">
        <x:f>Dashboard_Live_Data!X110</x:f>
        <x:v>-6</x:v>
      </x:c>
      <x:c r="B1336" t="n">
        <x:f>Dashboard_Live_Data!Y110</x:f>
        <x:v>2669.1872191485268</x:v>
      </x:c>
      <x:c r="C1336" t="n">
        <x:f>Dashboard_Live_Data!Z110</x:f>
        <x:v>-40</x:v>
      </x:c>
      <x:c r="D1336" t="n">
        <x:f>Dashboard_Live_Data!AA110</x:f>
        <x:v>258.0534011370244</x:v>
      </x:c>
      <x:c r="E1336" t="n">
        <x:f>Dashboard_Live_Data!AB110</x:f>
        <x:v>-80</x:v>
      </x:c>
      <x:c r="F1336" t="n">
        <x:f>Dashboard_Live_Data!AC110</x:f>
        <x:v>297.7926899590728</x:v>
      </x:c>
      <x:c r="G1336" t="n">
        <x:f>Dashboard_Live_Data!AD110</x:f>
        <x:v>-80</x:v>
      </x:c>
      <x:c r="H1336" t="n">
        <x:f>Dashboard_Live_Data!AE110</x:f>
        <x:v>231.74699910983864</x:v>
      </x:c>
    </x:row>
    <x:row r="1337">
      <x:c r="A1337" t="n">
        <x:f>Dashboard_Live_Data!X111</x:f>
        <x:v>-5.519999999999996</x:v>
      </x:c>
      <x:c r="B1337" t="n">
        <x:f>Dashboard_Live_Data!Y111</x:f>
        <x:v>2669.1819695313984</x:v>
      </x:c>
      <x:c r="C1337" t="n">
        <x:f>Dashboard_Live_Data!Z111</x:f>
        <x:v>-36.80000000000001</x:v>
      </x:c>
      <x:c r="D1337" t="n">
        <x:f>Dashboard_Live_Data!AA111</x:f>
        <x:v>254.26353690986213</x:v>
      </x:c>
      <x:c r="E1337" t="n">
        <x:f>Dashboard_Live_Data!AB111</x:f>
        <x:v>-73.60000000000002</x:v>
      </x:c>
      <x:c r="F1337" t="n">
        <x:f>Dashboard_Live_Data!AC111</x:f>
        <x:v>287.9944488822991</x:v>
      </x:c>
      <x:c r="G1337" t="n">
        <x:f>Dashboard_Live_Data!AD111</x:f>
        <x:v>-73.60000000000002</x:v>
      </x:c>
      <x:c r="H1337" t="n">
        <x:f>Dashboard_Live_Data!AE111</x:f>
        <x:v>221.84628714302016</x:v>
      </x:c>
    </x:row>
    <x:row r="1338">
      <x:c r="A1338" t="n">
        <x:f>Dashboard_Live_Data!X112</x:f>
        <x:v>-4.979999999999997</x:v>
      </x:c>
      <x:c r="B1338" t="n">
        <x:f>Dashboard_Live_Data!Y112</x:f>
        <x:v>2669.1403160796563</x:v>
      </x:c>
      <x:c r="C1338" t="n">
        <x:f>Dashboard_Live_Data!Z112</x:f>
        <x:v>-33.19999999999999</x:v>
      </x:c>
      <x:c r="D1338" t="n">
        <x:f>Dashboard_Live_Data!AA112</x:f>
        <x:v>250.22595087297077</x:v>
      </x:c>
      <x:c r="E1338" t="n">
        <x:f>Dashboard_Live_Data!AB112</x:f>
        <x:v>-66.39999999999998</x:v>
      </x:c>
      <x:c r="F1338" t="n">
        <x:f>Dashboard_Live_Data!AC112</x:f>
        <x:v>277.34427520472127</x:v>
      </x:c>
      <x:c r="G1338" t="n">
        <x:f>Dashboard_Live_Data!AD112</x:f>
        <x:v>-66.39999999999998</x:v>
      </x:c>
      <x:c r="H1338" t="n">
        <x:f>Dashboard_Live_Data!AE112</x:f>
        <x:v>211.09104077545487</x:v>
      </x:c>
    </x:row>
    <x:row r="1339">
      <x:c r="A1339" t="n">
        <x:f>Dashboard_Live_Data!X113</x:f>
        <x:v>-4.5</x:v>
      </x:c>
      <x:c r="B1339" t="n">
        <x:f>Dashboard_Live_Data!Y113</x:f>
        <x:v>2669.150465091966</x:v>
      </x:c>
      <x:c r="C1339" t="n">
        <x:f>Dashboard_Live_Data!Z113</x:f>
        <x:v>-30</x:v>
      </x:c>
      <x:c r="D1339" t="n">
        <x:f>Dashboard_Live_Data!AA113</x:f>
        <x:v>247.30870990646252</x:v>
      </x:c>
      <x:c r="E1339" t="n">
        <x:f>Dashboard_Live_Data!AB113</x:f>
        <x:v>-60</x:v>
      </x:c>
      <x:c r="F1339" t="n">
        <x:f>Dashboard_Live_Data!AC113</x:f>
        <x:v>269.6889774389345</x:v>
      </x:c>
      <x:c r="G1339" t="n">
        <x:f>Dashboard_Live_Data!AD113</x:f>
        <x:v>-60</x:v>
      </x:c>
      <x:c r="H1339" t="n">
        <x:f>Dashboard_Live_Data!AE113</x:f>
        <x:v>203.351418006402</x:v>
      </x:c>
    </x:row>
    <x:row r="1340">
      <x:c r="A1340" t="n">
        <x:f>Dashboard_Live_Data!X114</x:f>
        <x:v>-4.019999999999996</x:v>
      </x:c>
      <x:c r="B1340" t="n">
        <x:f>Dashboard_Live_Data!Y114</x:f>
        <x:v>2669.116445149462</x:v>
      </x:c>
      <x:c r="C1340" t="n">
        <x:f>Dashboard_Live_Data!Z114</x:f>
        <x:v>-26.799999999999955</x:v>
      </x:c>
      <x:c r="D1340" t="n">
        <x:f>Dashboard_Live_Data!AA114</x:f>
        <x:v>244.89455924676798</x:v>
      </x:c>
      <x:c r="E1340" t="n">
        <x:f>Dashboard_Live_Data!AB114</x:f>
        <x:v>-53.59999999999991</x:v>
      </x:c>
      <x:c r="F1340" t="n">
        <x:f>Dashboard_Live_Data!AC114</x:f>
        <x:v>262.1373262830445</x:v>
      </x:c>
      <x:c r="G1340" t="n">
        <x:f>Dashboard_Live_Data!AD114</x:f>
        <x:v>-53.59999999999991</x:v>
      </x:c>
      <x:c r="H1340" t="n">
        <x:f>Dashboard_Live_Data!AE114</x:f>
        <x:v>195.72398108808298</x:v>
      </x:c>
    </x:row>
    <x:row r="1341">
      <x:c r="A1341" t="n">
        <x:f>Dashboard_Live_Data!X115</x:f>
        <x:v>-3.480000000000004</x:v>
      </x:c>
      <x:c r="B1341" t="n">
        <x:f>Dashboard_Live_Data!Y115</x:f>
        <x:v>2669.071127146474</x:v>
      </x:c>
      <x:c r="C1341" t="n">
        <x:f>Dashboard_Live_Data!Z115</x:f>
        <x:v>-23.200000000000045</x:v>
      </x:c>
      <x:c r="D1341" t="n">
        <x:f>Dashboard_Live_Data!AA115</x:f>
        <x:v>242.50974664246002</x:v>
      </x:c>
      <x:c r="E1341" t="n">
        <x:f>Dashboard_Live_Data!AB115</x:f>
        <x:v>-46.40000000000009</x:v>
      </x:c>
      <x:c r="F1341" t="n">
        <x:f>Dashboard_Live_Data!AC115</x:f>
        <x:v>254.9051987890375</x:v>
      </x:c>
      <x:c r="G1341" t="n">
        <x:f>Dashboard_Live_Data!AD115</x:f>
        <x:v>-46.40000000000009</x:v>
      </x:c>
      <x:c r="H1341" t="n">
        <x:f>Dashboard_Live_Data!AE115</x:f>
        <x:v>188.41680167265642</x:v>
      </x:c>
    </x:row>
    <x:row r="1342">
      <x:c r="A1342" t="n">
        <x:f>Dashboard_Live_Data!X116</x:f>
        <x:v>-3</x:v>
      </x:c>
      <x:c r="B1342" t="n">
        <x:f>Dashboard_Live_Data!Y116</x:f>
        <x:v>2669.0309999552733</x:v>
      </x:c>
      <x:c r="C1342" t="n">
        <x:f>Dashboard_Live_Data!Z116</x:f>
        <x:v>-20</x:v>
      </x:c>
      <x:c r="D1342" t="n">
        <x:f>Dashboard_Live_Data!AA116</x:f>
        <x:v>240.55860819468157</x:v>
      </x:c>
      <x:c r="E1342" t="n">
        <x:f>Dashboard_Live_Data!AB116</x:f>
        <x:v>-40</x:v>
      </x:c>
      <x:c r="F1342" t="n">
        <x:f>Dashboard_Live_Data!AC116</x:f>
        <x:v>249.79768978087017</x:v>
      </x:c>
      <x:c r="G1342" t="n">
        <x:f>Dashboard_Live_Data!AD116</x:f>
        <x:v>-40</x:v>
      </x:c>
      <x:c r="H1342" t="n">
        <x:f>Dashboard_Live_Data!AE116</x:f>
        <x:v>183.25165278883884</x:v>
      </x:c>
    </x:row>
    <x:row r="1343">
      <x:c r="A1343" t="n">
        <x:f>Dashboard_Live_Data!X117</x:f>
        <x:v>-2.520000000000003</x:v>
      </x:c>
      <x:c r="B1343" t="n">
        <x:f>Dashboard_Live_Data!Y117</x:f>
        <x:v>2668.8889151109515</x:v>
      </x:c>
      <x:c r="C1343" t="n">
        <x:f>Dashboard_Live_Data!Z117</x:f>
        <x:v>-16.80000000000001</x:v>
      </x:c>
      <x:c r="D1343" t="n">
        <x:f>Dashboard_Live_Data!AA117</x:f>
        <x:v>238.60170190557463</x:v>
      </x:c>
      <x:c r="E1343" t="n">
        <x:f>Dashboard_Live_Data!AB117</x:f>
        <x:v>-33.60000000000002</x:v>
      </x:c>
      <x:c r="F1343" t="n">
        <x:f>Dashboard_Live_Data!AC117</x:f>
        <x:v>244.83703512320048</x:v>
      </x:c>
      <x:c r="G1343" t="n">
        <x:f>Dashboard_Live_Data!AD117</x:f>
        <x:v>-33.60000000000002</x:v>
      </x:c>
      <x:c r="H1343" t="n">
        <x:f>Dashboard_Live_Data!AE117</x:f>
        <x:v>178.24189749635596</x:v>
      </x:c>
    </x:row>
    <x:row r="1344">
      <x:c r="A1344" t="n">
        <x:f>Dashboard_Live_Data!X118</x:f>
        <x:v>-1.980000000000004</x:v>
      </x:c>
      <x:c r="B1344" t="n">
        <x:f>Dashboard_Live_Data!Y118</x:f>
        <x:v>2668.8599671350553</x:v>
      </x:c>
      <x:c r="C1344" t="n">
        <x:f>Dashboard_Live_Data!Z118</x:f>
        <x:v>-13.199999999999989</x:v>
      </x:c>
      <x:c r="D1344" t="n">
        <x:f>Dashboard_Live_Data!AA118</x:f>
        <x:v>236.54055700599343</x:v>
      </x:c>
      <x:c r="E1344" t="n">
        <x:f>Dashboard_Live_Data!AB118</x:f>
        <x:v>-26.399999999999977</x:v>
      </x:c>
      <x:c r="F1344" t="n">
        <x:f>Dashboard_Live_Data!AC118</x:f>
        <x:v>241.1070862491305</x:v>
      </x:c>
      <x:c r="G1344" t="n">
        <x:f>Dashboard_Live_Data!AD118</x:f>
        <x:v>-26.399999999999977</x:v>
      </x:c>
      <x:c r="H1344" t="n">
        <x:f>Dashboard_Live_Data!AE118</x:f>
        <x:v>174.4669174694342</x:v>
      </x:c>
    </x:row>
    <x:row r="1345">
      <x:c r="A1345" t="n">
        <x:f>Dashboard_Live_Data!X119</x:f>
        <x:v>-1.5</x:v>
      </x:c>
      <x:c r="B1345" t="n">
        <x:f>Dashboard_Live_Data!Y119</x:f>
        <x:v>2668.757294422114</x:v>
      </x:c>
      <x:c r="C1345" t="n">
        <x:f>Dashboard_Live_Data!Z119</x:f>
        <x:v>-10</x:v>
      </x:c>
      <x:c r="D1345" t="n">
        <x:f>Dashboard_Live_Data!AA119</x:f>
        <x:v>235.34646846600202</x:v>
      </x:c>
      <x:c r="E1345" t="n">
        <x:f>Dashboard_Live_Data!AB119</x:f>
        <x:v>-20</x:v>
      </x:c>
      <x:c r="F1345" t="n">
        <x:f>Dashboard_Live_Data!AC119</x:f>
        <x:v>238.49468035564297</x:v>
      </x:c>
      <x:c r="G1345" t="n">
        <x:f>Dashboard_Live_Data!AD119</x:f>
        <x:v>-20</x:v>
      </x:c>
      <x:c r="H1345" t="n">
        <x:f>Dashboard_Live_Data!AE119</x:f>
        <x:v>171.82355682791237</x:v>
      </x:c>
    </x:row>
    <x:row r="1346">
      <x:c r="A1346" t="n">
        <x:f>Dashboard_Live_Data!X120</x:f>
        <x:v>-1.0200000000000031</x:v>
      </x:c>
      <x:c r="B1346" t="n">
        <x:f>Dashboard_Live_Data!Y120</x:f>
        <x:v>2668.624622707822</x:v>
      </x:c>
      <x:c r="C1346" t="n">
        <x:f>Dashboard_Live_Data!Z120</x:f>
        <x:v>-6.800000000000011</x:v>
      </x:c>
      <x:c r="D1346" t="n">
        <x:f>Dashboard_Live_Data!AA120</x:f>
        <x:v>234.6431742328078</x:v>
      </x:c>
      <x:c r="E1346" t="n">
        <x:f>Dashboard_Live_Data!AB120</x:f>
        <x:v>-13.600000000000023</x:v>
      </x:c>
      <x:c r="F1346" t="n">
        <x:f>Dashboard_Live_Data!AC120</x:f>
        <x:v>235.9173120128643</x:v>
      </x:c>
      <x:c r="G1346" t="n">
        <x:f>Dashboard_Live_Data!AD120</x:f>
        <x:v>-13.600000000000023</x:v>
      </x:c>
      <x:c r="H1346" t="n">
        <x:f>Dashboard_Live_Data!AE120</x:f>
        <x:v>169.22377297793633</x:v>
      </x:c>
    </x:row>
    <x:row r="1347">
      <x:c r="A1347" t="n">
        <x:f>Dashboard_Live_Data!X121</x:f>
        <x:v>-0.480000000000004</x:v>
      </x:c>
      <x:c r="B1347" t="n">
        <x:f>Dashboard_Live_Data!Y121</x:f>
        <x:v>2668.6746994182126</x:v>
      </x:c>
      <x:c r="C1347" t="n">
        <x:f>Dashboard_Live_Data!Z121</x:f>
        <x:v>-3.1999999999999886</x:v>
      </x:c>
      <x:c r="D1347" t="n">
        <x:f>Dashboard_Live_Data!AA121</x:f>
        <x:v>234.10344532166638</x:v>
      </x:c>
      <x:c r="E1347" t="n">
        <x:f>Dashboard_Live_Data!AB121</x:f>
        <x:v>-6.399999999999977</x:v>
      </x:c>
      <x:c r="F1347" t="n">
        <x:f>Dashboard_Live_Data!AC121</x:f>
        <x:v>234.34957585937047</x:v>
      </x:c>
      <x:c r="G1347" t="n">
        <x:f>Dashboard_Live_Data!AD121</x:f>
        <x:v>-6.399999999999977</x:v>
      </x:c>
      <x:c r="H1347" t="n">
        <x:f>Dashboard_Live_Data!AE121</x:f>
        <x:v>167.6410264401586</x:v>
      </x:c>
    </x:row>
    <x:row r="1348">
      <x:c r="A1348" t="n">
        <x:f>Dashboard_Live_Data!X122</x:f>
        <x:v>0</x:v>
      </x:c>
      <x:c r="B1348" t="n">
        <x:f>Dashboard_Live_Data!Y122</x:f>
        <x:v>2668.545771937913</x:v>
      </x:c>
      <x:c r="C1348" t="n">
        <x:f>Dashboard_Live_Data!Z122</x:f>
        <x:v>0</x:v>
      </x:c>
      <x:c r="D1348" t="n">
        <x:f>Dashboard_Live_Data!AA122</x:f>
        <x:v>233.52787699140268</x:v>
      </x:c>
      <x:c r="E1348" t="n">
        <x:f>Dashboard_Live_Data!AB122</x:f>
        <x:v>0</x:v>
      </x:c>
      <x:c r="F1348" t="n">
        <x:f>Dashboard_Live_Data!AC122</x:f>
        <x:v>233.52787699140268</x:v>
      </x:c>
      <x:c r="G1348" t="n">
        <x:f>Dashboard_Live_Data!AD122</x:f>
        <x:v>0</x:v>
      </x:c>
      <x:c r="H1348" t="n">
        <x:f>Dashboard_Live_Data!AE122</x:f>
        <x:v>166.81505795177227</x:v>
      </x:c>
    </x:row>
    <x:row r="1349">
      <x:c r="A1349" t="n">
        <x:f>Dashboard_Live_Data!X123</x:f>
        <x:v>0.480000000000004</x:v>
      </x:c>
      <x:c r="B1349" t="n">
        <x:f>Dashboard_Live_Data!Y123</x:f>
        <x:v>2668.422832501423</x:v>
      </x:c>
      <x:c r="C1349" t="n">
        <x:f>Dashboard_Live_Data!Z123</x:f>
        <x:v>3.1999999999999886</x:v>
      </x:c>
      <x:c r="D1349" t="n">
        <x:f>Dashboard_Live_Data!AA123</x:f>
        <x:v>233.03942030536456</x:v>
      </x:c>
      <x:c r="E1349" t="n">
        <x:f>Dashboard_Live_Data!AB123</x:f>
        <x:v>6.399999999999977</x:v>
      </x:c>
      <x:c r="F1349" t="n">
        <x:f>Dashboard_Live_Data!AC123</x:f>
        <x:v>233.45037452297623</x:v>
      </x:c>
      <x:c r="G1349" t="n">
        <x:f>Dashboard_Live_Data!AD123</x:f>
        <x:v>6.399999999999977</x:v>
      </x:c>
      <x:c r="H1349" t="n">
        <x:f>Dashboard_Live_Data!AE123</x:f>
        <x:v>166.7418251037643</x:v>
      </x:c>
    </x:row>
    <x:row r="1350">
      <x:c r="A1350" t="n">
        <x:f>Dashboard_Live_Data!X124</x:f>
        <x:v>1.019999999999996</x:v>
      </x:c>
      <x:c r="B1350" t="n">
        <x:f>Dashboard_Live_Data!Y124</x:f>
        <x:v>2668.2784457720195</x:v>
      </x:c>
      <x:c r="C1350" t="n">
        <x:f>Dashboard_Live_Data!Z124</x:f>
        <x:v>6.7999999999999545</x:v>
      </x:c>
      <x:c r="D1350" t="n">
        <x:f>Dashboard_Live_Data!AA124</x:f>
        <x:v>233.69251190455986</x:v>
      </x:c>
      <x:c r="E1350" t="n">
        <x:f>Dashboard_Live_Data!AB124</x:f>
        <x:v>13.599999999999909</x:v>
      </x:c>
      <x:c r="F1350" t="n">
        <x:f>Dashboard_Live_Data!AC124</x:f>
        <x:v>235.19841567119786</x:v>
      </x:c>
      <x:c r="G1350" t="n">
        <x:f>Dashboard_Live_Data!AD124</x:f>
        <x:v>13.599999999999909</x:v>
      </x:c>
      <x:c r="H1350" t="n">
        <x:f>Dashboard_Live_Data!AE124</x:f>
        <x:v>168.50487663626993</x:v>
      </x:c>
    </x:row>
    <x:row r="1351">
      <x:c r="A1351" t="n">
        <x:f>Dashboard_Live_Data!X125</x:f>
        <x:v>1.499999999999993</x:v>
      </x:c>
      <x:c r="B1351" t="n">
        <x:f>Dashboard_Live_Data!Y125</x:f>
        <x:v>2668.2171240293146</x:v>
      </x:c>
      <x:c r="C1351" t="n">
        <x:f>Dashboard_Live_Data!Z125</x:f>
        <x:v>9.999999999999943</x:v>
      </x:c>
      <x:c r="D1351" t="n">
        <x:f>Dashboard_Live_Data!AA125</x:f>
        <x:v>235.07392198175725</x:v>
      </x:c>
      <x:c r="E1351" t="n">
        <x:f>Dashboard_Live_Data!AB125</x:f>
        <x:v>19.999999999999886</x:v>
      </x:c>
      <x:c r="F1351" t="n">
        <x:f>Dashboard_Live_Data!AC125</x:f>
        <x:v>237.0225960137918</x:v>
      </x:c>
      <x:c r="G1351" t="n">
        <x:f>Dashboard_Live_Data!AD125</x:f>
        <x:v>19.999999999999886</x:v>
      </x:c>
      <x:c r="H1351" t="n">
        <x:f>Dashboard_Live_Data!AE125</x:f>
        <x:v>170.3514724860612</x:v>
      </x:c>
    </x:row>
    <x:row r="1352">
      <x:c r="A1352" t="n">
        <x:f>Dashboard_Live_Data!X126</x:f>
        <x:v>1.9799999999999969</x:v>
      </x:c>
      <x:c r="B1352" t="n">
        <x:f>Dashboard_Live_Data!Y126</x:f>
        <x:v>2668.1155856737228</x:v>
      </x:c>
      <x:c r="C1352" t="n">
        <x:f>Dashboard_Live_Data!Z126</x:f>
        <x:v>13.199999999999989</x:v>
      </x:c>
      <x:c r="D1352" t="n">
        <x:f>Dashboard_Live_Data!AA126</x:f>
        <x:v>236.07895498772078</x:v>
      </x:c>
      <x:c r="E1352" t="n">
        <x:f>Dashboard_Live_Data!AB126</x:f>
        <x:v>26.399999999999977</x:v>
      </x:c>
      <x:c r="F1352" t="n">
        <x:f>Dashboard_Live_Data!AC126</x:f>
        <x:v>240.0956500649409</x:v>
      </x:c>
      <x:c r="G1352" t="n">
        <x:f>Dashboard_Live_Data!AD126</x:f>
        <x:v>26.399999999999977</x:v>
      </x:c>
      <x:c r="H1352" t="n">
        <x:f>Dashboard_Live_Data!AE126</x:f>
        <x:v>173.45548128524464</x:v>
      </x:c>
    </x:row>
    <x:row r="1353">
      <x:c r="A1353" t="n">
        <x:f>Dashboard_Live_Data!X127</x:f>
        <x:v>2.520000000000003</x:v>
      </x:c>
      <x:c r="B1353" t="n">
        <x:f>Dashboard_Live_Data!Y127</x:f>
        <x:v>2668.10404084736</x:v>
      </x:c>
      <x:c r="C1353" t="n">
        <x:f>Dashboard_Live_Data!Z127</x:f>
        <x:v>16.80000000000001</x:v>
      </x:c>
      <x:c r="D1353" t="n">
        <x:f>Dashboard_Live_Data!AA127</x:f>
        <x:v>237.32784196765127</x:v>
      </x:c>
      <x:c r="E1353" t="n">
        <x:f>Dashboard_Live_Data!AB127</x:f>
        <x:v>33.60000000000002</x:v>
      </x:c>
      <x:c r="F1353" t="n">
        <x:f>Dashboard_Live_Data!AC127</x:f>
        <x:v>244.71146714319235</x:v>
      </x:c>
      <x:c r="G1353" t="n">
        <x:f>Dashboard_Live_Data!AD127</x:f>
        <x:v>33.60000000000002</x:v>
      </x:c>
      <x:c r="H1353" t="n">
        <x:f>Dashboard_Live_Data!AE127</x:f>
        <x:v>178.1163295163478</x:v>
      </x:c>
    </x:row>
    <x:row r="1354">
      <x:c r="A1354" t="n">
        <x:f>Dashboard_Live_Data!X128</x:f>
        <x:v>3</x:v>
      </x:c>
      <x:c r="B1354" t="n">
        <x:f>Dashboard_Live_Data!Y128</x:f>
        <x:v>2668.031622957878</x:v>
      </x:c>
      <x:c r="C1354" t="n">
        <x:f>Dashboard_Live_Data!Z128</x:f>
        <x:v>20</x:v>
      </x:c>
      <x:c r="D1354" t="n">
        <x:f>Dashboard_Live_Data!AA128</x:f>
        <x:v>239.08652386019065</x:v>
      </x:c>
      <x:c r="E1354" t="n">
        <x:f>Dashboard_Live_Data!AB128</x:f>
        <x:v>40</x:v>
      </x:c>
      <x:c r="F1354" t="n">
        <x:f>Dashboard_Live_Data!AC128</x:f>
        <x:v>249.14725446361194</x:v>
      </x:c>
      <x:c r="G1354" t="n">
        <x:f>Dashboard_Live_Data!AD128</x:f>
        <x:v>40</x:v>
      </x:c>
      <x:c r="H1354" t="n">
        <x:f>Dashboard_Live_Data!AE128</x:f>
        <x:v>182.6012174715806</x:v>
      </x:c>
    </x:row>
    <x:row r="1355">
      <x:c r="A1355" t="n">
        <x:f>Dashboard_Live_Data!X129</x:f>
        <x:v>3.480000000000004</x:v>
      </x:c>
      <x:c r="B1355" t="n">
        <x:f>Dashboard_Live_Data!Y129</x:f>
        <x:v>2667.9465338834552</x:v>
      </x:c>
      <x:c r="C1355" t="n">
        <x:f>Dashboard_Live_Data!Z129</x:f>
        <x:v>23.200000000000045</x:v>
      </x:c>
      <x:c r="D1355" t="n">
        <x:f>Dashboard_Live_Data!AA129</x:f>
        <x:v>241.24252251869171</x:v>
      </x:c>
      <x:c r="E1355" t="n">
        <x:f>Dashboard_Live_Data!AB129</x:f>
        <x:v>46.40000000000009</x:v>
      </x:c>
      <x:c r="F1355" t="n">
        <x:f>Dashboard_Live_Data!AC129</x:f>
        <x:v>255.2187398952393</x:v>
      </x:c>
      <x:c r="G1355" t="n">
        <x:f>Dashboard_Live_Data!AD129</x:f>
        <x:v>46.40000000000009</x:v>
      </x:c>
      <x:c r="H1355" t="n">
        <x:f>Dashboard_Live_Data!AE129</x:f>
        <x:v>188.73034277885816</x:v>
      </x:c>
    </x:row>
    <x:row r="1356">
      <x:c r="A1356" t="n">
        <x:f>Dashboard_Live_Data!X130</x:f>
        <x:v>4.019999999999996</x:v>
      </x:c>
      <x:c r="B1356" t="n">
        <x:f>Dashboard_Live_Data!Y130</x:f>
        <x:v>2668.0413136983166</x:v>
      </x:c>
      <x:c r="C1356" t="n">
        <x:f>Dashboard_Live_Data!Z130</x:f>
        <x:v>26.799999999999955</x:v>
      </x:c>
      <x:c r="D1356" t="n">
        <x:f>Dashboard_Live_Data!AA130</x:f>
        <x:v>243.91411166454145</x:v>
      </x:c>
      <x:c r="E1356" t="n">
        <x:f>Dashboard_Live_Data!AB130</x:f>
        <x:v>53.59999999999991</x:v>
      </x:c>
      <x:c r="F1356" t="n">
        <x:f>Dashboard_Live_Data!AC130</x:f>
        <x:v>262.3743325123983</x:v>
      </x:c>
      <x:c r="G1356" t="n">
        <x:f>Dashboard_Live_Data!AD130</x:f>
        <x:v>53.59999999999991</x:v>
      </x:c>
      <x:c r="H1356" t="n">
        <x:f>Dashboard_Live_Data!AE130</x:f>
        <x:v>195.9609873174368</x:v>
      </x:c>
    </x:row>
    <x:row r="1357">
      <x:c r="A1357" t="n">
        <x:f>Dashboard_Live_Data!X131</x:f>
        <x:v>4.5</x:v>
      </x:c>
      <x:c r="B1357" t="n">
        <x:f>Dashboard_Live_Data!Y131</x:f>
        <x:v>2668.112351339356</x:v>
      </x:c>
      <x:c r="C1357" t="n">
        <x:f>Dashboard_Live_Data!Z131</x:f>
        <x:v>30</x:v>
      </x:c>
      <x:c r="D1357" t="n">
        <x:f>Dashboard_Live_Data!AA131</x:f>
        <x:v>247.1125933494017</x:v>
      </x:c>
      <x:c r="E1357" t="n">
        <x:f>Dashboard_Live_Data!AB131</x:f>
        <x:v>60</x:v>
      </x:c>
      <x:c r="F1357" t="n">
        <x:f>Dashboard_Live_Data!AC131</x:f>
        <x:v>269.49464398527886</x:v>
      </x:c>
      <x:c r="G1357" t="n">
        <x:f>Dashboard_Live_Data!AD131</x:f>
        <x:v>60</x:v>
      </x:c>
      <x:c r="H1357" t="n">
        <x:f>Dashboard_Live_Data!AE131</x:f>
        <x:v>203.15708455274637</x:v>
      </x:c>
    </x:row>
    <x:row r="1358">
      <x:c r="A1358" t="n">
        <x:f>Dashboard_Live_Data!X132</x:f>
        <x:v>4.980000000000004</x:v>
      </x:c>
      <x:c r="B1358" t="n">
        <x:f>Dashboard_Live_Data!Y132</x:f>
        <x:v>2668.024044371162</x:v>
      </x:c>
      <x:c r="C1358" t="n">
        <x:f>Dashboard_Live_Data!Z132</x:f>
        <x:v>33.19999999999999</x:v>
      </x:c>
      <x:c r="D1358" t="n">
        <x:f>Dashboard_Live_Data!AA132</x:f>
        <x:v>250.2681978626065</x:v>
      </x:c>
      <x:c r="E1358" t="n">
        <x:f>Dashboard_Live_Data!AB132</x:f>
        <x:v>66.39999999999998</x:v>
      </x:c>
      <x:c r="F1358" t="n">
        <x:f>Dashboard_Live_Data!AC132</x:f>
        <x:v>278.0034259719433</x:v>
      </x:c>
      <x:c r="G1358" t="n">
        <x:f>Dashboard_Live_Data!AD132</x:f>
        <x:v>66.39999999999998</x:v>
      </x:c>
      <x:c r="H1358" t="n">
        <x:f>Dashboard_Live_Data!AE132</x:f>
        <x:v>211.7501915426769</x:v>
      </x:c>
    </x:row>
    <x:row r="1359">
      <x:c r="A1359" t="n">
        <x:f>Dashboard_Live_Data!X133</x:f>
        <x:v>5.52000000000001</x:v>
      </x:c>
      <x:c r="B1359" t="n">
        <x:f>Dashboard_Live_Data!Y133</x:f>
        <x:v>2668.1188396643256</x:v>
      </x:c>
      <x:c r="C1359" t="n">
        <x:f>Dashboard_Live_Data!Z133</x:f>
        <x:v>36.80000000000001</x:v>
      </x:c>
      <x:c r="D1359" t="n">
        <x:f>Dashboard_Live_Data!AA133</x:f>
        <x:v>253.68974248855739</x:v>
      </x:c>
      <x:c r="E1359" t="n">
        <x:f>Dashboard_Live_Data!AB133</x:f>
        <x:v>73.60000000000002</x:v>
      </x:c>
      <x:c r="F1359" t="n">
        <x:f>Dashboard_Live_Data!AC133</x:f>
        <x:v>287.8679845367436</x:v>
      </x:c>
      <x:c r="G1359" t="n">
        <x:f>Dashboard_Live_Data!AD133</x:f>
        <x:v>73.60000000000002</x:v>
      </x:c>
      <x:c r="H1359" t="n">
        <x:f>Dashboard_Live_Data!AE133</x:f>
        <x:v>221.71982279746464</x:v>
      </x:c>
    </x:row>
    <x:row r="1360">
      <x:c r="A1360" t="n">
        <x:f>Dashboard_Live_Data!X134</x:f>
        <x:v>6</x:v>
      </x:c>
      <x:c r="B1360" t="n">
        <x:f>Dashboard_Live_Data!Y134</x:f>
        <x:v>2668.310337857269</x:v>
      </x:c>
      <x:c r="C1360" t="n">
        <x:f>Dashboard_Live_Data!Z134</x:f>
        <x:v>40.00000000000006</x:v>
      </x:c>
      <x:c r="D1360" t="n">
        <x:f>Dashboard_Live_Data!AA134</x:f>
        <x:v>257.40296582102707</x:v>
      </x:c>
      <x:c r="E1360" t="n">
        <x:f>Dashboard_Live_Data!AB134</x:f>
        <x:v>80.00000000000011</x:v>
      </x:c>
      <x:c r="F1360" t="n">
        <x:f>Dashboard_Live_Data!AC134</x:f>
        <x:v>297.5514467080143</x:v>
      </x:c>
      <x:c r="G1360" t="n">
        <x:f>Dashboard_Live_Data!AD134</x:f>
        <x:v>80.00000000000011</x:v>
      </x:c>
      <x:c r="H1360" t="n">
        <x:f>Dashboard_Live_Data!AE134</x:f>
        <x:v>231.5057558587802</x:v>
      </x:c>
    </x:row>
    <x:row r="1361">
      <x:c r="A1361" t="n">
        <x:f>Dashboard_Live_Data!X135</x:f>
        <x:v>6.480000000000004</x:v>
      </x:c>
      <x:c r="B1361" t="n">
        <x:f>Dashboard_Live_Data!Y135</x:f>
        <x:v>2668.3499734017573</x:v>
      </x:c>
      <x:c r="C1361" t="n">
        <x:f>Dashboard_Live_Data!Z135</x:f>
        <x:v>43.200000000000045</x:v>
      </x:c>
      <x:c r="D1361" t="n">
        <x:f>Dashboard_Live_Data!AA135</x:f>
        <x:v>261.6567098799098</x:v>
      </x:c>
      <x:c r="E1361" t="n">
        <x:f>Dashboard_Live_Data!AB135</x:f>
        <x:v>86.40000000000009</x:v>
      </x:c>
      <x:c r="F1361" t="n">
        <x:f>Dashboard_Live_Data!AC135</x:f>
        <x:v>308.68111860671877</x:v>
      </x:c>
      <x:c r="G1361" t="n">
        <x:f>Dashboard_Live_Data!AD135</x:f>
        <x:v>86.40000000000009</x:v>
      </x:c>
      <x:c r="H1361" t="n">
        <x:f>Dashboard_Live_Data!AE135</x:f>
        <x:v>242.74643788836661</x:v>
      </x:c>
    </x:row>
    <x:row r="1362">
      <x:c r="A1362" t="n">
        <x:f>Dashboard_Live_Data!X136</x:f>
        <x:v>7.019999999999996</x:v>
      </x:c>
      <x:c r="B1362" t="n">
        <x:f>Dashboard_Live_Data!Y136</x:f>
        <x:v>2668.4165060223545</x:v>
      </x:c>
      <x:c r="C1362" t="n">
        <x:f>Dashboard_Live_Data!Z136</x:f>
        <x:v>46.80000000000001</x:v>
      </x:c>
      <x:c r="D1362" t="n">
        <x:f>Dashboard_Live_Data!AA136</x:f>
        <x:v>266.87097786523987</x:v>
      </x:c>
      <x:c r="E1362" t="n">
        <x:f>Dashboard_Live_Data!AB136</x:f>
        <x:v>93.60000000000002</x:v>
      </x:c>
      <x:c r="F1362" t="n">
        <x:f>Dashboard_Live_Data!AC136</x:f>
        <x:v>321.2488938952046</x:v>
      </x:c>
      <x:c r="G1362" t="n">
        <x:f>Dashboard_Live_Data!AD136</x:f>
        <x:v>93.60000000000002</x:v>
      </x:c>
      <x:c r="H1362" t="n">
        <x:f>Dashboard_Live_Data!AE136</x:f>
        <x:v>255.4493066354077</x:v>
      </x:c>
    </x:row>
    <x:row r="1363">
      <x:c r="A1363" t="n">
        <x:f>Dashboard_Live_Data!X137</x:f>
        <x:v>7.5</x:v>
      </x:c>
      <x:c r="B1363" t="n">
        <x:f>Dashboard_Live_Data!Y137</x:f>
        <x:v>2668.554777068895</x:v>
      </x:c>
      <x:c r="C1363" t="n">
        <x:f>Dashboard_Live_Data!Z137</x:f>
        <x:v>50</x:v>
      </x:c>
      <x:c r="D1363" t="n">
        <x:f>Dashboard_Live_Data!AA137</x:f>
        <x:v>271.4874996062939</x:v>
      </x:c>
      <x:c r="E1363" t="n">
        <x:f>Dashboard_Live_Data!AB137</x:f>
        <x:v>100</x:v>
      </x:c>
      <x:c r="F1363" t="n">
        <x:f>Dashboard_Live_Data!AC137</x:f>
        <x:v>333.9690786324356</x:v>
      </x:c>
      <x:c r="G1363" t="n">
        <x:f>Dashboard_Live_Data!AD137</x:f>
        <x:v>100</x:v>
      </x:c>
      <x:c r="H1363" t="n">
        <x:f>Dashboard_Live_Data!AE137</x:f>
        <x:v>268.2986473902994</x:v>
      </x:c>
    </x:row>
    <x:row r="1364">
      <x:c r="A1364" t="n">
        <x:f>Dashboard_Live_Data!X138</x:f>
        <x:v>7.980000000000004</x:v>
      </x:c>
      <x:c r="B1364" t="n">
        <x:f>Dashboard_Live_Data!Y138</x:f>
        <x:v>2668.619160634821</x:v>
      </x:c>
      <x:c r="C1364" t="n">
        <x:f>Dashboard_Live_Data!Z138</x:f>
        <x:v>53.19999999999999</x:v>
      </x:c>
      <x:c r="D1364" t="n">
        <x:f>Dashboard_Live_Data!AA138</x:f>
        <x:v>276.56459491862387</x:v>
      </x:c>
      <x:c r="E1364" t="n">
        <x:f>Dashboard_Live_Data!AB138</x:f>
        <x:v>106.39999999999998</x:v>
      </x:c>
      <x:c r="F1364" t="n">
        <x:f>Dashboard_Live_Data!AC138</x:f>
        <x:v>347.47422266834957</x:v>
      </x:c>
      <x:c r="G1364" t="n">
        <x:f>Dashboard_Live_Data!AD138</x:f>
        <x:v>106.39999999999998</x:v>
      </x:c>
      <x:c r="H1364" t="n">
        <x:f>Dashboard_Live_Data!AE138</x:f>
        <x:v>281.9414866847112</x:v>
      </x:c>
    </x:row>
    <x:row r="1365">
      <x:c r="A1365" t="n">
        <x:f>Dashboard_Live_Data!X139</x:f>
        <x:v>8.519999999999996</x:v>
      </x:c>
      <x:c r="B1365" t="n">
        <x:f>Dashboard_Live_Data!Y139</x:f>
        <x:v>2668.93813045976</x:v>
      </x:c>
      <x:c r="C1365" t="n">
        <x:f>Dashboard_Live_Data!Z139</x:f>
        <x:v>56.799999999999955</x:v>
      </x:c>
      <x:c r="D1365" t="n">
        <x:f>Dashboard_Live_Data!AA139</x:f>
        <x:v>282.45267503280434</x:v>
      </x:c>
      <x:c r="E1365" t="n">
        <x:f>Dashboard_Live_Data!AB139</x:f>
        <x:v>113.59999999999991</x:v>
      </x:c>
      <x:c r="F1365" t="n">
        <x:f>Dashboard_Live_Data!AC139</x:f>
        <x:v>363.0011899782957</x:v>
      </x:c>
      <x:c r="G1365" t="n">
        <x:f>Dashboard_Live_Data!AD139</x:f>
        <x:v>113.59999999999991</x:v>
      </x:c>
      <x:c r="H1365" t="n">
        <x:f>Dashboard_Live_Data!AE139</x:f>
        <x:v>297.63356822178037</x:v>
      </x:c>
    </x:row>
    <x:row r="1366">
      <x:c r="A1366" t="n">
        <x:f>Dashboard_Live_Data!X140</x:f>
        <x:v>9</x:v>
      </x:c>
      <x:c r="B1366" t="n">
        <x:f>Dashboard_Live_Data!Y140</x:f>
        <x:v>2668.91551921749</x:v>
      </x:c>
      <x:c r="C1366" t="n">
        <x:f>Dashboard_Live_Data!Z140</x:f>
        <x:v>59.99999999999994</x:v>
      </x:c>
      <x:c r="D1366" t="n">
        <x:f>Dashboard_Live_Data!AA140</x:f>
        <x:v>288.06999454155164</x:v>
      </x:c>
      <x:c r="E1366" t="n">
        <x:f>Dashboard_Live_Data!AB140</x:f>
        <x:v>119.99999999999989</x:v>
      </x:c>
      <x:c r="F1366" t="n">
        <x:f>Dashboard_Live_Data!AC140</x:f>
        <x:v>378.4062789597639</x:v>
      </x:c>
      <x:c r="G1366" t="n">
        <x:f>Dashboard_Live_Data!AD140</x:f>
        <x:v>119.99999999999989</x:v>
      </x:c>
      <x:c r="H1366" t="n">
        <x:f>Dashboard_Live_Data!AE140</x:f>
        <x:v>313.19449834852514</x:v>
      </x:c>
    </x:row>
    <x:row r="1367">
      <x:c r="A1367" t="n">
        <x:f>Dashboard_Live_Data!X141</x:f>
        <x:v>9.47999999999999</x:v>
      </x:c>
      <x:c r="B1367" t="n">
        <x:f>Dashboard_Live_Data!Y141</x:f>
        <x:v>2669.0410756188267</x:v>
      </x:c>
      <x:c r="C1367" t="n">
        <x:f>Dashboard_Live_Data!Z141</x:f>
        <x:v>63.19999999999999</x:v>
      </x:c>
      <x:c r="D1367" t="n">
        <x:f>Dashboard_Live_Data!AA141</x:f>
        <x:v>294.08928666556926</x:v>
      </x:c>
      <x:c r="E1367" t="n">
        <x:f>Dashboard_Live_Data!AB141</x:f>
        <x:v>126.39999999999998</x:v>
      </x:c>
      <x:c r="F1367" t="n">
        <x:f>Dashboard_Live_Data!AC141</x:f>
        <x:v>393.9604119847854</x:v>
      </x:c>
      <x:c r="G1367" t="n">
        <x:f>Dashboard_Live_Data!AD141</x:f>
        <x:v>126.39999999999998</x:v>
      </x:c>
      <x:c r="H1367" t="n">
        <x:f>Dashboard_Live_Data!AE141</x:f>
        <x:v>328.9130117596604</x:v>
      </x:c>
    </x:row>
    <x:row r="1368">
      <x:c r="A1368" t="n">
        <x:f>Dashboard_Live_Data!X142</x:f>
        <x:v>10.019999999999996</x:v>
      </x:c>
      <x:c r="B1368" t="n">
        <x:f>Dashboard_Live_Data!Y142</x:f>
        <x:v>2669.291489917243</x:v>
      </x:c>
      <x:c r="C1368" t="n">
        <x:f>Dashboard_Live_Data!Z142</x:f>
        <x:v>66.80000000000001</x:v>
      </x:c>
      <x:c r="D1368" t="n">
        <x:f>Dashboard_Live_Data!AA142</x:f>
        <x:v>301.6540717423815</x:v>
      </x:c>
      <x:c r="E1368" t="n">
        <x:f>Dashboard_Live_Data!AB142</x:f>
        <x:v>133.60000000000002</x:v>
      </x:c>
      <x:c r="F1368" t="n">
        <x:f>Dashboard_Live_Data!AC142</x:f>
        <x:v>412.6730671989272</x:v>
      </x:c>
      <x:c r="G1368" t="n">
        <x:f>Dashboard_Live_Data!AD142</x:f>
        <x:v>133.60000000000002</x:v>
      </x:c>
      <x:c r="H1368" t="n">
        <x:f>Dashboard_Live_Data!AE142</x:f>
        <x:v>347.82080196949306</x:v>
      </x:c>
    </x:row>
    <x:row r="1369">
      <x:c r="A1369" t="n">
        <x:f>Dashboard_Live_Data!X143</x:f>
        <x:v>10.5</x:v>
      </x:c>
      <x:c r="B1369" t="n">
        <x:f>Dashboard_Live_Data!Y143</x:f>
        <x:v>2669.2970622335815</x:v>
      </x:c>
      <x:c r="C1369" t="n">
        <x:f>Dashboard_Live_Data!Z143</x:f>
        <x:v>70</x:v>
      </x:c>
      <x:c r="D1369" t="n">
        <x:f>Dashboard_Live_Data!AA143</x:f>
        <x:v>308.3339924924266</x:v>
      </x:c>
      <x:c r="E1369" t="n">
        <x:f>Dashboard_Live_Data!AB143</x:f>
        <x:v>140</x:v>
      </x:c>
      <x:c r="F1369" t="n">
        <x:f>Dashboard_Live_Data!AC143</x:f>
        <x:v>430.4704881029932</x:v>
      </x:c>
      <x:c r="G1369" t="n">
        <x:f>Dashboard_Live_Data!AD143</x:f>
        <x:v>140</x:v>
      </x:c>
      <x:c r="H1369" t="n">
        <x:f>Dashboard_Live_Data!AE143</x:f>
        <x:v>365.80074914645155</x:v>
      </x:c>
    </x:row>
    <x:row r="1370">
      <x:c r="A1370" t="n">
        <x:f>Dashboard_Live_Data!X144</x:f>
        <x:v>10.980000000000004</x:v>
      </x:c>
      <x:c r="B1370" t="n">
        <x:f>Dashboard_Live_Data!Y144</x:f>
        <x:v>2669.4129477465203</x:v>
      </x:c>
      <x:c r="C1370" t="n">
        <x:f>Dashboard_Live_Data!Z144</x:f>
        <x:v>73.20000000000005</x:v>
      </x:c>
      <x:c r="D1370" t="n">
        <x:f>Dashboard_Live_Data!AA144</x:f>
        <x:v>314.94191553996393</x:v>
      </x:c>
      <x:c r="E1370" t="n">
        <x:f>Dashboard_Live_Data!AB144</x:f>
        <x:v>146.4000000000001</x:v>
      </x:c>
      <x:c r="F1370" t="n">
        <x:f>Dashboard_Live_Data!AC144</x:f>
        <x:v>448.65774247510933</x:v>
      </x:c>
      <x:c r="G1370" t="n">
        <x:f>Dashboard_Live_Data!AD144</x:f>
        <x:v>146.4000000000001</x:v>
      </x:c>
      <x:c r="H1370" t="n">
        <x:f>Dashboard_Live_Data!AE144</x:f>
        <x:v>384.1790690322971</x:v>
      </x:c>
    </x:row>
    <x:row r="1371">
      <x:c r="A1371" t="n">
        <x:f>Dashboard_Live_Data!X145</x:f>
        <x:v>11.519999999999996</x:v>
      </x:c>
      <x:c r="B1371" t="n">
        <x:f>Dashboard_Live_Data!Y145</x:f>
        <x:v>2669.607567389517</x:v>
      </x:c>
      <x:c r="C1371" t="n">
        <x:f>Dashboard_Live_Data!Z145</x:f>
        <x:v>76.79999999999995</x:v>
      </x:c>
      <x:c r="D1371" t="n">
        <x:f>Dashboard_Live_Data!AA145</x:f>
        <x:v>322.83349393173665</x:v>
      </x:c>
      <x:c r="E1371" t="n">
        <x:f>Dashboard_Live_Data!AB145</x:f>
        <x:v>153.5999999999999</x:v>
      </x:c>
      <x:c r="F1371" t="n">
        <x:f>Dashboard_Live_Data!AC145</x:f>
        <x:v>470.3583475486286</x:v>
      </x:c>
      <x:c r="G1371" t="n">
        <x:f>Dashboard_Live_Data!AD145</x:f>
        <x:v>153.5999999999999</x:v>
      </x:c>
      <x:c r="H1371" t="n">
        <x:f>Dashboard_Live_Data!AE145</x:f>
        <x:v>406.1048298700752</x:v>
      </x:c>
    </x:row>
    <x:row r="1372">
      <x:c r="A1372" t="n">
        <x:f>Dashboard_Live_Data!X146</x:f>
        <x:v>12</x:v>
      </x:c>
      <x:c r="B1372" t="n">
        <x:f>Dashboard_Live_Data!Y146</x:f>
        <x:v>2669.5329747634537</x:v>
      </x:c>
      <x:c r="C1372" t="n">
        <x:f>Dashboard_Live_Data!Z146</x:f>
        <x:v>80</x:v>
      </x:c>
      <x:c r="D1372" t="n">
        <x:f>Dashboard_Live_Data!AA146</x:f>
        <x:v>330.5742921234309</x:v>
      </x:c>
      <x:c r="E1372" t="n">
        <x:f>Dashboard_Live_Data!AB146</x:f>
        <x:v>160</x:v>
      </x:c>
      <x:c r="F1372" t="n">
        <x:f>Dashboard_Live_Data!AC146</x:f>
        <x:v>490.82527033564</x:v>
      </x:c>
      <x:c r="G1372" t="n">
        <x:f>Dashboard_Live_Data!AD146</x:f>
        <x:v>160</x:v>
      </x:c>
      <x:c r="H1372" t="n">
        <x:f>Dashboard_Live_Data!AE146</x:f>
        <x:v>426.78096405759464</x:v>
      </x:c>
    </x:row>
    <x:row r="1373">
      <x:c r="A1373" t="n">
        <x:f>Dashboard_Live_Data!X147</x:f>
        <x:v>12.480000000000004</x:v>
      </x:c>
      <x:c r="B1373" t="n">
        <x:f>Dashboard_Live_Data!Y147</x:f>
        <x:v>2669.7418428985843</x:v>
      </x:c>
      <x:c r="C1373" t="n">
        <x:f>Dashboard_Live_Data!Z147</x:f>
        <x:v>83.19999999999999</x:v>
      </x:c>
      <x:c r="D1373" t="n">
        <x:f>Dashboard_Live_Data!AA147</x:f>
        <x:v>339.0028806621182</x:v>
      </x:c>
      <x:c r="E1373" t="n">
        <x:f>Dashboard_Live_Data!AB147</x:f>
        <x:v>166.39999999999998</x:v>
      </x:c>
      <x:c r="F1373" t="n">
        <x:f>Dashboard_Live_Data!AC147</x:f>
        <x:v>511.5210445892671</x:v>
      </x:c>
      <x:c r="G1373" t="n">
        <x:f>Dashboard_Live_Data!AD147</x:f>
        <x:v>166.39999999999998</x:v>
      </x:c>
      <x:c r="H1373" t="n">
        <x:f>Dashboard_Live_Data!AE147</x:f>
        <x:v>447.69448895256727</x:v>
      </x:c>
    </x:row>
    <x:row r="1374">
      <x:c r="A1374" t="n">
        <x:f>Dashboard_Live_Data!X148</x:f>
        <x:v>13.02000000000001</x:v>
      </x:c>
      <x:c r="B1374" t="n">
        <x:f>Dashboard_Live_Data!Y148</x:f>
        <x:v>2669.689058927443</x:v>
      </x:c>
      <x:c r="C1374" t="n">
        <x:f>Dashboard_Live_Data!Z148</x:f>
        <x:v>86.80000000000001</x:v>
      </x:c>
      <x:c r="D1374" t="n">
        <x:f>Dashboard_Live_Data!AA148</x:f>
        <x:v>348.1803410931297</x:v>
      </x:c>
      <x:c r="E1374" t="n">
        <x:f>Dashboard_Live_Data!AB148</x:f>
        <x:v>173.60000000000002</x:v>
      </x:c>
      <x:c r="F1374" t="n">
        <x:f>Dashboard_Live_Data!AC148</x:f>
        <x:v>536.6856283700555</x:v>
      </x:c>
      <x:c r="G1374" t="n">
        <x:f>Dashboard_Live_Data!AD148</x:f>
        <x:v>173.60000000000002</x:v>
      </x:c>
      <x:c r="H1374" t="n">
        <x:f>Dashboard_Live_Data!AE148</x:f>
        <x:v>473.11424926618224</x:v>
      </x:c>
    </x:row>
    <x:row r="1375">
      <x:c r="A1375" t="n">
        <x:f>Dashboard_Live_Data!X149</x:f>
        <x:v>13.5</x:v>
      </x:c>
      <x:c r="B1375" t="n">
        <x:f>Dashboard_Live_Data!Y149</x:f>
        <x:v>2669.863390884068</x:v>
      </x:c>
      <x:c r="C1375" t="n">
        <x:f>Dashboard_Live_Data!Z149</x:f>
        <x:v>90.00000000000006</x:v>
      </x:c>
      <x:c r="D1375" t="n">
        <x:f>Dashboard_Live_Data!AA149</x:f>
        <x:v>356.5873635970569</x:v>
      </x:c>
      <x:c r="E1375" t="n">
        <x:f>Dashboard_Live_Data!AB149</x:f>
        <x:v>180.0000000000001</x:v>
      </x:c>
      <x:c r="F1375" t="n">
        <x:f>Dashboard_Live_Data!AC149</x:f>
        <x:v>559.4378939715417</x:v>
      </x:c>
      <x:c r="G1375" t="n">
        <x:f>Dashboard_Live_Data!AD149</x:f>
        <x:v>180.0000000000001</x:v>
      </x:c>
      <x:c r="H1375" t="n">
        <x:f>Dashboard_Live_Data!AE149</x:f>
        <x:v>496.10241139579267</x:v>
      </x:c>
    </x:row>
    <x:row r="1376">
      <x:c r="A1376" t="n">
        <x:f>Dashboard_Live_Data!X150</x:f>
        <x:v>13.980000000000004</x:v>
      </x:c>
      <x:c r="B1376" t="n">
        <x:f>Dashboard_Live_Data!Y150</x:f>
        <x:v>2669.8639965508737</x:v>
      </x:c>
      <x:c r="C1376" t="n">
        <x:f>Dashboard_Live_Data!Z150</x:f>
        <x:v>93.20000000000005</x:v>
      </x:c>
      <x:c r="D1376" t="n">
        <x:f>Dashboard_Live_Data!AA150</x:f>
        <x:v>365.3275433938103</x:v>
      </x:c>
      <x:c r="E1376" t="n">
        <x:f>Dashboard_Live_Data!AB150</x:f>
        <x:v>186.4000000000001</x:v>
      </x:c>
      <x:c r="F1376" t="n">
        <x:f>Dashboard_Live_Data!AC150</x:f>
        <x:v>582.8549827037858</x:v>
      </x:c>
      <x:c r="G1376" t="n">
        <x:f>Dashboard_Live_Data!AD150</x:f>
        <x:v>186.4000000000001</x:v>
      </x:c>
      <x:c r="H1376" t="n">
        <x:f>Dashboard_Live_Data!AE150</x:f>
        <x:v>519.763935896998</x:v>
      </x:c>
    </x:row>
    <x:row r="1377">
      <x:c r="A1377" t="n">
        <x:f>Dashboard_Live_Data!X151</x:f>
        <x:v>14.519999999999996</x:v>
      </x:c>
      <x:c r="B1377" t="n">
        <x:f>Dashboard_Live_Data!Y151</x:f>
        <x:v>2669.8958574019107</x:v>
      </x:c>
      <x:c r="C1377" t="n">
        <x:f>Dashboard_Live_Data!Z151</x:f>
        <x:v>96.80000000000001</x:v>
      </x:c>
      <x:c r="D1377" t="n">
        <x:f>Dashboard_Live_Data!AA151</x:f>
        <x:v>375.71361777908754</x:v>
      </x:c>
      <x:c r="E1377" t="n">
        <x:f>Dashboard_Live_Data!AB151</x:f>
        <x:v>193.60000000000002</x:v>
      </x:c>
      <x:c r="F1377" t="n">
        <x:f>Dashboard_Live_Data!AC151</x:f>
        <x:v>610.8989509460198</x:v>
      </x:c>
      <x:c r="G1377" t="n">
        <x:f>Dashboard_Live_Data!AD151</x:f>
        <x:v>193.60000000000002</x:v>
      </x:c>
      <x:c r="H1377" t="n">
        <x:f>Dashboard_Live_Data!AE151</x:f>
        <x:v>548.0931014406264</x:v>
      </x:c>
    </x:row>
    <x:row r="1378">
      <x:c r="A1378" t="n">
        <x:f>Dashboard_Live_Data!X152</x:f>
        <x:v>15</x:v>
      </x:c>
      <x:c r="B1378" t="n">
        <x:f>Dashboard_Live_Data!Y152</x:f>
        <x:v>2669.877953329705</x:v>
      </x:c>
      <x:c r="C1378" t="n">
        <x:f>Dashboard_Live_Data!Z152</x:f>
        <x:v>100</x:v>
      </x:c>
      <x:c r="D1378" t="n">
        <x:f>Dashboard_Live_Data!AA152</x:f>
        <x:v>385.5672746083997</x:v>
      </x:c>
      <x:c r="E1378" t="n">
        <x:f>Dashboard_Live_Data!AB152</x:f>
        <x:v>200</x:v>
      </x:c>
      <x:c r="F1378" t="n">
        <x:f>Dashboard_Live_Data!AC152</x:f>
        <x:v>635.8244559490963</x:v>
      </x:c>
      <x:c r="G1378" t="n">
        <x:f>Dashboard_Live_Data!AD152</x:f>
        <x:v>200</x:v>
      </x:c>
      <x:c r="H1378" t="n">
        <x:f>Dashboard_Live_Data!AE152</x:f>
        <x:v>573.2811880994428</x:v>
      </x:c>
    </x:row>
    <x:row r="1379">
      <x:c r="A1379" t="n">
        <x:f>Dashboard_Live_Data!X153</x:f>
        <x:v>15.480000000000004</x:v>
      </x:c>
      <x:c r="B1379" t="n">
        <x:f>Dashboard_Live_Data!Y153</x:f>
        <x:v>2670.016099440619</x:v>
      </x:c>
      <x:c r="C1379" t="n">
        <x:f>Dashboard_Live_Data!Z153</x:f>
        <x:v>103.19999999999999</x:v>
      </x:c>
      <x:c r="D1379" t="n">
        <x:f>Dashboard_Live_Data!AA153</x:f>
        <x:v>395.8608639483147</x:v>
      </x:c>
      <x:c r="E1379" t="n">
        <x:f>Dashboard_Live_Data!AB153</x:f>
        <x:v>206.39999999999998</x:v>
      </x:c>
      <x:c r="F1379" t="n">
        <x:f>Dashboard_Live_Data!AC153</x:f>
        <x:v>661.951510687387</x:v>
      </x:c>
      <x:c r="G1379" t="n">
        <x:f>Dashboard_Live_Data!AD153</x:f>
        <x:v>206.39999999999998</x:v>
      </x:c>
      <x:c r="H1379" t="n">
        <x:f>Dashboard_Live_Data!AE153</x:f>
        <x:v>599.6793637343105</x:v>
      </x:c>
    </x:row>
    <x:row r="1380">
      <x:c r="A1380" t="n">
        <x:f>Dashboard_Live_Data!X154</x:f>
        <x:v>16.019999999999996</x:v>
      </x:c>
      <x:c r="B1380" t="n">
        <x:f>Dashboard_Live_Data!Y154</x:f>
        <x:v>2669.9938584403485</x:v>
      </x:c>
      <x:c r="C1380" t="n">
        <x:f>Dashboard_Live_Data!Z154</x:f>
        <x:v>106.79999999999995</x:v>
      </x:c>
      <x:c r="D1380" t="n">
        <x:f>Dashboard_Live_Data!AA154</x:f>
        <x:v>407.20518284516277</x:v>
      </x:c>
      <x:c r="E1380" t="n">
        <x:f>Dashboard_Live_Data!AB154</x:f>
        <x:v>213.5999999999999</x:v>
      </x:c>
      <x:c r="F1380" t="n">
        <x:f>Dashboard_Live_Data!AC154</x:f>
        <x:v>692.4932720409962</x:v>
      </x:c>
      <x:c r="G1380" t="n">
        <x:f>Dashboard_Live_Data!AD154</x:f>
        <x:v>213.5999999999999</x:v>
      </x:c>
      <x:c r="H1380" t="n">
        <x:f>Dashboard_Live_Data!AE154</x:f>
        <x:v>630.536343157882</x:v>
      </x:c>
    </x:row>
    <x:row r="1381">
      <x:c r="A1381" t="n">
        <x:f>Dashboard_Live_Data!X155</x:f>
        <x:v>16.5</x:v>
      </x:c>
      <x:c r="B1381" t="n">
        <x:f>Dashboard_Live_Data!Y155</x:f>
        <x:v>2670.053766339852</x:v>
      </x:c>
      <x:c r="C1381" t="n">
        <x:f>Dashboard_Live_Data!Z155</x:f>
        <x:v>109.99999999999994</x:v>
      </x:c>
      <x:c r="D1381" t="n">
        <x:f>Dashboard_Live_Data!AA155</x:f>
        <x:v>417.1722436975719</x:v>
      </x:c>
      <x:c r="E1381" t="n">
        <x:f>Dashboard_Live_Data!AB155</x:f>
        <x:v>219.9999999999999</x:v>
      </x:c>
      <x:c r="F1381" t="n">
        <x:f>Dashboard_Live_Data!AC155</x:f>
        <x:v>719.9887342761264</x:v>
      </x:c>
      <x:c r="G1381" t="n">
        <x:f>Dashboard_Live_Data!AD155</x:f>
        <x:v>219.9999999999999</x:v>
      </x:c>
      <x:c r="H1381" t="n">
        <x:f>Dashboard_Live_Data!AE155</x:f>
        <x:v>658.3210721763679</x:v>
      </x:c>
    </x:row>
    <x:row r="1382">
      <x:c r="A1382" t="n">
        <x:f>Dashboard_Live_Data!X156</x:f>
        <x:v>16.97999999999999</x:v>
      </x:c>
      <x:c r="B1382" t="n">
        <x:f>Dashboard_Live_Data!Y156</x:f>
        <x:v>2670.213148337437</x:v>
      </x:c>
      <x:c r="C1382" t="n">
        <x:f>Dashboard_Live_Data!Z156</x:f>
        <x:v>113.19999999999993</x:v>
      </x:c>
      <x:c r="D1382" t="n">
        <x:f>Dashboard_Live_Data!AA156</x:f>
        <x:v>428.1712603024178</x:v>
      </x:c>
      <x:c r="E1382" t="n">
        <x:f>Dashboard_Live_Data!AB156</x:f>
        <x:v>226.39999999999986</x:v>
      </x:c>
      <x:c r="F1382" t="n">
        <x:f>Dashboard_Live_Data!AC156</x:f>
        <x:v>748.8612775855718</x:v>
      </x:c>
      <x:c r="G1382" t="n">
        <x:f>Dashboard_Live_Data!AD156</x:f>
        <x:v>226.39999999999986</x:v>
      </x:c>
      <x:c r="H1382" t="n">
        <x:f>Dashboard_Live_Data!AE156</x:f>
        <x:v>687.4914215100064</x:v>
      </x:c>
    </x:row>
    <x:row r="1383">
      <x:c r="A1383" t="n">
        <x:f>Dashboard_Live_Data!X157</x:f>
        <x:v>17.519999999999996</x:v>
      </x:c>
      <x:c r="B1383" t="n">
        <x:f>Dashboard_Live_Data!Y157</x:f>
        <x:v>2670.3303197350824</x:v>
      </x:c>
      <x:c r="C1383" t="n">
        <x:f>Dashboard_Live_Data!Z157</x:f>
        <x:v>116.80000000000007</x:v>
      </x:c>
      <x:c r="D1383" t="n">
        <x:f>Dashboard_Live_Data!AA157</x:f>
        <x:v>441.15226021313686</x:v>
      </x:c>
      <x:c r="E1383" t="n">
        <x:f>Dashboard_Live_Data!AB157</x:f>
        <x:v>233.60000000000014</x:v>
      </x:c>
      <x:c r="F1383" t="n">
        <x:f>Dashboard_Live_Data!AC157</x:f>
        <x:v>782.0432729637541</x:v>
      </x:c>
      <x:c r="G1383" t="n">
        <x:f>Dashboard_Live_Data!AD157</x:f>
        <x:v>233.60000000000014</x:v>
      </x:c>
      <x:c r="H1383" t="n">
        <x:f>Dashboard_Live_Data!AE157</x:f>
        <x:v>721.0186557267189</x:v>
      </x:c>
    </x:row>
    <x:row r="1384">
      <x:c r="A1384" t="n">
        <x:f>Dashboard_Live_Data!X158</x:f>
        <x:v>18</x:v>
      </x:c>
      <x:c r="B1384" t="n">
        <x:f>Dashboard_Live_Data!Y158</x:f>
        <x:v>2670.444077775051</x:v>
      </x:c>
      <x:c r="C1384" t="n">
        <x:f>Dashboard_Live_Data!Z158</x:f>
        <x:v>120</x:v>
      </x:c>
      <x:c r="D1384" t="n">
        <x:f>Dashboard_Live_Data!AA158</x:f>
        <x:v>452.70768115682705</x:v>
      </x:c>
      <x:c r="E1384" t="n">
        <x:f>Dashboard_Live_Data!AB158</x:f>
        <x:v>240</x:v>
      </x:c>
      <x:c r="F1384" t="n">
        <x:f>Dashboard_Live_Data!AC158</x:f>
        <x:v>812.3078287201135</x:v>
      </x:c>
      <x:c r="G1384" t="n">
        <x:f>Dashboard_Live_Data!AD158</x:f>
        <x:v>240</x:v>
      </x:c>
      <x:c r="H1384" t="n">
        <x:f>Dashboard_Live_Data!AE158</x:f>
        <x:v>751.5991633940498</x:v>
      </x:c>
    </x:row>
    <x:row r="1385">
      <x:c r="A1385" t="n">
        <x:f>Dashboard_Live_Data!X159</x:f>
        <x:v>18.480000000000004</x:v>
      </x:c>
      <x:c r="B1385" t="n">
        <x:f>Dashboard_Live_Data!Y159</x:f>
        <x:v>2670.5153353694513</x:v>
      </x:c>
      <x:c r="C1385" t="n">
        <x:f>Dashboard_Live_Data!Z159</x:f>
        <x:v>123.20000000000005</x:v>
      </x:c>
      <x:c r="D1385" t="n">
        <x:f>Dashboard_Live_Data!AA159</x:f>
        <x:v>464.3422104497147</x:v>
      </x:c>
      <x:c r="E1385" t="n">
        <x:f>Dashboard_Live_Data!AB159</x:f>
        <x:v>246.4000000000001</x:v>
      </x:c>
      <x:c r="F1385" t="n">
        <x:f>Dashboard_Live_Data!AC159</x:f>
        <x:v>843.990239909538</x:v>
      </x:c>
      <x:c r="G1385" t="n">
        <x:f>Dashboard_Live_Data!AD159</x:f>
        <x:v>246.4000000000001</x:v>
      </x:c>
      <x:c r="H1385" t="n">
        <x:f>Dashboard_Live_Data!AE159</x:f>
        <x:v>783.6060657352831</x:v>
      </x:c>
    </x:row>
    <x:row r="1386">
      <x:c r="A1386" t="n">
        <x:f>Dashboard_Live_Data!X160</x:f>
        <x:v>19.019999999999996</x:v>
      </x:c>
      <x:c r="B1386" t="n">
        <x:f>Dashboard_Live_Data!Y160</x:f>
        <x:v>2670.7374273408423</x:v>
      </x:c>
      <x:c r="C1386" t="n">
        <x:f>Dashboard_Live_Data!Z160</x:f>
        <x:v>126.79999999999995</x:v>
      </x:c>
      <x:c r="D1386" t="n">
        <x:f>Dashboard_Live_Data!AA160</x:f>
        <x:v>477.97385498477803</x:v>
      </x:c>
      <x:c r="E1386" t="n">
        <x:f>Dashboard_Live_Data!AB160</x:f>
        <x:v>253.5999999999999</x:v>
      </x:c>
      <x:c r="F1386" t="n">
        <x:f>Dashboard_Live_Data!AC160</x:f>
        <x:v>880.1287937053022</x:v>
      </x:c>
      <x:c r="G1386" t="n">
        <x:f>Dashboard_Live_Data!AD160</x:f>
        <x:v>253.5999999999999</x:v>
      </x:c>
      <x:c r="H1386" t="n">
        <x:f>Dashboard_Live_Data!AE160</x:f>
        <x:v>820.1198791381454</x:v>
      </x:c>
    </x:row>
    <x:row r="1387">
      <x:c r="A1387" t="n">
        <x:f>Dashboard_Live_Data!X161</x:f>
        <x:v>19.5</x:v>
      </x:c>
      <x:c r="B1387" t="n">
        <x:f>Dashboard_Live_Data!Y161</x:f>
        <x:v>2670.797103322571</x:v>
      </x:c>
      <x:c r="C1387" t="n">
        <x:f>Dashboard_Live_Data!Z161</x:f>
        <x:v>130</x:v>
      </x:c>
      <x:c r="D1387" t="n">
        <x:f>Dashboard_Live_Data!AA161</x:f>
        <x:v>490.4820935126106</x:v>
      </x:c>
      <x:c r="E1387" t="n">
        <x:f>Dashboard_Live_Data!AB161</x:f>
        <x:v>260</x:v>
      </x:c>
      <x:c r="F1387" t="n">
        <x:f>Dashboard_Live_Data!AC161</x:f>
        <x:v>913.1515395520814</x:v>
      </x:c>
      <x:c r="G1387" t="n">
        <x:f>Dashboard_Live_Data!AD161</x:f>
        <x:v>260</x:v>
      </x:c>
      <x:c r="H1387" t="n">
        <x:f>Dashboard_Live_Data!AE161</x:f>
        <x:v>853.485262023512</x:v>
      </x:c>
    </x:row>
    <x:row r="1388">
      <x:c r="A1388" t="n">
        <x:f>Dashboard_Live_Data!X162</x:f>
        <x:v>19.980000000000004</x:v>
      </x:c>
      <x:c r="B1388" t="n">
        <x:f>Dashboard_Live_Data!Y162</x:f>
        <x:v>2670.9787828596327</x:v>
      </x:c>
      <x:c r="C1388" t="n">
        <x:f>Dashboard_Live_Data!Z162</x:f>
        <x:v>133.19999999999993</x:v>
      </x:c>
      <x:c r="D1388" t="n">
        <x:f>Dashboard_Live_Data!AA162</x:f>
        <x:v>503.19758645294866</x:v>
      </x:c>
      <x:c r="E1388" t="n">
        <x:f>Dashboard_Live_Data!AB162</x:f>
        <x:v>266.39999999999986</x:v>
      </x:c>
      <x:c r="F1388" t="n">
        <x:f>Dashboard_Live_Data!AC162</x:f>
        <x:v>947.335274155724</x:v>
      </x:c>
      <x:c r="G1388" t="n">
        <x:f>Dashboard_Live_Data!AD162</x:f>
        <x:v>266.39999999999986</x:v>
      </x:c>
      <x:c r="H1388" t="n">
        <x:f>Dashboard_Live_Data!AE162</x:f>
        <x:v>888.0201729065793</x:v>
      </x:c>
    </x:row>
    <x:row r="1389">
      <x:c r="A1389" t="n">
        <x:f>Dashboard_Live_Data!X163</x:f>
        <x:v>20.52000000000001</x:v>
      </x:c>
      <x:c r="B1389" t="n">
        <x:f>Dashboard_Live_Data!Y163</x:f>
        <x:v>2671.203786370632</x:v>
      </x:c>
      <x:c r="C1389" t="n">
        <x:f>Dashboard_Live_Data!Z163</x:f>
        <x:v>136.80000000000007</x:v>
      </x:c>
      <x:c r="D1389" t="n">
        <x:f>Dashboard_Live_Data!AA163</x:f>
        <x:v>518.040579966203</x:v>
      </x:c>
      <x:c r="E1389" t="n">
        <x:f>Dashboard_Live_Data!AB163</x:f>
        <x:v>273.60000000000014</x:v>
      </x:c>
      <x:c r="F1389" t="n">
        <x:f>Dashboard_Live_Data!AC163</x:f>
        <x:v>986.2109894672132</x:v>
      </x:c>
      <x:c r="G1389" t="n">
        <x:f>Dashboard_Live_Data!AD163</x:f>
        <x:v>273.60000000000014</x:v>
      </x:c>
      <x:c r="H1389" t="n">
        <x:f>Dashboard_Live_Data!AE163</x:f>
        <x:v>927.3011685937341</x:v>
      </x:c>
    </x:row>
    <x:row r="1390">
      <x:c r="A1390" t="n">
        <x:f>Dashboard_Live_Data!X164</x:f>
        <x:v>21</x:v>
      </x:c>
      <x:c r="B1390" t="n">
        <x:f>Dashboard_Live_Data!Y164</x:f>
        <x:v>2671.217258703795</x:v>
      </x:c>
      <x:c r="C1390" t="n">
        <x:f>Dashboard_Live_Data!Z164</x:f>
        <x:v>140</x:v>
      </x:c>
      <x:c r="D1390" t="n">
        <x:f>Dashboard_Live_Data!AA164</x:f>
        <x:v>531.602952215883</x:v>
      </x:c>
      <x:c r="E1390" t="n">
        <x:f>Dashboard_Live_Data!AB164</x:f>
        <x:v>280</x:v>
      </x:c>
      <x:c r="F1390" t="n">
        <x:f>Dashboard_Live_Data!AC164</x:f>
        <x:v>1021.9898236507371</x:v>
      </x:c>
      <x:c r="G1390" t="n">
        <x:f>Dashboard_Live_Data!AD164</x:f>
        <x:v>280</x:v>
      </x:c>
      <x:c r="H1390" t="n">
        <x:f>Dashboard_Live_Data!AE164</x:f>
        <x:v>963.4493249434615</x:v>
      </x:c>
    </x:row>
    <x:row r="1391">
      <x:c r="A1391" t="n">
        <x:f>Dashboard_Live_Data!X165</x:f>
        <x:v>21.480000000000004</x:v>
      </x:c>
      <x:c r="B1391" t="n">
        <x:f>Dashboard_Live_Data!Y165</x:f>
        <x:v>2671.3747102286848</x:v>
      </x:c>
      <x:c r="C1391" t="n">
        <x:f>Dashboard_Live_Data!Z165</x:f>
        <x:v>143.20000000000005</x:v>
      </x:c>
      <x:c r="D1391" t="n">
        <x:f>Dashboard_Live_Data!AA165</x:f>
        <x:v>545.2847603872583</x:v>
      </x:c>
      <x:c r="E1391" t="n">
        <x:f>Dashboard_Live_Data!AB165</x:f>
        <x:v>286.4000000000001</x:v>
      </x:c>
      <x:c r="F1391" t="n">
        <x:f>Dashboard_Live_Data!AC165</x:f>
        <x:v>1058.6458157350023</x:v>
      </x:c>
      <x:c r="G1391" t="n">
        <x:f>Dashboard_Live_Data!AD165</x:f>
        <x:v>286.4000000000001</x:v>
      </x:c>
      <x:c r="H1391" t="n">
        <x:f>Dashboard_Live_Data!AE165</x:f>
        <x:v>1000.4831784347671</x:v>
      </x:c>
    </x:row>
    <x:row r="1392">
      <x:c r="A1392" t="n">
        <x:f>Dashboard_Live_Data!X166</x:f>
        <x:v>22.019999999999996</x:v>
      </x:c>
      <x:c r="B1392" t="n">
        <x:f>Dashboard_Live_Data!Y166</x:f>
        <x:v>2671.607898305689</x:v>
      </x:c>
      <x:c r="C1392" t="n">
        <x:f>Dashboard_Live_Data!Z166</x:f>
        <x:v>146.79999999999995</x:v>
      </x:c>
      <x:c r="D1392" t="n">
        <x:f>Dashboard_Live_Data!AA166</x:f>
        <x:v>560.9838146656962</x:v>
      </x:c>
      <x:c r="E1392" t="n">
        <x:f>Dashboard_Live_Data!AB166</x:f>
        <x:v>293.5999999999999</x:v>
      </x:c>
      <x:c r="F1392" t="n">
        <x:f>Dashboard_Live_Data!AC166</x:f>
        <x:v>1100.2228354690478</x:v>
      </x:c>
      <x:c r="G1392" t="n">
        <x:f>Dashboard_Live_Data!AD166</x:f>
        <x:v>293.5999999999999</x:v>
      </x:c>
      <x:c r="H1392" t="n">
        <x:f>Dashboard_Live_Data!AE166</x:f>
        <x:v>1042.4954993130461</x:v>
      </x:c>
    </x:row>
    <x:row r="1393">
      <x:c r="A1393" t="n">
        <x:f>Dashboard_Live_Data!X167</x:f>
        <x:v>22.5</x:v>
      </x:c>
      <x:c r="B1393" t="n">
        <x:f>Dashboard_Live_Data!Y167</x:f>
        <x:v>2671.772595292662</x:v>
      </x:c>
      <x:c r="C1393" t="n">
        <x:f>Dashboard_Live_Data!Z167</x:f>
        <x:v>150</x:v>
      </x:c>
      <x:c r="D1393" t="n">
        <x:f>Dashboard_Live_Data!AA167</x:f>
        <x:v>575.2592717158128</x:v>
      </x:c>
      <x:c r="E1393" t="n">
        <x:f>Dashboard_Live_Data!AB167</x:f>
        <x:v>300</x:v>
      </x:c>
      <x:c r="F1393" t="n">
        <x:f>Dashboard_Live_Data!AC167</x:f>
        <x:v>1138.7605574322938</x:v>
      </x:c>
      <x:c r="G1393" t="n">
        <x:f>Dashboard_Live_Data!AD167</x:f>
        <x:v>300</x:v>
      </x:c>
      <x:c r="H1393" t="n">
        <x:f>Dashboard_Live_Data!AE167</x:f>
        <x:v>1081.4292285701115</x:v>
      </x:c>
    </x:row>
    <x:row r="1394">
      <x:c r="A1394" t="n">
        <x:f>Dashboard_Live_Data!X168</x:f>
        <x:v>22.980000000000004</x:v>
      </x:c>
      <x:c r="B1394" t="n">
        <x:f>Dashboard_Live_Data!Y168</x:f>
        <x:v>2671.903622796239</x:v>
      </x:c>
      <x:c r="C1394" t="n">
        <x:f>Dashboard_Live_Data!Z168</x:f>
        <x:v>153.20000000000005</x:v>
      </x:c>
      <x:c r="D1394" t="n">
        <x:f>Dashboard_Live_Data!AA168</x:f>
        <x:v>590.285607665682</x:v>
      </x:c>
      <x:c r="E1394" t="n">
        <x:f>Dashboard_Live_Data!AB168</x:f>
        <x:v>306.4000000000001</x:v>
      </x:c>
      <x:c r="F1394" t="n">
        <x:f>Dashboard_Live_Data!AC168</x:f>
        <x:v>1177.7366521085353</x:v>
      </x:c>
      <x:c r="G1394" t="n">
        <x:f>Dashboard_Live_Data!AD168</x:f>
        <x:v>306.4000000000001</x:v>
      </x:c>
      <x:c r="H1394" t="n">
        <x:f>Dashboard_Live_Data!AE168</x:f>
        <x:v>1120.8098697810094</x:v>
      </x:c>
    </x:row>
    <x:row r="1395">
      <x:c r="A1395" t="n">
        <x:f>Dashboard_Live_Data!X169</x:f>
        <x:v>23.519999999999996</x:v>
      </x:c>
      <x:c r="B1395" t="n">
        <x:f>Dashboard_Live_Data!Y169</x:f>
        <x:v>2672.186431982876</x:v>
      </x:c>
      <x:c r="C1395" t="n">
        <x:f>Dashboard_Live_Data!Z169</x:f>
        <x:v>156.79999999999995</x:v>
      </x:c>
      <x:c r="D1395" t="n">
        <x:f>Dashboard_Live_Data!AA169</x:f>
        <x:v>607.501561535222</x:v>
      </x:c>
      <x:c r="E1395" t="n">
        <x:f>Dashboard_Live_Data!AB169</x:f>
        <x:v>313.5999999999999</x:v>
      </x:c>
      <x:c r="F1395" t="n">
        <x:f>Dashboard_Live_Data!AC169</x:f>
        <x:v>1222.6057281367232</x:v>
      </x:c>
      <x:c r="G1395" t="n">
        <x:f>Dashboard_Live_Data!AD169</x:f>
        <x:v>313.5999999999999</x:v>
      </x:c>
      <x:c r="H1395" t="n">
        <x:f>Dashboard_Live_Data!AE169</x:f>
        <x:v>1166.1442677219984</x:v>
      </x:c>
    </x:row>
    <x:row r="1396">
      <x:c r="A1396" t="n">
        <x:f>Dashboard_Live_Data!X170</x:f>
        <x:v>24</x:v>
      </x:c>
      <x:c r="B1396" t="n">
        <x:f>Dashboard_Live_Data!Y170</x:f>
        <x:v>2672.278912699196</x:v>
      </x:c>
      <x:c r="C1396" t="n">
        <x:f>Dashboard_Live_Data!Z170</x:f>
        <x:v>160</x:v>
      </x:c>
      <x:c r="D1396" t="n">
        <x:f>Dashboard_Live_Data!AA170</x:f>
        <x:v>622.9166520341081</x:v>
      </x:c>
      <x:c r="E1396" t="n">
        <x:f>Dashboard_Live_Data!AB170</x:f>
        <x:v>320</x:v>
      </x:c>
      <x:c r="F1396" t="n">
        <x:f>Dashboard_Live_Data!AC170</x:f>
        <x:v>1263.7436976342328</x:v>
      </x:c>
      <x:c r="G1396" t="n">
        <x:f>Dashboard_Live_Data!AD170</x:f>
        <x:v>320</x:v>
      </x:c>
      <x:c r="H1396" t="n">
        <x:f>Dashboard_Live_Data!AE170</x:f>
        <x:v>1207.7049296409432</x:v>
      </x:c>
    </x:row>
    <x:row r="1397">
      <x:c r="A1397" t="n">
        <x:f>Dashboard_Live_Data!X171</x:f>
        <x:v>24.47999999999999</x:v>
      </x:c>
      <x:c r="B1397" t="n">
        <x:f>Dashboard_Live_Data!Y171</x:f>
        <x:v>2672.422684953723</x:v>
      </x:c>
      <x:c r="C1397" t="n">
        <x:f>Dashboard_Live_Data!Z171</x:f>
        <x:v>163.19999999999993</x:v>
      </x:c>
      <x:c r="D1397" t="n">
        <x:f>Dashboard_Live_Data!AA171</x:f>
        <x:v>638.4143292101328</x:v>
      </x:c>
      <x:c r="E1397" t="n">
        <x:f>Dashboard_Live_Data!AB171</x:f>
        <x:v>326.39999999999986</x:v>
      </x:c>
      <x:c r="F1397" t="n">
        <x:f>Dashboard_Live_Data!AC171</x:f>
        <x:v>1304.993058303427</x:v>
      </x:c>
      <x:c r="G1397" t="n">
        <x:f>Dashboard_Live_Data!AD171</x:f>
        <x:v>326.39999999999986</x:v>
      </x:c>
      <x:c r="H1397" t="n">
        <x:f>Dashboard_Live_Data!AE171</x:f>
        <x:v>1249.3855219724098</x:v>
      </x:c>
    </x:row>
    <x:row r="1398">
      <x:c r="A1398" t="n">
        <x:f>Dashboard_Live_Data!X172</x:f>
        <x:v>25.019999999999996</x:v>
      </x:c>
      <x:c r="B1398" t="n">
        <x:f>Dashboard_Live_Data!Y172</x:f>
        <x:v>2672.7507541412438</x:v>
      </x:c>
      <x:c r="C1398" t="n">
        <x:f>Dashboard_Live_Data!Z172</x:f>
        <x:v>166.80000000000007</x:v>
      </x:c>
      <x:c r="D1398" t="n">
        <x:f>Dashboard_Live_Data!AA172</x:f>
        <x:v>656.4778874083446</x:v>
      </x:c>
      <x:c r="E1398" t="n">
        <x:f>Dashboard_Live_Data!AB172</x:f>
        <x:v>333.60000000000014</x:v>
      </x:c>
      <x:c r="F1398" t="n">
        <x:f>Dashboard_Live_Data!AC172</x:f>
        <x:v>1352.9496387434049</x:v>
      </x:c>
      <x:c r="G1398" t="n">
        <x:f>Dashboard_Live_Data!AD172</x:f>
        <x:v>333.60000000000014</x:v>
      </x:c>
      <x:c r="H1398" t="n">
        <x:f>Dashboard_Live_Data!AE172</x:f>
        <x:v>1297.8374450937565</x:v>
      </x:c>
    </x:row>
    <x:row r="1399">
      <x:c r="A1399" t="n">
        <x:f>Dashboard_Live_Data!X173</x:f>
        <x:v>25.5</x:v>
      </x:c>
      <x:c r="B1399" t="n">
        <x:f>Dashboard_Live_Data!Y173</x:f>
        <x:v>2672.8797701745452</x:v>
      </x:c>
      <x:c r="C1399" t="n">
        <x:f>Dashboard_Live_Data!Z173</x:f>
        <x:v>170</x:v>
      </x:c>
      <x:c r="D1399" t="n">
        <x:f>Dashboard_Live_Data!AA173</x:f>
        <x:v>672.9521582471372</x:v>
      </x:c>
      <x:c r="E1399" t="n">
        <x:f>Dashboard_Live_Data!AB173</x:f>
        <x:v>340</x:v>
      </x:c>
      <x:c r="F1399" t="n">
        <x:f>Dashboard_Live_Data!AC173</x:f>
        <x:v>1396.3473019036721</x:v>
      </x:c>
      <x:c r="G1399" t="n">
        <x:f>Dashboard_Live_Data!AD173</x:f>
        <x:v>340</x:v>
      </x:c>
      <x:c r="H1399" t="n">
        <x:f>Dashboard_Live_Data!AE173</x:f>
        <x:v>1341.6844858030745</x:v>
      </x:c>
    </x:row>
    <x:row r="1400">
      <x:c r="A1400" t="n">
        <x:f>Dashboard_Live_Data!X174</x:f>
        <x:v>25.980000000000004</x:v>
      </x:c>
      <x:c r="B1400" t="n">
        <x:f>Dashboard_Live_Data!Y174</x:f>
        <x:v>2673.023648727582</x:v>
      </x:c>
      <x:c r="C1400" t="n">
        <x:f>Dashboard_Live_Data!Z174</x:f>
        <x:v>173.20000000000005</x:v>
      </x:c>
      <x:c r="D1400" t="n">
        <x:f>Dashboard_Live_Data!AA174</x:f>
        <x:v>689.9092702737296</x:v>
      </x:c>
      <x:c r="E1400" t="n">
        <x:f>Dashboard_Live_Data!AB174</x:f>
        <x:v>346.4000000000001</x:v>
      </x:c>
      <x:c r="F1400" t="n">
        <x:f>Dashboard_Live_Data!AC174</x:f>
        <x:v>1440.15613079986</x:v>
      </x:c>
      <x:c r="G1400" t="n">
        <x:f>Dashboard_Live_Data!AD174</x:f>
        <x:v>346.4000000000001</x:v>
      </x:c>
      <x:c r="H1400" t="n">
        <x:f>Dashboard_Live_Data!AE174</x:f>
        <x:v>1385.951231489151</x:v>
      </x:c>
    </x:row>
    <x:row r="1401">
      <x:c r="A1401" t="n">
        <x:f>Dashboard_Live_Data!X175</x:f>
        <x:v>26.519999999999996</x:v>
      </x:c>
      <x:c r="B1401" t="n">
        <x:f>Dashboard_Live_Data!Y175</x:f>
        <x:v>2673.203151441436</x:v>
      </x:c>
      <x:c r="C1401" t="n">
        <x:f>Dashboard_Live_Data!Z175</x:f>
        <x:v>176.79999999999995</x:v>
      </x:c>
      <x:c r="D1401" t="n">
        <x:f>Dashboard_Live_Data!AA175</x:f>
        <x:v>709.4713880484527</x:v>
      </x:c>
      <x:c r="E1401" t="n">
        <x:f>Dashboard_Live_Data!AB175</x:f>
        <x:v>353.5999999999999</x:v>
      </x:c>
      <x:c r="F1401" t="n">
        <x:f>Dashboard_Live_Data!AC175</x:f>
        <x:v>1491.0284044154105</x:v>
      </x:c>
      <x:c r="G1401" t="n">
        <x:f>Dashboard_Live_Data!AD175</x:f>
        <x:v>353.5999999999999</x:v>
      </x:c>
      <x:c r="H1401" t="n">
        <x:f>Dashboard_Live_Data!AE175</x:f>
        <x:v>1437.3488685546383</x:v>
      </x:c>
    </x:row>
    <x:row r="1402">
      <x:c r="A1402" t="n">
        <x:f>Dashboard_Live_Data!X176</x:f>
        <x:v>27</x:v>
      </x:c>
      <x:c r="B1402" t="n">
        <x:f>Dashboard_Live_Data!Y176</x:f>
        <x:v>2673.4865059902168</x:v>
      </x:c>
      <x:c r="C1402" t="n">
        <x:f>Dashboard_Live_Data!Z176</x:f>
        <x:v>180</x:v>
      </x:c>
      <x:c r="D1402" t="n">
        <x:f>Dashboard_Live_Data!AA176</x:f>
        <x:v>726.6160489398486</x:v>
      </x:c>
      <x:c r="E1402" t="n">
        <x:f>Dashboard_Live_Data!AB176</x:f>
        <x:v>360</x:v>
      </x:c>
      <x:c r="F1402" t="n">
        <x:f>Dashboard_Live_Data!AC176</x:f>
        <x:v>1536.7947165438725</x:v>
      </x:c>
      <x:c r="G1402" t="n">
        <x:f>Dashboard_Live_Data!AD176</x:f>
        <x:v>360</x:v>
      </x:c>
      <x:c r="H1402" t="n">
        <x:f>Dashboard_Live_Data!AE176</x:f>
        <x:v>1483.5912433597673</x:v>
      </x:c>
    </x:row>
    <x:row r="1403">
      <x:c r="A1403" t="n">
        <x:f>Dashboard_Live_Data!X177</x:f>
        <x:v>27.480000000000004</x:v>
      </x:c>
      <x:c r="B1403" t="n">
        <x:f>Dashboard_Live_Data!Y177</x:f>
        <x:v>2673.8136935452526</x:v>
      </x:c>
      <x:c r="C1403" t="n">
        <x:f>Dashboard_Live_Data!Z177</x:f>
        <x:v>183.19999999999993</x:v>
      </x:c>
      <x:c r="D1403" t="n">
        <x:f>Dashboard_Live_Data!AA177</x:f>
        <x:v>743.9212040900048</x:v>
      </x:c>
      <x:c r="E1403" t="n">
        <x:f>Dashboard_Live_Data!AB177</x:f>
        <x:v>366.39999999999986</x:v>
      </x:c>
      <x:c r="F1403" t="n">
        <x:f>Dashboard_Live_Data!AC177</x:f>
        <x:v>1583.219543020566</x:v>
      </x:c>
      <x:c r="G1403" t="n">
        <x:f>Dashboard_Live_Data!AD177</x:f>
        <x:v>366.39999999999986</x:v>
      </x:c>
      <x:c r="H1403" t="n">
        <x:f>Dashboard_Live_Data!AE177</x:f>
        <x:v>1530.5006717539648</x:v>
      </x:c>
    </x:row>
    <x:row r="1404">
      <x:c r="A1404" t="n">
        <x:f>Dashboard_Live_Data!X178</x:f>
        <x:v>28.02000000000001</x:v>
      </x:c>
      <x:c r="B1404" t="n">
        <x:f>Dashboard_Live_Data!Y178</x:f>
        <x:v>2674.008990974961</x:v>
      </x:c>
      <x:c r="C1404" t="n">
        <x:f>Dashboard_Live_Data!Z178</x:f>
        <x:v>186.80000000000007</x:v>
      </x:c>
      <x:c r="D1404" t="n">
        <x:f>Dashboard_Live_Data!AA178</x:f>
        <x:v>764.4798066752313</x:v>
      </x:c>
      <x:c r="E1404" t="n">
        <x:f>Dashboard_Live_Data!AB178</x:f>
        <x:v>373.60000000000014</x:v>
      </x:c>
      <x:c r="F1404" t="n">
        <x:f>Dashboard_Live_Data!AC178</x:f>
        <x:v>1637.3411182670352</x:v>
      </x:c>
      <x:c r="G1404" t="n">
        <x:f>Dashboard_Live_Data!AD178</x:f>
        <x:v>373.60000000000014</x:v>
      </x:c>
      <x:c r="H1404" t="n">
        <x:f>Dashboard_Live_Data!AE178</x:f>
        <x:v>1585.1776312189386</x:v>
      </x:c>
    </x:row>
    <x:row r="1405">
      <x:c r="A1405" t="n">
        <x:f>Dashboard_Live_Data!X179</x:f>
        <x:v>28.5</x:v>
      </x:c>
      <x:c r="B1405" t="n">
        <x:f>Dashboard_Live_Data!Y179</x:f>
        <x:v>2674.175165150319</x:v>
      </x:c>
      <x:c r="C1405" t="n">
        <x:f>Dashboard_Live_Data!Z179</x:f>
        <x:v>190</x:v>
      </x:c>
      <x:c r="D1405" t="n">
        <x:f>Dashboard_Live_Data!AA179</x:f>
        <x:v>783.3268131486861</x:v>
      </x:c>
      <x:c r="E1405" t="n">
        <x:f>Dashboard_Live_Data!AB179</x:f>
        <x:v>380</x:v>
      </x:c>
      <x:c r="F1405" t="n">
        <x:f>Dashboard_Live_Data!AC179</x:f>
        <x:v>1685.5394953979162</x:v>
      </x:c>
      <x:c r="G1405" t="n">
        <x:f>Dashboard_Live_Data!AD179</x:f>
        <x:v>380</x:v>
      </x:c>
      <x:c r="H1405" t="n">
        <x:f>Dashboard_Live_Data!AE179</x:f>
        <x:v>1633.8787561541026</x:v>
      </x:c>
    </x:row>
    <x:row r="1406">
      <x:c r="A1406" t="n">
        <x:f>Dashboard_Live_Data!X180</x:f>
        <x:v>28.980000000000004</x:v>
      </x:c>
      <x:c r="B1406" t="n">
        <x:f>Dashboard_Live_Data!Y180</x:f>
        <x:v>2674.4235115684287</x:v>
      </x:c>
      <x:c r="C1406" t="n">
        <x:f>Dashboard_Live_Data!Z180</x:f>
        <x:v>193.20000000000005</x:v>
      </x:c>
      <x:c r="D1406" t="n">
        <x:f>Dashboard_Live_Data!AA180</x:f>
        <x:v>801.8464832007562</x:v>
      </x:c>
      <x:c r="E1406" t="n">
        <x:f>Dashboard_Live_Data!AB180</x:f>
        <x:v>386.4000000000001</x:v>
      </x:c>
      <x:c r="F1406" t="n">
        <x:f>Dashboard_Live_Data!AC180</x:f>
        <x:v>1735.101566695354</x:v>
      </x:c>
      <x:c r="G1406" t="n">
        <x:f>Dashboard_Live_Data!AD180</x:f>
        <x:v>386.4000000000001</x:v>
      </x:c>
      <x:c r="H1406" t="n">
        <x:f>Dashboard_Live_Data!AE180</x:f>
        <x:v>1683.9521144966598</x:v>
      </x:c>
    </x:row>
    <x:row r="1407">
      <x:c r="A1407" t="n">
        <x:f>Dashboard_Live_Data!X181</x:f>
        <x:v>29.519999999999996</x:v>
      </x:c>
      <x:c r="B1407" t="n">
        <x:f>Dashboard_Live_Data!Y181</x:f>
        <x:v>2674.858320794281</x:v>
      </x:c>
      <x:c r="C1407" t="n">
        <x:f>Dashboard_Live_Data!Z181</x:f>
        <x:v>196.79999999999995</x:v>
      </x:c>
      <x:c r="D1407" t="n">
        <x:f>Dashboard_Live_Data!AA181</x:f>
        <x:v>822.967307698896</x:v>
      </x:c>
      <x:c r="E1407" t="n">
        <x:f>Dashboard_Live_Data!AB181</x:f>
        <x:v>393.5999999999999</x:v>
      </x:c>
      <x:c r="F1407" t="n">
        <x:f>Dashboard_Live_Data!AC181</x:f>
        <x:v>1791.9512689962028</x:v>
      </x:c>
      <x:c r="G1407" t="n">
        <x:f>Dashboard_Live_Data!AD181</x:f>
        <x:v>393.5999999999999</x:v>
      </x:c>
      <x:c r="H1407" t="n">
        <x:f>Dashboard_Live_Data!AE181</x:f>
        <x:v>1741.3872217845812</x:v>
      </x:c>
    </x:row>
    <x:row r="1408">
      <x:c r="A1408" t="n">
        <x:f>Dashboard_Live_Data!X182</x:f>
        <x:v>30</x:v>
      </x:c>
      <x:c r="B1408" t="n">
        <x:f>Dashboard_Live_Data!Y182</x:f>
        <x:v>2675.1047945408004</x:v>
      </x:c>
      <x:c r="C1408" t="n">
        <x:f>Dashboard_Live_Data!Z182</x:f>
        <x:v>200</x:v>
      </x:c>
      <x:c r="D1408" t="n">
        <x:f>Dashboard_Live_Data!AA182</x:f>
        <x:v>842.217239852953</x:v>
      </x:c>
      <x:c r="E1408" t="n">
        <x:f>Dashboard_Live_Data!AB182</x:f>
        <x:v>400</x:v>
      </x:c>
      <x:c r="F1408" t="n">
        <x:f>Dashboard_Live_Data!AC182</x:f>
        <x:v>1842.7794861023433</x:v>
      </x:c>
      <x:c r="G1408" t="n">
        <x:f>Dashboard_Live_Data!AD182</x:f>
        <x:v>400</x:v>
      </x:c>
      <x:c r="H1408" t="n">
        <x:f>Dashboard_Live_Data!AE182</x:f>
        <x:v>1792.7448718226206</x:v>
      </x:c>
    </x:row>
    <x:row r="1409">
      <x:c r="A1409" t="n">
        <x:f>Dashboard_Live_Data!X183</x:f>
        <x:v>30.480000000000004</x:v>
      </x:c>
      <x:c r="B1409" t="n">
        <x:f>Dashboard_Live_Data!Y183</x:f>
        <x:v>2675.266200681919</x:v>
      </x:c>
      <x:c r="C1409" t="n">
        <x:f>Dashboard_Live_Data!Z183</x:f>
        <x:v>203.20000000000005</x:v>
      </x:c>
      <x:c r="D1409" t="n">
        <x:f>Dashboard_Live_Data!AA183</x:f>
        <x:v>861.7927147745436</x:v>
      </x:c>
      <x:c r="E1409" t="n">
        <x:f>Dashboard_Live_Data!AB183</x:f>
        <x:v>406.4000000000001</x:v>
      </x:c>
      <x:c r="F1409" t="n">
        <x:f>Dashboard_Live_Data!AC183</x:f>
        <x:v>1894.9471352963021</x:v>
      </x:c>
      <x:c r="G1409" t="n">
        <x:f>Dashboard_Live_Data!AD183</x:f>
        <x:v>406.4000000000001</x:v>
      </x:c>
      <x:c r="H1409" t="n">
        <x:f>Dashboard_Live_Data!AE183</x:f>
        <x:v>1845.4504931893146</x:v>
      </x:c>
    </x:row>
    <x:row r="1410">
      <x:c r="A1410" t="n">
        <x:f>Dashboard_Live_Data!X184</x:f>
        <x:v>31.019999999999996</x:v>
      </x:c>
      <x:c r="B1410" t="n">
        <x:f>Dashboard_Live_Data!Y184</x:f>
        <x:v>2675.607009709583</x:v>
      </x:c>
      <x:c r="C1410" t="n">
        <x:f>Dashboard_Live_Data!Z184</x:f>
        <x:v>206.79999999999995</x:v>
      </x:c>
      <x:c r="D1410" t="n">
        <x:f>Dashboard_Live_Data!AA184</x:f>
        <x:v>884.3474875000024</x:v>
      </x:c>
      <x:c r="E1410" t="n">
        <x:f>Dashboard_Live_Data!AB184</x:f>
        <x:v>413.5999999999999</x:v>
      </x:c>
      <x:c r="F1410" t="n">
        <x:f>Dashboard_Live_Data!AC184</x:f>
        <x:v>1954.255429976066</x:v>
      </x:c>
      <x:c r="G1410" t="n">
        <x:f>Dashboard_Live_Data!AD184</x:f>
        <x:v>413.5999999999999</x:v>
      </x:c>
      <x:c r="H1410" t="n">
        <x:f>Dashboard_Live_Data!AE184</x:f>
        <x:v>1905.374213624719</x:v>
      </x:c>
    </x:row>
    <x:row r="1411">
      <x:c r="A1411" t="n">
        <x:f>Dashboard_Live_Data!X185</x:f>
        <x:v>31.5</x:v>
      </x:c>
      <x:c r="B1411" t="n">
        <x:f>Dashboard_Live_Data!Y185</x:f>
        <x:v>2675.7438987522546</x:v>
      </x:c>
      <x:c r="C1411" t="n">
        <x:f>Dashboard_Live_Data!Z185</x:f>
        <x:v>210</x:v>
      </x:c>
      <x:c r="D1411" t="n">
        <x:f>Dashboard_Live_Data!AA185</x:f>
        <x:v>904.8934348311742</x:v>
      </x:c>
      <x:c r="E1411" t="n">
        <x:f>Dashboard_Live_Data!AB185</x:f>
        <x:v>420</x:v>
      </x:c>
      <x:c r="F1411" t="n">
        <x:f>Dashboard_Live_Data!AC185</x:f>
        <x:v>2007.7962312536533</x:v>
      </x:c>
      <x:c r="G1411" t="n">
        <x:f>Dashboard_Live_Data!AD185</x:f>
        <x:v>420</x:v>
      </x:c>
      <x:c r="H1411" t="n">
        <x:f>Dashboard_Live_Data!AE185</x:f>
        <x:v>1959.4711329618208</x:v>
      </x:c>
    </x:row>
    <x:row r="1412">
      <x:c r="A1412" t="n">
        <x:f>Dashboard_Live_Data!X186</x:f>
        <x:v>31.97999999999999</x:v>
      </x:c>
      <x:c r="B1412" t="n">
        <x:f>Dashboard_Live_Data!Y186</x:f>
        <x:v>2676.0368656583214</x:v>
      </x:c>
      <x:c r="C1412" t="n">
        <x:f>Dashboard_Live_Data!Z186</x:f>
        <x:v>213.19999999999993</x:v>
      </x:c>
      <x:c r="D1412" t="n">
        <x:f>Dashboard_Live_Data!AA186</x:f>
        <x:v>925.2961133666385</x:v>
      </x:c>
      <x:c r="E1412" t="n">
        <x:f>Dashboard_Live_Data!AB186</x:f>
        <x:v>426.39999999999986</x:v>
      </x:c>
      <x:c r="F1412" t="n">
        <x:f>Dashboard_Live_Data!AC186</x:f>
        <x:v>2062.4558981393748</x:v>
      </x:c>
      <x:c r="G1412" t="n">
        <x:f>Dashboard_Live_Data!AD186</x:f>
        <x:v>426.39999999999986</x:v>
      </x:c>
      <x:c r="H1412" t="n">
        <x:f>Dashboard_Live_Data!AE186</x:f>
        <x:v>2014.695457147894</x:v>
      </x:c>
    </x:row>
    <x:row r="1413">
      <x:c r="A1413" t="n">
        <x:f>Dashboard_Live_Data!X187</x:f>
        <x:v>32.519999999999996</x:v>
      </x:c>
      <x:c r="B1413" t="n">
        <x:f>Dashboard_Live_Data!Y187</x:f>
        <x:v>2676.2888769199035</x:v>
      </x:c>
      <x:c r="C1413" t="n">
        <x:f>Dashboard_Live_Data!Z187</x:f>
        <x:v>216.80000000000007</x:v>
      </x:c>
      <x:c r="D1413" t="n">
        <x:f>Dashboard_Live_Data!AA187</x:f>
        <x:v>948.5491738828646</x:v>
      </x:c>
      <x:c r="E1413" t="n">
        <x:f>Dashboard_Live_Data!AB187</x:f>
        <x:v>433.60000000000014</x:v>
      </x:c>
      <x:c r="F1413" t="n">
        <x:f>Dashboard_Live_Data!AC187</x:f>
        <x:v>2124.427620402392</x:v>
      </x:c>
      <x:c r="G1413" t="n">
        <x:f>Dashboard_Live_Data!AD187</x:f>
        <x:v>433.60000000000014</x:v>
      </x:c>
      <x:c r="H1413" t="n">
        <x:f>Dashboard_Live_Data!AE187</x:f>
        <x:v>2077.3126259351197</x:v>
      </x:c>
    </x:row>
    <x:row r="1414">
      <x:c r="A1414" t="n">
        <x:f>Dashboard_Live_Data!X188</x:f>
        <x:v>33</x:v>
      </x:c>
      <x:c r="B1414" t="n">
        <x:f>Dashboard_Live_Data!Y188</x:f>
        <x:v>2676.60909795797</x:v>
      </x:c>
      <x:c r="C1414" t="n">
        <x:f>Dashboard_Live_Data!Z188</x:f>
        <x:v>220</x:v>
      </x:c>
      <x:c r="D1414" t="n">
        <x:f>Dashboard_Live_Data!AA188</x:f>
        <x:v>969.7240027915016</x:v>
      </x:c>
      <x:c r="E1414" t="n">
        <x:f>Dashboard_Live_Data!AB188</x:f>
        <x:v>440</x:v>
      </x:c>
      <x:c r="F1414" t="n">
        <x:f>Dashboard_Live_Data!AC188</x:f>
        <x:v>2180.714249526638</x:v>
      </x:c>
      <x:c r="G1414" t="n">
        <x:f>Dashboard_Live_Data!AD188</x:f>
        <x:v>440</x:v>
      </x:c>
      <x:c r="H1414" t="n">
        <x:f>Dashboard_Live_Data!AE188</x:f>
        <x:v>2134.182058246496</x:v>
      </x:c>
    </x:row>
    <x:row r="1415">
      <x:c r="A1415" t="n">
        <x:f>Dashboard_Live_Data!X189</x:f>
        <x:v>33.480000000000004</x:v>
      </x:c>
      <x:c r="B1415" t="n">
        <x:f>Dashboard_Live_Data!Y189</x:f>
        <x:v>2676.761436837114</x:v>
      </x:c>
      <x:c r="C1415" t="n">
        <x:f>Dashboard_Live_Data!Z189</x:f>
        <x:v>223.20000000000005</x:v>
      </x:c>
      <x:c r="D1415" t="n">
        <x:f>Dashboard_Live_Data!AA189</x:f>
        <x:v>991.3044296756246</x:v>
      </x:c>
      <x:c r="E1415" t="n">
        <x:f>Dashboard_Live_Data!AB189</x:f>
        <x:v>446.4000000000001</x:v>
      </x:c>
      <x:c r="F1415" t="n">
        <x:f>Dashboard_Live_Data!AC189</x:f>
        <x:v>2237.9762205627926</x:v>
      </x:c>
      <x:c r="G1415" t="n">
        <x:f>Dashboard_Live_Data!AD189</x:f>
        <x:v>446.4000000000001</x:v>
      </x:c>
      <x:c r="H1415" t="n">
        <x:f>Dashboard_Live_Data!AE189</x:f>
        <x:v>2192.0353717106177</x:v>
      </x:c>
    </x:row>
    <x:row r="1416">
      <x:c r="A1416" t="n">
        <x:f>Dashboard_Live_Data!X190</x:f>
        <x:v>34.019999999999996</x:v>
      </x:c>
      <x:c r="B1416" t="n">
        <x:f>Dashboard_Live_Data!Y190</x:f>
        <x:v>2676.9678952459385</x:v>
      </x:c>
      <x:c r="C1416" t="n">
        <x:f>Dashboard_Live_Data!Z190</x:f>
        <x:v>226.79999999999995</x:v>
      </x:c>
      <x:c r="D1416" t="n">
        <x:f>Dashboard_Live_Data!AA190</x:f>
        <x:v>1016.1752855742253</x:v>
      </x:c>
      <x:c r="E1416" t="n">
        <x:f>Dashboard_Live_Data!AB190</x:f>
        <x:v>453.5999999999999</x:v>
      </x:c>
      <x:c r="F1416" t="n">
        <x:f>Dashboard_Live_Data!AC190</x:f>
        <x:v>2302.749358961962</x:v>
      </x:c>
      <x:c r="G1416" t="n">
        <x:f>Dashboard_Live_Data!AD190</x:f>
        <x:v>453.5999999999999</x:v>
      </x:c>
      <x:c r="H1416" t="n">
        <x:f>Dashboard_Live_Data!AE190</x:f>
        <x:v>2257.4839774025636</x:v>
      </x:c>
    </x:row>
    <x:row r="1417">
      <x:c r="A1417" t="n">
        <x:f>Dashboard_Live_Data!X191</x:f>
        <x:v>34.5</x:v>
      </x:c>
      <x:c r="B1417" t="n">
        <x:f>Dashboard_Live_Data!Y191</x:f>
        <x:v>2677.1867210166747</x:v>
      </x:c>
      <x:c r="C1417" t="n">
        <x:f>Dashboard_Live_Data!Z191</x:f>
        <x:v>230</x:v>
      </x:c>
      <x:c r="D1417" t="n">
        <x:f>Dashboard_Live_Data!AA191</x:f>
        <x:v>1038.401723688319</x:v>
      </x:c>
      <x:c r="E1417" t="n">
        <x:f>Dashboard_Live_Data!AB191</x:f>
        <x:v>460</x:v>
      </x:c>
      <x:c r="F1417" t="n">
        <x:f>Dashboard_Live_Data!AC191</x:f>
        <x:v>2361.943478253393</x:v>
      </x:c>
      <x:c r="G1417" t="n">
        <x:f>Dashboard_Live_Data!AD191</x:f>
        <x:v>460</x:v>
      </x:c>
      <x:c r="H1417" t="n">
        <x:f>Dashboard_Live_Data!AE191</x:f>
        <x:v>2317.2875850087407</x:v>
      </x:c>
    </x:row>
    <x:row r="1418">
      <x:c r="A1418" t="n">
        <x:f>Dashboard_Live_Data!X192</x:f>
        <x:v>34.980000000000004</x:v>
      </x:c>
      <x:c r="B1418" t="n">
        <x:f>Dashboard_Live_Data!Y192</x:f>
        <x:v>2677.3815092232917</x:v>
      </x:c>
      <x:c r="C1418" t="n">
        <x:f>Dashboard_Live_Data!Z192</x:f>
        <x:v>233.19999999999993</x:v>
      </x:c>
      <x:c r="D1418" t="n">
        <x:f>Dashboard_Live_Data!AA192</x:f>
        <x:v>1060.8081910527985</x:v>
      </x:c>
      <x:c r="E1418" t="n">
        <x:f>Dashboard_Live_Data!AB192</x:f>
        <x:v>466.39999999999986</x:v>
      </x:c>
      <x:c r="F1418" t="n">
        <x:f>Dashboard_Live_Data!AC192</x:f>
        <x:v>2421.619819894157</x:v>
      </x:c>
      <x:c r="G1418" t="n">
        <x:f>Dashboard_Live_Data!AD192</x:f>
        <x:v>466.39999999999986</x:v>
      </x:c>
      <x:c r="H1418" t="n">
        <x:f>Dashboard_Live_Data!AE192</x:f>
        <x:v>2377.581954205088</x:v>
      </x:c>
    </x:row>
    <x:row r="1419">
      <x:c r="A1419" t="n">
        <x:f>Dashboard_Live_Data!X193</x:f>
        <x:v>35.52000000000001</x:v>
      </x:c>
      <x:c r="B1419" t="n">
        <x:f>Dashboard_Live_Data!Y193</x:f>
        <x:v>2677.619339587693</x:v>
      </x:c>
      <x:c r="C1419" t="n">
        <x:f>Dashboard_Live_Data!Z193</x:f>
        <x:v>236.80000000000007</x:v>
      </x:c>
      <x:c r="D1419" t="n">
        <x:f>Dashboard_Live_Data!AA193</x:f>
        <x:v>1086.4391980001599</x:v>
      </x:c>
      <x:c r="E1419" t="n">
        <x:f>Dashboard_Live_Data!AB193</x:f>
        <x:v>473.60000000000014</x:v>
      </x:c>
      <x:c r="F1419" t="n">
        <x:f>Dashboard_Live_Data!AC193</x:f>
        <x:v>2489.383536065449</x:v>
      </x:c>
      <x:c r="G1419" t="n">
        <x:f>Dashboard_Live_Data!AD193</x:f>
        <x:v>473.60000000000014</x:v>
      </x:c>
      <x:c r="H1419" t="n">
        <x:f>Dashboard_Live_Data!AE193</x:f>
        <x:v>2446.0511584377236</x:v>
      </x:c>
    </x:row>
    <x:row r="1420">
      <x:c r="A1420" t="n">
        <x:f>Dashboard_Live_Data!X194</x:f>
        <x:v>36</x:v>
      </x:c>
      <x:c r="B1420" t="n">
        <x:f>Dashboard_Live_Data!Y194</x:f>
        <x:v>2677.816380981363</x:v>
      </x:c>
      <x:c r="C1420" t="n">
        <x:f>Dashboard_Live_Data!Z194</x:f>
        <x:v>240</x:v>
      </x:c>
      <x:c r="D1420" t="n">
        <x:f>Dashboard_Live_Data!AA194</x:f>
        <x:v>1109.513437541667</x:v>
      </x:c>
      <x:c r="E1420" t="n">
        <x:f>Dashboard_Live_Data!AB194</x:f>
        <x:v>480</x:v>
      </x:c>
      <x:c r="F1420" t="n">
        <x:f>Dashboard_Live_Data!AC194</x:f>
        <x:v>2551.1472763301194</x:v>
      </x:c>
      <x:c r="G1420" t="n">
        <x:f>Dashboard_Live_Data!AD194</x:f>
        <x:v>480</x:v>
      </x:c>
      <x:c r="H1420" t="n">
        <x:f>Dashboard_Live_Data!AE194</x:f>
        <x:v>2508.451072144756</x:v>
      </x:c>
    </x:row>
    <x:row r="1421">
      <x:c r="A1421" t="n">
        <x:f>Dashboard_Live_Data!X195</x:f>
        <x:v>36.480000000000004</x:v>
      </x:c>
      <x:c r="B1421" t="n">
        <x:f>Dashboard_Live_Data!Y195</x:f>
        <x:v>2678.077818920377</x:v>
      </x:c>
      <x:c r="C1421" t="n">
        <x:f>Dashboard_Live_Data!Z195</x:f>
        <x:v>243.20000000000005</x:v>
      </x:c>
      <x:c r="D1421" t="n">
        <x:f>Dashboard_Live_Data!AA195</x:f>
        <x:v>1133.2303407408722</x:v>
      </x:c>
      <x:c r="E1421" t="n">
        <x:f>Dashboard_Live_Data!AB195</x:f>
        <x:v>486.4000000000001</x:v>
      </x:c>
      <x:c r="F1421" t="n">
        <x:f>Dashboard_Live_Data!AC195</x:f>
        <x:v>2612.9574942317936</x:v>
      </x:c>
      <x:c r="G1421" t="n">
        <x:f>Dashboard_Live_Data!AD195</x:f>
        <x:v>486.4000000000001</x:v>
      </x:c>
      <x:c r="H1421" t="n">
        <x:f>Dashboard_Live_Data!AE195</x:f>
        <x:v>2570.906002729629</x:v>
      </x:c>
    </x:row>
    <x:row r="1422">
      <x:c r="A1422" t="n">
        <x:f>Dashboard_Live_Data!X196</x:f>
        <x:v>37.019999999999996</x:v>
      </x:c>
      <x:c r="B1422" t="n">
        <x:f>Dashboard_Live_Data!Y196</x:f>
        <x:v>2678.257267408554</x:v>
      </x:c>
      <x:c r="C1422" t="n">
        <x:f>Dashboard_Live_Data!Z196</x:f>
        <x:v>246.79999999999995</x:v>
      </x:c>
      <x:c r="D1422" t="n">
        <x:f>Dashboard_Live_Data!AA196</x:f>
        <x:v>1160.442414389766</x:v>
      </x:c>
      <x:c r="E1422" t="n">
        <x:f>Dashboard_Live_Data!AB196</x:f>
        <x:v>493.5999999999999</x:v>
      </x:c>
      <x:c r="F1422" t="n">
        <x:f>Dashboard_Live_Data!AC196</x:f>
        <x:v>2683.9185129860057</x:v>
      </x:c>
      <x:c r="G1422" t="n">
        <x:f>Dashboard_Live_Data!AD196</x:f>
        <x:v>493.5999999999999</x:v>
      </x:c>
      <x:c r="H1422" t="n">
        <x:f>Dashboard_Live_Data!AE196</x:f>
        <x:v>2642.6025303137535</x:v>
      </x:c>
    </x:row>
    <x:row r="1423">
      <x:c r="A1423" t="n">
        <x:f>Dashboard_Live_Data!X197</x:f>
        <x:v>37.5</x:v>
      </x:c>
      <x:c r="B1423" t="n">
        <x:f>Dashboard_Live_Data!Y197</x:f>
        <x:v>2678.562506834351</x:v>
      </x:c>
      <x:c r="C1423" t="n">
        <x:f>Dashboard_Live_Data!Z197</x:f>
        <x:v>250</x:v>
      </x:c>
      <x:c r="D1423" t="n">
        <x:f>Dashboard_Live_Data!AA197</x:f>
        <x:v>1184.7688552263792</x:v>
      </x:c>
      <x:c r="E1423" t="n">
        <x:f>Dashboard_Live_Data!AB197</x:f>
        <x:v>500</x:v>
      </x:c>
      <x:c r="F1423" t="n">
        <x:f>Dashboard_Live_Data!AC197</x:f>
        <x:v>2748.1539582175906</x:v>
      </x:c>
      <x:c r="G1423" t="n">
        <x:f>Dashboard_Live_Data!AD197</x:f>
        <x:v>500</x:v>
      </x:c>
      <x:c r="H1423" t="n">
        <x:f>Dashboard_Live_Data!AE197</x:f>
        <x:v>2707.5008341153157</x:v>
      </x:c>
    </x:row>
    <x:row r="1424">
      <x:c r="A1424" t="n">
        <x:f>Dashboard_Live_Data!X198</x:f>
        <x:v>37.980000000000004</x:v>
      </x:c>
      <x:c r="B1424" t="n">
        <x:f>Dashboard_Live_Data!Y198</x:f>
        <x:v>2678.7296092144975</x:v>
      </x:c>
      <x:c r="C1424" t="n">
        <x:f>Dashboard_Live_Data!Z198</x:f>
        <x:v>253.20000000000005</x:v>
      </x:c>
      <x:c r="D1424" t="n">
        <x:f>Dashboard_Live_Data!AA198</x:f>
        <x:v>1208.9011254281424</x:v>
      </x:c>
      <x:c r="E1424" t="n">
        <x:f>Dashboard_Live_Data!AB198</x:f>
        <x:v>506.4000000000001</x:v>
      </x:c>
      <x:c r="F1424" t="n">
        <x:f>Dashboard_Live_Data!AC198</x:f>
        <x:v>2812.643021194951</x:v>
      </x:c>
      <x:c r="G1424" t="n">
        <x:f>Dashboard_Live_Data!AD198</x:f>
        <x:v>506.4000000000001</x:v>
      </x:c>
      <x:c r="H1424" t="n">
        <x:f>Dashboard_Live_Data!AE198</x:f>
        <x:v>2772.661294903491</x:v>
      </x:c>
    </x:row>
    <x:row r="1425">
      <x:c r="A1425" t="n">
        <x:f>Dashboard_Live_Data!X199</x:f>
        <x:v>38.519999999999996</x:v>
      </x:c>
      <x:c r="B1425" t="n">
        <x:f>Dashboard_Live_Data!Y199</x:f>
        <x:v>2678.9468219985</x:v>
      </x:c>
      <x:c r="C1425" t="n">
        <x:f>Dashboard_Live_Data!Z199</x:f>
        <x:v>256.79999999999995</x:v>
      </x:c>
      <x:c r="D1425" t="n">
        <x:f>Dashboard_Live_Data!AA199</x:f>
        <x:v>1236.442375381141</x:v>
      </x:c>
      <x:c r="E1425" t="n">
        <x:f>Dashboard_Live_Data!AB199</x:f>
        <x:v>513.5999999999999</x:v>
      </x:c>
      <x:c r="F1425" t="n">
        <x:f>Dashboard_Live_Data!AC199</x:f>
        <x:v>2886.745461194615</x:v>
      </x:c>
      <x:c r="G1425" t="n">
        <x:f>Dashboard_Live_Data!AD199</x:f>
        <x:v>513.5999999999999</x:v>
      </x:c>
      <x:c r="H1425" t="n">
        <x:f>Dashboard_Live_Data!AE199</x:f>
        <x:v>2847.5292645016348</x:v>
      </x:c>
    </x:row>
    <x:row r="1426">
      <x:c r="A1426" t="n">
        <x:f>Dashboard_Live_Data!X200</x:f>
        <x:v>39</x:v>
      </x:c>
      <x:c r="B1426" t="n">
        <x:f>Dashboard_Live_Data!Y200</x:f>
        <x:v>2679.2351279428963</x:v>
      </x:c>
      <x:c r="C1426" t="n">
        <x:f>Dashboard_Live_Data!Z200</x:f>
        <x:v>260</x:v>
      </x:c>
      <x:c r="D1426" t="n">
        <x:f>Dashboard_Live_Data!AA200</x:f>
        <x:v>1261.9553443495988</x:v>
      </x:c>
      <x:c r="E1426" t="n">
        <x:f>Dashboard_Live_Data!AB200</x:f>
        <x:v>520</x:v>
      </x:c>
      <x:c r="F1426" t="n">
        <x:f>Dashboard_Live_Data!AC200</x:f>
        <x:v>2953.4833326943153</x:v>
      </x:c>
      <x:c r="G1426" t="n">
        <x:f>Dashboard_Live_Data!AD200</x:f>
        <x:v>520</x:v>
      </x:c>
      <x:c r="H1426" t="n">
        <x:f>Dashboard_Live_Data!AE200</x:f>
        <x:v>2914.956679698929</x:v>
      </x:c>
    </x:row>
    <x:row r="1427">
      <x:c r="A1427" t="n">
        <x:f>Dashboard_Live_Data!X201</x:f>
        <x:v>39.47999999999999</x:v>
      </x:c>
      <x:c r="B1427" t="n">
        <x:f>Dashboard_Live_Data!Y201</x:f>
        <x:v>2679.5429217645637</x:v>
      </x:c>
      <x:c r="C1427" t="n">
        <x:f>Dashboard_Live_Data!Z201</x:f>
        <x:v>263.19999999999993</x:v>
      </x:c>
      <x:c r="D1427" t="n">
        <x:f>Dashboard_Live_Data!AA201</x:f>
        <x:v>1287.9071431225977</x:v>
      </x:c>
      <x:c r="E1427" t="n">
        <x:f>Dashboard_Live_Data!AB201</x:f>
        <x:v>526.3999999999999</x:v>
      </x:c>
      <x:c r="F1427" t="n">
        <x:f>Dashboard_Live_Data!AC201</x:f>
        <x:v>3020.547672175684</x:v>
      </x:c>
      <x:c r="G1427" t="n">
        <x:f>Dashboard_Live_Data!AD201</x:f>
        <x:v>526.3999999999999</x:v>
      </x:c>
      <x:c r="H1427" t="n">
        <x:f>Dashboard_Live_Data!AE201</x:f>
        <x:v>2982.719102118728</x:v>
      </x:c>
    </x:row>
    <x:row r="1428">
      <x:c r="A1428" t="n">
        <x:f>Dashboard_Live_Data!X202</x:f>
        <x:v>40.019999999999996</x:v>
      </x:c>
      <x:c r="B1428" t="n">
        <x:f>Dashboard_Live_Data!Y202</x:f>
        <x:v>2679.910579902679</x:v>
      </x:c>
      <x:c r="C1428" t="n">
        <x:f>Dashboard_Live_Data!Z202</x:f>
        <x:v>266.80000000000007</x:v>
      </x:c>
      <x:c r="D1428" t="n">
        <x:f>Dashboard_Live_Data!AA202</x:f>
        <x:v>1316.7488441310127</x:v>
      </x:c>
      <x:c r="E1428" t="n">
        <x:f>Dashboard_Live_Data!AB202</x:f>
        <x:v>533.6000000000001</x:v>
      </x:c>
      <x:c r="F1428" t="n">
        <x:f>Dashboard_Live_Data!AC202</x:f>
        <x:v>3097.7527678159954</x:v>
      </x:c>
      <x:c r="G1428" t="n">
        <x:f>Dashboard_Live_Data!AD202</x:f>
        <x:v>533.6000000000001</x:v>
      </x:c>
      <x:c r="H1428" t="n">
        <x:f>Dashboard_Live_Data!AE202</x:f>
        <x:v>3060.7197481260864</x:v>
      </x:c>
    </x:row>
    <x:row r="1429">
      <x:c r="A1429" t="n">
        <x:f>Dashboard_Live_Data!X203</x:f>
        <x:v>40.5</x:v>
      </x:c>
      <x:c r="B1429" t="n">
        <x:f>Dashboard_Live_Data!Y203</x:f>
        <x:v>2680.26988053738</x:v>
      </x:c>
      <x:c r="C1429" t="n">
        <x:f>Dashboard_Live_Data!Z203</x:f>
        <x:v>270</x:v>
      </x:c>
      <x:c r="D1429" t="n">
        <x:f>Dashboard_Live_Data!AA203</x:f>
        <x:v>1342.781784912361</x:v>
      </x:c>
      <x:c r="E1429" t="n">
        <x:f>Dashboard_Live_Data!AB203</x:f>
        <x:v>540</x:v>
      </x:c>
      <x:c r="F1429" t="n">
        <x:f>Dashboard_Live_Data!AC203</x:f>
        <x:v>3166.73583463882</x:v>
      </x:c>
      <x:c r="G1429" t="n">
        <x:f>Dashboard_Live_Data!AD203</x:f>
        <x:v>540</x:v>
      </x:c>
      <x:c r="H1429" t="n">
        <x:f>Dashboard_Live_Data!AE203</x:f>
        <x:v>3130.4190437741213</x:v>
      </x:c>
    </x:row>
    <x:row r="1430">
      <x:c r="A1430" t="n">
        <x:f>Dashboard_Live_Data!X204</x:f>
        <x:v>40.980000000000004</x:v>
      </x:c>
      <x:c r="B1430" t="n">
        <x:f>Dashboard_Live_Data!Y204</x:f>
        <x:v>2680.6154974151013</x:v>
      </x:c>
      <x:c r="C1430" t="n">
        <x:f>Dashboard_Live_Data!Z204</x:f>
        <x:v>273.20000000000005</x:v>
      </x:c>
      <x:c r="D1430" t="n">
        <x:f>Dashboard_Live_Data!AA204</x:f>
        <x:v>1369.0331480409086</x:v>
      </x:c>
      <x:c r="E1430" t="n">
        <x:f>Dashboard_Live_Data!AB204</x:f>
        <x:v>546.4000000000001</x:v>
      </x:c>
      <x:c r="F1430" t="n">
        <x:f>Dashboard_Live_Data!AC204</x:f>
        <x:v>3236.505927024445</x:v>
      </x:c>
      <x:c r="G1430" t="n">
        <x:f>Dashboard_Live_Data!AD204</x:f>
        <x:v>546.4000000000001</x:v>
      </x:c>
      <x:c r="H1430" t="n">
        <x:f>Dashboard_Live_Data!AE204</x:f>
        <x:v>3200.913904225793</x:v>
      </x:c>
    </x:row>
    <x:row r="1431">
      <x:c r="A1431" t="n">
        <x:f>Dashboard_Live_Data!X205</x:f>
        <x:v>41.519999999999996</x:v>
      </x:c>
      <x:c r="B1431" t="n">
        <x:f>Dashboard_Live_Data!Y205</x:f>
        <x:v>2681.0146298396603</x:v>
      </x:c>
      <x:c r="C1431" t="n">
        <x:f>Dashboard_Live_Data!Z205</x:f>
        <x:v>276.79999999999995</x:v>
      </x:c>
      <x:c r="D1431" t="n">
        <x:f>Dashboard_Live_Data!AA205</x:f>
        <x:v>1399.215260026979</x:v>
      </x:c>
      <x:c r="E1431" t="n">
        <x:f>Dashboard_Live_Data!AB205</x:f>
        <x:v>553.5999999999999</x:v>
      </x:c>
      <x:c r="F1431" t="n">
        <x:f>Dashboard_Live_Data!AC205</x:f>
        <x:v>3316.518811792082</x:v>
      </x:c>
      <x:c r="G1431" t="n">
        <x:f>Dashboard_Live_Data!AD205</x:f>
        <x:v>553.5999999999999</x:v>
      </x:c>
      <x:c r="H1431" t="n">
        <x:f>Dashboard_Live_Data!AE205</x:f>
        <x:v>3281.7523601290454</x:v>
      </x:c>
    </x:row>
    <x:row r="1432">
      <x:c r="A1432" t="n">
        <x:f>Dashboard_Live_Data!X206</x:f>
        <x:v>42</x:v>
      </x:c>
      <x:c r="B1432" t="n">
        <x:f>Dashboard_Live_Data!Y206</x:f>
        <x:v>2681.3581731791746</x:v>
      </x:c>
      <x:c r="C1432" t="n">
        <x:f>Dashboard_Live_Data!Z206</x:f>
        <x:v>280</x:v>
      </x:c>
      <x:c r="D1432" t="n">
        <x:f>Dashboard_Live_Data!AA206</x:f>
        <x:v>1426.519680102296</x:v>
      </x:c>
      <x:c r="E1432" t="n">
        <x:f>Dashboard_Live_Data!AB206</x:f>
        <x:v>560</x:v>
      </x:c>
      <x:c r="F1432" t="n">
        <x:f>Dashboard_Live_Data!AC206</x:f>
        <x:v>3387.654474031865</x:v>
      </x:c>
      <x:c r="G1432" t="n">
        <x:f>Dashboard_Live_Data!AD206</x:f>
        <x:v>560</x:v>
      </x:c>
      <x:c r="H1432" t="n">
        <x:f>Dashboard_Live_Data!AE206</x:f>
        <x:v>3353.6309363216533</x:v>
      </x:c>
    </x:row>
    <x:row r="1433">
      <x:c r="A1433" t="n">
        <x:f>Dashboard_Live_Data!X207</x:f>
        <x:v>42.480000000000004</x:v>
      </x:c>
      <x:c r="B1433" t="n">
        <x:f>Dashboard_Live_Data!Y207</x:f>
        <x:v>2681.7323374639054</x:v>
      </x:c>
      <x:c r="C1433" t="n">
        <x:f>Dashboard_Live_Data!Z207</x:f>
        <x:v>283.19999999999993</x:v>
      </x:c>
      <x:c r="D1433" t="n">
        <x:f>Dashboard_Live_Data!AA207</x:f>
        <x:v>1454.3031298706867</x:v>
      </x:c>
      <x:c r="E1433" t="n">
        <x:f>Dashboard_Live_Data!AB207</x:f>
        <x:v>566.3999999999999</x:v>
      </x:c>
      <x:c r="F1433" t="n">
        <x:f>Dashboard_Live_Data!AC207</x:f>
        <x:v>3460.2015967853595</x:v>
      </x:c>
      <x:c r="G1433" t="n">
        <x:f>Dashboard_Live_Data!AD207</x:f>
        <x:v>566.3999999999999</x:v>
      </x:c>
      <x:c r="H1433" t="n">
        <x:f>Dashboard_Live_Data!AE207</x:f>
        <x:v>3426.929512268811</x:v>
      </x:c>
    </x:row>
    <x:row r="1434">
      <x:c r="A1434" t="n">
        <x:f>Dashboard_Live_Data!X208</x:f>
        <x:v>43.02000000000001</x:v>
      </x:c>
      <x:c r="B1434" t="n">
        <x:f>Dashboard_Live_Data!Y208</x:f>
        <x:v>2682.021911892592</x:v>
      </x:c>
      <x:c r="C1434" t="n">
        <x:f>Dashboard_Live_Data!Z208</x:f>
        <x:v>286.80000000000007</x:v>
      </x:c>
      <x:c r="D1434" t="n">
        <x:f>Dashboard_Live_Data!AA208</x:f>
        <x:v>1485.1953185400328</x:v>
      </x:c>
      <x:c r="E1434" t="n">
        <x:f>Dashboard_Live_Data!AB208</x:f>
        <x:v>573.6000000000001</x:v>
      </x:c>
      <x:c r="F1434" t="n">
        <x:f>Dashboard_Live_Data!AC208</x:f>
        <x:v>3542.824705902011</x:v>
      </x:c>
      <x:c r="G1434" t="n">
        <x:f>Dashboard_Live_Data!AD208</x:f>
        <x:v>573.6000000000001</x:v>
      </x:c>
      <x:c r="H1434" t="n">
        <x:f>Dashboard_Live_Data!AE208</x:f>
        <x:v>3510.4082132896456</x:v>
      </x:c>
    </x:row>
    <x:row r="1435">
      <x:c r="A1435" t="n">
        <x:f>Dashboard_Live_Data!X209</x:f>
        <x:v>43.5</x:v>
      </x:c>
      <x:c r="B1435" t="n">
        <x:f>Dashboard_Live_Data!Y209</x:f>
        <x:v>2682.402217414478</x:v>
      </x:c>
      <x:c r="C1435" t="n">
        <x:f>Dashboard_Live_Data!Z209</x:f>
        <x:v>290</x:v>
      </x:c>
      <x:c r="D1435" t="n">
        <x:f>Dashboard_Live_Data!AA209</x:f>
        <x:v>1512.9108568074805</x:v>
      </x:c>
      <x:c r="E1435" t="n">
        <x:f>Dashboard_Live_Data!AB209</x:f>
        <x:v>580</x:v>
      </x:c>
      <x:c r="F1435" t="n">
        <x:f>Dashboard_Live_Data!AC209</x:f>
        <x:v>3616.803052164902</x:v>
      </x:c>
      <x:c r="G1435" t="n">
        <x:f>Dashboard_Live_Data!AD209</x:f>
        <x:v>580</x:v>
      </x:c>
      <x:c r="H1435" t="n">
        <x:f>Dashboard_Live_Data!AE209</x:f>
        <x:v>3585.1561586329767</x:v>
      </x:c>
    </x:row>
    <x:row r="1436">
      <x:c r="A1436" t="n">
        <x:f>Dashboard_Live_Data!X210</x:f>
        <x:v>43.980000000000004</x:v>
      </x:c>
      <x:c r="B1436" t="n">
        <x:f>Dashboard_Live_Data!Y210</x:f>
        <x:v>2682.7748799157594</x:v>
      </x:c>
      <x:c r="C1436" t="n">
        <x:f>Dashboard_Live_Data!Z210</x:f>
        <x:v>293.20000000000005</x:v>
      </x:c>
      <x:c r="D1436" t="n">
        <x:f>Dashboard_Live_Data!AA210</x:f>
        <x:v>1541.4540654481948</x:v>
      </x:c>
      <x:c r="E1436" t="n">
        <x:f>Dashboard_Live_Data!AB210</x:f>
        <x:v>586.4000000000001</x:v>
      </x:c>
      <x:c r="F1436" t="n">
        <x:f>Dashboard_Live_Data!AC210</x:f>
        <x:v>3692.183049402466</x:v>
      </x:c>
      <x:c r="G1436" t="n">
        <x:f>Dashboard_Live_Data!AD210</x:f>
        <x:v>586.4000000000001</x:v>
      </x:c>
      <x:c r="H1436" t="n">
        <x:f>Dashboard_Live_Data!AE210</x:f>
        <x:v>3661.3142941918195</x:v>
      </x:c>
    </x:row>
    <x:row r="1437">
      <x:c r="A1437" t="n">
        <x:f>Dashboard_Live_Data!X211</x:f>
        <x:v>44.519999999999996</x:v>
      </x:c>
      <x:c r="B1437" t="n">
        <x:f>Dashboard_Live_Data!Y211</x:f>
        <x:v>2683.2285243627853</x:v>
      </x:c>
      <x:c r="C1437" t="n">
        <x:f>Dashboard_Live_Data!Z211</x:f>
        <x:v>296.79999999999995</x:v>
      </x:c>
      <x:c r="D1437" t="n">
        <x:f>Dashboard_Live_Data!AA211</x:f>
        <x:v>1574.197633849197</x:v>
      </x:c>
      <x:c r="E1437" t="n">
        <x:f>Dashboard_Live_Data!AB211</x:f>
        <x:v>593.5999999999999</x:v>
      </x:c>
      <x:c r="F1437" t="n">
        <x:f>Dashboard_Live_Data!AC211</x:f>
        <x:v>3777.6203108286313</x:v>
      </x:c>
      <x:c r="G1437" t="n">
        <x:f>Dashboard_Live_Data!AD211</x:f>
        <x:v>593.5999999999999</x:v>
      </x:c>
      <x:c r="H1437" t="n">
        <x:f>Dashboard_Live_Data!AE211</x:f>
        <x:v>3747.6371682907366</x:v>
      </x:c>
    </x:row>
    <x:row r="1438">
      <x:c r="A1438" t="n">
        <x:f>Dashboard_Live_Data!X212</x:f>
        <x:v>45</x:v>
      </x:c>
      <x:c r="B1438" t="n">
        <x:f>Dashboard_Live_Data!Y212</x:f>
        <x:v>2683.554809160464</x:v>
      </x:c>
      <x:c r="C1438" t="n">
        <x:f>Dashboard_Live_Data!Z212</x:f>
        <x:v>300</x:v>
      </x:c>
      <x:c r="D1438" t="n">
        <x:f>Dashboard_Live_Data!AA212</x:f>
        <x:v>1603.1443212159713</x:v>
      </x:c>
      <x:c r="E1438" t="n">
        <x:f>Dashboard_Live_Data!AB212</x:f>
        <x:v>600</x:v>
      </x:c>
      <x:c r="F1438" t="n">
        <x:f>Dashboard_Live_Data!AC212</x:f>
        <x:v>3854.309398143715</x:v>
      </x:c>
      <x:c r="G1438" t="n">
        <x:f>Dashboard_Live_Data!AD212</x:f>
        <x:v>600</x:v>
      </x:c>
      <x:c r="H1438" t="n">
        <x:f>Dashboard_Live_Data!AE212</x:f>
        <x:v>3825.1225398138768</x:v>
      </x:c>
    </x:row>
    <x:row r="1439">
      <x:c r="A1439" t="n">
        <x:f>Dashboard_Live_Data!X213</x:f>
        <x:v>45.480000000000004</x:v>
      </x:c>
      <x:c r="B1439" t="n">
        <x:f>Dashboard_Live_Data!Y213</x:f>
        <x:v>2683.8975540425167</x:v>
      </x:c>
      <x:c r="C1439" t="n">
        <x:f>Dashboard_Live_Data!Z213</x:f>
        <x:v>303.20000000000005</x:v>
      </x:c>
      <x:c r="D1439" t="n">
        <x:f>Dashboard_Live_Data!AA213</x:f>
        <x:v>1632.5427234407928</x:v>
      </x:c>
      <x:c r="E1439" t="n">
        <x:f>Dashboard_Live_Data!AB213</x:f>
        <x:v>606.4000000000001</x:v>
      </x:c>
      <x:c r="F1439" t="n">
        <x:f>Dashboard_Live_Data!AC213</x:f>
        <x:v>3932.4165893514773</x:v>
      </x:c>
      <x:c r="G1439" t="n">
        <x:f>Dashboard_Live_Data!AD213</x:f>
        <x:v>606.4000000000001</x:v>
      </x:c>
      <x:c r="H1439" t="n">
        <x:f>Dashboard_Live_Data!AE213</x:f>
        <x:v>3904.0345544705324</x:v>
      </x:c>
    </x:row>
    <x:row r="1440">
      <x:c r="A1440" t="n">
        <x:f>Dashboard_Live_Data!X214</x:f>
        <x:v>46.019999999999996</x:v>
      </x:c>
      <x:c r="B1440" t="n">
        <x:f>Dashboard_Live_Data!Y214</x:f>
        <x:v>2684.276394237561</x:v>
      </x:c>
      <x:c r="C1440" t="n">
        <x:f>Dashboard_Live_Data!Z214</x:f>
        <x:v>306.79999999999995</x:v>
      </x:c>
      <x:c r="D1440" t="n">
        <x:f>Dashboard_Live_Data!AA214</x:f>
        <x:v>1665.8157365634884</x:v>
      </x:c>
      <x:c r="E1440" t="n">
        <x:f>Dashboard_Live_Data!AB214</x:f>
        <x:v>613.5999999999999</x:v>
      </x:c>
      <x:c r="F1440" t="n">
        <x:f>Dashboard_Live_Data!AC214</x:f>
        <x:v>4020.5820211383852</x:v>
      </x:c>
      <x:c r="G1440" t="n">
        <x:f>Dashboard_Live_Data!AD214</x:f>
        <x:v>613.5999999999999</x:v>
      </x:c>
      <x:c r="H1440" t="n">
        <x:f>Dashboard_Live_Data!AE214</x:f>
        <x:v>3993.1156196987613</x:v>
      </x:c>
    </x:row>
    <x:row r="1441">
      <x:c r="A1441" t="n">
        <x:f>Dashboard_Live_Data!X215</x:f>
        <x:v>46.5</x:v>
      </x:c>
      <x:c r="B1441" t="n">
        <x:f>Dashboard_Live_Data!Y215</x:f>
        <x:v>2684.622731679297</x:v>
      </x:c>
      <x:c r="C1441" t="n">
        <x:f>Dashboard_Live_Data!Z215</x:f>
        <x:v>310</x:v>
      </x:c>
      <x:c r="D1441" t="n">
        <x:f>Dashboard_Live_Data!AA215</x:f>
        <x:v>1695.927154650577</x:v>
      </x:c>
      <x:c r="E1441" t="n">
        <x:f>Dashboard_Live_Data!AB215</x:f>
        <x:v>620</x:v>
      </x:c>
      <x:c r="F1441" t="n">
        <x:f>Dashboard_Live_Data!AC215</x:f>
        <x:v>4100.086231470472</x:v>
      </x:c>
      <x:c r="G1441" t="n">
        <x:f>Dashboard_Live_Data!AD215</x:f>
        <x:v>620</x:v>
      </x:c>
      <x:c r="H1441" t="n">
        <x:f>Dashboard_Live_Data!AE215</x:f>
        <x:v>4073.442799366519</x:v>
      </x:c>
    </x:row>
    <x:row r="1442">
      <x:c r="A1442" t="n">
        <x:f>Dashboard_Live_Data!X216</x:f>
        <x:v>46.97999999999999</x:v>
      </x:c>
      <x:c r="B1442" t="n">
        <x:f>Dashboard_Live_Data!Y216</x:f>
        <x:v>2684.9589026777235</x:v>
      </x:c>
      <x:c r="C1442" t="n">
        <x:f>Dashboard_Live_Data!Z216</x:f>
        <x:v>313.19999999999993</x:v>
      </x:c>
      <x:c r="D1442" t="n">
        <x:f>Dashboard_Live_Data!AA216</x:f>
        <x:v>1726.1480175819895</x:v>
      </x:c>
      <x:c r="E1442" t="n">
        <x:f>Dashboard_Live_Data!AB216</x:f>
        <x:v>626.3999999999999</x:v>
      </x:c>
      <x:c r="F1442" t="n">
        <x:f>Dashboard_Live_Data!AC216</x:f>
        <x:v>4180.5724957116945</x:v>
      </x:c>
      <x:c r="G1442" t="n">
        <x:f>Dashboard_Live_Data!AD216</x:f>
        <x:v>626.3999999999999</x:v>
      </x:c>
      <x:c r="H1442" t="n">
        <x:f>Dashboard_Live_Data!AE216</x:f>
        <x:v>4154.760572184252</x:v>
      </x:c>
    </x:row>
    <x:row r="1443">
      <x:c r="A1443" t="n">
        <x:f>Dashboard_Live_Data!X217</x:f>
        <x:v>47.519999999999996</x:v>
      </x:c>
      <x:c r="B1443" t="n">
        <x:f>Dashboard_Live_Data!Y217</x:f>
        <x:v>2685.301857395654</x:v>
      </x:c>
      <x:c r="C1443" t="n">
        <x:f>Dashboard_Live_Data!Z217</x:f>
        <x:v>316.80000000000007</x:v>
      </x:c>
      <x:c r="D1443" t="n">
        <x:f>Dashboard_Live_Data!AA217</x:f>
        <x:v>1760.895237815327</x:v>
      </x:c>
      <x:c r="E1443" t="n">
        <x:f>Dashboard_Live_Data!AB217</x:f>
        <x:v>633.6000000000001</x:v>
      </x:c>
      <x:c r="F1443" t="n">
        <x:f>Dashboard_Live_Data!AC217</x:f>
        <x:v>4271.258134863096</x:v>
      </x:c>
      <x:c r="G1443" t="n">
        <x:f>Dashboard_Live_Data!AD217</x:f>
        <x:v>633.6000000000001</x:v>
      </x:c>
      <x:c r="H1443" t="n">
        <x:f>Dashboard_Live_Data!AE217</x:f>
        <x:v>4246.391865545539</x:v>
      </x:c>
    </x:row>
    <x:row r="1444">
      <x:c r="A1444" t="n">
        <x:f>Dashboard_Live_Data!X218</x:f>
        <x:v>48</x:v>
      </x:c>
      <x:c r="B1444" t="n">
        <x:f>Dashboard_Live_Data!Y218</x:f>
        <x:v>2685.651797916337</x:v>
      </x:c>
      <x:c r="C1444" t="n">
        <x:f>Dashboard_Live_Data!Z218</x:f>
        <x:v>320</x:v>
      </x:c>
      <x:c r="D1444" t="n">
        <x:f>Dashboard_Live_Data!AA218</x:f>
        <x:v>1792.1092244281058</x:v>
      </x:c>
      <x:c r="E1444" t="n">
        <x:f>Dashboard_Live_Data!AB218</x:f>
        <x:v>640</x:v>
      </x:c>
      <x:c r="F1444" t="n">
        <x:f>Dashboard_Live_Data!AC218</x:f>
        <x:v>4353.623915424463</x:v>
      </x:c>
      <x:c r="G1444" t="n">
        <x:f>Dashboard_Live_Data!AD218</x:f>
        <x:v>640</x:v>
      </x:c>
      <x:c r="H1444" t="n">
        <x:f>Dashboard_Live_Data!AE218</x:f>
        <x:v>4329.607300570196</x:v>
      </x:c>
    </x:row>
    <x:row r="1445">
      <x:c r="A1445" t="n">
        <x:f>Dashboard_Live_Data!X219</x:f>
        <x:v>48.480000000000004</x:v>
      </x:c>
      <x:c r="B1445" t="n">
        <x:f>Dashboard_Live_Data!Y219</x:f>
        <x:v>2686.01283805853</x:v>
      </x:c>
      <x:c r="C1445" t="n">
        <x:f>Dashboard_Live_Data!Z219</x:f>
        <x:v>323.20000000000005</x:v>
      </x:c>
      <x:c r="D1445" t="n">
        <x:f>Dashboard_Live_Data!AA219</x:f>
        <x:v>1823.4048538981938</x:v>
      </x:c>
      <x:c r="E1445" t="n">
        <x:f>Dashboard_Live_Data!AB219</x:f>
        <x:v>646.4000000000001</x:v>
      </x:c>
      <x:c r="F1445" t="n">
        <x:f>Dashboard_Live_Data!AC219</x:f>
        <x:v>4436.5284317048545</x:v>
      </x:c>
      <x:c r="G1445" t="n">
        <x:f>Dashboard_Live_Data!AD219</x:f>
        <x:v>646.4000000000001</x:v>
      </x:c>
      <x:c r="H1445" t="n">
        <x:f>Dashboard_Live_Data!AE219</x:f>
        <x:v>4413.370010554714</x:v>
      </x:c>
    </x:row>
    <x:row r="1446">
      <x:c r="A1446" t="n">
        <x:f>Dashboard_Live_Data!X220</x:f>
        <x:v>49.019999999999996</x:v>
      </x:c>
      <x:c r="B1446" t="n">
        <x:f>Dashboard_Live_Data!Y220</x:f>
        <x:v>2686.262030614748</x:v>
      </x:c>
      <x:c r="C1446" t="n">
        <x:f>Dashboard_Live_Data!Z220</x:f>
        <x:v>326.79999999999995</x:v>
      </x:c>
      <x:c r="D1446" t="n">
        <x:f>Dashboard_Live_Data!AA220</x:f>
        <x:v>1858.7218553095</x:v>
      </x:c>
      <x:c r="E1446" t="n">
        <x:f>Dashboard_Live_Data!AB220</x:f>
        <x:v>653.5999999999999</x:v>
      </x:c>
      <x:c r="F1446" t="n">
        <x:f>Dashboard_Live_Data!AC220</x:f>
        <x:v>4530.328279283201</x:v>
      </x:c>
      <x:c r="G1446" t="n">
        <x:f>Dashboard_Live_Data!AD220</x:f>
        <x:v>653.5999999999999</x:v>
      </x:c>
      <x:c r="H1446" t="n">
        <x:f>Dashboard_Live_Data!AE220</x:f>
        <x:v>4508.145533111515</x:v>
      </x:c>
    </x:row>
    <x:row r="1447">
      <x:c r="A1447" t="n">
        <x:f>Dashboard_Live_Data!X221</x:f>
        <x:v>49.5</x:v>
      </x:c>
      <x:c r="B1447" t="n">
        <x:f>Dashboard_Live_Data!Y221</x:f>
        <x:v>2686.6904699144197</x:v>
      </x:c>
      <x:c r="C1447" t="n">
        <x:f>Dashboard_Live_Data!Z221</x:f>
        <x:v>330</x:v>
      </x:c>
      <x:c r="D1447" t="n">
        <x:f>Dashboard_Live_Data!AA221</x:f>
        <x:v>1890.6387614596908</x:v>
      </x:c>
      <x:c r="E1447" t="n">
        <x:f>Dashboard_Live_Data!AB221</x:f>
        <x:v>660</x:v>
      </x:c>
      <x:c r="F1447" t="n">
        <x:f>Dashboard_Live_Data!AC221</x:f>
        <x:v>4615.42940669502</x:v>
      </x:c>
      <x:c r="G1447" t="n">
        <x:f>Dashboard_Live_Data!AD221</x:f>
        <x:v>660</x:v>
      </x:c>
      <x:c r="H1447" t="n">
        <x:f>Dashboard_Live_Data!AE221</x:f>
        <x:v>4594.123000114238</x:v>
      </x:c>
    </x:row>
    <x:row r="1448">
      <x:c r="A1448" t="n">
        <x:f>Dashboard_Live_Data!X222</x:f>
        <x:v>49.980000000000004</x:v>
      </x:c>
      <x:c r="B1448" t="n">
        <x:f>Dashboard_Live_Data!Y222</x:f>
        <x:v>2687.075837528585</x:v>
      </x:c>
      <x:c r="C1448" t="n">
        <x:f>Dashboard_Live_Data!Z222</x:f>
        <x:v>333.19999999999993</x:v>
      </x:c>
      <x:c r="D1448" t="n">
        <x:f>Dashboard_Live_Data!AA222</x:f>
        <x:v>1923.1125076645908</x:v>
      </x:c>
      <x:c r="E1448" t="n">
        <x:f>Dashboard_Live_Data!AB222</x:f>
        <x:v>666.3999999999999</x:v>
      </x:c>
      <x:c r="F1448" t="n">
        <x:f>Dashboard_Live_Data!AC222</x:f>
        <x:v>4700.403112212438</x:v>
      </x:c>
      <x:c r="G1448" t="n">
        <x:f>Dashboard_Live_Data!AD222</x:f>
        <x:v>666.3999999999999</x:v>
      </x:c>
      <x:c r="H1448" t="n">
        <x:f>Dashboard_Live_Data!AE222</x:f>
        <x:v>4679.981584463398</x:v>
      </x:c>
    </x:row>
    <x:row r="1449">
      <x:c r="A1449" t="n">
        <x:f>Dashboard_Live_Data!X223</x:f>
        <x:v>50.52000000000001</x:v>
      </x:c>
      <x:c r="B1449" t="n">
        <x:f>Dashboard_Live_Data!Y223</x:f>
        <x:v>2687.5172186847417</x:v>
      </x:c>
      <x:c r="C1449" t="n">
        <x:f>Dashboard_Live_Data!Z223</x:f>
        <x:v>336.80000000000007</x:v>
      </x:c>
      <x:c r="D1449" t="n">
        <x:f>Dashboard_Live_Data!AA223</x:f>
        <x:v>1960.0763885223253</x:v>
      </x:c>
      <x:c r="E1449" t="n">
        <x:f>Dashboard_Live_Data!AB223</x:f>
        <x:v>673.6000000000001</x:v>
      </x:c>
      <x:c r="F1449" t="n">
        <x:f>Dashboard_Live_Data!AC223</x:f>
        <x:v>4797.536735471792</x:v>
      </x:c>
      <x:c r="G1449" t="n">
        <x:f>Dashboard_Live_Data!AD223</x:f>
        <x:v>673.6000000000001</x:v>
      </x:c>
      <x:c r="H1449" t="n">
        <x:f>Dashboard_Live_Data!AE223</x:f>
        <x:v>4778.120903469774</x:v>
      </x:c>
    </x:row>
    <x:row r="1450">
      <x:c r="A1450" t="n">
        <x:f>Dashboard_Live_Data!X224</x:f>
        <x:v>51</x:v>
      </x:c>
      <x:c r="B1450" t="n">
        <x:f>Dashboard_Live_Data!Y224</x:f>
        <x:v>2687.715878177705</x:v>
      </x:c>
      <x:c r="C1450" t="n">
        <x:f>Dashboard_Live_Data!Z224</x:f>
        <x:v>340</x:v>
      </x:c>
      <x:c r="D1450" t="n">
        <x:f>Dashboard_Live_Data!AA224</x:f>
        <x:v>1992.8224473858172</x:v>
      </x:c>
      <x:c r="E1450" t="n">
        <x:f>Dashboard_Live_Data!AB224</x:f>
        <x:v>680</x:v>
      </x:c>
      <x:c r="F1450" t="n">
        <x:f>Dashboard_Live_Data!AC224</x:f>
        <x:v>4885.016887178555</x:v>
      </x:c>
      <x:c r="G1450" t="n">
        <x:f>Dashboard_Live_Data!AD224</x:f>
        <x:v>680</x:v>
      </x:c>
      <x:c r="H1450" t="n">
        <x:f>Dashboard_Live_Data!AE224</x:f>
        <x:v>4866.504079895057</x:v>
      </x:c>
    </x:row>
    <x:row r="1451">
      <x:c r="A1451" t="n">
        <x:f>Dashboard_Live_Data!X225</x:f>
        <x:v>51.480000000000004</x:v>
      </x:c>
      <x:c r="B1451" t="n">
        <x:f>Dashboard_Live_Data!Y225</x:f>
        <x:v>2688.2272914906207</x:v>
      </x:c>
      <x:c r="C1451" t="n">
        <x:f>Dashboard_Live_Data!Z225</x:f>
        <x:v>343.20000000000005</x:v>
      </x:c>
      <x:c r="D1451" t="n">
        <x:f>Dashboard_Live_Data!AA225</x:f>
        <x:v>2025.9670355035464</x:v>
      </x:c>
      <x:c r="E1451" t="n">
        <x:f>Dashboard_Live_Data!AB225</x:f>
        <x:v>686.4000000000001</x:v>
      </x:c>
      <x:c r="F1451" t="n">
        <x:f>Dashboard_Live_Data!AC225</x:f>
        <x:v>4972.44186832919</x:v>
      </x:c>
      <x:c r="G1451" t="n">
        <x:f>Dashboard_Live_Data!AD225</x:f>
        <x:v>686.4000000000001</x:v>
      </x:c>
      <x:c r="H1451" t="n">
        <x:f>Dashboard_Live_Data!AE225</x:f>
        <x:v>4954.840625005049</x:v>
      </x:c>
    </x:row>
    <x:row r="1452">
      <x:c r="A1452" t="n">
        <x:f>Dashboard_Live_Data!X226</x:f>
        <x:v>52.019999999999996</x:v>
      </x:c>
      <x:c r="B1452" t="n">
        <x:f>Dashboard_Live_Data!Y226</x:f>
        <x:v>2688.510682041781</x:v>
      </x:c>
      <x:c r="C1452" t="n">
        <x:f>Dashboard_Live_Data!Z226</x:f>
        <x:v>346.79999999999995</x:v>
      </x:c>
      <x:c r="D1452" t="n">
        <x:f>Dashboard_Live_Data!AA226</x:f>
        <x:v>2063.5225689138206</x:v>
      </x:c>
      <x:c r="E1452" t="n">
        <x:f>Dashboard_Live_Data!AB226</x:f>
        <x:v>693.5999999999999</x:v>
      </x:c>
      <x:c r="F1452" t="n">
        <x:f>Dashboard_Live_Data!AC226</x:f>
        <x:v>5072.57993171736</x:v>
      </x:c>
      <x:c r="G1452" t="n">
        <x:f>Dashboard_Live_Data!AD226</x:f>
        <x:v>693.5999999999999</x:v>
      </x:c>
      <x:c r="H1452" t="n">
        <x:f>Dashboard_Live_Data!AE226</x:f>
        <x:v>5056.014404908809</x:v>
      </x:c>
    </x:row>
    <x:row r="1453">
      <x:c r="A1453" t="n">
        <x:f>Dashboard_Live_Data!X227</x:f>
        <x:v>52.5</x:v>
      </x:c>
      <x:c r="B1453" t="n">
        <x:f>Dashboard_Live_Data!Y227</x:f>
        <x:v>2688.8996096964393</x:v>
      </x:c>
      <x:c r="C1453" t="n">
        <x:f>Dashboard_Live_Data!Z227</x:f>
        <x:v>350</x:v>
      </x:c>
      <x:c r="D1453" t="n">
        <x:f>Dashboard_Live_Data!AA227</x:f>
        <x:v>2097.3953409322794</x:v>
      </x:c>
      <x:c r="E1453" t="n">
        <x:f>Dashboard_Live_Data!AB227</x:f>
        <x:v>700</x:v>
      </x:c>
      <x:c r="F1453" t="n">
        <x:f>Dashboard_Live_Data!AC227</x:f>
        <x:v>5162.294064360414</x:v>
      </x:c>
      <x:c r="G1453" t="n">
        <x:f>Dashboard_Live_Data!AD227</x:f>
        <x:v>700</x:v>
      </x:c>
      <x:c r="H1453" t="n">
        <x:f>Dashboard_Live_Data!AE227</x:f>
        <x:v>5146.658247398001</x:v>
      </x:c>
    </x:row>
    <x:row r="1454">
      <x:c r="A1454" t="n">
        <x:f>Dashboard_Live_Data!X228</x:f>
        <x:v>52.980000000000004</x:v>
      </x:c>
      <x:c r="B1454" t="n">
        <x:f>Dashboard_Live_Data!Y228</x:f>
        <x:v>2689.409650581394</x:v>
      </x:c>
      <x:c r="C1454" t="n">
        <x:f>Dashboard_Live_Data!Z228</x:f>
        <x:v>353.20000000000005</x:v>
      </x:c>
      <x:c r="D1454" t="n">
        <x:f>Dashboard_Live_Data!AA228</x:f>
        <x:v>2131.89699340424</x:v>
      </x:c>
      <x:c r="E1454" t="n">
        <x:f>Dashboard_Live_Data!AB228</x:f>
        <x:v>706.4000000000001</x:v>
      </x:c>
      <x:c r="F1454" t="n">
        <x:f>Dashboard_Live_Data!AC228</x:f>
        <x:v>5252.466158272303</x:v>
      </x:c>
      <x:c r="G1454" t="n">
        <x:f>Dashboard_Live_Data!AD228</x:f>
        <x:v>706.4000000000001</x:v>
      </x:c>
      <x:c r="H1454" t="n">
        <x:f>Dashboard_Live_Data!AE228</x:f>
        <x:v>5237.768590396864</x:v>
      </x:c>
    </x:row>
    <x:row r="1455">
      <x:c r="A1455" t="n">
        <x:f>Dashboard_Live_Data!X229</x:f>
        <x:v>53.519999999999996</x:v>
      </x:c>
      <x:c r="B1455" t="n">
        <x:f>Dashboard_Live_Data!Y229</x:f>
        <x:v>2689.777555100149</x:v>
      </x:c>
      <x:c r="C1455" t="n">
        <x:f>Dashboard_Live_Data!Z229</x:f>
        <x:v>356.79999999999995</x:v>
      </x:c>
      <x:c r="D1455" t="n">
        <x:f>Dashboard_Live_Data!AA229</x:f>
        <x:v>2170.966183340772</x:v>
      </x:c>
      <x:c r="E1455" t="n">
        <x:f>Dashboard_Live_Data!AB229</x:f>
        <x:v>713.5999999999999</x:v>
      </x:c>
      <x:c r="F1455" t="n">
        <x:f>Dashboard_Live_Data!AC229</x:f>
        <x:v>5355.548700407056</x:v>
      </x:c>
      <x:c r="G1455" t="n">
        <x:f>Dashboard_Live_Data!AD229</x:f>
        <x:v>713.5999999999999</x:v>
      </x:c>
      <x:c r="H1455" t="n">
        <x:f>Dashboard_Live_Data!AE229</x:f>
        <x:v>5341.916869815773</x:v>
      </x:c>
    </x:row>
    <x:row r="1456">
      <x:c r="A1456" t="n">
        <x:f>Dashboard_Live_Data!X230</x:f>
        <x:v>54</x:v>
      </x:c>
      <x:c r="B1456" t="n">
        <x:f>Dashboard_Live_Data!Y230</x:f>
        <x:v>2690.180103448934</x:v>
      </x:c>
      <x:c r="C1456" t="n">
        <x:f>Dashboard_Live_Data!Z230</x:f>
        <x:v>360</x:v>
      </x:c>
      <x:c r="D1456" t="n">
        <x:f>Dashboard_Live_Data!AA230</x:f>
        <x:v>2205.507336392368</x:v>
      </x:c>
      <x:c r="E1456" t="n">
        <x:f>Dashboard_Live_Data!AB230</x:f>
        <x:v>720</x:v>
      </x:c>
      <x:c r="F1456" t="n">
        <x:f>Dashboard_Live_Data!AC230</x:f>
        <x:v>5447.708509483362</x:v>
      </x:c>
      <x:c r="G1456" t="n">
        <x:f>Dashboard_Live_Data!AD230</x:f>
        <x:v>720</x:v>
      </x:c>
      <x:c r="H1456" t="n">
        <x:f>Dashboard_Live_Data!AE230</x:f>
        <x:v>5435.033073865831</x:v>
      </x:c>
    </x:row>
    <x:row r="1457">
      <x:c r="A1457" t="n">
        <x:f>Dashboard_Live_Data!X231</x:f>
        <x:v>54.47999999999999</x:v>
      </x:c>
      <x:c r="B1457" t="n">
        <x:f>Dashboard_Live_Data!Y231</x:f>
        <x:v>2690.433626931135</x:v>
      </x:c>
      <x:c r="C1457" t="n">
        <x:f>Dashboard_Live_Data!Z231</x:f>
        <x:v>363.19999999999993</x:v>
      </x:c>
      <x:c r="D1457" t="n">
        <x:f>Dashboard_Live_Data!AA231</x:f>
        <x:v>2240.251431145491</x:v>
      </x:c>
      <x:c r="E1457" t="n">
        <x:f>Dashboard_Live_Data!AB231</x:f>
        <x:v>726.3999999999999</x:v>
      </x:c>
      <x:c r="F1457" t="n">
        <x:f>Dashboard_Live_Data!AC231</x:f>
        <x:v>5540.683579849159</x:v>
      </x:c>
      <x:c r="G1457" t="n">
        <x:f>Dashboard_Live_Data!AD231</x:f>
        <x:v>726.3999999999999</x:v>
      </x:c>
      <x:c r="H1457" t="n">
        <x:f>Dashboard_Live_Data!AE231</x:f>
        <x:v>5528.973078446219</x:v>
      </x:c>
    </x:row>
    <x:row r="1458">
      <x:c r="A1458" t="n">
        <x:f>Dashboard_Live_Data!X232</x:f>
        <x:v>55.019999999999996</x:v>
      </x:c>
      <x:c r="B1458" t="n">
        <x:f>Dashboard_Live_Data!Y232</x:f>
        <x:v>2690.9276507302575</x:v>
      </x:c>
      <x:c r="C1458" t="n">
        <x:f>Dashboard_Live_Data!Z232</x:f>
        <x:v>366.80000000000007</x:v>
      </x:c>
      <x:c r="D1458" t="n">
        <x:f>Dashboard_Live_Data!AA232</x:f>
        <x:v>2280.414448325589</x:v>
      </x:c>
      <x:c r="E1458" t="n">
        <x:f>Dashboard_Live_Data!AB232</x:f>
        <x:v>733.6000000000001</x:v>
      </x:c>
      <x:c r="F1458" t="n">
        <x:f>Dashboard_Live_Data!AC232</x:f>
        <x:v>5646.961536636373</x:v>
      </x:c>
      <x:c r="G1458" t="n">
        <x:f>Dashboard_Live_Data!AD232</x:f>
        <x:v>733.6000000000001</x:v>
      </x:c>
      <x:c r="H1458" t="n">
        <x:f>Dashboard_Live_Data!AE232</x:f>
        <x:v>5636.346793286159</x:v>
      </x:c>
    </x:row>
    <x:row r="1459">
      <x:c r="A1459" t="n">
        <x:f>Dashboard_Live_Data!X233</x:f>
        <x:v>55.5</x:v>
      </x:c>
      <x:c r="B1459" t="n">
        <x:f>Dashboard_Live_Data!Y233</x:f>
        <x:v>2691.388841371587</x:v>
      </x:c>
      <x:c r="C1459" t="n">
        <x:f>Dashboard_Live_Data!Z233</x:f>
        <x:v>370</x:v>
      </x:c>
      <x:c r="D1459" t="n">
        <x:f>Dashboard_Live_Data!AA233</x:f>
        <x:v>2316.8487948622887</x:v>
      </x:c>
      <x:c r="E1459" t="n">
        <x:f>Dashboard_Live_Data!AB233</x:f>
        <x:v>740</x:v>
      </x:c>
      <x:c r="F1459" t="n">
        <x:f>Dashboard_Live_Data!AC233</x:f>
        <x:v>5741.526745204011</x:v>
      </x:c>
      <x:c r="G1459" t="n">
        <x:f>Dashboard_Live_Data!AD233</x:f>
        <x:v>740</x:v>
      </x:c>
      <x:c r="H1459" t="n">
        <x:f>Dashboard_Live_Data!AE233</x:f>
        <x:v>5731.895081955165</x:v>
      </x:c>
    </x:row>
    <x:row r="1460">
      <x:c r="A1460" t="n">
        <x:f>Dashboard_Live_Data!X234</x:f>
        <x:v>55.980000000000004</x:v>
      </x:c>
      <x:c r="B1460" t="n">
        <x:f>Dashboard_Live_Data!Y234</x:f>
        <x:v>2691.6986261121306</x:v>
      </x:c>
      <x:c r="C1460" t="n">
        <x:f>Dashboard_Live_Data!Z234</x:f>
        <x:v>373.20000000000005</x:v>
      </x:c>
      <x:c r="D1460" t="n">
        <x:f>Dashboard_Live_Data!AA234</x:f>
        <x:v>2352.9815140756104</x:v>
      </x:c>
      <x:c r="E1460" t="n">
        <x:f>Dashboard_Live_Data!AB234</x:f>
        <x:v>746.4000000000001</x:v>
      </x:c>
      <x:c r="F1460" t="n">
        <x:f>Dashboard_Live_Data!AC234</x:f>
        <x:v>5837.535406144047</x:v>
      </x:c>
      <x:c r="G1460" t="n">
        <x:f>Dashboard_Live_Data!AD234</x:f>
        <x:v>746.4000000000001</x:v>
      </x:c>
      <x:c r="H1460" t="n">
        <x:f>Dashboard_Live_Data!AE234</x:f>
        <x:v>5828.8953622374065</x:v>
      </x:c>
    </x:row>
    <x:row r="1461">
      <x:c r="A1461" t="n">
        <x:f>Dashboard_Live_Data!X235</x:f>
        <x:v>56.519999999999996</x:v>
      </x:c>
      <x:c r="B1461" t="n">
        <x:f>Dashboard_Live_Data!Y235</x:f>
        <x:v>2692.1773075299916</x:v>
      </x:c>
      <x:c r="C1461" t="n">
        <x:f>Dashboard_Live_Data!Z235</x:f>
        <x:v>376.79999999999995</x:v>
      </x:c>
      <x:c r="D1461" t="n">
        <x:f>Dashboard_Live_Data!AA235</x:f>
        <x:v>2393.902932478235</x:v>
      </x:c>
      <x:c r="E1461" t="n">
        <x:f>Dashboard_Live_Data!AB235</x:f>
        <x:v>753.5999999999999</x:v>
      </x:c>
      <x:c r="F1461" t="n">
        <x:f>Dashboard_Live_Data!AC235</x:f>
        <x:v>5946.358306967192</x:v>
      </x:c>
      <x:c r="G1461" t="n">
        <x:f>Dashboard_Live_Data!AD235</x:f>
        <x:v>753.5999999999999</x:v>
      </x:c>
      <x:c r="H1461" t="n">
        <x:f>Dashboard_Live_Data!AE235</x:f>
        <x:v>5938.844041881844</x:v>
      </x:c>
    </x:row>
    <x:row r="1462">
      <x:c r="A1462" t="n">
        <x:f>Dashboard_Live_Data!X236</x:f>
        <x:v>57</x:v>
      </x:c>
      <x:c r="B1462" t="n">
        <x:f>Dashboard_Live_Data!Y236</x:f>
        <x:v>2692.473247137161</x:v>
      </x:c>
      <x:c r="C1462" t="n">
        <x:f>Dashboard_Live_Data!Z236</x:f>
        <x:v>380</x:v>
      </x:c>
      <x:c r="D1462" t="n">
        <x:f>Dashboard_Live_Data!AA236</x:f>
        <x:v>2430.617445290838</x:v>
      </x:c>
      <x:c r="E1462" t="n">
        <x:f>Dashboard_Live_Data!AB236</x:f>
        <x:v>760</x:v>
      </x:c>
      <x:c r="F1462" t="n">
        <x:f>Dashboard_Live_Data!AC236</x:f>
        <x:v>6043.438309182107</x:v>
      </x:c>
      <x:c r="G1462" t="n">
        <x:f>Dashboard_Live_Data!AD236</x:f>
        <x:v>760</x:v>
      </x:c>
      <x:c r="H1462" t="n">
        <x:f>Dashboard_Live_Data!AE236</x:f>
        <x:v>6036.933809325743</x:v>
      </x:c>
    </x:row>
    <x:row r="1463">
      <x:c r="A1463" t="n">
        <x:f>Dashboard_Live_Data!X237</x:f>
        <x:v>57.480000000000004</x:v>
      </x:c>
      <x:c r="B1463" t="n">
        <x:f>Dashboard_Live_Data!Y237</x:f>
        <x:v>2692.8575699494995</x:v>
      </x:c>
      <x:c r="C1463" t="n">
        <x:f>Dashboard_Live_Data!Z237</x:f>
        <x:v>383.19999999999993</x:v>
      </x:c>
      <x:c r="D1463" t="n">
        <x:f>Dashboard_Live_Data!AA237</x:f>
        <x:v>2467.706852886448</x:v>
      </x:c>
      <x:c r="E1463" t="n">
        <x:f>Dashboard_Live_Data!AB237</x:f>
        <x:v>766.3999999999999</x:v>
      </x:c>
      <x:c r="F1463" t="n">
        <x:f>Dashboard_Live_Data!AC237</x:f>
        <x:v>6142.145466617226</x:v>
      </x:c>
      <x:c r="G1463" t="n">
        <x:f>Dashboard_Live_Data!AD237</x:f>
        <x:v>766.3999999999999</x:v>
      </x:c>
      <x:c r="H1463" t="n">
        <x:f>Dashboard_Live_Data!AE237</x:f>
        <x:v>6136.659271230683</x:v>
      </x:c>
    </x:row>
    <x:row r="1464">
      <x:c r="A1464" t="n">
        <x:f>Dashboard_Live_Data!X238</x:f>
        <x:v>58.02000000000001</x:v>
      </x:c>
      <x:c r="B1464" t="n">
        <x:f>Dashboard_Live_Data!Y238</x:f>
        <x:v>2693.24758219057</x:v>
      </x:c>
      <x:c r="C1464" t="n">
        <x:f>Dashboard_Live_Data!Z238</x:f>
        <x:v>386.80000000000007</x:v>
      </x:c>
      <x:c r="D1464" t="n">
        <x:f>Dashboard_Live_Data!AA238</x:f>
        <x:v>2510.203743788006</x:v>
      </x:c>
      <x:c r="E1464" t="n">
        <x:f>Dashboard_Live_Data!AB238</x:f>
        <x:v>773.6000000000001</x:v>
      </x:c>
      <x:c r="F1464" t="n">
        <x:f>Dashboard_Live_Data!AC238</x:f>
        <x:v>6253.283847964191</x:v>
      </x:c>
      <x:c r="G1464" t="n">
        <x:f>Dashboard_Live_Data!AD238</x:f>
        <x:v>773.6000000000001</x:v>
      </x:c>
      <x:c r="H1464" t="n">
        <x:f>Dashboard_Live_Data!AE238</x:f>
        <x:v>6248.95345216751</x:v>
      </x:c>
    </x:row>
    <x:row r="1465">
      <x:c r="A1465" t="n">
        <x:f>Dashboard_Live_Data!X239</x:f>
        <x:v>58.5</x:v>
      </x:c>
      <x:c r="B1465" t="n">
        <x:f>Dashboard_Live_Data!Y239</x:f>
        <x:v>2693.6906778520884</x:v>
      </x:c>
      <x:c r="C1465" t="n">
        <x:f>Dashboard_Live_Data!Z239</x:f>
        <x:v>390</x:v>
      </x:c>
      <x:c r="D1465" t="n">
        <x:f>Dashboard_Live_Data!AA239</x:f>
        <x:v>2548.3058851808387</x:v>
      </x:c>
      <x:c r="E1465" t="n">
        <x:f>Dashboard_Live_Data!AB239</x:f>
        <x:v>780</x:v>
      </x:c>
      <x:c r="F1465" t="n">
        <x:f>Dashboard_Live_Data!AC239</x:f>
        <x:v>6353.093574137483</x:v>
      </x:c>
      <x:c r="G1465" t="n">
        <x:f>Dashboard_Live_Data!AD239</x:f>
        <x:v>780</x:v>
      </x:c>
      <x:c r="H1465" t="n">
        <x:f>Dashboard_Live_Data!AE239</x:f>
        <x:v>6349.799628697401</x:v>
      </x:c>
    </x:row>
    <x:row r="1466">
      <x:c r="A1466" t="n">
        <x:f>Dashboard_Live_Data!X240</x:f>
        <x:v>58.980000000000004</x:v>
      </x:c>
      <x:c r="B1466" t="n">
        <x:f>Dashboard_Live_Data!Y240</x:f>
        <x:v>2694.075288283185</x:v>
      </x:c>
      <x:c r="C1466" t="n">
        <x:f>Dashboard_Live_Data!Z240</x:f>
        <x:v>393.20000000000005</x:v>
      </x:c>
      <x:c r="D1466" t="n">
        <x:f>Dashboard_Live_Data!AA240</x:f>
        <x:v>2586.4616875610477</x:v>
      </x:c>
      <x:c r="E1466" t="n">
        <x:f>Dashboard_Live_Data!AB240</x:f>
        <x:v>786.4000000000001</x:v>
      </x:c>
      <x:c r="F1466" t="n">
        <x:f>Dashboard_Live_Data!AC240</x:f>
        <x:v>6454.213123168584</x:v>
      </x:c>
      <x:c r="G1466" t="n">
        <x:f>Dashboard_Live_Data!AD240</x:f>
        <x:v>786.4000000000001</x:v>
      </x:c>
      <x:c r="H1466" t="n">
        <x:f>Dashboard_Live_Data!AE240</x:f>
        <x:v>6451.964167325938</x:v>
      </x:c>
    </x:row>
    <x:row r="1467">
      <x:c r="A1467" t="n">
        <x:f>Dashboard_Live_Data!X241</x:f>
        <x:v>59.519999999999996</x:v>
      </x:c>
      <x:c r="B1467" t="n">
        <x:f>Dashboard_Live_Data!Y241</x:f>
        <x:v>2694.626380340303</x:v>
      </x:c>
      <x:c r="C1467" t="n">
        <x:f>Dashboard_Live_Data!Z241</x:f>
        <x:v>396.79999999999995</x:v>
      </x:c>
      <x:c r="D1467" t="n">
        <x:f>Dashboard_Live_Data!AA241</x:f>
        <x:v>2629.588502569662</x:v>
      </x:c>
      <x:c r="E1467" t="n">
        <x:f>Dashboard_Live_Data!AB241</x:f>
        <x:v>793.5999999999999</x:v>
      </x:c>
      <x:c r="F1467" t="n">
        <x:f>Dashboard_Live_Data!AC241</x:f>
        <x:v>6568.286774941212</x:v>
      </x:c>
      <x:c r="G1467" t="n">
        <x:f>Dashboard_Live_Data!AD241</x:f>
        <x:v>793.5999999999999</x:v>
      </x:c>
      <x:c r="H1467" t="n">
        <x:f>Dashboard_Live_Data!AE241</x:f>
        <x:v>6567.223639456996</x:v>
      </x:c>
    </x:row>
    <x:row r="1468">
      <x:c r="A1468" t="n">
        <x:f>Dashboard_Live_Data!X242</x:f>
        <x:v>60</x:v>
      </x:c>
      <x:c r="B1468" t="n">
        <x:f>Dashboard_Live_Data!Y242</x:f>
        <x:v>2694.9851144626914</x:v>
      </x:c>
      <x:c r="C1468" t="n">
        <x:f>Dashboard_Live_Data!Z242</x:f>
        <x:v>400</x:v>
      </x:c>
      <x:c r="D1468" t="n">
        <x:f>Dashboard_Live_Data!AA242</x:f>
        <x:v>2668.3506217177696</x:v>
      </x:c>
      <x:c r="E1468" t="n">
        <x:f>Dashboard_Live_Data!AB242</x:f>
        <x:v>800</x:v>
      </x:c>
      <x:c r="F1468" t="n">
        <x:f>Dashboard_Live_Data!AC242</x:f>
        <x:v>6670.970351393162</x:v>
      </x:c>
      <x:c r="G1468" t="n">
        <x:f>Dashboard_Live_Data!AD242</x:f>
        <x:v>800</x:v>
      </x:c>
      <x:c r="H1468" t="n">
        <x:f>Dashboard_Live_Data!AE242</x:f>
        <x:v>6670.970351393162</x:v>
      </x:c>
    </x:row>
    <x:row r="1471">
      <x:c r="A1471" t="s">
        <x:v>726</x:v>
      </x:c>
    </x:row>
    <x:row r="1472">
      <x:c r="A1472" t="s">
        <x:v>705</x:v>
      </x:c>
      <x:c r="B1472" t="s">
        <x:v>706</x:v>
      </x:c>
      <x:c r="C1472" t="s">
        <x:v>707</x:v>
      </x:c>
      <x:c r="D1472" t="s">
        <x:v>708</x:v>
      </x:c>
      <x:c r="E1472" t="s">
        <x:v>709</x:v>
      </x:c>
      <x:c r="F1472" t="s">
        <x:v>710</x:v>
      </x:c>
      <x:c r="G1472" t="s">
        <x:v>711</x:v>
      </x:c>
      <x:c r="H1472" t="s">
        <x:v>712</x:v>
      </x:c>
    </x:row>
    <x:row r="1473">
      <x:c r="A1473" t="n">
        <x:f>Dashboard_Live_Data!AG2</x:f>
        <x:v>-60</x:v>
      </x:c>
      <x:c r="B1473" t="n">
        <x:f>Dashboard_Live_Data!AH2</x:f>
        <x:v>2738.7528797589603</x:v>
      </x:c>
      <x:c r="C1473" t="n">
        <x:f>Dashboard_Live_Data!AI2</x:f>
        <x:v>-400</x:v>
      </x:c>
      <x:c r="D1473" t="n">
        <x:f>Dashboard_Live_Data!AJ2</x:f>
        <x:v>4006.5669904921833</x:v>
      </x:c>
      <x:c r="E1473" t="n">
        <x:f>Dashboard_Live_Data!AK2</x:f>
        <x:v>-800</x:v>
      </x:c>
      <x:c r="F1473" t="n">
        <x:f>Dashboard_Live_Data!AL2</x:f>
        <x:v>9500.98992327336</x:v>
      </x:c>
      <x:c r="G1473" t="n">
        <x:f>Dashboard_Live_Data!AM2</x:f>
        <x:v>-800</x:v>
      </x:c>
      <x:c r="H1473" t="n">
        <x:f>Dashboard_Live_Data!AN2</x:f>
        <x:v>9500.98992327336</x:v>
      </x:c>
    </x:row>
    <x:row r="1474">
      <x:c r="A1474" t="n">
        <x:f>Dashboard_Live_Data!AG3</x:f>
        <x:v>-59.519999999999996</x:v>
      </x:c>
      <x:c r="B1474" t="n">
        <x:f>Dashboard_Live_Data!AH3</x:f>
        <x:v>2737.746224109234</x:v>
      </x:c>
      <x:c r="C1474" t="n">
        <x:f>Dashboard_Live_Data!AI3</x:f>
        <x:v>-396.8</x:v>
      </x:c>
      <x:c r="D1474" t="n">
        <x:f>Dashboard_Live_Data!AJ3</x:f>
        <x:v>3959.784666367032</x:v>
      </x:c>
      <x:c r="E1474" t="n">
        <x:f>Dashboard_Live_Data!AK3</x:f>
        <x:v>-793.6</x:v>
      </x:c>
      <x:c r="F1474" t="n">
        <x:f>Dashboard_Live_Data!AL3</x:f>
        <x:v>9376.948806056145</x:v>
      </x:c>
      <x:c r="G1474" t="n">
        <x:f>Dashboard_Live_Data!AM3</x:f>
        <x:v>-793.6</x:v>
      </x:c>
      <x:c r="H1474" t="n">
        <x:f>Dashboard_Live_Data!AN3</x:f>
        <x:v>9376.054593495282</x:v>
      </x:c>
    </x:row>
    <x:row r="1475">
      <x:c r="A1475" t="n">
        <x:f>Dashboard_Live_Data!AG4</x:f>
        <x:v>-58.98</x:v>
      </x:c>
      <x:c r="B1475" t="n">
        <x:f>Dashboard_Live_Data!AH4</x:f>
        <x:v>2736.623084633149</x:v>
      </x:c>
      <x:c r="C1475" t="n">
        <x:f>Dashboard_Live_Data!AI4</x:f>
        <x:v>-393.2</x:v>
      </x:c>
      <x:c r="D1475" t="n">
        <x:f>Dashboard_Live_Data!AJ4</x:f>
        <x:v>3907.520143552331</x:v>
      </x:c>
      <x:c r="E1475" t="n">
        <x:f>Dashboard_Live_Data!AK4</x:f>
        <x:v>-786.4</x:v>
      </x:c>
      <x:c r="F1475" t="n">
        <x:f>Dashboard_Live_Data!AL4</x:f>
        <x:v>9238.487402839646</x:v>
      </x:c>
      <x:c r="G1475" t="n">
        <x:f>Dashboard_Live_Data!AM4</x:f>
        <x:v>-786.4</x:v>
      </x:c>
      <x:c r="H1475" t="n">
        <x:f>Dashboard_Live_Data!AN4</x:f>
        <x:v>9236.601004281432</x:v>
      </x:c>
    </x:row>
    <x:row r="1476">
      <x:c r="A1476" t="n">
        <x:f>Dashboard_Live_Data!AG5</x:f>
        <x:v>-58.5</x:v>
      </x:c>
      <x:c r="B1476" t="n">
        <x:f>Dashboard_Live_Data!AH5</x:f>
        <x:v>2735.6330546630293</x:v>
      </x:c>
      <x:c r="C1476" t="n">
        <x:f>Dashboard_Live_Data!AI5</x:f>
        <x:v>-390</x:v>
      </x:c>
      <x:c r="D1476" t="n">
        <x:f>Dashboard_Live_Data!AJ5</x:f>
        <x:v>3861.3869170271155</x:v>
      </x:c>
      <x:c r="E1476" t="n">
        <x:f>Dashboard_Live_Data!AK5</x:f>
        <x:v>-780</x:v>
      </x:c>
      <x:c r="F1476" t="n">
        <x:f>Dashboard_Live_Data!AL5</x:f>
        <x:v>9116.373900783714</x:v>
      </x:c>
      <x:c r="G1476" t="n">
        <x:f>Dashboard_Live_Data!AM5</x:f>
        <x:v>-780</x:v>
      </x:c>
      <x:c r="H1476" t="n">
        <x:f>Dashboard_Live_Data!AN5</x:f>
        <x:v>9113.617881954191</x:v>
      </x:c>
    </x:row>
    <x:row r="1477">
      <x:c r="A1477" t="n">
        <x:f>Dashboard_Live_Data!AG6</x:f>
        <x:v>-58.019999999999996</x:v>
      </x:c>
      <x:c r="B1477" t="n">
        <x:f>Dashboard_Live_Data!AH6</x:f>
        <x:v>2734.650858075406</x:v>
      </x:c>
      <x:c r="C1477" t="n">
        <x:f>Dashboard_Live_Data!AI6</x:f>
        <x:v>-386.8</x:v>
      </x:c>
      <x:c r="D1477" t="n">
        <x:f>Dashboard_Live_Data!AJ6</x:f>
        <x:v>3815.557941887678</x:v>
      </x:c>
      <x:c r="E1477" t="n">
        <x:f>Dashboard_Live_Data!AK6</x:f>
        <x:v>-773.6</x:v>
      </x:c>
      <x:c r="F1477" t="n">
        <x:f>Dashboard_Live_Data!AL6</x:f>
        <x:v>8995.166044528318</x:v>
      </x:c>
      <x:c r="G1477" t="n">
        <x:f>Dashboard_Live_Data!AM6</x:f>
        <x:v>-773.6</x:v>
      </x:c>
      <x:c r="H1477" t="n">
        <x:f>Dashboard_Live_Data!AN6</x:f>
        <x:v>8991.55205433549</x:v>
      </x:c>
    </x:row>
    <x:row r="1478">
      <x:c r="A1478" t="n">
        <x:f>Dashboard_Live_Data!AG7</x:f>
        <x:v>-57.48</x:v>
      </x:c>
      <x:c r="B1478" t="n">
        <x:f>Dashboard_Live_Data!AH7</x:f>
        <x:v>2733.555257783269</x:v>
      </x:c>
      <x:c r="C1478" t="n">
        <x:f>Dashboard_Live_Data!AI7</x:f>
        <x:v>-383.2</x:v>
      </x:c>
      <x:c r="D1478" t="n">
        <x:f>Dashboard_Live_Data!AJ7</x:f>
        <x:v>3764.3630333251954</x:v>
      </x:c>
      <x:c r="E1478" t="n">
        <x:f>Dashboard_Live_Data!AK7</x:f>
        <x:v>-766.4</x:v>
      </x:c>
      <x:c r="F1478" t="n">
        <x:f>Dashboard_Live_Data!AL7</x:f>
        <x:v>8859.888506354831</x:v>
      </x:c>
      <x:c r="G1478" t="n">
        <x:f>Dashboard_Live_Data!AM7</x:f>
        <x:v>-766.4</x:v>
      </x:c>
      <x:c r="H1478" t="n">
        <x:f>Dashboard_Live_Data!AN7</x:f>
        <x:v>8855.323284209488</x:v>
      </x:c>
    </x:row>
    <x:row r="1479">
      <x:c r="A1479" t="n">
        <x:f>Dashboard_Live_Data!AG8</x:f>
        <x:v>-57</x:v>
      </x:c>
      <x:c r="B1479" t="n">
        <x:f>Dashboard_Live_Data!AH8</x:f>
        <x:v>2732.589727165975</x:v>
      </x:c>
      <x:c r="C1479" t="n">
        <x:f>Dashboard_Live_Data!AI8</x:f>
        <x:v>-380</x:v>
      </x:c>
      <x:c r="D1479" t="n">
        <x:f>Dashboard_Live_Data!AJ8</x:f>
        <x:v>3719.1779432130656</x:v>
      </x:c>
      <x:c r="E1479" t="n">
        <x:f>Dashboard_Live_Data!AK8</x:f>
        <x:v>-760</x:v>
      </x:c>
      <x:c r="F1479" t="n">
        <x:f>Dashboard_Live_Data!AL8</x:f>
        <x:v>8740.601827631473</x:v>
      </x:c>
      <x:c r="G1479" t="n">
        <x:f>Dashboard_Live_Data!AM8</x:f>
        <x:v>-760</x:v>
      </x:c>
      <x:c r="H1479" t="n">
        <x:f>Dashboard_Live_Data!AN8</x:f>
        <x:v>8735.203553435682</x:v>
      </x:c>
    </x:row>
    <x:row r="1480">
      <x:c r="A1480" t="n">
        <x:f>Dashboard_Live_Data!AG9</x:f>
        <x:v>-56.519999999999996</x:v>
      </x:c>
      <x:c r="B1480" t="n">
        <x:f>Dashboard_Live_Data!AH9</x:f>
        <x:v>2731.632048701091</x:v>
      </x:c>
      <x:c r="C1480" t="n">
        <x:f>Dashboard_Live_Data!AI9</x:f>
        <x:v>-376.79999999999995</x:v>
      </x:c>
      <x:c r="D1480" t="n">
        <x:f>Dashboard_Live_Data!AJ9</x:f>
        <x:v>3674.294578654452</x:v>
      </x:c>
      <x:c r="E1480" t="n">
        <x:f>Dashboard_Live_Data!AK9</x:f>
        <x:v>-753.5999999999999</x:v>
      </x:c>
      <x:c r="F1480" t="n">
        <x:f>Dashboard_Live_Data!AL9</x:f>
        <x:v>8622.217592392886</x:v>
      </x:c>
      <x:c r="G1480" t="n">
        <x:f>Dashboard_Live_Data!AM9</x:f>
        <x:v>-753.5999999999999</x:v>
      </x:c>
      <x:c r="H1480" t="n">
        <x:f>Dashboard_Live_Data!AN9</x:f>
        <x:v>8615.998072070657</x:v>
      </x:c>
    </x:row>
    <x:row r="1481">
      <x:c r="A1481" t="n">
        <x:f>Dashboard_Live_Data!AG10</x:f>
        <x:v>-55.980000000000004</x:v>
      </x:c>
      <x:c r="B1481" t="n">
        <x:f>Dashboard_Live_Data!AH10</x:f>
        <x:v>2730.5640535799016</x:v>
      </x:c>
      <x:c r="C1481" t="n">
        <x:f>Dashboard_Live_Data!AI10</x:f>
        <x:v>-373.20000000000005</x:v>
      </x:c>
      <x:c r="D1481" t="n">
        <x:f>Dashboard_Live_Data!AJ10</x:f>
        <x:v>3624.160403492118</x:v>
      </x:c>
      <x:c r="E1481" t="n">
        <x:f>Dashboard_Live_Data!AK10</x:f>
        <x:v>-746.4000000000001</x:v>
      </x:c>
      <x:c r="F1481" t="n">
        <x:f>Dashboard_Live_Data!AL10</x:f>
        <x:v>8490.112657175801</x:v>
      </x:c>
      <x:c r="G1481" t="n">
        <x:f>Dashboard_Live_Data!AM10</x:f>
        <x:v>-746.4000000000001</x:v>
      </x:c>
      <x:c r="H1481" t="n">
        <x:f>Dashboard_Live_Data!AN10</x:f>
        <x:v>8482.983410922227</x:v>
      </x:c>
    </x:row>
    <x:row r="1482">
      <x:c r="A1482" t="n">
        <x:f>Dashboard_Live_Data!AG11</x:f>
        <x:v>-55.5</x:v>
      </x:c>
      <x:c r="B1482" t="n">
        <x:f>Dashboard_Live_Data!AH11</x:f>
        <x:v>2729.6230805624396</x:v>
      </x:c>
      <x:c r="C1482" t="n">
        <x:f>Dashboard_Live_Data!AI11</x:f>
        <x:v>-370</x:v>
      </x:c>
      <x:c r="D1482" t="n">
        <x:f>Dashboard_Live_Data!AJ11</x:f>
        <x:v>3579.915397473851</x:v>
      </x:c>
      <x:c r="E1482" t="n">
        <x:f>Dashboard_Live_Data!AK11</x:f>
        <x:v>-740</x:v>
      </x:c>
      <x:c r="F1482" t="n">
        <x:f>Dashboard_Live_Data!AL11</x:f>
        <x:v>8373.64240992586</x:v>
      </x:c>
      <x:c r="G1482" t="n">
        <x:f>Dashboard_Live_Data!AM11</x:f>
        <x:v>-740</x:v>
      </x:c>
      <x:c r="H1482" t="n">
        <x:f>Dashboard_Live_Data!AN11</x:f>
        <x:v>8365.717177007828</x:v>
      </x:c>
    </x:row>
    <x:row r="1483">
      <x:c r="A1483" t="n">
        <x:f>Dashboard_Live_Data!AG12</x:f>
        <x:v>-55.02</x:v>
      </x:c>
      <x:c r="B1483" t="n">
        <x:f>Dashboard_Live_Data!AH12</x:f>
        <x:v>2728.689978080741</x:v>
      </x:c>
      <x:c r="C1483" t="n">
        <x:f>Dashboard_Live_Data!AI12</x:f>
        <x:v>-366.8</x:v>
      </x:c>
      <x:c r="D1483" t="n">
        <x:f>Dashboard_Live_Data!AJ12</x:f>
        <x:v>3535.9694398561164</x:v>
      </x:c>
      <x:c r="E1483" t="n">
        <x:f>Dashboard_Live_Data!AK12</x:f>
        <x:v>-733.6</x:v>
      </x:c>
      <x:c r="F1483" t="n">
        <x:f>Dashboard_Live_Data!AL12</x:f>
        <x:v>8258.071035157735</x:v>
      </x:c>
      <x:c r="G1483" t="n">
        <x:f>Dashboard_Live_Data!AM12</x:f>
        <x:v>-733.6</x:v>
      </x:c>
      <x:c r="H1483" t="n">
        <x:f>Dashboard_Live_Data!AN12</x:f>
        <x:v>8249.361784554472</x:v>
      </x:c>
    </x:row>
    <x:row r="1484">
      <x:c r="A1484" t="n">
        <x:f>Dashboard_Live_Data!AG13</x:f>
        <x:v>-54.480000000000004</x:v>
      </x:c>
      <x:c r="B1484" t="n">
        <x:f>Dashboard_Live_Data!AH13</x:f>
        <x:v>2727.649652758524</x:v>
      </x:c>
      <x:c r="C1484" t="n">
        <x:f>Dashboard_Live_Data!AI13</x:f>
        <x:v>-363.2</x:v>
      </x:c>
      <x:c r="D1484" t="n">
        <x:f>Dashboard_Live_Data!AJ13</x:f>
        <x:v>3486.8865852502836</x:v>
      </x:c>
      <x:c r="E1484" t="n">
        <x:f>Dashboard_Live_Data!AK13</x:f>
        <x:v>-726.4</x:v>
      </x:c>
      <x:c r="F1484" t="n">
        <x:f>Dashboard_Live_Data!AL13</x:f>
        <x:v>8129.126144290872</x:v>
      </x:c>
      <x:c r="G1484" t="n">
        <x:f>Dashboard_Live_Data!AM13</x:f>
        <x:v>-726.4</x:v>
      </x:c>
      <x:c r="H1484" t="n">
        <x:f>Dashboard_Live_Data!AN13</x:f>
        <x:v>8119.549246965398</x:v>
      </x:c>
    </x:row>
    <x:row r="1485">
      <x:c r="A1485" t="n">
        <x:f>Dashboard_Live_Data!AG14</x:f>
        <x:v>-54</x:v>
      </x:c>
      <x:c r="B1485" t="n">
        <x:f>Dashboard_Live_Data!AH14</x:f>
        <x:v>2726.7332943721008</x:v>
      </x:c>
      <x:c r="C1485" t="n">
        <x:f>Dashboard_Live_Data!AI14</x:f>
        <x:v>-360</x:v>
      </x:c>
      <x:c r="D1485" t="n">
        <x:f>Dashboard_Live_Data!AJ14</x:f>
        <x:v>3443.5731304663896</x:v>
      </x:c>
      <x:c r="E1485" t="n">
        <x:f>Dashboard_Live_Data!AK14</x:f>
        <x:v>-720</x:v>
      </x:c>
      <x:c r="F1485" t="n">
        <x:f>Dashboard_Live_Data!AL14</x:f>
        <x:v>8015.460751408424</x:v>
      </x:c>
      <x:c r="G1485" t="n">
        <x:f>Dashboard_Live_Data!AM14</x:f>
        <x:v>-720</x:v>
      </x:c>
      <x:c r="H1485" t="n">
        <x:f>Dashboard_Live_Data!AN14</x:f>
        <x:v>8005.125448461821</x:v>
      </x:c>
    </x:row>
    <x:row r="1486">
      <x:c r="A1486" t="n">
        <x:f>Dashboard_Live_Data!AG15</x:f>
        <x:v>-53.52</x:v>
      </x:c>
      <x:c r="B1486" t="n">
        <x:f>Dashboard_Live_Data!AH15</x:f>
        <x:v>2725.824824510964</x:v>
      </x:c>
      <x:c r="C1486" t="n">
        <x:f>Dashboard_Live_Data!AI15</x:f>
        <x:v>-356.8</x:v>
      </x:c>
      <x:c r="D1486" t="n">
        <x:f>Dashboard_Live_Data!AJ15</x:f>
        <x:v>3400.5558883978983</x:v>
      </x:c>
      <x:c r="E1486" t="n">
        <x:f>Dashboard_Live_Data!AK15</x:f>
        <x:v>-713.6</x:v>
      </x:c>
      <x:c r="F1486" t="n">
        <x:f>Dashboard_Live_Data!AL15</x:f>
        <x:v>7902.69025957073</x:v>
      </x:c>
      <x:c r="G1486" t="n">
        <x:f>Dashboard_Live_Data!AM15</x:f>
        <x:v>-713.6</x:v>
      </x:c>
      <x:c r="H1486" t="n">
        <x:f>Dashboard_Live_Data!AN15</x:f>
        <x:v>7891.608688682572</x:v>
      </x:c>
    </x:row>
    <x:row r="1487">
      <x:c r="A1487" t="n">
        <x:f>Dashboard_Live_Data!AG16</x:f>
        <x:v>-52.980000000000004</x:v>
      </x:c>
      <x:c r="B1487" t="n">
        <x:f>Dashboard_Live_Data!AH16</x:f>
        <x:v>2724.8122322311165</x:v>
      </x:c>
      <x:c r="C1487" t="n">
        <x:f>Dashboard_Live_Data!AI16</x:f>
        <x:v>-353.2</x:v>
      </x:c>
      <x:c r="D1487" t="n">
        <x:f>Dashboard_Live_Data!AJ16</x:f>
        <x:v>3352.5143841718163</x:v>
      </x:c>
      <x:c r="E1487" t="n">
        <x:f>Dashboard_Live_Data!AK16</x:f>
        <x:v>-706.4</x:v>
      </x:c>
      <x:c r="F1487" t="n">
        <x:f>Dashboard_Live_Data!AL16</x:f>
        <x:v>7776.8914462931525</x:v>
      </x:c>
      <x:c r="G1487" t="n">
        <x:f>Dashboard_Live_Data!AM16</x:f>
        <x:v>-706.4</x:v>
      </x:c>
      <x:c r="H1487" t="n">
        <x:f>Dashboard_Live_Data!AN16</x:f>
        <x:v>7764.984900901367</x:v>
      </x:c>
    </x:row>
    <x:row r="1488">
      <x:c r="A1488" t="n">
        <x:f>Dashboard_Live_Data!AG17</x:f>
        <x:v>-52.5</x:v>
      </x:c>
      <x:c r="B1488" t="n">
        <x:f>Dashboard_Live_Data!AH17</x:f>
        <x:v>2723.920544268542</x:v>
      </x:c>
      <x:c r="C1488" t="n">
        <x:f>Dashboard_Live_Data!AI17</x:f>
        <x:v>-350</x:v>
      </x:c>
      <x:c r="D1488" t="n">
        <x:f>Dashboard_Live_Data!AJ17</x:f>
        <x:v>3310.123444717516</x:v>
      </x:c>
      <x:c r="E1488" t="n">
        <x:f>Dashboard_Live_Data!AK17</x:f>
        <x:v>-700</x:v>
      </x:c>
      <x:c r="F1488" t="n">
        <x:f>Dashboard_Live_Data!AL17</x:f>
        <x:v>7666.018043289701</x:v>
      </x:c>
      <x:c r="G1488" t="n">
        <x:f>Dashboard_Live_Data!AM17</x:f>
        <x:v>-700</x:v>
      </x:c>
      <x:c r="H1488" t="n">
        <x:f>Dashboard_Live_Data!AN17</x:f>
        <x:v>7653.39120605297</x:v>
      </x:c>
    </x:row>
    <x:row r="1489">
      <x:c r="A1489" t="n">
        <x:f>Dashboard_Live_Data!AG18</x:f>
        <x:v>-52.019999999999996</x:v>
      </x:c>
      <x:c r="B1489" t="n">
        <x:f>Dashboard_Live_Data!AH18</x:f>
        <x:v>2723.0367624197406</x:v>
      </x:c>
      <x:c r="C1489" t="n">
        <x:f>Dashboard_Live_Data!AI18</x:f>
        <x:v>-346.8</x:v>
      </x:c>
      <x:c r="D1489" t="n">
        <x:f>Dashboard_Live_Data!AJ18</x:f>
        <x:v>3268.0257165997627</x:v>
      </x:c>
      <x:c r="E1489" t="n">
        <x:f>Dashboard_Live_Data!AK18</x:f>
        <x:v>-693.6</x:v>
      </x:c>
      <x:c r="F1489" t="n">
        <x:f>Dashboard_Live_Data!AL18</x:f>
        <x:v>7556.035134917943</x:v>
      </x:c>
      <x:c r="G1489" t="n">
        <x:f>Dashboard_Live_Data!AM18</x:f>
        <x:v>-693.6</x:v>
      </x:c>
      <x:c r="H1489" t="n">
        <x:f>Dashboard_Live_Data!AN18</x:f>
        <x:v>7542.700317284668</x:v>
      </x:c>
    </x:row>
    <x:row r="1490">
      <x:c r="A1490" t="n">
        <x:f>Dashboard_Live_Data!AG19</x:f>
        <x:v>-51.48</x:v>
      </x:c>
      <x:c r="B1490" t="n">
        <x:f>Dashboard_Live_Data!AH19</x:f>
        <x:v>2722.0519650158485</x:v>
      </x:c>
      <x:c r="C1490" t="n">
        <x:f>Dashboard_Live_Data!AI19</x:f>
        <x:v>-343.2</x:v>
      </x:c>
      <x:c r="D1490" t="n">
        <x:f>Dashboard_Live_Data!AJ19</x:f>
        <x:v>3221.015010080671</x:v>
      </x:c>
      <x:c r="E1490" t="n">
        <x:f>Dashboard_Live_Data!AK19</x:f>
        <x:v>-686.4</x:v>
      </x:c>
      <x:c r="F1490" t="n">
        <x:f>Dashboard_Live_Data!AL19</x:f>
        <x:v>7433.366902852947</x:v>
      </x:c>
      <x:c r="G1490" t="n">
        <x:f>Dashboard_Live_Data!AM19</x:f>
        <x:v>-686.4</x:v>
      </x:c>
      <x:c r="H1490" t="n">
        <x:f>Dashboard_Live_Data!AN19</x:f>
        <x:v>7419.25039373271</x:v>
      </x:c>
    </x:row>
    <x:row r="1491">
      <x:c r="A1491" t="n">
        <x:f>Dashboard_Live_Data!AG20</x:f>
        <x:v>-51</x:v>
      </x:c>
      <x:c r="B1491" t="n">
        <x:f>Dashboard_Live_Data!AH20</x:f>
        <x:v>2721.1850020092143</x:v>
      </x:c>
      <x:c r="C1491" t="n">
        <x:f>Dashboard_Live_Data!AI20</x:f>
        <x:v>-340</x:v>
      </x:c>
      <x:c r="D1491" t="n">
        <x:f>Dashboard_Live_Data!AJ20</x:f>
        <x:v>3179.537024764877</x:v>
      </x:c>
      <x:c r="E1491" t="n">
        <x:f>Dashboard_Live_Data!AK20</x:f>
        <x:v>-680</x:v>
      </x:c>
      <x:c r="F1491" t="n">
        <x:f>Dashboard_Live_Data!AL20</x:f>
        <x:v>7325.2712267935</x:v>
      </x:c>
      <x:c r="G1491" t="n">
        <x:f>Dashboard_Live_Data!AM20</x:f>
        <x:v>-680</x:v>
      </x:c>
      <x:c r="H1491" t="n">
        <x:f>Dashboard_Live_Data!AN20</x:f>
        <x:v>7310.473087383565</x:v>
      </x:c>
    </x:row>
    <x:row r="1492">
      <x:c r="A1492" t="n">
        <x:f>Dashboard_Live_Data!AG21</x:f>
        <x:v>-50.519999999999996</x:v>
      </x:c>
      <x:c r="B1492" t="n">
        <x:f>Dashboard_Live_Data!AH21</x:f>
        <x:v>2720.3259622967576</x:v>
      </x:c>
      <x:c r="C1492" t="n">
        <x:f>Dashboard_Live_Data!AI21</x:f>
        <x:v>-336.8</x:v>
      </x:c>
      <x:c r="D1492" t="n">
        <x:f>Dashboard_Live_Data!AJ21</x:f>
        <x:v>3138.34907670858</x:v>
      </x:c>
      <x:c r="E1492" t="n">
        <x:f>Dashboard_Live_Data!AK21</x:f>
        <x:v>-673.6</x:v>
      </x:c>
      <x:c r="F1492" t="n">
        <x:f>Dashboard_Live_Data!AL21</x:f>
        <x:v>7218.061166458944</x:v>
      </x:c>
      <x:c r="G1492" t="n">
        <x:f>Dashboard_Live_Data!AM21</x:f>
        <x:v>-673.6</x:v>
      </x:c>
      <x:c r="H1492" t="n">
        <x:f>Dashboard_Live_Data!AN21</x:f>
        <x:v>7202.593886244597</x:v>
      </x:c>
    </x:row>
    <x:row r="1493">
      <x:c r="A1493" t="n">
        <x:f>Dashboard_Live_Data!AG22</x:f>
        <x:v>-49.98</x:v>
      </x:c>
      <x:c r="B1493" t="n">
        <x:f>Dashboard_Live_Data!AH22</x:f>
        <x:v>2719.3690201677696</x:v>
      </x:c>
      <x:c r="C1493" t="n">
        <x:f>Dashboard_Live_Data!AI22</x:f>
        <x:v>-333.2</x:v>
      </x:c>
      <x:c r="D1493" t="n">
        <x:f>Dashboard_Live_Data!AJ22</x:f>
        <x:v>3092.3580081209293</x:v>
      </x:c>
      <x:c r="E1493" t="n">
        <x:f>Dashboard_Live_Data!AK22</x:f>
        <x:v>-666.4</x:v>
      </x:c>
      <x:c r="F1493" t="n">
        <x:f>Dashboard_Live_Data!AL22</x:f>
        <x:v>7098.506357692575</x:v>
      </x:c>
      <x:c r="G1493" t="n">
        <x:f>Dashboard_Live_Data!AM22</x:f>
        <x:v>-666.4</x:v>
      </x:c>
      <x:c r="H1493" t="n">
        <x:f>Dashboard_Live_Data!AN22</x:f>
        <x:v>7082.301294774013</x:v>
      </x:c>
    </x:row>
    <x:row r="1494">
      <x:c r="A1494" t="n">
        <x:f>Dashboard_Live_Data!AG23</x:f>
        <x:v>-49.5</x:v>
      </x:c>
      <x:c r="B1494" t="n">
        <x:f>Dashboard_Live_Data!AH23</x:f>
        <x:v>2718.5268353664997</x:v>
      </x:c>
      <x:c r="C1494" t="n">
        <x:f>Dashboard_Live_Data!AI23</x:f>
        <x:v>-330</x:v>
      </x:c>
      <x:c r="D1494" t="n">
        <x:f>Dashboard_Live_Data!AJ23</x:f>
        <x:v>3051.7828688525797</x:v>
      </x:c>
      <x:c r="E1494" t="n">
        <x:f>Dashboard_Live_Data!AK23</x:f>
        <x:v>-660</x:v>
      </x:c>
      <x:c r="F1494" t="n">
        <x:f>Dashboard_Live_Data!AL23</x:f>
        <x:v>6993.172626647848</x:v>
      </x:c>
      <x:c r="G1494" t="n">
        <x:f>Dashboard_Live_Data!AM23</x:f>
        <x:v>-660</x:v>
      </x:c>
      <x:c r="H1494" t="n">
        <x:f>Dashboard_Live_Data!AN23</x:f>
        <x:v>6976.325155041407</x:v>
      </x:c>
    </x:row>
    <x:row r="1495">
      <x:c r="A1495" t="n">
        <x:f>Dashboard_Live_Data!AG24</x:f>
        <x:v>-49.019999999999996</x:v>
      </x:c>
      <x:c r="B1495" t="n">
        <x:f>Dashboard_Live_Data!AH24</x:f>
        <x:v>2717.692590624826</x:v>
      </x:c>
      <x:c r="C1495" t="n">
        <x:f>Dashboard_Live_Data!AI24</x:f>
        <x:v>-326.79999999999995</x:v>
      </x:c>
      <x:c r="D1495" t="n">
        <x:f>Dashboard_Live_Data!AJ24</x:f>
        <x:v>3011.4944133564245</x:v>
      </x:c>
      <x:c r="E1495" t="n">
        <x:f>Dashboard_Live_Data!AK24</x:f>
        <x:v>-653.5999999999999</x:v>
      </x:c>
      <x:c r="F1495" t="n">
        <x:f>Dashboard_Live_Data!AL24</x:f>
        <x:v>6888.7191192634255</x:v>
      </x:c>
      <x:c r="G1495" t="n">
        <x:f>Dashboard_Live_Data!AM24</x:f>
        <x:v>-653.5999999999999</x:v>
      </x:c>
      <x:c r="H1495" t="n">
        <x:f>Dashboard_Live_Data!AN24</x:f>
        <x:v>6871.241909686075</x:v>
      </x:c>
    </x:row>
    <x:row r="1496">
      <x:c r="A1496" t="n">
        <x:f>Dashboard_Live_Data!AG25</x:f>
        <x:v>-48.480000000000004</x:v>
      </x:c>
      <x:c r="B1496" t="n">
        <x:f>Dashboard_Live_Data!AH25</x:f>
        <x:v>2716.763562710639</x:v>
      </x:c>
      <x:c r="C1496" t="n">
        <x:f>Dashboard_Live_Data!AI25</x:f>
        <x:v>-323.20000000000005</x:v>
      </x:c>
      <x:c r="D1496" t="n">
        <x:f>Dashboard_Live_Data!AJ25</x:f>
        <x:v>2966.5111922476426</x:v>
      </x:c>
      <x:c r="E1496" t="n">
        <x:f>Dashboard_Live_Data!AK25</x:f>
        <x:v>-646.4000000000001</x:v>
      </x:c>
      <x:c r="F1496" t="n">
        <x:f>Dashboard_Live_Data!AL25</x:f>
        <x:v>6772.258771364358</x:v>
      </x:c>
      <x:c r="G1496" t="n">
        <x:f>Dashboard_Live_Data!AM25</x:f>
        <x:v>-646.4000000000001</x:v>
      </x:c>
      <x:c r="H1496" t="n">
        <x:f>Dashboard_Live_Data!AN25</x:f>
        <x:v>6754.08832481869</x:v>
      </x:c>
    </x:row>
    <x:row r="1497">
      <x:c r="A1497" t="n">
        <x:f>Dashboard_Live_Data!AG26</x:f>
        <x:v>-48</x:v>
      </x:c>
      <x:c r="B1497" t="n">
        <x:f>Dashboard_Live_Data!AH26</x:f>
        <x:v>2715.9462080599938</x:v>
      </x:c>
      <x:c r="C1497" t="n">
        <x:f>Dashboard_Live_Data!AI26</x:f>
        <x:v>-320</x:v>
      </x:c>
      <x:c r="D1497" t="n">
        <x:f>Dashboard_Live_Data!AJ26</x:f>
        <x:v>2926.8282235073743</x:v>
      </x:c>
      <x:c r="E1497" t="n">
        <x:f>Dashboard_Live_Data!AK26</x:f>
        <x:v>-640</x:v>
      </x:c>
      <x:c r="F1497" t="n">
        <x:f>Dashboard_Live_Data!AL26</x:f>
        <x:v>6669.6695538641015</x:v>
      </x:c>
      <x:c r="G1497" t="n">
        <x:f>Dashboard_Live_Data!AM26</x:f>
        <x:v>-640</x:v>
      </x:c>
      <x:c r="H1497" t="n">
        <x:f>Dashboard_Live_Data!AN26</x:f>
        <x:v>6650.89648885563</x:v>
      </x:c>
    </x:row>
    <x:row r="1498">
      <x:c r="A1498" t="n">
        <x:f>Dashboard_Live_Data!AG27</x:f>
        <x:v>-47.52</x:v>
      </x:c>
      <x:c r="B1498" t="n">
        <x:f>Dashboard_Live_Data!AH27</x:f>
        <x:v>2715.1368098124726</x:v>
      </x:c>
      <x:c r="C1498" t="n">
        <x:f>Dashboard_Live_Data!AI27</x:f>
        <x:v>-316.8</x:v>
      </x:c>
      <x:c r="D1498" t="n">
        <x:f>Dashboard_Live_Data!AJ27</x:f>
        <x:v>2887.428399392069</x:v>
      </x:c>
      <x:c r="E1498" t="n">
        <x:f>Dashboard_Live_Data!AK27</x:f>
        <x:v>-633.6</x:v>
      </x:c>
      <x:c r="F1498" t="n">
        <x:f>Dashboard_Live_Data!AL27</x:f>
        <x:v>6567.954610839783</x:v>
      </x:c>
      <x:c r="G1498" t="n">
        <x:f>Dashboard_Live_Data!AM27</x:f>
        <x:v>-633.6</x:v>
      </x:c>
      <x:c r="H1498" t="n">
        <x:f>Dashboard_Live_Data!AN27</x:f>
        <x:v>6548.591781107728</x:v>
      </x:c>
    </x:row>
    <x:row r="1499">
      <x:c r="A1499" t="n">
        <x:f>Dashboard_Live_Data!AG28</x:f>
        <x:v>-46.980000000000004</x:v>
      </x:c>
      <x:c r="B1499" t="n">
        <x:f>Dashboard_Live_Data!AH28</x:f>
        <x:v>2714.235753570058</x:v>
      </x:c>
      <x:c r="C1499" t="n">
        <x:f>Dashboard_Live_Data!AI28</x:f>
        <x:v>-313.20000000000005</x:v>
      </x:c>
      <x:c r="D1499" t="n">
        <x:f>Dashboard_Live_Data!AJ28</x:f>
        <x:v>2843.440582690011</x:v>
      </x:c>
      <x:c r="E1499" t="n">
        <x:f>Dashboard_Live_Data!AK28</x:f>
        <x:v>-626.4000000000001</x:v>
      </x:c>
      <x:c r="F1499" t="n">
        <x:f>Dashboard_Live_Data!AL28</x:f>
        <x:v>6454.567802288767</x:v>
      </x:c>
      <x:c r="G1499" t="n">
        <x:f>Dashboard_Live_Data!AM28</x:f>
        <x:v>-626.4000000000001</x:v>
      </x:c>
      <x:c r="H1499" t="n">
        <x:f>Dashboard_Live_Data!AN28</x:f>
        <x:v>6434.556924518235</x:v>
      </x:c>
    </x:row>
    <x:row r="1500">
      <x:c r="A1500" t="n">
        <x:f>Dashboard_Live_Data!AG29</x:f>
        <x:v>-46.5</x:v>
      </x:c>
      <x:c r="B1500" t="n">
        <x:f>Dashboard_Live_Data!AH29</x:f>
        <x:v>2713.4432796899005</x:v>
      </x:c>
      <x:c r="C1500" t="n">
        <x:f>Dashboard_Live_Data!AI29</x:f>
        <x:v>-310</x:v>
      </x:c>
      <x:c r="D1500" t="n">
        <x:f>Dashboard_Live_Data!AJ29</x:f>
        <x:v>2804.638522662561</x:v>
      </x:c>
      <x:c r="E1500" t="n">
        <x:f>Dashboard_Live_Data!AK29</x:f>
        <x:v>-620</x:v>
      </x:c>
      <x:c r="F1500" t="n">
        <x:f>Dashboard_Live_Data!AL29</x:f>
        <x:v>6354.703876330992</x:v>
      </x:c>
      <x:c r="G1500" t="n">
        <x:f>Dashboard_Live_Data!AM29</x:f>
        <x:v>-620</x:v>
      </x:c>
      <x:c r="H1500" t="n">
        <x:f>Dashboard_Live_Data!AN29</x:f>
        <x:v>6334.130742726853</x:v>
      </x:c>
    </x:row>
    <x:row r="1501">
      <x:c r="A1501" t="n">
        <x:f>Dashboard_Live_Data!AG30</x:f>
        <x:v>-46.02</x:v>
      </x:c>
      <x:c r="B1501" t="n">
        <x:f>Dashboard_Live_Data!AH30</x:f>
        <x:v>2712.658778127942</x:v>
      </x:c>
      <x:c r="C1501" t="n">
        <x:f>Dashboard_Live_Data!AI30</x:f>
        <x:v>-306.8</x:v>
      </x:c>
      <x:c r="D1501" t="n">
        <x:f>Dashboard_Live_Data!AJ30</x:f>
        <x:v>2766.1158768793084</x:v>
      </x:c>
      <x:c r="E1501" t="n">
        <x:f>Dashboard_Live_Data!AK30</x:f>
        <x:v>-613.6</x:v>
      </x:c>
      <x:c r="F1501" t="n">
        <x:f>Dashboard_Live_Data!AL30</x:f>
        <x:v>6255.7076711632635</x:v>
      </x:c>
      <x:c r="G1501" t="n">
        <x:f>Dashboard_Live_Data!AM30</x:f>
        <x:v>-613.6</x:v>
      </x:c>
      <x:c r="H1501" t="n">
        <x:f>Dashboard_Live_Data!AN30</x:f>
        <x:v>6234.585318473166</x:v>
      </x:c>
    </x:row>
    <x:row r="1502">
      <x:c r="A1502" t="n">
        <x:f>Dashboard_Live_Data!AG31</x:f>
        <x:v>-45.480000000000004</x:v>
      </x:c>
      <x:c r="B1502" t="n">
        <x:f>Dashboard_Live_Data!AH31</x:f>
        <x:v>2711.7857495077187</x:v>
      </x:c>
      <x:c r="C1502" t="n">
        <x:f>Dashboard_Live_Data!AI31</x:f>
        <x:v>-303.2</x:v>
      </x:c>
      <x:c r="D1502" t="n">
        <x:f>Dashboard_Live_Data!AJ31</x:f>
        <x:v>2723.110349333624</x:v>
      </x:c>
      <x:c r="E1502" t="n">
        <x:f>Dashboard_Live_Data!AK31</x:f>
        <x:v>-606.4</x:v>
      </x:c>
      <x:c r="F1502" t="n">
        <x:f>Dashboard_Live_Data!AL31</x:f>
        <x:v>6145.371354766009</x:v>
      </x:c>
      <x:c r="G1502" t="n">
        <x:f>Dashboard_Live_Data!AM31</x:f>
        <x:v>-606.4</x:v>
      </x:c>
      <x:c r="H1502" t="n">
        <x:f>Dashboard_Live_Data!AN31</x:f>
        <x:v>6123.646786047526</x:v>
      </x:c>
    </x:row>
    <x:row r="1503">
      <x:c r="A1503" t="n">
        <x:f>Dashboard_Live_Data!AG32</x:f>
        <x:v>-45</x:v>
      </x:c>
      <x:c r="B1503" t="n">
        <x:f>Dashboard_Live_Data!AH32</x:f>
        <x:v>2711.018205671868</x:v>
      </x:c>
      <x:c r="C1503" t="n">
        <x:f>Dashboard_Live_Data!AI32</x:f>
        <x:v>-300</x:v>
      </x:c>
      <x:c r="D1503" t="n">
        <x:f>Dashboard_Live_Data!AJ32</x:f>
        <x:v>2685.177333423242</x:v>
      </x:c>
      <x:c r="E1503" t="n">
        <x:f>Dashboard_Live_Data!AK32</x:f>
        <x:v>-600</x:v>
      </x:c>
      <x:c r="F1503" t="n">
        <x:f>Dashboard_Live_Data!AL32</x:f>
        <x:v>6048.211556044975</x:v>
      </x:c>
      <x:c r="G1503" t="n">
        <x:f>Dashboard_Live_Data!AM32</x:f>
        <x:v>-600</x:v>
      </x:c>
      <x:c r="H1503" t="n">
        <x:f>Dashboard_Live_Data!AN32</x:f>
        <x:v>6025.965664177064</x:v>
      </x:c>
    </x:row>
    <x:row r="1504">
      <x:c r="A1504" t="n">
        <x:f>Dashboard_Live_Data!AG33</x:f>
        <x:v>-44.519999999999996</x:v>
      </x:c>
      <x:c r="B1504" t="n">
        <x:f>Dashboard_Live_Data!AH33</x:f>
        <x:v>2710.258649634195</x:v>
      </x:c>
      <x:c r="C1504" t="n">
        <x:f>Dashboard_Live_Data!AI33</x:f>
        <x:v>-296.8</x:v>
      </x:c>
      <x:c r="D1504" t="n">
        <x:f>Dashboard_Live_Data!AJ33</x:f>
        <x:v>2647.519805513155</x:v>
      </x:c>
      <x:c r="E1504" t="n">
        <x:f>Dashboard_Live_Data!AK33</x:f>
        <x:v>-593.6</x:v>
      </x:c>
      <x:c r="F1504" t="n">
        <x:f>Dashboard_Live_Data!AL33</x:f>
        <x:v>5951.912269047644</x:v>
      </x:c>
      <x:c r="G1504" t="n">
        <x:f>Dashboard_Live_Data!AM33</x:f>
        <x:v>-593.6</x:v>
      </x:c>
      <x:c r="H1504" t="n">
        <x:f>Dashboard_Live_Data!AN33</x:f>
        <x:v>5929.158271486265</x:v>
      </x:c>
    </x:row>
    <x:row r="1505">
      <x:c r="A1505" t="n">
        <x:f>Dashboard_Live_Data!AG34</x:f>
        <x:v>-43.980000000000004</x:v>
      </x:c>
      <x:c r="B1505" t="n">
        <x:f>Dashboard_Live_Data!AH34</x:f>
        <x:v>2709.41370305717</x:v>
      </x:c>
      <x:c r="C1505" t="n">
        <x:f>Dashboard_Live_Data!AI34</x:f>
        <x:v>-293.2</x:v>
      </x:c>
      <x:c r="D1505" t="n">
        <x:f>Dashboard_Live_Data!AJ34</x:f>
        <x:v>2605.4827634648645</x:v>
      </x:c>
      <x:c r="E1505" t="n">
        <x:f>Dashboard_Live_Data!AK34</x:f>
        <x:v>-586.4</x:v>
      </x:c>
      <x:c r="F1505" t="n">
        <x:f>Dashboard_Live_Data!AL34</x:f>
        <x:v>5844.601093061466</x:v>
      </x:c>
      <x:c r="G1505" t="n">
        <x:f>Dashboard_Live_Data!AM34</x:f>
        <x:v>-586.4</x:v>
      </x:c>
      <x:c r="H1505" t="n">
        <x:f>Dashboard_Live_Data!AN34</x:f>
        <x:v>5821.291346397364</x:v>
      </x:c>
    </x:row>
    <x:row r="1506">
      <x:c r="A1506" t="n">
        <x:f>Dashboard_Live_Data!AG35</x:f>
        <x:v>-43.5</x:v>
      </x:c>
      <x:c r="B1506" t="n">
        <x:f>Dashboard_Live_Data!AH35</x:f>
        <x:v>2708.6711371730257</x:v>
      </x:c>
      <x:c r="C1506" t="n">
        <x:f>Dashboard_Live_Data!AI35</x:f>
        <x:v>-290</x:v>
      </x:c>
      <x:c r="D1506" t="n">
        <x:f>Dashboard_Live_Data!AJ35</x:f>
        <x:v>2568.4063111009086</x:v>
      </x:c>
      <x:c r="E1506" t="n">
        <x:f>Dashboard_Live_Data!AK35</x:f>
        <x:v>-580</x:v>
      </x:c>
      <x:c r="F1506" t="n">
        <x:f>Dashboard_Live_Data!AL35</x:f>
        <x:v>5750.1221522344285</x:v>
      </x:c>
      <x:c r="G1506" t="n">
        <x:f>Dashboard_Live_Data!AM35</x:f>
        <x:v>-580</x:v>
      </x:c>
      <x:c r="H1506" t="n">
        <x:f>Dashboard_Live_Data!AN35</x:f>
        <x:v>5726.332575075653</x:v>
      </x:c>
    </x:row>
    <x:row r="1507">
      <x:c r="A1507" t="n">
        <x:f>Dashboard_Live_Data!AG36</x:f>
        <x:v>-43.019999999999996</x:v>
      </x:c>
      <x:c r="B1507" t="n">
        <x:f>Dashboard_Live_Data!AH36</x:f>
        <x:v>2707.9365741255974</x:v>
      </x:c>
      <x:c r="C1507" t="n">
        <x:f>Dashboard_Live_Data!AI36</x:f>
        <x:v>-286.79999999999995</x:v>
      </x:c>
      <x:c r="D1507" t="n">
        <x:f>Dashboard_Live_Data!AJ36</x:f>
        <x:v>2531.601221281773</x:v>
      </x:c>
      <x:c r="E1507" t="n">
        <x:f>Dashboard_Live_Data!AK36</x:f>
        <x:v>-573.5999999999999</x:v>
      </x:c>
      <x:c r="F1507" t="n">
        <x:f>Dashboard_Live_Data!AL36</x:f>
        <x:v>5656.495804293952</x:v>
      </x:c>
      <x:c r="G1507" t="n">
        <x:f>Dashboard_Live_Data!AM36</x:f>
        <x:v>-573.5999999999999</x:v>
      </x:c>
      <x:c r="H1507" t="n">
        <x:f>Dashboard_Live_Data!AN36</x:f>
        <x:v>5632.239789639228</x:v>
      </x:c>
    </x:row>
    <x:row r="1508">
      <x:c r="A1508" t="n">
        <x:f>Dashboard_Live_Data!AG37</x:f>
        <x:v>-42.48</x:v>
      </x:c>
      <x:c r="B1508" t="n">
        <x:f>Dashboard_Live_Data!AH37</x:f>
        <x:v>2707.119762460756</x:v>
      </x:c>
      <x:c r="C1508" t="n">
        <x:f>Dashboard_Live_Data!AI37</x:f>
        <x:v>-283.2</x:v>
      </x:c>
      <x:c r="D1508" t="n">
        <x:f>Dashboard_Live_Data!AJ37</x:f>
        <x:v>2490.518160948682</x:v>
      </x:c>
      <x:c r="E1508" t="n">
        <x:f>Dashboard_Live_Data!AK37</x:f>
        <x:v>-566.4</x:v>
      </x:c>
      <x:c r="F1508" t="n">
        <x:f>Dashboard_Live_Data!AL37</x:f>
        <x:v>5552.181921221136</x:v>
      </x:c>
      <x:c r="G1508" t="n">
        <x:f>Dashboard_Live_Data!AM37</x:f>
        <x:v>-566.4</x:v>
      </x:c>
      <x:c r="H1508" t="n">
        <x:f>Dashboard_Live_Data!AN37</x:f>
        <x:v>5527.417241051008</x:v>
      </x:c>
    </x:row>
    <x:row r="1509">
      <x:c r="A1509" t="n">
        <x:f>Dashboard_Live_Data!AG38</x:f>
        <x:v>-42</x:v>
      </x:c>
      <x:c r="B1509" t="n">
        <x:f>Dashboard_Live_Data!AH38</x:f>
        <x:v>2706.402221049479</x:v>
      </x:c>
      <x:c r="C1509" t="n">
        <x:f>Dashboard_Live_Data!AI38</x:f>
        <x:v>-280</x:v>
      </x:c>
      <x:c r="D1509" t="n">
        <x:f>Dashboard_Live_Data!AJ38</x:f>
        <x:v>2454.285166823356</x:v>
      </x:c>
      <x:c r="E1509" t="n">
        <x:f>Dashboard_Live_Data!AK38</x:f>
        <x:v>-560</x:v>
      </x:c>
      <x:c r="F1509" t="n">
        <x:f>Dashboard_Live_Data!AL38</x:f>
        <x:v>5460.3582902555545</x:v>
      </x:c>
      <x:c r="G1509" t="n">
        <x:f>Dashboard_Live_Data!AM38</x:f>
        <x:v>-560</x:v>
      </x:c>
      <x:c r="H1509" t="n">
        <x:f>Dashboard_Live_Data!AN38</x:f>
        <x:v>5435.1558124688245</x:v>
      </x:c>
    </x:row>
    <x:row r="1510">
      <x:c r="A1510" t="n">
        <x:f>Dashboard_Live_Data!AG39</x:f>
        <x:v>-41.519999999999996</x:v>
      </x:c>
      <x:c r="B1510" t="n">
        <x:f>Dashboard_Live_Data!AH39</x:f>
        <x:v>2705.692697065748</x:v>
      </x:c>
      <x:c r="C1510" t="n">
        <x:f>Dashboard_Live_Data!AI39</x:f>
        <x:v>-276.79999999999995</x:v>
      </x:c>
      <x:c r="D1510" t="n">
        <x:f>Dashboard_Live_Data!AJ39</x:f>
        <x:v>2418.3192089337513</x:v>
      </x:c>
      <x:c r="E1510" t="n">
        <x:f>Dashboard_Live_Data!AK39</x:f>
        <x:v>-553.5999999999999</x:v>
      </x:c>
      <x:c r="F1510" t="n">
        <x:f>Dashboard_Live_Data!AL39</x:f>
        <x:v>5369.3785657395565</x:v>
      </x:c>
      <x:c r="G1510" t="n">
        <x:f>Dashboard_Live_Data!AM39</x:f>
        <x:v>-553.5999999999999</x:v>
      </x:c>
      <x:c r="H1510" t="n">
        <x:f>Dashboard_Live_Data!AN39</x:f>
        <x:v>5343.751850152343</x:v>
      </x:c>
    </x:row>
    <x:row r="1511">
      <x:c r="A1511" t="n">
        <x:f>Dashboard_Live_Data!AG40</x:f>
        <x:v>-40.980000000000004</x:v>
      </x:c>
      <x:c r="B1511" t="n">
        <x:f>Dashboard_Live_Data!AH40</x:f>
        <x:v>2704.9040716081277</x:v>
      </x:c>
      <x:c r="C1511" t="n">
        <x:f>Dashboard_Live_Data!AI40</x:f>
        <x:v>-273.20000000000005</x:v>
      </x:c>
      <x:c r="D1511" t="n">
        <x:f>Dashboard_Live_Data!AJ40</x:f>
        <x:v>2378.1749207105045</x:v>
      </x:c>
      <x:c r="E1511" t="n">
        <x:f>Dashboard_Live_Data!AK40</x:f>
        <x:v>-546.4000000000001</x:v>
      </x:c>
      <x:c r="F1511" t="n">
        <x:f>Dashboard_Live_Data!AL40</x:f>
        <x:v>5268.031429047745</x:v>
      </x:c>
      <x:c r="G1511" t="n">
        <x:f>Dashboard_Live_Data!AM40</x:f>
        <x:v>-546.4000000000001</x:v>
      </x:c>
      <x:c r="H1511" t="n">
        <x:f>Dashboard_Live_Data!AN40</x:f>
        <x:v>5241.943717406506</x:v>
      </x:c>
    </x:row>
    <x:row r="1512">
      <x:c r="A1512" t="n">
        <x:f>Dashboard_Live_Data!AG41</x:f>
        <x:v>-40.5</x:v>
      </x:c>
      <x:c r="B1512" t="n">
        <x:f>Dashboard_Live_Data!AH41</x:f>
        <x:v>2704.2115997852675</x:v>
      </x:c>
      <x:c r="C1512" t="n">
        <x:f>Dashboard_Live_Data!AI41</x:f>
        <x:v>-270</x:v>
      </x:c>
      <x:c r="D1512" t="n">
        <x:f>Dashboard_Live_Data!AJ41</x:f>
        <x:v>2342.7716518918514</x:v>
      </x:c>
      <x:c r="E1512" t="n">
        <x:f>Dashboard_Live_Data!AK41</x:f>
        <x:v>-540</x:v>
      </x:c>
      <x:c r="F1512" t="n">
        <x:f>Dashboard_Live_Data!AL41</x:f>
        <x:v>5178.835096993912</x:v>
      </x:c>
      <x:c r="G1512" t="n">
        <x:f>Dashboard_Live_Data!AM41</x:f>
        <x:v>-540</x:v>
      </x:c>
      <x:c r="H1512" t="n">
        <x:f>Dashboard_Live_Data!AN41</x:f>
        <x:v>5152.352129116699</x:v>
      </x:c>
    </x:row>
    <x:row r="1513">
      <x:c r="A1513" t="n">
        <x:f>Dashboard_Live_Data!AG42</x:f>
        <x:v>-40.02</x:v>
      </x:c>
      <x:c r="B1513" t="n">
        <x:f>Dashboard_Live_Data!AH42</x:f>
        <x:v>2703.527159526966</x:v>
      </x:c>
      <x:c r="C1513" t="n">
        <x:f>Dashboard_Live_Data!AI42</x:f>
        <x:v>-266.8</x:v>
      </x:c>
      <x:c r="D1513" t="n">
        <x:f>Dashboard_Live_Data!AJ42</x:f>
        <x:v>2307.6308927499517</x:v>
      </x:c>
      <x:c r="E1513" t="n">
        <x:f>Dashboard_Live_Data!AK42</x:f>
        <x:v>-533.6</x:v>
      </x:c>
      <x:c r="F1513" t="n">
        <x:f>Dashboard_Live_Data!AL42</x:f>
        <x:v>5090.473156276304</x:v>
      </x:c>
      <x:c r="G1513" t="n">
        <x:f>Dashboard_Live_Data!AM42</x:f>
        <x:v>-533.6</x:v>
      </x:c>
      <x:c r="H1513" t="n">
        <x:f>Dashboard_Live_Data!AN42</x:f>
        <x:v>5063.608645679319</x:v>
      </x:c>
    </x:row>
    <x:row r="1514">
      <x:c r="A1514" t="n">
        <x:f>Dashboard_Live_Data!AG43</x:f>
        <x:v>-39.480000000000004</x:v>
      </x:c>
      <x:c r="B1514" t="n">
        <x:f>Dashboard_Live_Data!AH43</x:f>
        <x:v>2702.766769976195</x:v>
      </x:c>
      <x:c r="C1514" t="n">
        <x:f>Dashboard_Live_Data!AI43</x:f>
        <x:v>-263.20000000000005</x:v>
      </x:c>
      <x:c r="D1514" t="n">
        <x:f>Dashboard_Live_Data!AJ43</x:f>
        <x:v>2268.409463423141</x:v>
      </x:c>
      <x:c r="E1514" t="n">
        <x:f>Dashboard_Live_Data!AK43</x:f>
        <x:v>-526.4000000000001</x:v>
      </x:c>
      <x:c r="F1514" t="n">
        <x:f>Dashboard_Live_Data!AL43</x:f>
        <x:v>4992.059305723048</x:v>
      </x:c>
      <x:c r="G1514" t="n">
        <x:f>Dashboard_Live_Data!AM43</x:f>
        <x:v>-526.4000000000001</x:v>
      </x:c>
      <x:c r="H1514" t="n">
        <x:f>Dashboard_Live_Data!AN43</x:f>
        <x:v>4964.782008157169</x:v>
      </x:c>
    </x:row>
    <x:row r="1515">
      <x:c r="A1515" t="n">
        <x:f>Dashboard_Live_Data!AG44</x:f>
        <x:v>-39</x:v>
      </x:c>
      <x:c r="B1515" t="n">
        <x:f>Dashboard_Live_Data!AH44</x:f>
        <x:v>2702.0994114328023</x:v>
      </x:c>
      <x:c r="C1515" t="n">
        <x:f>Dashboard_Live_Data!AI44</x:f>
        <x:v>-260</x:v>
      </x:c>
      <x:c r="D1515" t="n">
        <x:f>Dashboard_Live_Data!AJ44</x:f>
        <x:v>2233.821564177517</x:v>
      </x:c>
      <x:c r="E1515" t="n">
        <x:f>Dashboard_Live_Data!AK44</x:f>
        <x:v>-520</x:v>
      </x:c>
      <x:c r="F1515" t="n">
        <x:f>Dashboard_Live_Data!AL44</x:f>
        <x:v>4905.459604666784</x:v>
      </x:c>
      <x:c r="G1515" t="n">
        <x:f>Dashboard_Live_Data!AM44</x:f>
        <x:v>-520</x:v>
      </x:c>
      <x:c r="H1515" t="n">
        <x:f>Dashboard_Live_Data!AN44</x:f>
        <x:v>4877.830054285296</x:v>
      </x:c>
    </x:row>
    <x:row r="1516">
      <x:c r="A1516" t="n">
        <x:f>Dashboard_Live_Data!AG45</x:f>
        <x:v>-38.519999999999996</x:v>
      </x:c>
      <x:c r="B1516" t="n">
        <x:f>Dashboard_Live_Data!AH45</x:f>
        <x:v>2701.440098131209</x:v>
      </x:c>
      <x:c r="C1516" t="n">
        <x:f>Dashboard_Live_Data!AI45</x:f>
        <x:v>-256.8</x:v>
      </x:c>
      <x:c r="D1516" t="n">
        <x:f>Dashboard_Live_Data!AJ45</x:f>
        <x:v>2199.4914513372773</x:v>
      </x:c>
      <x:c r="E1516" t="n">
        <x:f>Dashboard_Live_Data!AK45</x:f>
        <x:v>-513.6</x:v>
      </x:c>
      <x:c r="F1516" t="n">
        <x:f>Dashboard_Live_Data!AL45</x:f>
        <x:v>4819.683887182145</x:v>
      </x:c>
      <x:c r="G1516" t="n">
        <x:f>Dashboard_Live_Data!AM45</x:f>
        <x:v>-513.6</x:v>
      </x:c>
      <x:c r="H1516" t="n">
        <x:f>Dashboard_Live_Data!AN45</x:f>
        <x:v>4791.715932694854</x:v>
      </x:c>
    </x:row>
    <x:row r="1517">
      <x:c r="A1517" t="n">
        <x:f>Dashboard_Live_Data!AG46</x:f>
        <x:v>-37.980000000000004</x:v>
      </x:c>
      <x:c r="B1517" t="n">
        <x:f>Dashboard_Live_Data!AH46</x:f>
        <x:v>2700.7079925706203</x:v>
      </x:c>
      <x:c r="C1517" t="n">
        <x:f>Dashboard_Live_Data!AI46</x:f>
        <x:v>-253.2</x:v>
      </x:c>
      <x:c r="D1517" t="n">
        <x:f>Dashboard_Live_Data!AJ46</x:f>
        <x:v>2161.1762766414804</x:v>
      </x:c>
      <x:c r="E1517" t="n">
        <x:f>Dashboard_Live_Data!AK46</x:f>
        <x:v>-506.4</x:v>
      </x:c>
      <x:c r="F1517" t="n">
        <x:f>Dashboard_Live_Data!AL46</x:f>
        <x:v>4724.166723978402</x:v>
      </x:c>
      <x:c r="G1517" t="n">
        <x:f>Dashboard_Live_Data!AM46</x:f>
        <x:v>-506.4</x:v>
      </x:c>
      <x:c r="H1517" t="n">
        <x:f>Dashboard_Live_Data!AN46</x:f>
        <x:v>4695.834666007484</x:v>
      </x:c>
    </x:row>
    <x:row r="1518">
      <x:c r="A1518" t="n">
        <x:f>Dashboard_Live_Data!AG47</x:f>
        <x:v>-37.5</x:v>
      </x:c>
      <x:c r="B1518" t="n">
        <x:f>Dashboard_Live_Data!AH47</x:f>
        <x:v>2700.065789554835</x:v>
      </x:c>
      <x:c r="C1518" t="n">
        <x:f>Dashboard_Live_Data!AI47</x:f>
        <x:v>-250</x:v>
      </x:c>
      <x:c r="D1518" t="n">
        <x:f>Dashboard_Live_Data!AJ47</x:f>
        <x:v>2127.3887833117165</x:v>
      </x:c>
      <x:c r="E1518" t="n">
        <x:f>Dashboard_Live_Data!AK47</x:f>
        <x:v>-500</x:v>
      </x:c>
      <x:c r="F1518" t="n">
        <x:f>Dashboard_Live_Data!AL47</x:f>
        <x:v>4640.130126474501</x:v>
      </x:c>
      <x:c r="G1518" t="n">
        <x:f>Dashboard_Live_Data!AM47</x:f>
        <x:v>-500</x:v>
      </x:c>
      <x:c r="H1518" t="n">
        <x:f>Dashboard_Live_Data!AN47</x:f>
        <x:v>4611.489216623593</x:v>
      </x:c>
    </x:row>
    <x:row r="1519">
      <x:c r="A1519" t="n">
        <x:f>Dashboard_Live_Data!AG48</x:f>
        <x:v>-37.019999999999996</x:v>
      </x:c>
      <x:c r="B1519" t="n">
        <x:f>Dashboard_Live_Data!AH48</x:f>
        <x:v>2699.43164499259</x:v>
      </x:c>
      <x:c r="C1519" t="n">
        <x:f>Dashboard_Live_Data!AI48</x:f>
        <x:v>-246.8</x:v>
      </x:c>
      <x:c r="D1519" t="n">
        <x:f>Dashboard_Live_Data!AJ48</x:f>
        <x:v>2093.8541637603007</x:v>
      </x:c>
      <x:c r="E1519" t="n">
        <x:f>Dashboard_Live_Data!AK48</x:f>
        <x:v>-493.6</x:v>
      </x:c>
      <x:c r="F1519" t="n">
        <x:f>Dashboard_Live_Data!AL48</x:f>
        <x:v>4556.9061458124115</x:v>
      </x:c>
      <x:c r="G1519" t="n">
        <x:f>Dashboard_Live_Data!AM48</x:f>
        <x:v>-493.6</x:v>
      </x:c>
      <x:c r="H1519" t="n">
        <x:f>Dashboard_Live_Data!AN48</x:f>
        <x:v>4527.970342892097</x:v>
      </x:c>
    </x:row>
    <x:row r="1520">
      <x:c r="A1520" t="n">
        <x:f>Dashboard_Live_Data!AG49</x:f>
        <x:v>-36.480000000000004</x:v>
      </x:c>
      <x:c r="B1520" t="n">
        <x:f>Dashboard_Live_Data!AH49</x:f>
        <x:v>2698.7278698689106</x:v>
      </x:c>
      <x:c r="C1520" t="n">
        <x:f>Dashboard_Live_Data!AI49</x:f>
        <x:v>-243.2</x:v>
      </x:c>
      <x:c r="D1520" t="n">
        <x:f>Dashboard_Live_Data!AJ49</x:f>
        <x:v>2056.427974395935</x:v>
      </x:c>
      <x:c r="E1520" t="n">
        <x:f>Dashboard_Live_Data!AK49</x:f>
        <x:v>-486.4</x:v>
      </x:c>
      <x:c r="F1520" t="n">
        <x:f>Dashboard_Live_Data!AL49</x:f>
        <x:v>4464.245699599919</x:v>
      </x:c>
      <x:c r="G1520" t="n">
        <x:f>Dashboard_Live_Data!AM49</x:f>
        <x:v>-486.4</x:v>
      </x:c>
      <x:c r="H1520" t="n">
        <x:f>Dashboard_Live_Data!AN49</x:f>
        <x:v>4434.994862669753</x:v>
      </x:c>
    </x:row>
    <x:row r="1521">
      <x:c r="A1521" t="n">
        <x:f>Dashboard_Live_Data!AG50</x:f>
        <x:v>-36</x:v>
      </x:c>
      <x:c r="B1521" t="n">
        <x:f>Dashboard_Live_Data!AH50</x:f>
        <x:v>2698.110863168117</x:v>
      </x:c>
      <x:c r="C1521" t="n">
        <x:f>Dashboard_Live_Data!AI50</x:f>
        <x:v>-240</x:v>
      </x:c>
      <x:c r="D1521" t="n">
        <x:f>Dashboard_Live_Data!AJ50</x:f>
        <x:v>2023.4253433638573</x:v>
      </x:c>
      <x:c r="E1521" t="n">
        <x:f>Dashboard_Live_Data!AK50</x:f>
        <x:v>-480</x:v>
      </x:c>
      <x:c r="F1521" t="n">
        <x:f>Dashboard_Live_Data!AL50</x:f>
        <x:v>4382.735609610576</x:v>
      </x:c>
      <x:c r="G1521" t="n">
        <x:f>Dashboard_Live_Data!AM50</x:f>
        <x:v>-480</x:v>
      </x:c>
      <x:c r="H1521" t="n">
        <x:f>Dashboard_Live_Data!AN50</x:f>
        <x:v>4353.219632675859</x:v>
      </x:c>
    </x:row>
    <x:row r="1522">
      <x:c r="A1522" t="n">
        <x:f>Dashboard_Live_Data!AG51</x:f>
        <x:v>-35.519999999999996</x:v>
      </x:c>
      <x:c r="B1522" t="n">
        <x:f>Dashboard_Live_Data!AH51</x:f>
        <x:v>2697.5019276614603</x:v>
      </x:c>
      <x:c r="C1522" t="n">
        <x:f>Dashboard_Live_Data!AI51</x:f>
        <x:v>-236.79999999999998</x:v>
      </x:c>
      <x:c r="D1522" t="n">
        <x:f>Dashboard_Live_Data!AJ51</x:f>
        <x:v>1990.6704964522148</x:v>
      </x:c>
      <x:c r="E1522" t="n">
        <x:f>Dashboard_Live_Data!AK51</x:f>
        <x:v>-473.59999999999997</x:v>
      </x:c>
      <x:c r="F1522" t="n">
        <x:f>Dashboard_Live_Data!AL51</x:f>
        <x:v>4302.025742951585</x:v>
      </x:c>
      <x:c r="G1522" t="n">
        <x:f>Dashboard_Live_Data!AM51</x:f>
        <x:v>-473.59999999999997</x:v>
      </x:c>
      <x:c r="H1522" t="n">
        <x:f>Dashboard_Live_Data!AN51</x:f>
        <x:v>4272.2586618025425</x:v>
      </x:c>
    </x:row>
    <x:row r="1523">
      <x:c r="A1523" t="n">
        <x:f>Dashboard_Live_Data!AG52</x:f>
        <x:v>-34.98</x:v>
      </x:c>
      <x:c r="B1523" t="n">
        <x:f>Dashboard_Live_Data!AH52</x:f>
        <x:v>2696.8265277651735</x:v>
      </x:c>
      <x:c r="C1523" t="n">
        <x:f>Dashboard_Live_Data!AI52</x:f>
        <x:v>-233.2</x:v>
      </x:c>
      <x:c r="D1523" t="n">
        <x:f>Dashboard_Live_Data!AJ52</x:f>
        <x:v>1954.1154016181265</x:v>
      </x:c>
      <x:c r="E1523" t="n">
        <x:f>Dashboard_Live_Data!AK52</x:f>
        <x:v>-466.4</x:v>
      </x:c>
      <x:c r="F1523" t="n">
        <x:f>Dashboard_Live_Data!AL52</x:f>
        <x:v>4212.178433547609</x:v>
      </x:c>
      <x:c r="G1523" t="n">
        <x:f>Dashboard_Live_Data!AM52</x:f>
        <x:v>-466.4</x:v>
      </x:c>
      <x:c r="H1523" t="n">
        <x:f>Dashboard_Live_Data!AN52</x:f>
        <x:v>4182.145657173544</x:v>
      </x:c>
    </x:row>
    <x:row r="1524">
      <x:c r="A1524" t="n">
        <x:f>Dashboard_Live_Data!AG53</x:f>
        <x:v>-34.5</x:v>
      </x:c>
      <x:c r="B1524" t="n">
        <x:f>Dashboard_Live_Data!AH53</x:f>
        <x:v>2696.234756688648</x:v>
      </x:c>
      <x:c r="C1524" t="n">
        <x:f>Dashboard_Live_Data!AI53</x:f>
        <x:v>-229.99999999999997</x:v>
      </x:c>
      <x:c r="D1524" t="n">
        <x:f>Dashboard_Live_Data!AJ53</x:f>
        <x:v>1921.8815542974562</x:v>
      </x:c>
      <x:c r="E1524" t="n">
        <x:f>Dashboard_Live_Data!AK53</x:f>
        <x:v>-459.99999999999994</x:v>
      </x:c>
      <x:c r="F1524" t="n">
        <x:f>Dashboard_Live_Data!AL53</x:f>
        <x:v>4133.154973866361</x:v>
      </x:c>
      <x:c r="G1524" t="n">
        <x:f>Dashboard_Live_Data!AM53</x:f>
        <x:v>-459.99999999999994</x:v>
      </x:c>
      <x:c r="H1524" t="n">
        <x:f>Dashboard_Live_Data!AN53</x:f>
        <x:v>4102.900966862511</x:v>
      </x:c>
    </x:row>
    <x:row r="1525">
      <x:c r="A1525" t="n">
        <x:f>Dashboard_Live_Data!AG54</x:f>
        <x:v>-34.019999999999996</x:v>
      </x:c>
      <x:c r="B1525" t="n">
        <x:f>Dashboard_Live_Data!AH54</x:f>
        <x:v>2695.6510690703108</x:v>
      </x:c>
      <x:c r="C1525" t="n">
        <x:f>Dashboard_Live_Data!AI54</x:f>
        <x:v>-226.79999999999998</x:v>
      </x:c>
      <x:c r="D1525" t="n">
        <x:f>Dashboard_Live_Data!AJ54</x:f>
        <x:v>1889.8902432096763</x:v>
      </x:c>
      <x:c r="E1525" t="n">
        <x:f>Dashboard_Live_Data!AK54</x:f>
        <x:v>-453.59999999999997</x:v>
      </x:c>
      <x:c r="F1525" t="n">
        <x:f>Dashboard_Live_Data!AL54</x:f>
        <x:v>4054.9182491071806</x:v>
      </x:c>
      <x:c r="G1525" t="n">
        <x:f>Dashboard_Live_Data!AM54</x:f>
        <x:v>-453.59999999999997</x:v>
      </x:c>
      <x:c r="H1525" t="n">
        <x:f>Dashboard_Live_Data!AN54</x:f>
        <x:v>4024.457081346861</x:v>
      </x:c>
    </x:row>
    <x:row r="1526">
      <x:c r="A1526" t="n">
        <x:f>Dashboard_Live_Data!AG55</x:f>
        <x:v>-33.480000000000004</x:v>
      </x:c>
      <x:c r="B1526" t="n">
        <x:f>Dashboard_Live_Data!AH55</x:f>
        <x:v>2695.0040875164605</x:v>
      </x:c>
      <x:c r="C1526" t="n">
        <x:f>Dashboard_Live_Data!AI55</x:f>
        <x:v>-223.20000000000002</x:v>
      </x:c>
      <x:c r="D1526" t="n">
        <x:f>Dashboard_Live_Data!AJ55</x:f>
        <x:v>1854.1877969704217</x:v>
      </x:c>
      <x:c r="E1526" t="n">
        <x:f>Dashboard_Live_Data!AK55</x:f>
        <x:v>-446.40000000000003</x:v>
      </x:c>
      <x:c r="F1526" t="n">
        <x:f>Dashboard_Live_Data!AL55</x:f>
        <x:v>3967.8366472645534</x:v>
      </x:c>
      <x:c r="G1526" t="n">
        <x:f>Dashboard_Live_Data!AM55</x:f>
        <x:v>-446.40000000000003</x:v>
      </x:c>
      <x:c r="H1526" t="n">
        <x:f>Dashboard_Live_Data!AN55</x:f>
        <x:v>3937.1592412789855</x:v>
      </x:c>
    </x:row>
    <x:row r="1527">
      <x:c r="A1527" t="n">
        <x:f>Dashboard_Live_Data!AG56</x:f>
        <x:v>-33</x:v>
      </x:c>
      <x:c r="B1527" t="n">
        <x:f>Dashboard_Live_Data!AH56</x:f>
        <x:v>2694.4375898786375</x:v>
      </x:c>
      <x:c r="C1527" t="n">
        <x:f>Dashboard_Live_Data!AI56</x:f>
        <x:v>-220.00000000000003</x:v>
      </x:c>
      <x:c r="D1527" t="n">
        <x:f>Dashboard_Live_Data!AJ56</x:f>
        <x:v>1822.7061870307282</x:v>
      </x:c>
      <x:c r="E1527" t="n">
        <x:f>Dashboard_Live_Data!AK56</x:f>
        <x:v>-440.00000000000006</x:v>
      </x:c>
      <x:c r="F1527" t="n">
        <x:f>Dashboard_Live_Data!AL56</x:f>
        <x:v>3891.256447672386</x:v>
      </x:c>
      <x:c r="G1527" t="n">
        <x:f>Dashboard_Live_Data!AM56</x:f>
        <x:v>-440.00000000000006</x:v>
      </x:c>
      <x:c r="H1527" t="n">
        <x:f>Dashboard_Live_Data!AN56</x:f>
        <x:v>3860.401771777322</x:v>
      </x:c>
    </x:row>
    <x:row r="1528">
      <x:c r="A1528" t="n">
        <x:f>Dashboard_Live_Data!AG57</x:f>
        <x:v>-32.52</x:v>
      </x:c>
      <x:c r="B1528" t="n">
        <x:f>Dashboard_Live_Data!AH57</x:f>
        <x:v>2693.8791874812646</x:v>
      </x:c>
      <x:c r="C1528" t="n">
        <x:f>Dashboard_Live_Data!AI57</x:f>
        <x:v>-216.8</x:v>
      </x:c>
      <x:c r="D1528" t="n">
        <x:f>Dashboard_Live_Data!AJ57</x:f>
        <x:v>1791.4617344869769</x:v>
      </x:c>
      <x:c r="E1528" t="n">
        <x:f>Dashboard_Live_Data!AK57</x:f>
        <x:v>-433.6</x:v>
      </x:c>
      <x:c r="F1528" t="n">
        <x:f>Dashboard_Live_Data!AL57</x:f>
        <x:v>3815.4483329742607</x:v>
      </x:c>
      <x:c r="G1528" t="n">
        <x:f>Dashboard_Live_Data!AM57</x:f>
        <x:v>-433.6</x:v>
      </x:c>
      <x:c r="H1528" t="n">
        <x:f>Dashboard_Live_Data!AN57</x:f>
        <x:v>3784.430436320021</x:v>
      </x:c>
    </x:row>
    <x:row r="1529">
      <x:c r="A1529" t="n">
        <x:f>Dashboard_Live_Data!AG58</x:f>
        <x:v>-31.98</x:v>
      </x:c>
      <x:c r="B1529" t="n">
        <x:f>Dashboard_Live_Data!AH58</x:f>
        <x:v>2693.260665691084</x:v>
      </x:c>
      <x:c r="C1529" t="n">
        <x:f>Dashboard_Live_Data!AI58</x:f>
        <x:v>-213.20000000000002</x:v>
      </x:c>
      <x:c r="D1529" t="n">
        <x:f>Dashboard_Live_Data!AJ58</x:f>
        <x:v>1756.5930320423254</x:v>
      </x:c>
      <x:c r="E1529" t="n">
        <x:f>Dashboard_Live_Data!AK58</x:f>
        <x:v>-426.40000000000003</x:v>
      </x:c>
      <x:c r="F1529" t="n">
        <x:f>Dashboard_Live_Data!AL58</x:f>
        <x:v>3731.0809261239974</x:v>
      </x:c>
      <x:c r="G1529" t="n">
        <x:f>Dashboard_Live_Data!AM58</x:f>
        <x:v>-426.40000000000003</x:v>
      </x:c>
      <x:c r="H1529" t="n">
        <x:f>Dashboard_Live_Data!AN58</x:f>
        <x:v>3699.896173425855</x:v>
      </x:c>
    </x:row>
    <x:row r="1530">
      <x:c r="A1530" t="n">
        <x:f>Dashboard_Live_Data!AG59</x:f>
        <x:v>-31.5</x:v>
      </x:c>
      <x:c r="B1530" t="n">
        <x:f>Dashboard_Live_Data!AH59</x:f>
        <x:v>2692.7194777953123</x:v>
      </x:c>
      <x:c r="C1530" t="n">
        <x:f>Dashboard_Live_Data!AI59</x:f>
        <x:v>-210</x:v>
      </x:c>
      <x:c r="D1530" t="n">
        <x:f>Dashboard_Live_Data!AJ59</x:f>
        <x:v>1725.8467418024873</x:v>
      </x:c>
      <x:c r="E1530" t="n">
        <x:f>Dashboard_Live_Data!AK59</x:f>
        <x:v>-420</x:v>
      </x:c>
      <x:c r="F1530" t="n">
        <x:f>Dashboard_Live_Data!AL59</x:f>
        <x:v>3656.896918210815</x:v>
      </x:c>
      <x:c r="G1530" t="n">
        <x:f>Dashboard_Live_Data!AM59</x:f>
        <x:v>-420</x:v>
      </x:c>
      <x:c r="H1530" t="n">
        <x:f>Dashboard_Live_Data!AN59</x:f>
        <x:v>3625.578721629772</x:v>
      </x:c>
    </x:row>
    <x:row r="1531">
      <x:c r="A1531" t="n">
        <x:f>Dashboard_Live_Data!AG60</x:f>
        <x:v>-31.02</x:v>
      </x:c>
      <x:c r="B1531" t="n">
        <x:f>Dashboard_Live_Data!AH60</x:f>
        <x:v>2692.1863964353583</x:v>
      </x:c>
      <x:c r="C1531" t="n">
        <x:f>Dashboard_Live_Data!AI60</x:f>
        <x:v>-206.8</x:v>
      </x:c>
      <x:c r="D1531" t="n">
        <x:f>Dashboard_Live_Data!AJ60</x:f>
        <x:v>1695.3321376263839</x:v>
      </x:c>
      <x:c r="E1531" t="n">
        <x:f>Dashboard_Live_Data!AK60</x:f>
        <x:v>-413.6</x:v>
      </x:c>
      <x:c r="F1531" t="n">
        <x:f>Dashboard_Live_Data!AL60</x:f>
        <x:v>3583.4691205577215</x:v>
      </x:c>
      <x:c r="G1531" t="n">
        <x:f>Dashboard_Live_Data!AM60</x:f>
        <x:v>-413.6</x:v>
      </x:c>
      <x:c r="H1531" t="n">
        <x:f>Dashboard_Live_Data!AN60</x:f>
        <x:v>3552.0314391676843</x:v>
      </x:c>
    </x:row>
    <x:row r="1532">
      <x:c r="A1532" t="n">
        <x:f>Dashboard_Live_Data!AG61</x:f>
        <x:v>-30.48</x:v>
      </x:c>
      <x:c r="B1532" t="n">
        <x:f>Dashboard_Live_Data!AH61</x:f>
        <x:v>2691.596374118459</x:v>
      </x:c>
      <x:c r="C1532" t="n">
        <x:f>Dashboard_Live_Data!AI61</x:f>
        <x:v>-203.2</x:v>
      </x:c>
      <x:c r="D1532" t="n">
        <x:f>Dashboard_Live_Data!AJ61</x:f>
        <x:v>1661.27795099574</x:v>
      </x:c>
      <x:c r="E1532" t="n">
        <x:f>Dashboard_Live_Data!AK61</x:f>
        <x:v>-406.4</x:v>
      </x:c>
      <x:c r="F1532" t="n">
        <x:f>Dashboard_Live_Data!AL61</x:f>
        <x:v>3501.760091807711</x:v>
      </x:c>
      <x:c r="G1532" t="n">
        <x:f>Dashboard_Live_Data!AM61</x:f>
        <x:v>-406.4</x:v>
      </x:c>
      <x:c r="H1532" t="n">
        <x:f>Dashboard_Live_Data!AN61</x:f>
        <x:v>3470.2046174700768</x:v>
      </x:c>
    </x:row>
    <x:row r="1533">
      <x:c r="A1533" t="n">
        <x:f>Dashboard_Live_Data!AG62</x:f>
        <x:v>-30</x:v>
      </x:c>
      <x:c r="B1533" t="n">
        <x:f>Dashboard_Live_Data!AH62</x:f>
        <x:v>2691.0805307414003</x:v>
      </x:c>
      <x:c r="C1533" t="n">
        <x:f>Dashboard_Live_Data!AI62</x:f>
        <x:v>-200</x:v>
      </x:c>
      <x:c r="D1533" t="n">
        <x:f>Dashboard_Live_Data!AJ62</x:f>
        <x:v>1631.2498263703887</x:v>
      </x:c>
      <x:c r="E1533" t="n">
        <x:f>Dashboard_Live_Data!AK62</x:f>
        <x:v>-400</x:v>
      </x:c>
      <x:c r="F1533" t="n">
        <x:f>Dashboard_Live_Data!AL62</x:f>
        <x:v>3429.9213186632924</x:v>
      </x:c>
      <x:c r="G1533" t="n">
        <x:f>Dashboard_Live_Data!AM62</x:f>
        <x:v>-400</x:v>
      </x:c>
      <x:c r="H1533" t="n">
        <x:f>Dashboard_Live_Data!AN62</x:f>
        <x:v>3398.275856941299</x:v>
      </x:c>
    </x:row>
    <x:row r="1534">
      <x:c r="A1534" t="n">
        <x:f>Dashboard_Live_Data!AG63</x:f>
        <x:v>-29.52</x:v>
      </x:c>
      <x:c r="B1534" t="n">
        <x:f>Dashboard_Live_Data!AH63</x:f>
        <x:v>2690.572804703775</x:v>
      </x:c>
      <x:c r="C1534" t="n">
        <x:f>Dashboard_Live_Data!AI63</x:f>
        <x:v>-196.8</x:v>
      </x:c>
      <x:c r="D1534" t="n">
        <x:f>Dashboard_Live_Data!AJ63</x:f>
        <x:v>1601.4478772869256</x:v>
      </x:c>
      <x:c r="E1534" t="n">
        <x:f>Dashboard_Live_Data!AK63</x:f>
        <x:v>-393.6</x:v>
      </x:c>
      <x:c r="F1534" t="n">
        <x:f>Dashboard_Live_Data!AL63</x:f>
        <x:v>3358.8216005216295</x:v>
      </x:c>
      <x:c r="G1534" t="n">
        <x:f>Dashboard_Live_Data!AM63</x:f>
        <x:v>-393.6</x:v>
      </x:c>
      <x:c r="H1534" t="n">
        <x:f>Dashboard_Live_Data!AN63</x:f>
        <x:v>3327.0999332019856</x:v>
      </x:c>
    </x:row>
    <x:row r="1535">
      <x:c r="A1535" t="n">
        <x:f>Dashboard_Live_Data!AG64</x:f>
        <x:v>-28.98</x:v>
      </x:c>
      <x:c r="B1535" t="n">
        <x:f>Dashboard_Live_Data!AH64</x:f>
        <x:v>2690.0113198410036</x:v>
      </x:c>
      <x:c r="C1535" t="n">
        <x:f>Dashboard_Live_Data!AI64</x:f>
        <x:v>-193.2</x:v>
      </x:c>
      <x:c r="D1535" t="n">
        <x:f>Dashboard_Live_Data!AJ64</x:f>
        <x:v>1568.18884339574</x:v>
      </x:c>
      <x:c r="E1535" t="n">
        <x:f>Dashboard_Live_Data!AK64</x:f>
        <x:v>-386.4</x:v>
      </x:c>
      <x:c r="F1535" t="n">
        <x:f>Dashboard_Live_Data!AL64</x:f>
        <x:v>3279.710632319749</x:v>
      </x:c>
      <x:c r="G1535" t="n">
        <x:f>Dashboard_Live_Data!AM64</x:f>
        <x:v>-386.4</x:v>
      </x:c>
      <x:c r="H1535" t="n">
        <x:f>Dashboard_Live_Data!AN64</x:f>
        <x:v>3247.9196088934864</x:v>
      </x:c>
    </x:row>
    <x:row r="1536">
      <x:c r="A1536" t="n">
        <x:f>Dashboard_Live_Data!AG65</x:f>
        <x:v>-28.5</x:v>
      </x:c>
      <x:c r="B1536" t="n">
        <x:f>Dashboard_Live_Data!AH65</x:f>
        <x:v>2689.520854217586</x:v>
      </x:c>
      <x:c r="C1536" t="n">
        <x:f>Dashboard_Live_Data!AI65</x:f>
        <x:v>-190</x:v>
      </x:c>
      <x:c r="D1536" t="n">
        <x:f>Dashboard_Live_Data!AJ65</x:f>
        <x:v>1538.8616802693725</x:v>
      </x:c>
      <x:c r="E1536" t="n">
        <x:f>Dashboard_Live_Data!AK65</x:f>
        <x:v>-380</x:v>
      </x:c>
      <x:c r="F1536" t="n">
        <x:f>Dashboard_Live_Data!AL65</x:f>
        <x:v>3210.1620844044405</x:v>
      </x:c>
      <x:c r="G1536" t="n">
        <x:f>Dashboard_Live_Data!AM65</x:f>
        <x:v>-380</x:v>
      </x:c>
      <x:c r="H1536" t="n">
        <x:f>Dashboard_Live_Data!AN65</x:f>
        <x:v>3178.323865680885</x:v>
      </x:c>
    </x:row>
    <x:row r="1537">
      <x:c r="A1537" t="n">
        <x:f>Dashboard_Live_Data!AG66</x:f>
        <x:v>-28.020000000000003</x:v>
      </x:c>
      <x:c r="B1537" t="n">
        <x:f>Dashboard_Live_Data!AH66</x:f>
        <x:v>2689.038516240782</x:v>
      </x:c>
      <x:c r="C1537" t="n">
        <x:f>Dashboard_Live_Data!AI66</x:f>
        <x:v>-186.80000000000004</x:v>
      </x:c>
      <x:c r="D1537" t="n">
        <x:f>Dashboard_Live_Data!AJ66</x:f>
        <x:v>1509.7552162254726</x:v>
      </x:c>
      <x:c r="E1537" t="n">
        <x:f>Dashboard_Live_Data!AK66</x:f>
        <x:v>-373.6000000000001</x:v>
      </x:c>
      <x:c r="F1537" t="n">
        <x:f>Dashboard_Live_Data!AL66</x:f>
        <x:v>3141.3341110240226</x:v>
      </x:c>
      <x:c r="G1537" t="n">
        <x:f>Dashboard_Live_Data!AM66</x:f>
        <x:v>-373.6000000000001</x:v>
      </x:c>
      <x:c r="H1537" t="n">
        <x:f>Dashboard_Live_Data!AN66</x:f>
        <x:v>3109.462192200807</x:v>
      </x:c>
    </x:row>
    <x:row r="1538">
      <x:c r="A1538" t="n">
        <x:f>Dashboard_Live_Data!AG67</x:f>
        <x:v>-27.479999999999997</x:v>
      </x:c>
      <x:c r="B1538" t="n">
        <x:f>Dashboard_Live_Data!AH67</x:f>
        <x:v>2688.505605067754</x:v>
      </x:c>
      <x:c r="C1538" t="n">
        <x:f>Dashboard_Live_Data!AI67</x:f>
        <x:v>-183.2</x:v>
      </x:c>
      <x:c r="D1538" t="n">
        <x:f>Dashboard_Live_Data!AJ67</x:f>
        <x:v>1477.272095393459</x:v>
      </x:c>
      <x:c r="E1538" t="n">
        <x:f>Dashboard_Live_Data!AK67</x:f>
        <x:v>-366.4</x:v>
      </x:c>
      <x:c r="F1538" t="n">
        <x:f>Dashboard_Live_Data!AL67</x:f>
        <x:v>3064.7562292393345</x:v>
      </x:c>
      <x:c r="G1538" t="n">
        <x:f>Dashboard_Live_Data!AM67</x:f>
        <x:v>-366.4</x:v>
      </x:c>
      <x:c r="H1538" t="n">
        <x:f>Dashboard_Live_Data!AN67</x:f>
        <x:v>3032.8623798858607</x:v>
      </x:c>
    </x:row>
    <x:row r="1539">
      <x:c r="A1539" t="n">
        <x:f>Dashboard_Live_Data!AG68</x:f>
        <x:v>-27</x:v>
      </x:c>
      <x:c r="B1539" t="n">
        <x:f>Dashboard_Live_Data!AH68</x:f>
        <x:v>2688.0405488767533</x:v>
      </x:c>
      <x:c r="C1539" t="n">
        <x:f>Dashboard_Live_Data!AI68</x:f>
        <x:v>-179.99999999999997</x:v>
      </x:c>
      <x:c r="D1539" t="n">
        <x:f>Dashboard_Live_Data!AJ68</x:f>
        <x:v>1448.628895361848</x:v>
      </x:c>
      <x:c r="E1539" t="n">
        <x:f>Dashboard_Live_Data!AK68</x:f>
        <x:v>-359.99999999999994</x:v>
      </x:c>
      <x:c r="F1539" t="n">
        <x:f>Dashboard_Live_Data!AL68</x:f>
        <x:v>2997.4387220817075</x:v>
      </x:c>
      <x:c r="G1539" t="n">
        <x:f>Dashboard_Live_Data!AM68</x:f>
        <x:v>-359.99999999999994</x:v>
      </x:c>
      <x:c r="H1539" t="n">
        <x:f>Dashboard_Live_Data!AN68</x:f>
        <x:v>2965.539435665303</x:v>
      </x:c>
    </x:row>
    <x:row r="1540">
      <x:c r="A1540" t="n">
        <x:f>Dashboard_Live_Data!AG69</x:f>
        <x:v>-26.519999999999996</x:v>
      </x:c>
      <x:c r="B1540" t="n">
        <x:f>Dashboard_Live_Data!AH69</x:f>
        <x:v>2687.5836301386457</x:v>
      </x:c>
      <x:c r="C1540" t="n">
        <x:f>Dashboard_Live_Data!AI69</x:f>
        <x:v>-176.79999999999998</x:v>
      </x:c>
      <x:c r="D1540" t="n">
        <x:f>Dashboard_Live_Data!AJ69</x:f>
        <x:v>1420.2010523856848</x:v>
      </x:c>
      <x:c r="E1540" t="n">
        <x:f>Dashboard_Live_Data!AK69</x:f>
        <x:v>-353.59999999999997</x:v>
      </x:c>
      <x:c r="F1540" t="n">
        <x:f>Dashboard_Live_Data!AL69</x:f>
        <x:v>2930.821956828647</x:v>
      </x:c>
      <x:c r="G1540" t="n">
        <x:f>Dashboard_Live_Data!AM69</x:f>
        <x:v>-353.59999999999997</x:v>
      </x:c>
      <x:c r="H1540" t="n">
        <x:f>Dashboard_Live_Data!AN69</x:f>
        <x:v>2898.930305024403</x:v>
      </x:c>
    </x:row>
    <x:row r="1541">
      <x:c r="A1541" t="n">
        <x:f>Dashboard_Live_Data!AG70</x:f>
        <x:v>-25.980000000000004</x:v>
      </x:c>
      <x:c r="B1541" t="n">
        <x:f>Dashboard_Live_Data!AH70</x:f>
        <x:v>2687.0793271300054</x:v>
      </x:c>
      <x:c r="C1541" t="n">
        <x:f>Dashboard_Live_Data!AI70</x:f>
        <x:v>-173.20000000000002</x:v>
      </x:c>
      <x:c r="D1541" t="n">
        <x:f>Dashboard_Live_Data!AJ70</x:f>
        <x:v>1388.4750825653464</x:v>
      </x:c>
      <x:c r="E1541" t="n">
        <x:f>Dashboard_Live_Data!AK70</x:f>
        <x:v>-346.40000000000003</x:v>
      </x:c>
      <x:c r="F1541" t="n">
        <x:f>Dashboard_Live_Data!AL70</x:f>
        <x:v>2856.707437171217</x:v>
      </x:c>
      <x:c r="G1541" t="n">
        <x:f>Dashboard_Live_Data!AM70</x:f>
        <x:v>-346.40000000000003</x:v>
      </x:c>
      <x:c r="H1541" t="n">
        <x:f>Dashboard_Live_Data!AN70</x:f>
        <x:v>2824.8397867428093</x:v>
      </x:c>
    </x:row>
    <x:row r="1542">
      <x:c r="A1542" t="n">
        <x:f>Dashboard_Live_Data!AG71</x:f>
        <x:v>-25.5</x:v>
      </x:c>
      <x:c r="B1542" t="n">
        <x:f>Dashboard_Live_Data!AH71</x:f>
        <x:v>2686.6397104802963</x:v>
      </x:c>
      <x:c r="C1542" t="n">
        <x:f>Dashboard_Live_Data!AI71</x:f>
        <x:v>-170.00000000000003</x:v>
      </x:c>
      <x:c r="D1542" t="n">
        <x:f>Dashboard_Live_Data!AJ71</x:f>
        <x:v>1360.4994034490926</x:v>
      </x:c>
      <x:c r="E1542" t="n">
        <x:f>Dashboard_Live_Data!AK71</x:f>
        <x:v>-340.00000000000006</x:v>
      </x:c>
      <x:c r="F1542" t="n">
        <x:f>Dashboard_Live_Data!AL71</x:f>
        <x:v>2791.557552752647</x:v>
      </x:c>
      <x:c r="G1542" t="n">
        <x:f>Dashboard_Live_Data!AM71</x:f>
        <x:v>-340.00000000000006</x:v>
      </x:c>
      <x:c r="H1542" t="n">
        <x:f>Dashboard_Live_Data!AN71</x:f>
        <x:v>2759.724726481357</x:v>
      </x:c>
    </x:row>
    <x:row r="1543">
      <x:c r="A1543" t="n">
        <x:f>Dashboard_Live_Data!AG72</x:f>
        <x:v>-25.020000000000003</x:v>
      </x:c>
      <x:c r="B1543" t="n">
        <x:f>Dashboard_Live_Data!AH72</x:f>
        <x:v>2686.2082405845767</x:v>
      </x:c>
      <x:c r="C1543" t="n">
        <x:f>Dashboard_Live_Data!AI72</x:f>
        <x:v>-166.8</x:v>
      </x:c>
      <x:c r="D1543" t="n">
        <x:f>Dashboard_Live_Data!AJ72</x:f>
        <x:v>1332.7340115462373</x:v>
      </x:c>
      <x:c r="E1543" t="n">
        <x:f>Dashboard_Live_Data!AK72</x:f>
        <x:v>-333.6</x:v>
      </x:c>
      <x:c r="F1543" t="n">
        <x:f>Dashboard_Live_Data!AL72</x:f>
        <x:v>2727.0872248769224</x:v>
      </x:c>
      <x:c r="G1543" t="n">
        <x:f>Dashboard_Live_Data!AM72</x:f>
        <x:v>-333.6</x:v>
      </x:c>
      <x:c r="H1543" t="n">
        <x:f>Dashboard_Live_Data!AN72</x:f>
        <x:v>2695.3016989076077</x:v>
      </x:c>
    </x:row>
    <x:row r="1544">
      <x:c r="A1544" t="n">
        <x:f>Dashboard_Live_Data!AG73</x:f>
        <x:v>-24.479999999999997</x:v>
      </x:c>
      <x:c r="B1544" t="n">
        <x:f>Dashboard_Live_Data!AH73</x:f>
        <x:v>2685.7325784389564</x:v>
      </x:c>
      <x:c r="C1544" t="n">
        <x:f>Dashboard_Live_Data!AI73</x:f>
        <x:v>-163.19999999999996</x:v>
      </x:c>
      <x:c r="D1544" t="n">
        <x:f>Dashboard_Live_Data!AJ73</x:f>
        <x:v>1301.7473946103885</x:v>
      </x:c>
      <x:c r="E1544" t="n">
        <x:f>Dashboard_Live_Data!AK73</x:f>
        <x:v>-326.3999999999999</x:v>
      </x:c>
      <x:c r="F1544" t="n">
        <x:f>Dashboard_Live_Data!AL73</x:f>
        <x:v>2655.3615925812765</x:v>
      </x:c>
      <x:c r="G1544" t="n">
        <x:f>Dashboard_Live_Data!AM73</x:f>
        <x:v>-326.3999999999999</x:v>
      </x:c>
      <x:c r="H1544" t="n">
        <x:f>Dashboard_Live_Data!AN73</x:f>
        <x:v>2623.643900129246</x:v>
      </x:c>
    </x:row>
    <x:row r="1545">
      <x:c r="A1545" t="n">
        <x:f>Dashboard_Live_Data!AG74</x:f>
        <x:v>-24</x:v>
      </x:c>
      <x:c r="B1545" t="n">
        <x:f>Dashboard_Live_Data!AH74</x:f>
        <x:v>2685.318429856306</x:v>
      </x:c>
      <x:c r="C1545" t="n">
        <x:f>Dashboard_Live_Data!AI74</x:f>
        <x:v>-160</x:v>
      </x:c>
      <x:c r="D1545" t="n">
        <x:f>Dashboard_Live_Data!AJ74</x:f>
        <x:v>1274.4238323326915</x:v>
      </x:c>
      <x:c r="E1545" t="n">
        <x:f>Dashboard_Live_Data!AK74</x:f>
        <x:v>-320</x:v>
      </x:c>
      <x:c r="F1545" t="n">
        <x:f>Dashboard_Live_Data!AL74</x:f>
        <x:v>2592.311715433615</x:v>
      </x:c>
      <x:c r="G1545" t="n">
        <x:f>Dashboard_Live_Data!AM74</x:f>
        <x:v>-320</x:v>
      </x:c>
      <x:c r="H1545" t="n">
        <x:f>Dashboard_Live_Data!AN74</x:f>
        <x:v>2560.6670284536167</x:v>
      </x:c>
    </x:row>
    <x:row r="1546">
      <x:c r="A1546" t="n">
        <x:f>Dashboard_Live_Data!AG75</x:f>
        <x:v>-23.520000000000003</x:v>
      </x:c>
      <x:c r="B1546" t="n">
        <x:f>Dashboard_Live_Data!AH75</x:f>
        <x:v>2684.9124368195003</x:v>
      </x:c>
      <x:c r="C1546" t="n">
        <x:f>Dashboard_Live_Data!AI75</x:f>
        <x:v>-156.8</x:v>
      </x:c>
      <x:c r="D1546" t="n">
        <x:f>Dashboard_Live_Data!AJ75</x:f>
        <x:v>1247.305949695761</x:v>
      </x:c>
      <x:c r="E1546" t="n">
        <x:f>Dashboard_Live_Data!AK75</x:f>
        <x:v>-313.6</x:v>
      </x:c>
      <x:c r="F1546" t="n">
        <x:f>Dashboard_Live_Data!AL75</x:f>
        <x:v>2529.918895127145</x:v>
      </x:c>
      <x:c r="G1546" t="n">
        <x:f>Dashboard_Live_Data!AM75</x:f>
        <x:v>-313.6</x:v>
      </x:c>
      <x:c r="H1546" t="n">
        <x:f>Dashboard_Live_Data!AN75</x:f>
        <x:v>2498.3588768603126</x:v>
      </x:c>
    </x:row>
    <x:row r="1547">
      <x:c r="A1547" t="n">
        <x:f>Dashboard_Live_Data!AG76</x:f>
        <x:v>-22.980000000000004</x:v>
      </x:c>
      <x:c r="B1547" t="n">
        <x:f>Dashboard_Live_Data!AH76</x:f>
        <x:v>2684.465446445234</x:v>
      </x:c>
      <x:c r="C1547" t="n">
        <x:f>Dashboard_Live_Data!AI76</x:f>
        <x:v>-153.2</x:v>
      </x:c>
      <x:c r="D1547" t="n">
        <x:f>Dashboard_Live_Data!AJ76</x:f>
        <x:v>1217.0425226665805</x:v>
      </x:c>
      <x:c r="E1547" t="n">
        <x:f>Dashboard_Live_Data!AK76</x:f>
        <x:v>-306.4</x:v>
      </x:c>
      <x:c r="F1547" t="n">
        <x:f>Dashboard_Live_Data!AL76</x:f>
        <x:v>2460.503062399682</x:v>
      </x:c>
      <x:c r="G1547" t="n">
        <x:f>Dashboard_Live_Data!AM76</x:f>
        <x:v>-306.4</x:v>
      </x:c>
      <x:c r="H1547" t="n">
        <x:f>Dashboard_Live_Data!AN76</x:f>
        <x:v>2429.0518438601966</x:v>
      </x:c>
    </x:row>
    <x:row r="1548">
      <x:c r="A1548" t="n">
        <x:f>Dashboard_Live_Data!AG77</x:f>
        <x:v>-22.5</x:v>
      </x:c>
      <x:c r="B1548" t="n">
        <x:f>Dashboard_Live_Data!AH77</x:f>
        <x:v>2684.0767928598584</x:v>
      </x:c>
      <x:c r="C1548" t="n">
        <x:f>Dashboard_Live_Data!AI77</x:f>
        <x:v>-150</x:v>
      </x:c>
      <x:c r="D1548" t="n">
        <x:f>Dashboard_Live_Data!AJ77</x:f>
        <x:v>1190.3573781400514</x:v>
      </x:c>
      <x:c r="E1548" t="n">
        <x:f>Dashboard_Live_Data!AK77</x:f>
        <x:v>-300</x:v>
      </x:c>
      <x:c r="F1548" t="n">
        <x:f>Dashboard_Live_Data!AL77</x:f>
        <x:v>2399.4815554213374</x:v>
      </x:c>
      <x:c r="G1548" t="n">
        <x:f>Dashboard_Live_Data!AM77</x:f>
        <x:v>-300</x:v>
      </x:c>
      <x:c r="H1548" t="n">
        <x:f>Dashboard_Live_Data!AN77</x:f>
        <x:v>2368.1387047809635</x:v>
      </x:c>
    </x:row>
    <x:row r="1549">
      <x:c r="A1549" t="n">
        <x:f>Dashboard_Live_Data!AG78</x:f>
        <x:v>-22.019999999999996</x:v>
      </x:c>
      <x:c r="B1549" t="n">
        <x:f>Dashboard_Live_Data!AH78</x:f>
        <x:v>2683.69630309907</x:v>
      </x:c>
      <x:c r="C1549" t="n">
        <x:f>Dashboard_Live_Data!AI78</x:f>
        <x:v>-146.8</x:v>
      </x:c>
      <x:c r="D1549" t="n">
        <x:f>Dashboard_Live_Data!AJ78</x:f>
        <x:v>1163.8740325347778</x:v>
      </x:c>
      <x:c r="E1549" t="n">
        <x:f>Dashboard_Live_Data!AK78</x:f>
        <x:v>-293.6</x:v>
      </x:c>
      <x:c r="F1549" t="n">
        <x:f>Dashboard_Live_Data!AL78</x:f>
        <x:v>2339.0933871403463</x:v>
      </x:c>
      <x:c r="G1549" t="n">
        <x:f>Dashboard_Live_Data!AM78</x:f>
        <x:v>-293.6</x:v>
      </x:c>
      <x:c r="H1549" t="n">
        <x:f>Dashboard_Live_Data!AN78</x:f>
        <x:v>2307.869477325939</x:v>
      </x:c>
    </x:row>
    <x:row r="1550">
      <x:c r="A1550" t="n">
        <x:f>Dashboard_Live_Data!AG79</x:f>
        <x:v>-21.479999999999997</x:v>
      </x:c>
      <x:c r="B1550" t="n">
        <x:f>Dashboard_Live_Data!AH79</x:f>
        <x:v>2683.2780136005345</x:v>
      </x:c>
      <x:c r="C1550" t="n">
        <x:f>Dashboard_Live_Data!AI79</x:f>
        <x:v>-143.2</x:v>
      </x:c>
      <x:c r="D1550" t="n">
        <x:f>Dashboard_Live_Data!AJ79</x:f>
        <x:v>1134.320202233334</x:v>
      </x:c>
      <x:c r="E1550" t="n">
        <x:f>Dashboard_Live_Data!AK79</x:f>
        <x:v>-286.4</x:v>
      </x:c>
      <x:c r="F1550" t="n">
        <x:f>Dashboard_Live_Data!AL79</x:f>
        <x:v>2271.9039940577863</x:v>
      </x:c>
      <x:c r="G1550" t="n">
        <x:f>Dashboard_Live_Data!AM79</x:f>
        <x:v>-286.4</x:v>
      </x:c>
      <x:c r="H1550" t="n">
        <x:f>Dashboard_Live_Data!AN79</x:f>
        <x:v>2240.826006094351</x:v>
      </x:c>
    </x:row>
    <x:row r="1551">
      <x:c r="A1551" t="n">
        <x:f>Dashboard_Live_Data!AG80</x:f>
        <x:v>-21</x:v>
      </x:c>
      <x:c r="B1551" t="n">
        <x:f>Dashboard_Live_Data!AH80</x:f>
        <x:v>2682.914880335254</x:v>
      </x:c>
      <x:c r="C1551" t="n">
        <x:f>Dashboard_Live_Data!AI80</x:f>
        <x:v>-140</x:v>
      </x:c>
      <x:c r="D1551" t="n">
        <x:f>Dashboard_Live_Data!AJ80</x:f>
        <x:v>1108.2624133501783</x:v>
      </x:c>
      <x:c r="E1551" t="n">
        <x:f>Dashboard_Live_Data!AK80</x:f>
        <x:v>-280</x:v>
      </x:c>
      <x:c r="F1551" t="n">
        <x:f>Dashboard_Live_Data!AL80</x:f>
        <x:v>2212.8355811384035</x:v>
      </x:c>
      <x:c r="G1551" t="n">
        <x:f>Dashboard_Live_Data!AM80</x:f>
        <x:v>-280</x:v>
      </x:c>
      <x:c r="H1551" t="n">
        <x:f>Dashboard_Live_Data!AN80</x:f>
        <x:v>2181.897557099264</x:v>
      </x:c>
    </x:row>
    <x:row r="1552">
      <x:c r="A1552" t="n">
        <x:f>Dashboard_Live_Data!AG81</x:f>
        <x:v>-20.520000000000003</x:v>
      </x:c>
      <x:c r="B1552" t="n">
        <x:f>Dashboard_Live_Data!AH81</x:f>
        <x:v>2682.559918656496</x:v>
      </x:c>
      <x:c r="C1552" t="n">
        <x:f>Dashboard_Live_Data!AI81</x:f>
        <x:v>-136.8</x:v>
      </x:c>
      <x:c r="D1552" t="n">
        <x:f>Dashboard_Live_Data!AJ81</x:f>
        <x:v>1082.4036420950645</x:v>
      </x:c>
      <x:c r="E1552" t="n">
        <x:f>Dashboard_Live_Data!AK81</x:f>
        <x:v>-273.6</x:v>
      </x:c>
      <x:c r="F1552" t="n">
        <x:f>Dashboard_Live_Data!AL81</x:f>
        <x:v>2154.375751929062</x:v>
      </x:c>
      <x:c r="G1552" t="n">
        <x:f>Dashboard_Live_Data!AM81</x:f>
        <x:v>-273.6</x:v>
      </x:c>
      <x:c r="H1552" t="n">
        <x:f>Dashboard_Live_Data!AN81</x:f>
        <x:v>2123.586815394276</x:v>
      </x:c>
    </x:row>
    <x:row r="1553">
      <x:c r="A1553" t="n">
        <x:f>Dashboard_Live_Data!AG82</x:f>
        <x:v>-19.979999999999997</x:v>
      </x:c>
      <x:c r="B1553" t="n">
        <x:f>Dashboard_Live_Data!AH82</x:f>
        <x:v>2682.170357321432</x:v>
      </x:c>
      <x:c r="C1553" t="n">
        <x:f>Dashboard_Live_Data!AI82</x:f>
        <x:v>-133.2</x:v>
      </x:c>
      <x:c r="D1553" t="n">
        <x:f>Dashboard_Live_Data!AJ82</x:f>
        <x:v>1053.5497018470367</x:v>
      </x:c>
      <x:c r="E1553" t="n">
        <x:f>Dashboard_Live_Data!AK82</x:f>
        <x:v>-266.4</x:v>
      </x:c>
      <x:c r="F1553" t="n">
        <x:f>Dashboard_Live_Data!AL82</x:f>
        <x:v>2089.3258107719435</x:v>
      </x:c>
      <x:c r="G1553" t="n">
        <x:f>Dashboard_Live_Data!AM82</x:f>
        <x:v>-266.4</x:v>
      </x:c>
      <x:c r="H1553" t="n">
        <x:f>Dashboard_Live_Data!AN82</x:f>
        <x:v>2058.7148075309083</x:v>
      </x:c>
    </x:row>
    <x:row r="1554">
      <x:c r="A1554" t="n">
        <x:f>Dashboard_Live_Data!AG83</x:f>
        <x:v>-19.5</x:v>
      </x:c>
      <x:c r="B1554" t="n">
        <x:f>Dashboard_Live_Data!AH83</x:f>
        <x:v>2681.8327680804646</x:v>
      </x:c>
      <x:c r="C1554" t="n">
        <x:f>Dashboard_Live_Data!AI83</x:f>
        <x:v>-130</x:v>
      </x:c>
      <x:c r="D1554" t="n">
        <x:f>Dashboard_Live_Data!AJ83</x:f>
        <x:v>1028.1121624339564</x:v>
      </x:c>
      <x:c r="E1554" t="n">
        <x:f>Dashboard_Live_Data!AK83</x:f>
        <x:v>-260</x:v>
      </x:c>
      <x:c r="F1554" t="n">
        <x:f>Dashboard_Live_Data!AL83</x:f>
        <x:v>2032.132269523135</x:v>
      </x:c>
      <x:c r="G1554" t="n">
        <x:f>Dashboard_Live_Data!AM83</x:f>
        <x:v>-260</x:v>
      </x:c>
      <x:c r="H1554" t="n">
        <x:f>Dashboard_Live_Data!AN83</x:f>
        <x:v>2001.6878257232431</x:v>
      </x:c>
    </x:row>
    <x:row r="1555">
      <x:c r="A1555" t="n">
        <x:f>Dashboard_Live_Data!AG84</x:f>
        <x:v>-19.019999999999996</x:v>
      </x:c>
      <x:c r="B1555" t="n">
        <x:f>Dashboard_Live_Data!AH84</x:f>
        <x:v>2681.5033576678143</x:v>
      </x:c>
      <x:c r="C1555" t="n">
        <x:f>Dashboard_Live_Data!AI84</x:f>
        <x:v>-126.79999999999995</x:v>
      </x:c>
      <x:c r="D1555" t="n">
        <x:f>Dashboard_Live_Data!AJ84</x:f>
        <x:v>1002.8724909144175</x:v>
      </x:c>
      <x:c r="E1555" t="n">
        <x:f>Dashboard_Live_Data!AK84</x:f>
        <x:v>-253.5999999999999</x:v>
      </x:c>
      <x:c r="F1555" t="n">
        <x:f>Dashboard_Live_Data!AL84</x:f>
        <x:v>1975.5218318440923</x:v>
      </x:c>
      <x:c r="G1555" t="n">
        <x:f>Dashboard_Live_Data!AM84</x:f>
        <x:v>-253.5999999999999</x:v>
      </x:c>
      <x:c r="H1555" t="n">
        <x:f>Dashboard_Live_Data!AN84</x:f>
        <x:v>1945.2511482815198</x:v>
      </x:c>
    </x:row>
    <x:row r="1556">
      <x:c r="A1556" t="n">
        <x:f>Dashboard_Live_Data!AG85</x:f>
        <x:v>-18.480000000000004</x:v>
      </x:c>
      <x:c r="B1556" t="n">
        <x:f>Dashboard_Live_Data!AH85</x:f>
        <x:v>2681.1425499551765</x:v>
      </x:c>
      <x:c r="C1556" t="n">
        <x:f>Dashboard_Live_Data!AI85</x:f>
        <x:v>-123.20000000000005</x:v>
      </x:c>
      <x:c r="D1556" t="n">
        <x:f>Dashboard_Live_Data!AJ85</x:f>
        <x:v>974.7145021127182</x:v>
      </x:c>
      <x:c r="E1556" t="n">
        <x:f>Dashboard_Live_Data!AK85</x:f>
        <x:v>-246.4000000000001</x:v>
      </x:c>
      <x:c r="F1556" t="n">
        <x:f>Dashboard_Live_Data!AL85</x:f>
        <x:v>1912.5218325119242</x:v>
      </x:c>
      <x:c r="G1556" t="n">
        <x:f>Dashboard_Live_Data!AM85</x:f>
        <x:v>-246.4000000000001</x:v>
      </x:c>
      <x:c r="H1556" t="n">
        <x:f>Dashboard_Live_Data!AN85</x:f>
        <x:v>1882.4543117385992</x:v>
      </x:c>
    </x:row>
    <x:row r="1557">
      <x:c r="A1557" t="n">
        <x:f>Dashboard_Live_Data!AG86</x:f>
        <x:v>-18</x:v>
      </x:c>
      <x:c r="B1557" t="n">
        <x:f>Dashboard_Live_Data!AH86</x:f>
        <x:v>2680.8305268137187</x:v>
      </x:c>
      <x:c r="C1557" t="n">
        <x:f>Dashboard_Live_Data!AI86</x:f>
        <x:v>-120</x:v>
      </x:c>
      <x:c r="D1557" t="n">
        <x:f>Dashboard_Live_Data!AJ86</x:f>
        <x:v>949.8959568514337</x:v>
      </x:c>
      <x:c r="E1557" t="n">
        <x:f>Dashboard_Live_Data!AK86</x:f>
        <x:v>-240</x:v>
      </x:c>
      <x:c r="F1557" t="n">
        <x:f>Dashboard_Live_Data!AL86</x:f>
        <x:v>1857.1231620816707</x:v>
      </x:c>
      <x:c r="G1557" t="n">
        <x:f>Dashboard_Live_Data!AM86</x:f>
        <x:v>-240</x:v>
      </x:c>
      <x:c r="H1557" t="n">
        <x:f>Dashboard_Live_Data!AN86</x:f>
        <x:v>1827.2421550832848</x:v>
      </x:c>
    </x:row>
    <x:row r="1558">
      <x:c r="A1558" t="n">
        <x:f>Dashboard_Live_Data!AG87</x:f>
        <x:v>-17.520000000000003</x:v>
      </x:c>
      <x:c r="B1558" t="n">
        <x:f>Dashboard_Live_Data!AH87</x:f>
        <x:v>2680.526689218967</x:v>
      </x:c>
      <x:c r="C1558" t="n">
        <x:f>Dashboard_Live_Data!AI87</x:f>
        <x:v>-116.80000000000001</x:v>
      </x:c>
      <x:c r="D1558" t="n">
        <x:f>Dashboard_Live_Data!AJ87</x:f>
        <x:v>925.2765339546444</x:v>
      </x:c>
      <x:c r="E1558" t="n">
        <x:f>Dashboard_Live_Data!AK87</x:f>
        <x:v>-233.60000000000002</x:v>
      </x:c>
      <x:c r="F1558" t="n">
        <x:f>Dashboard_Live_Data!AL87</x:f>
        <x:v>1802.2819043727304</x:v>
      </x:c>
      <x:c r="G1558" t="n">
        <x:f>Dashboard_Live_Data!AM87</x:f>
        <x:v>-233.60000000000002</x:v>
      </x:c>
      <x:c r="H1558" t="n">
        <x:f>Dashboard_Live_Data!AN87</x:f>
        <x:v>1772.5920499108024</x:v>
      </x:c>
    </x:row>
    <x:row r="1559">
      <x:c r="A1559" t="n">
        <x:f>Dashboard_Live_Data!AG88</x:f>
        <x:v>-16.979999999999997</x:v>
      </x:c>
      <x:c r="B1559" t="n">
        <x:f>Dashboard_Live_Data!AH88</x:f>
        <x:v>2680.1946587476814</x:v>
      </x:c>
      <x:c r="C1559" t="n">
        <x:f>Dashboard_Live_Data!AI88</x:f>
        <x:v>-113.19999999999999</x:v>
      </x:c>
      <x:c r="D1559" t="n">
        <x:f>Dashboard_Live_Data!AJ88</x:f>
        <x:v>897.8190596262613</x:v>
      </x:c>
      <x:c r="E1559" t="n">
        <x:f>Dashboard_Live_Data!AK88</x:f>
        <x:v>-226.39999999999998</x:v>
      </x:c>
      <x:c r="F1559" t="n">
        <x:f>Dashboard_Live_Data!AL88</x:f>
        <x:v>1741.2416393615815</x:v>
      </x:c>
      <x:c r="G1559" t="n">
        <x:f>Dashboard_Live_Data!AM88</x:f>
        <x:v>-226.39999999999998</x:v>
      </x:c>
      <x:c r="H1559" t="n">
        <x:f>Dashboard_Live_Data!AN88</x:f>
        <x:v>1711.7711368171172</x:v>
      </x:c>
    </x:row>
    <x:row r="1560">
      <x:c r="A1560" t="n">
        <x:f>Dashboard_Live_Data!AG89</x:f>
        <x:v>-16.5</x:v>
      </x:c>
      <x:c r="B1560" t="n">
        <x:f>Dashboard_Live_Data!AH89</x:f>
        <x:v>2679.9082221420913</x:v>
      </x:c>
      <x:c r="C1560" t="n">
        <x:f>Dashboard_Live_Data!AI89</x:f>
        <x:v>-110</x:v>
      </x:c>
      <x:c r="D1560" t="n">
        <x:f>Dashboard_Live_Data!AJ89</x:f>
        <x:v>873.6268737519111</x:v>
      </x:c>
      <x:c r="E1560" t="n">
        <x:f>Dashboard_Live_Data!AK89</x:f>
        <x:v>-220</x:v>
      </x:c>
      <x:c r="F1560" t="n">
        <x:f>Dashboard_Live_Data!AL89</x:f>
        <x:v>1687.557977658393</x:v>
      </x:c>
      <x:c r="G1560" t="n">
        <x:f>Dashboard_Live_Data!AM89</x:f>
        <x:v>-220</x:v>
      </x:c>
      <x:c r="H1560" t="n">
        <x:f>Dashboard_Live_Data!AN89</x:f>
        <x:v>1658.2850643618456</x:v>
      </x:c>
    </x:row>
    <x:row r="1561">
      <x:c r="A1561" t="n">
        <x:f>Dashboard_Live_Data!AG90</x:f>
        <x:v>-16.020000000000003</x:v>
      </x:c>
      <x:c r="B1561" t="n">
        <x:f>Dashboard_Live_Data!AH90</x:f>
        <x:v>2679.6299772752322</x:v>
      </x:c>
      <x:c r="C1561" t="n">
        <x:f>Dashboard_Live_Data!AI90</x:f>
        <x:v>-106.80000000000001</x:v>
      </x:c>
      <x:c r="D1561" t="n">
        <x:f>Dashboard_Live_Data!AJ90</x:f>
        <x:v>849.6386115770032</x:v>
      </x:c>
      <x:c r="E1561" t="n">
        <x:f>Dashboard_Live_Data!AK90</x:f>
        <x:v>-213.60000000000002</x:v>
      </x:c>
      <x:c r="F1561" t="n">
        <x:f>Dashboard_Live_Data!AL90</x:f>
        <x:v>1634.406668398929</x:v>
      </x:c>
      <x:c r="G1561" t="n">
        <x:f>Dashboard_Live_Data!AM90</x:f>
        <x:v>-213.60000000000002</x:v>
      </x:c>
      <x:c r="H1561" t="n">
        <x:f>Dashboard_Live_Data!AN90</x:f>
        <x:v>1605.3325327342354</x:v>
      </x:c>
    </x:row>
    <x:row r="1562">
      <x:c r="A1562" t="n">
        <x:f>Dashboard_Live_Data!AG91</x:f>
        <x:v>-15.480000000000004</x:v>
      </x:c>
      <x:c r="B1562" t="n">
        <x:f>Dashboard_Live_Data!AH91</x:f>
        <x:v>2679.3267458137466</x:v>
      </x:c>
      <x:c r="C1562" t="n">
        <x:f>Dashboard_Live_Data!AI91</x:f>
        <x:v>-103.19999999999999</x:v>
      </x:c>
      <x:c r="D1562" t="n">
        <x:f>Dashboard_Live_Data!AJ91</x:f>
        <x:v>822.8987615597109</x:v>
      </x:c>
      <x:c r="E1562" t="n">
        <x:f>Dashboard_Live_Data!AK91</x:f>
        <x:v>-206.39999999999998</x:v>
      </x:c>
      <x:c r="F1562" t="n">
        <x:f>Dashboard_Live_Data!AL91</x:f>
        <x:v>1575.2382195812656</x:v>
      </x:c>
      <x:c r="G1562" t="n">
        <x:f>Dashboard_Live_Data!AM91</x:f>
        <x:v>-206.39999999999998</x:v>
      </x:c>
      <x:c r="H1562" t="n">
        <x:f>Dashboard_Live_Data!AN91</x:f>
        <x:v>1546.3874430517</x:v>
      </x:c>
    </x:row>
    <x:row r="1563">
      <x:c r="A1563" t="n">
        <x:f>Dashboard_Live_Data!AG92</x:f>
        <x:v>-15</x:v>
      </x:c>
      <x:c r="B1563" t="n">
        <x:f>Dashboard_Live_Data!AH92</x:f>
        <x:v>2679.065914532494</x:v>
      </x:c>
      <x:c r="C1563" t="n">
        <x:f>Dashboard_Live_Data!AI92</x:f>
        <x:v>-100</x:v>
      </x:c>
      <x:c r="D1563" t="n">
        <x:f>Dashboard_Live_Data!AJ92</x:f>
        <x:v>799.3530465257882</x:v>
      </x:c>
      <x:c r="E1563" t="n">
        <x:f>Dashboard_Live_Data!AK92</x:f>
        <x:v>-200</x:v>
      </x:c>
      <x:c r="F1563" t="n">
        <x:f>Dashboard_Live_Data!AL92</x:f>
        <x:v>1523.1929864371127</x:v>
      </x:c>
      <x:c r="G1563" t="n">
        <x:f>Dashboard_Live_Data!AM92</x:f>
        <x:v>-200</x:v>
      </x:c>
      <x:c r="H1563" t="n">
        <x:f>Dashboard_Live_Data!AN92</x:f>
        <x:v>1494.538848738704</x:v>
      </x:c>
    </x:row>
    <x:row r="1564">
      <x:c r="A1564" t="n">
        <x:f>Dashboard_Live_Data!AG93</x:f>
        <x:v>-14.519999999999996</x:v>
      </x:c>
      <x:c r="B1564" t="n">
        <x:f>Dashboard_Live_Data!AH93</x:f>
        <x:v>2678.813280652873</x:v>
      </x:c>
      <x:c r="C1564" t="n">
        <x:f>Dashboard_Live_Data!AI93</x:f>
        <x:v>-96.80000000000001</x:v>
      </x:c>
      <x:c r="D1564" t="n">
        <x:f>Dashboard_Live_Data!AJ93</x:f>
        <x:v>776.021326811133</x:v>
      </x:c>
      <x:c r="E1564" t="n">
        <x:f>Dashboard_Live_Data!AK93</x:f>
        <x:v>-193.60000000000002</x:v>
      </x:c>
      <x:c r="F1564" t="n">
        <x:f>Dashboard_Live_Data!AL93</x:f>
        <x:v>1471.657065923119</x:v>
      </x:c>
      <x:c r="G1564" t="n">
        <x:f>Dashboard_Live_Data!AM93</x:f>
        <x:v>-193.60000000000002</x:v>
      </x:c>
      <x:c r="H1564" t="n">
        <x:f>Dashboard_Live_Data!AN93</x:f>
        <x:v>1443.1960281662846</x:v>
      </x:c>
    </x:row>
    <x:row r="1565">
      <x:c r="A1565" t="n">
        <x:f>Dashboard_Live_Data!AG94</x:f>
        <x:v>-13.979999999999997</x:v>
      </x:c>
      <x:c r="B1565" t="n">
        <x:f>Dashboard_Live_Data!AH94</x:f>
        <x:v>2678.53886810944</x:v>
      </x:c>
      <x:c r="C1565" t="n">
        <x:f>Dashboard_Live_Data!AI94</x:f>
        <x:v>-93.19999999999999</x:v>
      </x:c>
      <x:c r="D1565" t="n">
        <x:f>Dashboard_Live_Data!AJ94</x:f>
        <x:v>750.0348628533561</x:v>
      </x:c>
      <x:c r="E1565" t="n">
        <x:f>Dashboard_Live_Data!AK94</x:f>
        <x:v>-186.39999999999998</x:v>
      </x:c>
      <x:c r="F1565" t="n">
        <x:f>Dashboard_Live_Data!AL94</x:f>
        <x:v>1414.279745381553</x:v>
      </x:c>
      <x:c r="G1565" t="n">
        <x:f>Dashboard_Live_Data!AM94</x:f>
        <x:v>-186.39999999999998</x:v>
      </x:c>
      <x:c r="H1565" t="n">
        <x:f>Dashboard_Live_Data!AN94</x:f>
        <x:v>1386.0293710733336</x:v>
      </x:c>
    </x:row>
    <x:row r="1566">
      <x:c r="A1566" t="n">
        <x:f>Dashboard_Live_Data!AG95</x:f>
        <x:v>-13.5</x:v>
      </x:c>
      <x:c r="B1566" t="n">
        <x:f>Dashboard_Live_Data!AH95</x:f>
        <x:v>2678.3036592847507</x:v>
      </x:c>
      <x:c r="C1566" t="n">
        <x:f>Dashboard_Live_Data!AI95</x:f>
        <x:v>-90</x:v>
      </x:c>
      <x:c r="D1566" t="n">
        <x:f>Dashboard_Live_Data!AJ95</x:f>
        <x:v>727.1747453672517</x:v>
      </x:c>
      <x:c r="E1566" t="n">
        <x:f>Dashboard_Live_Data!AK95</x:f>
        <x:v>-180</x:v>
      </x:c>
      <x:c r="F1566" t="n">
        <x:f>Dashboard_Live_Data!AL95</x:f>
        <x:v>1363.804879466073</x:v>
      </x:c>
      <x:c r="G1566" t="n">
        <x:f>Dashboard_Live_Data!AM95</x:f>
        <x:v>-180</x:v>
      </x:c>
      <x:c r="H1566" t="n">
        <x:f>Dashboard_Live_Data!AN95</x:f>
        <x:v>1335.7335814317448</x:v>
      </x:c>
    </x:row>
    <x:row r="1567">
      <x:c r="A1567" t="n">
        <x:f>Dashboard_Live_Data!AG96</x:f>
        <x:v>-13.019999999999996</x:v>
      </x:c>
      <x:c r="B1567" t="n">
        <x:f>Dashboard_Live_Data!AH96</x:f>
        <x:v>2678.0766529929315</x:v>
      </x:c>
      <x:c r="C1567" t="n">
        <x:f>Dashboard_Live_Data!AI96</x:f>
        <x:v>-86.80000000000001</x:v>
      </x:c>
      <x:c r="D1567" t="n">
        <x:f>Dashboard_Live_Data!AJ96</x:f>
        <x:v>704.5466168692386</x:v>
      </x:c>
      <x:c r="E1567" t="n">
        <x:f>Dashboard_Live_Data!AK96</x:f>
        <x:v>-173.60000000000002</x:v>
      </x:c>
      <x:c r="F1567" t="n">
        <x:f>Dashboard_Live_Data!AL96</x:f>
        <x:v>1313.820661862484</x:v>
      </x:c>
      <x:c r="G1567" t="n">
        <x:f>Dashboard_Live_Data!AM96</x:f>
        <x:v>-173.60000000000002</x:v>
      </x:c>
      <x:c r="H1567" t="n">
        <x:f>Dashboard_Live_Data!AN96</x:f>
        <x:v>1285.9182668026356</x:v>
      </x:c>
    </x:row>
    <x:row r="1568">
      <x:c r="A1568" t="n">
        <x:f>Dashboard_Live_Data!AG97</x:f>
        <x:v>-12.479999999999997</x:v>
      </x:c>
      <x:c r="B1568" t="n">
        <x:f>Dashboard_Live_Data!AH97</x:f>
        <x:v>2677.8310774067595</x:v>
      </x:c>
      <x:c r="C1568" t="n">
        <x:f>Dashboard_Live_Data!AI97</x:f>
        <x:v>-83.19999999999999</x:v>
      </x:c>
      <x:c r="D1568" t="n">
        <x:f>Dashboard_Live_Data!AJ97</x:f>
        <x:v>679.3773518856626</x:v>
      </x:c>
      <x:c r="E1568" t="n">
        <x:f>Dashboard_Live_Data!AK97</x:f>
        <x:v>-166.39999999999998</x:v>
      </x:c>
      <x:c r="F1568" t="n">
        <x:f>Dashboard_Live_Data!AL97</x:f>
        <x:v>1258.1693986938863</x:v>
      </x:c>
      <x:c r="G1568" t="n">
        <x:f>Dashboard_Live_Data!AM97</x:f>
        <x:v>-166.39999999999998</x:v>
      </x:c>
      <x:c r="H1568" t="n">
        <x:f>Dashboard_Live_Data!AN97</x:f>
        <x:v>1230.4415066288307</x:v>
      </x:c>
    </x:row>
    <x:row r="1569">
      <x:c r="A1569" t="n">
        <x:f>Dashboard_Live_Data!AG98</x:f>
        <x:v>-12</x:v>
      </x:c>
      <x:c r="B1569" t="n">
        <x:f>Dashboard_Live_Data!AH98</x:f>
        <x:v>2677.621506506962</x:v>
      </x:c>
      <x:c r="C1569" t="n">
        <x:f>Dashboard_Live_Data!AI98</x:f>
        <x:v>-80</x:v>
      </x:c>
      <x:c r="D1569" t="n">
        <x:f>Dashboard_Live_Data!AJ98</x:f>
        <x:v>657.2706885164247</x:v>
      </x:c>
      <x:c r="E1569" t="n">
        <x:f>Dashboard_Live_Data!AK98</x:f>
        <x:v>-160</x:v>
      </x:c>
      <x:c r="F1569" t="n">
        <x:f>Dashboard_Live_Data!AL98</x:f>
        <x:v>1209.2143519498034</x:v>
      </x:c>
      <x:c r="G1569" t="n">
        <x:f>Dashboard_Live_Data!AM98</x:f>
        <x:v>-160</x:v>
      </x:c>
      <x:c r="H1569" t="n">
        <x:f>Dashboard_Live_Data!AN98</x:f>
        <x:v>1181.6244054437507</x:v>
      </x:c>
    </x:row>
    <x:row r="1570">
      <x:c r="A1570" t="n">
        <x:f>Dashboard_Live_Data!AG99</x:f>
        <x:v>-11.519999999999996</x:v>
      </x:c>
      <x:c r="B1570" t="n">
        <x:f>Dashboard_Live_Data!AH99</x:f>
        <x:v>2677.4201427373237</x:v>
      </x:c>
      <x:c r="C1570" t="n">
        <x:f>Dashboard_Live_Data!AI99</x:f>
        <x:v>-76.79999999999995</x:v>
      </x:c>
      <x:c r="D1570" t="n">
        <x:f>Dashboard_Live_Data!AJ99</x:f>
        <x:v>635.426085871894</x:v>
      </x:c>
      <x:c r="E1570" t="n">
        <x:f>Dashboard_Live_Data!AK99</x:f>
        <x:v>-153.5999999999999</x:v>
      </x:c>
      <x:c r="F1570" t="n">
        <x:f>Dashboard_Live_Data!AL99</x:f>
        <x:v>1160.7398106982935</x:v>
      </x:c>
      <x:c r="G1570" t="n">
        <x:f>Dashboard_Live_Data!AM99</x:f>
        <x:v>-153.5999999999999</x:v>
      </x:c>
      <x:c r="H1570" t="n">
        <x:f>Dashboard_Live_Data!AN99</x:f>
        <x:v>1133.2680310356866</x:v>
      </x:c>
    </x:row>
    <x:row r="1571">
      <x:c r="A1571" t="n">
        <x:f>Dashboard_Live_Data!AG100</x:f>
        <x:v>-10.980000000000004</x:v>
      </x:c>
      <x:c r="B1571" t="n">
        <x:f>Dashboard_Live_Data!AH100</x:f>
        <x:v>2677.2034202705154</x:v>
      </x:c>
      <x:c r="C1571" t="n">
        <x:f>Dashboard_Live_Data!AI100</x:f>
        <x:v>-73.20000000000005</x:v>
      </x:c>
      <x:c r="D1571" t="n">
        <x:f>Dashboard_Live_Data!AJ100</x:f>
        <x:v>611.1806207136659</x:v>
      </x:c>
      <x:c r="E1571" t="n">
        <x:f>Dashboard_Live_Data!AK100</x:f>
        <x:v>-146.4000000000001</x:v>
      </x:c>
      <x:c r="F1571" t="n">
        <x:f>Dashboard_Live_Data!AL100</x:f>
        <x:v>1106.77995128393</x:v>
      </x:c>
      <x:c r="G1571" t="n">
        <x:f>Dashboard_Live_Data!AM100</x:f>
        <x:v>-146.4000000000001</x:v>
      </x:c>
      <x:c r="H1571" t="n">
        <x:f>Dashboard_Live_Data!AN100</x:f>
        <x:v>1079.4124988914414</x:v>
      </x:c>
    </x:row>
    <x:row r="1572">
      <x:c r="A1572" t="n">
        <x:f>Dashboard_Live_Data!AG101</x:f>
        <x:v>-10.5</x:v>
      </x:c>
      <x:c r="B1572" t="n">
        <x:f>Dashboard_Live_Data!AH101</x:f>
        <x:v>2677.019501093122</x:v>
      </x:c>
      <x:c r="C1572" t="n">
        <x:f>Dashboard_Live_Data!AI101</x:f>
        <x:v>-70</x:v>
      </x:c>
      <x:c r="D1572" t="n">
        <x:f>Dashboard_Live_Data!AJ101</x:f>
        <x:v>589.9393087491328</x:v>
      </x:c>
      <x:c r="E1572" t="n">
        <x:f>Dashboard_Live_Data!AK101</x:f>
        <x:v>-140</x:v>
      </x:c>
      <x:c r="F1572" t="n">
        <x:f>Dashboard_Live_Data!AL101</x:f>
        <x:v>1059.3278163208254</x:v>
      </x:c>
      <x:c r="G1572" t="n">
        <x:f>Dashboard_Live_Data!AM101</x:f>
        <x:v>-140</x:v>
      </x:c>
      <x:c r="H1572" t="n">
        <x:f>Dashboard_Live_Data!AN101</x:f>
        <x:v>1032.0225937697833</x:v>
      </x:c>
    </x:row>
    <x:row r="1573">
      <x:c r="A1573" t="n">
        <x:f>Dashboard_Live_Data!AG102</x:f>
        <x:v>-10.020000000000003</x:v>
      </x:c>
      <x:c r="B1573" t="n">
        <x:f>Dashboard_Live_Data!AH102</x:f>
        <x:v>2676.843793107199</x:v>
      </x:c>
      <x:c r="C1573" t="n">
        <x:f>Dashboard_Live_Data!AI102</x:f>
        <x:v>-66.80000000000001</x:v>
      </x:c>
      <x:c r="D1573" t="n">
        <x:f>Dashboard_Live_Data!AJ102</x:f>
        <x:v>569.0088081002975</x:v>
      </x:c>
      <x:c r="E1573" t="n">
        <x:f>Dashboard_Live_Data!AK102</x:f>
        <x:v>-133.60000000000002</x:v>
      </x:c>
      <x:c r="F1573" t="n">
        <x:f>Dashboard_Live_Data!AL102</x:f>
        <x:v>1012.362240937457</x:v>
      </x:c>
      <x:c r="G1573" t="n">
        <x:f>Dashboard_Live_Data!AM102</x:f>
        <x:v>-133.60000000000002</x:v>
      </x:c>
      <x:c r="H1573" t="n">
        <x:f>Dashboard_Live_Data!AN102</x:f>
        <x:v>985.0850258038517</x:v>
      </x:c>
    </x:row>
    <x:row r="1574">
      <x:c r="A1574" t="n">
        <x:f>Dashboard_Live_Data!AG103</x:f>
        <x:v>-9.480000000000004</x:v>
      </x:c>
      <x:c r="B1574" t="n">
        <x:f>Dashboard_Live_Data!AH103</x:f>
        <x:v>2676.655938037531</x:v>
      </x:c>
      <x:c r="C1574" t="n">
        <x:f>Dashboard_Live_Data!AI103</x:f>
        <x:v>-63.19999999999999</x:v>
      </x:c>
      <x:c r="D1574" t="n">
        <x:f>Dashboard_Live_Data!AJ103</x:f>
        <x:v>545.8599335087318</x:v>
      </x:c>
      <x:c r="E1574" t="n">
        <x:f>Dashboard_Live_Data!AK103</x:f>
        <x:v>-126.39999999999998</x:v>
      </x:c>
      <x:c r="F1574" t="n">
        <x:f>Dashboard_Live_Data!AL103</x:f>
        <x:v>960.117033428206</x:v>
      </x:c>
      <x:c r="G1574" t="n">
        <x:f>Dashboard_Live_Data!AM103</x:f>
        <x:v>-126.39999999999998</x:v>
      </x:c>
      <x:c r="H1574" t="n">
        <x:f>Dashboard_Live_Data!AN103</x:f>
        <x:v>932.8227451453487</x:v>
      </x:c>
    </x:row>
    <x:row r="1575">
      <x:c r="A1575" t="n">
        <x:f>Dashboard_Live_Data!AG104</x:f>
        <x:v>-9</x:v>
      </x:c>
      <x:c r="B1575" t="n">
        <x:f>Dashboard_Live_Data!AH104</x:f>
        <x:v>2676.4976827030932</x:v>
      </x:c>
      <x:c r="C1575" t="n">
        <x:f>Dashboard_Live_Data!AI104</x:f>
        <x:v>-60</x:v>
      </x:c>
      <x:c r="D1575" t="n">
        <x:f>Dashboard_Live_Data!AJ104</x:f>
        <x:v>525.6642714445533</x:v>
      </x:c>
      <x:c r="E1575" t="n">
        <x:f>Dashboard_Live_Data!AK104</x:f>
        <x:v>-120</x:v>
      </x:c>
      <x:c r="F1575" t="n">
        <x:f>Dashboard_Live_Data!AL104</x:f>
        <x:v>914.2150944754102</x:v>
      </x:c>
      <x:c r="G1575" t="n">
        <x:f>Dashboard_Live_Data!AM104</x:f>
        <x:v>-120</x:v>
      </x:c>
      <x:c r="H1575" t="n">
        <x:f>Dashboard_Live_Data!AN104</x:f>
        <x:v>886.8544947202699</x:v>
      </x:c>
    </x:row>
    <x:row r="1576">
      <x:c r="A1576" t="n">
        <x:f>Dashboard_Live_Data!AG105</x:f>
        <x:v>-8.520000000000003</x:v>
      </x:c>
      <x:c r="B1576" t="n">
        <x:f>Dashboard_Live_Data!AH105</x:f>
        <x:v>2676.3476420836173</x:v>
      </x:c>
      <x:c r="C1576" t="n">
        <x:f>Dashboard_Live_Data!AI105</x:f>
        <x:v>-56.80000000000001</x:v>
      </x:c>
      <x:c r="D1576" t="n">
        <x:f>Dashboard_Live_Data!AJ105</x:f>
        <x:v>505.85734229616077</x:v>
      </x:c>
      <x:c r="E1576" t="n">
        <x:f>Dashboard_Live_Data!AK105</x:f>
        <x:v>-113.60000000000002</x:v>
      </x:c>
      <x:c r="F1576" t="n">
        <x:f>Dashboard_Live_Data!AL105</x:f>
        <x:v>868.8370802822063</x:v>
      </x:c>
      <x:c r="G1576" t="n">
        <x:f>Dashboard_Live_Data!AM105</x:f>
        <x:v>-113.60000000000002</x:v>
      </x:c>
      <x:c r="H1576" t="n">
        <x:f>Dashboard_Live_Data!AN105</x:f>
        <x:v>841.3532788829367</x:v>
      </x:c>
    </x:row>
    <x:row r="1577">
      <x:c r="A1577" t="n">
        <x:f>Dashboard_Live_Data!AG106</x:f>
        <x:v>-7.980000000000004</x:v>
      </x:c>
      <x:c r="B1577" t="n">
        <x:f>Dashboard_Live_Data!AH106</x:f>
        <x:v>2676.188666798151</x:v>
      </x:c>
      <x:c r="C1577" t="n">
        <x:f>Dashboard_Live_Data!AI106</x:f>
        <x:v>-53.19999999999999</x:v>
      </x:c>
      <x:c r="D1577" t="n">
        <x:f>Dashboard_Live_Data!AJ106</x:f>
        <x:v>484.08118424505756</x:v>
      </x:c>
      <x:c r="E1577" t="n">
        <x:f>Dashboard_Live_Data!AK106</x:f>
        <x:v>-106.39999999999998</x:v>
      </x:c>
      <x:c r="F1577" t="n">
        <x:f>Dashboard_Live_Data!AL106</x:f>
        <x:v>818.4420076699244</x:v>
      </x:c>
      <x:c r="G1577" t="n">
        <x:f>Dashboard_Live_Data!AM106</x:f>
        <x:v>-106.39999999999998</x:v>
      </x:c>
      <x:c r="H1577" t="n">
        <x:f>Dashboard_Live_Data!AN106</x:f>
        <x:v>790.7392217429494</x:v>
      </x:c>
    </x:row>
    <x:row r="1578">
      <x:c r="A1578" t="n">
        <x:f>Dashboard_Live_Data!AG107</x:f>
        <x:v>-7.5</x:v>
      </x:c>
      <x:c r="B1578" t="n">
        <x:f>Dashboard_Live_Data!AH107</x:f>
        <x:v>2676.0560857448104</x:v>
      </x:c>
      <x:c r="C1578" t="n">
        <x:f>Dashboard_Live_Data!AI107</x:f>
        <x:v>-50</x:v>
      </x:c>
      <x:c r="D1578" t="n">
        <x:f>Dashboard_Live_Data!AJ107</x:f>
        <x:v>465.21831918360385</x:v>
      </x:c>
      <x:c r="E1578" t="n">
        <x:f>Dashboard_Live_Data!AK107</x:f>
        <x:v>-100</x:v>
      </x:c>
      <x:c r="F1578" t="n">
        <x:f>Dashboard_Live_Data!AL107</x:f>
        <x:v>774.2635773636083</x:v>
      </x:c>
      <x:c r="G1578" t="n">
        <x:f>Dashboard_Live_Data!AM107</x:f>
        <x:v>-100</x:v>
      </x:c>
      <x:c r="H1578" t="n">
        <x:f>Dashboard_Live_Data!AN107</x:f>
        <x:v>746.2816902643984</x:v>
      </x:c>
    </x:row>
    <x:row r="1579">
      <x:c r="A1579" t="n">
        <x:f>Dashboard_Live_Data!AG108</x:f>
        <x:v>-7.019999999999996</x:v>
      </x:c>
      <x:c r="B1579" t="n">
        <x:f>Dashboard_Live_Data!AH108</x:f>
        <x:v>2675.93172239053</x:v>
      </x:c>
      <x:c r="C1579" t="n">
        <x:f>Dashboard_Live_Data!AI108</x:f>
        <x:v>-46.80000000000001</x:v>
      </x:c>
      <x:c r="D1579" t="n">
        <x:f>Dashboard_Live_Data!AJ108</x:f>
        <x:v>446.86749403358624</x:v>
      </x:c>
      <x:c r="E1579" t="n">
        <x:f>Dashboard_Live_Data!AK108</x:f>
        <x:v>-93.60000000000002</x:v>
      </x:c>
      <x:c r="F1579" t="n">
        <x:f>Dashboard_Live_Data!AL108</x:f>
        <x:v>730.7097325562099</x:v>
      </x:c>
      <x:c r="G1579" t="n">
        <x:f>Dashboard_Live_Data!AM108</x:f>
        <x:v>-93.60000000000002</x:v>
      </x:c>
      <x:c r="H1579" t="n">
        <x:f>Dashboard_Live_Data!AN108</x:f>
        <x:v>702.354778608177</x:v>
      </x:c>
    </x:row>
    <x:row r="1580">
      <x:c r="A1580" t="n">
        <x:f>Dashboard_Live_Data!AG109</x:f>
        <x:v>-6.479999999999997</x:v>
      </x:c>
      <x:c r="B1580" t="n">
        <x:f>Dashboard_Live_Data!AH109</x:f>
        <x:v>2675.801637380072</x:v>
      </x:c>
      <x:c r="C1580" t="n">
        <x:f>Dashboard_Live_Data!AI109</x:f>
        <x:v>-43.19999999999999</x:v>
      </x:c>
      <x:c r="D1580" t="n">
        <x:f>Dashboard_Live_Data!AJ109</x:f>
        <x:v>426.90066876687405</x:v>
      </x:c>
      <x:c r="E1580" t="n">
        <x:f>Dashboard_Live_Data!AK109</x:f>
        <x:v>-86.39999999999998</x:v>
      </x:c>
      <x:c r="F1580" t="n">
        <x:f>Dashboard_Live_Data!AL109</x:f>
        <x:v>682.5280213875686</x:v>
      </x:c>
      <x:c r="G1580" t="n">
        <x:f>Dashboard_Live_Data!AM109</x:f>
        <x:v>-86.39999999999998</x:v>
      </x:c>
      <x:c r="H1580" t="n">
        <x:f>Dashboard_Live_Data!AN109</x:f>
        <x:v>653.6204124325454</x:v>
      </x:c>
    </x:row>
    <x:row r="1581">
      <x:c r="A1581" t="n">
        <x:f>Dashboard_Live_Data!AG110</x:f>
        <x:v>-6</x:v>
      </x:c>
      <x:c r="B1581" t="n">
        <x:f>Dashboard_Live_Data!AH110</x:f>
        <x:v>2675.6947393589066</x:v>
      </x:c>
      <x:c r="C1581" t="n">
        <x:f>Dashboard_Live_Data!AI110</x:f>
        <x:v>-40</x:v>
      </x:c>
      <x:c r="D1581" t="n">
        <x:f>Dashboard_Live_Data!AJ110</x:f>
        <x:v>409.8223646341818</x:v>
      </x:c>
      <x:c r="E1581" t="n">
        <x:f>Dashboard_Live_Data!AK110</x:f>
        <x:v>-80</x:v>
      </x:c>
      <x:c r="F1581" t="n">
        <x:f>Dashboard_Live_Data!AL110</x:f>
        <x:v>640.5073835750494</x:v>
      </x:c>
      <x:c r="G1581" t="n">
        <x:f>Dashboard_Live_Data!AM110</x:f>
        <x:v>-80</x:v>
      </x:c>
      <x:c r="H1581" t="n">
        <x:f>Dashboard_Live_Data!AN110</x:f>
        <x:v>610.9686237412925</x:v>
      </x:c>
    </x:row>
    <x:row r="1582">
      <x:c r="A1582" t="n">
        <x:f>Dashboard_Live_Data!AG111</x:f>
        <x:v>-5.519999999999996</x:v>
      </x:c>
      <x:c r="B1582" t="n">
        <x:f>Dashboard_Live_Data!AH111</x:f>
        <x:v>2675.596061480153</x:v>
      </x:c>
      <x:c r="C1582" t="n">
        <x:f>Dashboard_Live_Data!AI111</x:f>
        <x:v>-36.80000000000001</x:v>
      </x:c>
      <x:c r="D1582" t="n">
        <x:f>Dashboard_Live_Data!AJ111</x:f>
        <x:v>393.44746490213646</x:v>
      </x:c>
      <x:c r="E1582" t="n">
        <x:f>Dashboard_Live_Data!AK111</x:f>
        <x:v>-73.60000000000002</x:v>
      </x:c>
      <x:c r="F1582" t="n">
        <x:f>Dashboard_Live_Data!AL111</x:f>
        <x:v>599.3484103990154</x:v>
      </x:c>
      <x:c r="G1582" t="n">
        <x:f>Dashboard_Live_Data!AM111</x:f>
        <x:v>-73.60000000000002</x:v>
      </x:c>
      <x:c r="H1582" t="n">
        <x:f>Dashboard_Live_Data!AN111</x:f>
        <x:v>569.0227686817443</x:v>
      </x:c>
    </x:row>
    <x:row r="1583">
      <x:c r="A1583" t="n">
        <x:f>Dashboard_Live_Data!AG112</x:f>
        <x:v>-4.979999999999997</x:v>
      </x:c>
      <x:c r="B1583" t="n">
        <x:f>Dashboard_Live_Data!AH112</x:f>
        <x:v>2675.494875334485</x:v>
      </x:c>
      <x:c r="C1583" t="n">
        <x:f>Dashboard_Live_Data!AI112</x:f>
        <x:v>-33.19999999999999</x:v>
      </x:c>
      <x:c r="D1583" t="n">
        <x:f>Dashboard_Live_Data!AJ112</x:f>
        <x:v>375.9660695790947</x:v>
      </x:c>
      <x:c r="E1583" t="n">
        <x:f>Dashboard_Live_Data!AK112</x:f>
        <x:v>-66.39999999999998</x:v>
      </x:c>
      <x:c r="F1583" t="n">
        <x:f>Dashboard_Live_Data!AL112</x:f>
        <x:v>554.2362316751039</x:v>
      </x:c>
      <x:c r="G1583" t="n">
        <x:f>Dashboard_Live_Data!AM112</x:f>
        <x:v>-66.39999999999998</x:v>
      </x:c>
      <x:c r="H1583" t="n">
        <x:f>Dashboard_Live_Data!AN112</x:f>
        <x:v>522.8056693168993</x:v>
      </x:c>
    </x:row>
    <x:row r="1584">
      <x:c r="A1584" t="n">
        <x:f>Dashboard_Live_Data!AG113</x:f>
        <x:v>-4.5</x:v>
      </x:c>
      <x:c r="B1584" t="n">
        <x:f>Dashboard_Live_Data!AH113</x:f>
        <x:v>2675.413667405526</x:v>
      </x:c>
      <x:c r="C1584" t="n">
        <x:f>Dashboard_Live_Data!AI113</x:f>
        <x:v>-30</x:v>
      </x:c>
      <x:c r="D1584" t="n">
        <x:f>Dashboard_Live_Data!AJ113</x:f>
        <x:v>361.3628330842782</x:v>
      </x:c>
      <x:c r="E1584" t="n">
        <x:f>Dashboard_Live_Data!AK113</x:f>
        <x:v>-60</x:v>
      </x:c>
      <x:c r="F1584" t="n">
        <x:f>Dashboard_Live_Data!AL113</x:f>
        <x:v>515.385935947316</x:v>
      </x:c>
      <x:c r="G1584" t="n">
        <x:f>Dashboard_Live_Data!AM113</x:f>
        <x:v>-60</x:v>
      </x:c>
      <x:c r="H1584" t="n">
        <x:f>Dashboard_Live_Data!AN113</x:f>
        <x:v>482.7443088432838</x:v>
      </x:c>
    </x:row>
    <x:row r="1585">
      <x:c r="A1585" t="n">
        <x:f>Dashboard_Live_Data!AG114</x:f>
        <x:v>-4.019999999999996</x:v>
      </x:c>
      <x:c r="B1585" t="n">
        <x:f>Dashboard_Live_Data!AH114</x:f>
        <x:v>2675.340681520537</x:v>
      </x:c>
      <x:c r="C1585" t="n">
        <x:f>Dashboard_Live_Data!AI114</x:f>
        <x:v>-26.799999999999955</x:v>
      </x:c>
      <x:c r="D1585" t="n">
        <x:f>Dashboard_Live_Data!AJ114</x:f>
        <x:v>347.7451277079186</x:v>
      </x:c>
      <x:c r="E1585" t="n">
        <x:f>Dashboard_Live_Data!AK114</x:f>
        <x:v>-53.59999999999991</x:v>
      </x:c>
      <x:c r="F1585" t="n">
        <x:f>Dashboard_Live_Data!AL114</x:f>
        <x:v>477.9486297496659</x:v>
      </x:c>
      <x:c r="G1585" t="n">
        <x:f>Dashboard_Live_Data!AM114</x:f>
        <x:v>-53.59999999999991</x:v>
      </x:c>
      <x:c r="H1585" t="n">
        <x:f>Dashboard_Live_Data!AN114</x:f>
        <x:v>443.8466445893456</x:v>
      </x:c>
    </x:row>
    <x:row r="1586">
      <x:c r="A1586" t="n">
        <x:f>Dashboard_Live_Data!AG115</x:f>
        <x:v>-3.480000000000004</x:v>
      </x:c>
      <x:c r="B1586" t="n">
        <x:f>Dashboard_Live_Data!AH115</x:f>
        <x:v>2675.2684009246454</x:v>
      </x:c>
      <x:c r="C1586" t="n">
        <x:f>Dashboard_Live_Data!AI115</x:f>
        <x:v>-23.200000000000045</x:v>
      </x:c>
      <x:c r="D1586" t="n">
        <x:f>Dashboard_Live_Data!AJ115</x:f>
        <x:v>333.7408733876195</x:v>
      </x:c>
      <x:c r="E1586" t="n">
        <x:f>Dashboard_Live_Data!AK115</x:f>
        <x:v>-46.40000000000009</x:v>
      </x:c>
      <x:c r="F1586" t="n">
        <x:f>Dashboard_Live_Data!AL115</x:f>
        <x:v>437.8992973190349</x:v>
      </x:c>
      <x:c r="G1586" t="n">
        <x:f>Dashboard_Live_Data!AM115</x:f>
        <x:v>-46.40000000000009</x:v>
      </x:c>
      <x:c r="H1586" t="n">
        <x:f>Dashboard_Live_Data!AN115</x:f>
        <x:v>401.81820551497754</x:v>
      </x:c>
    </x:row>
    <x:row r="1587">
      <x:c r="A1587" t="n">
        <x:f>Dashboard_Live_Data!AG116</x:f>
        <x:v>-3</x:v>
      </x:c>
      <x:c r="B1587" t="n">
        <x:f>Dashboard_Live_Data!AH116</x:f>
        <x:v>2675.2128884537788</x:v>
      </x:c>
      <x:c r="C1587" t="n">
        <x:f>Dashboard_Live_Data!AI116</x:f>
        <x:v>-20</x:v>
      </x:c>
      <x:c r="D1587" t="n">
        <x:f>Dashboard_Live_Data!AJ116</x:f>
        <x:v>322.5932252064959</x:v>
      </x:c>
      <x:c r="E1587" t="n">
        <x:f>Dashboard_Live_Data!AK116</x:f>
        <x:v>-40</x:v>
      </x:c>
      <x:c r="F1587" t="n">
        <x:f>Dashboard_Live_Data!AL116</x:f>
        <x:v>404.5820446556752</x:v>
      </x:c>
      <x:c r="G1587" t="n">
        <x:f>Dashboard_Live_Data!AM116</x:f>
        <x:v>-40</x:v>
      </x:c>
      <x:c r="H1587" t="n">
        <x:f>Dashboard_Live_Data!AN116</x:f>
        <x:v>366.42028097133147</x:v>
      </x:c>
    </x:row>
    <x:row r="1588">
      <x:c r="A1588" t="n">
        <x:f>Dashboard_Live_Data!AG117</x:f>
        <x:v>-2.520000000000003</x:v>
      </x:c>
      <x:c r="B1588" t="n">
        <x:f>Dashboard_Live_Data!AH117</x:f>
        <x:v>2675.165599385722</x:v>
      </x:c>
      <x:c r="C1588" t="n">
        <x:f>Dashboard_Live_Data!AI117</x:f>
        <x:v>-16.80000000000001</x:v>
      </x:c>
      <x:c r="D1588" t="n">
        <x:f>Dashboard_Live_Data!AJ117</x:f>
        <x:v>312.798084448728</x:v>
      </x:c>
      <x:c r="E1588" t="n">
        <x:f>Dashboard_Live_Data!AK117</x:f>
        <x:v>-33.60000000000002</x:v>
      </x:c>
      <x:c r="F1588" t="n">
        <x:f>Dashboard_Live_Data!AL117</x:f>
        <x:v>373.95808704286753</x:v>
      </x:c>
      <x:c r="G1588" t="n">
        <x:f>Dashboard_Live_Data!AM117</x:f>
        <x:v>-33.60000000000002</x:v>
      </x:c>
      <x:c r="H1588" t="n">
        <x:f>Dashboard_Live_Data!AN117</x:f>
        <x:v>333.41947696346216</x:v>
      </x:c>
    </x:row>
    <x:row r="1589">
      <x:c r="A1589" t="n">
        <x:f>Dashboard_Live_Data!AG118</x:f>
        <x:v>-1.980000000000004</x:v>
      </x:c>
      <x:c r="B1589" t="n">
        <x:f>Dashboard_Live_Data!AH118</x:f>
        <x:v>2675.122229116734</x:v>
      </x:c>
      <x:c r="C1589" t="n">
        <x:f>Dashboard_Live_Data!AI118</x:f>
        <x:v>-13.199999999999989</x:v>
      </x:c>
      <x:c r="D1589" t="n">
        <x:f>Dashboard_Live_Data!AJ118</x:f>
        <x:v>303.54886988121996</x:v>
      </x:c>
      <x:c r="E1589" t="n">
        <x:f>Dashboard_Live_Data!AK118</x:f>
        <x:v>-26.399999999999977</x:v>
      </x:c>
      <x:c r="F1589" t="n">
        <x:f>Dashboard_Live_Data!AL118</x:f>
        <x:v>343.5612623013572</x:v>
      </x:c>
      <x:c r="G1589" t="n">
        <x:f>Dashboard_Live_Data!AM118</x:f>
        <x:v>-26.399999999999977</x:v>
      </x:c>
      <x:c r="H1589" t="n">
        <x:f>Dashboard_Live_Data!AN118</x:f>
        <x:v>300.07341715264386</x:v>
      </x:c>
    </x:row>
    <x:row r="1590">
      <x:c r="A1590" t="n">
        <x:f>Dashboard_Live_Data!AG119</x:f>
        <x:v>-1.5</x:v>
      </x:c>
      <x:c r="B1590" t="n">
        <x:f>Dashboard_Live_Data!AH119</x:f>
        <x:v>2675.092415773223</x:v>
      </x:c>
      <x:c r="C1590" t="n">
        <x:f>Dashboard_Live_Data!AI119</x:f>
        <x:v>-10</x:v>
      </x:c>
      <x:c r="D1590" t="n">
        <x:f>Dashboard_Live_Data!AJ119</x:f>
        <x:v>297.0306183683265</x:v>
      </x:c>
      <x:c r="E1590" t="n">
        <x:f>Dashboard_Live_Data!AK119</x:f>
        <x:v>-20</x:v>
      </x:c>
      <x:c r="F1590" t="n">
        <x:f>Dashboard_Live_Data!AL119</x:f>
        <x:v>321.0492876738631</x:v>
      </x:c>
      <x:c r="G1590" t="n">
        <x:f>Dashboard_Live_Data!AM119</x:f>
        <x:v>-20</x:v>
      </x:c>
      <x:c r="H1590" t="n">
        <x:f>Dashboard_Live_Data!AN119</x:f>
        <x:v>274.8715173653501</x:v>
      </x:c>
    </x:row>
    <x:row r="1591">
      <x:c r="A1591" t="n">
        <x:f>Dashboard_Live_Data!AG120</x:f>
        <x:v>-1.0200000000000031</x:v>
      </x:c>
      <x:c r="B1591" t="n">
        <x:f>Dashboard_Live_Data!AH120</x:f>
        <x:v>2675.0708266480583</x:v>
      </x:c>
      <x:c r="C1591" t="n">
        <x:f>Dashboard_Live_Data!AI120</x:f>
        <x:v>-6.800000000000011</x:v>
      </x:c>
      <x:c r="D1591" t="n">
        <x:f>Dashboard_Live_Data!AJ120</x:f>
        <x:v>292.2232293769202</x:v>
      </x:c>
      <x:c r="E1591" t="n">
        <x:f>Dashboard_Live_Data!AK120</x:f>
        <x:v>-13.600000000000023</x:v>
      </x:c>
      <x:c r="F1591" t="n">
        <x:f>Dashboard_Live_Data!AL120</x:f>
        <x:v>303.73346224026676</x:v>
      </x:c>
      <x:c r="G1591" t="n">
        <x:f>Dashboard_Live_Data!AM120</x:f>
        <x:v>-13.600000000000023</x:v>
      </x:c>
      <x:c r="H1591" t="n">
        <x:f>Dashboard_Live_Data!AN120</x:f>
        <x:v>255.10349072494134</x:v>
      </x:c>
    </x:row>
    <x:row r="1592">
      <x:c r="A1592" t="n">
        <x:f>Dashboard_Live_Data!AG121</x:f>
        <x:v>-0.480000000000004</x:v>
      </x:c>
      <x:c r="B1592" t="n">
        <x:f>Dashboard_Live_Data!AH121</x:f>
        <x:v>2675.0563695731153</x:v>
      </x:c>
      <x:c r="C1592" t="n">
        <x:f>Dashboard_Live_Data!AI121</x:f>
        <x:v>-3.1999999999999886</x:v>
      </x:c>
      <x:c r="D1592" t="n">
        <x:f>Dashboard_Live_Data!AJ121</x:f>
        <x:v>288.96093772220826</x:v>
      </x:c>
      <x:c r="E1592" t="n">
        <x:f>Dashboard_Live_Data!AK121</x:f>
        <x:v>-6.399999999999977</x:v>
      </x:c>
      <x:c r="F1592" t="n">
        <x:f>Dashboard_Live_Data!AL121</x:f>
        <x:v>291.57635730626026</x:v>
      </x:c>
      <x:c r="G1592" t="n">
        <x:f>Dashboard_Live_Data!AM121</x:f>
        <x:v>-6.399999999999977</x:v>
      </x:c>
      <x:c r="H1592" t="n">
        <x:f>Dashboard_Live_Data!AN121</x:f>
        <x:v>240.97664531965657</x:v>
      </x:c>
    </x:row>
    <x:row r="1593">
      <x:c r="A1593" t="n">
        <x:f>Dashboard_Live_Data!AG122</x:f>
        <x:v>0</x:v>
      </x:c>
      <x:c r="B1593" t="n">
        <x:f>Dashboard_Live_Data!AH122</x:f>
        <x:v>2675.0522573279914</x:v>
      </x:c>
      <x:c r="C1593" t="n">
        <x:f>Dashboard_Live_Data!AI122</x:f>
        <x:v>0</x:v>
      </x:c>
      <x:c r="D1593" t="n">
        <x:f>Dashboard_Live_Data!AJ122</x:f>
        <x:v>288.0264897465142</x:v>
      </x:c>
      <x:c r="E1593" t="n">
        <x:f>Dashboard_Live_Data!AK122</x:f>
        <x:v>0</x:v>
      </x:c>
      <x:c r="F1593" t="n">
        <x:f>Dashboard_Live_Data!AL122</x:f>
        <x:v>288.0264897465142</x:v>
      </x:c>
      <x:c r="G1593" t="n">
        <x:f>Dashboard_Live_Data!AM122</x:f>
        <x:v>0</x:v>
      </x:c>
      <x:c r="H1593" t="n">
        <x:f>Dashboard_Live_Data!AN122</x:f>
        <x:v>236.80676373491008</x:v>
      </x:c>
    </x:row>
    <x:row r="1594">
      <x:c r="A1594" t="n">
        <x:f>Dashboard_Live_Data!AG123</x:f>
        <x:v>0.480000000000004</x:v>
      </x:c>
      <x:c r="B1594" t="n">
        <x:f>Dashboard_Live_Data!AH123</x:f>
        <x:v>2675.0563695731153</x:v>
      </x:c>
      <x:c r="C1594" t="n">
        <x:f>Dashboard_Live_Data!AI123</x:f>
        <x:v>3.1999999999999886</x:v>
      </x:c>
      <x:c r="D1594" t="n">
        <x:f>Dashboard_Live_Data!AJ123</x:f>
        <x:v>288.96093772220826</x:v>
      </x:c>
      <x:c r="E1594" t="n">
        <x:f>Dashboard_Live_Data!AK123</x:f>
        <x:v>6.399999999999977</x:v>
      </x:c>
      <x:c r="F1594" t="n">
        <x:f>Dashboard_Live_Data!AL123</x:f>
        <x:v>291.57635730626026</x:v>
      </x:c>
      <x:c r="G1594" t="n">
        <x:f>Dashboard_Live_Data!AM123</x:f>
        <x:v>6.399999999999977</x:v>
      </x:c>
      <x:c r="H1594" t="n">
        <x:f>Dashboard_Live_Data!AN123</x:f>
        <x:v>240.97664531965657</x:v>
      </x:c>
    </x:row>
    <x:row r="1595">
      <x:c r="A1595" t="n">
        <x:f>Dashboard_Live_Data!AG124</x:f>
        <x:v>1.019999999999996</x:v>
      </x:c>
      <x:c r="B1595" t="n">
        <x:f>Dashboard_Live_Data!AH124</x:f>
        <x:v>2675.0708266480583</x:v>
      </x:c>
      <x:c r="C1595" t="n">
        <x:f>Dashboard_Live_Data!AI124</x:f>
        <x:v>6.7999999999999545</x:v>
      </x:c>
      <x:c r="D1595" t="n">
        <x:f>Dashboard_Live_Data!AJ124</x:f>
        <x:v>292.2232293769202</x:v>
      </x:c>
      <x:c r="E1595" t="n">
        <x:f>Dashboard_Live_Data!AK124</x:f>
        <x:v>13.599999999999909</x:v>
      </x:c>
      <x:c r="F1595" t="n">
        <x:f>Dashboard_Live_Data!AL124</x:f>
        <x:v>303.73346224026676</x:v>
      </x:c>
      <x:c r="G1595" t="n">
        <x:f>Dashboard_Live_Data!AM124</x:f>
        <x:v>13.599999999999909</x:v>
      </x:c>
      <x:c r="H1595" t="n">
        <x:f>Dashboard_Live_Data!AN124</x:f>
        <x:v>255.10349072494134</x:v>
      </x:c>
    </x:row>
    <x:row r="1596">
      <x:c r="A1596" t="n">
        <x:f>Dashboard_Live_Data!AG125</x:f>
        <x:v>1.499999999999993</x:v>
      </x:c>
      <x:c r="B1596" t="n">
        <x:f>Dashboard_Live_Data!AH125</x:f>
        <x:v>2675.092415773223</x:v>
      </x:c>
      <x:c r="C1596" t="n">
        <x:f>Dashboard_Live_Data!AI125</x:f>
        <x:v>9.999999999999943</x:v>
      </x:c>
      <x:c r="D1596" t="n">
        <x:f>Dashboard_Live_Data!AJ125</x:f>
        <x:v>297.0306183683265</x:v>
      </x:c>
      <x:c r="E1596" t="n">
        <x:f>Dashboard_Live_Data!AK125</x:f>
        <x:v>19.999999999999886</x:v>
      </x:c>
      <x:c r="F1596" t="n">
        <x:f>Dashboard_Live_Data!AL125</x:f>
        <x:v>321.0492876738631</x:v>
      </x:c>
      <x:c r="G1596" t="n">
        <x:f>Dashboard_Live_Data!AM125</x:f>
        <x:v>19.999999999999886</x:v>
      </x:c>
      <x:c r="H1596" t="n">
        <x:f>Dashboard_Live_Data!AN125</x:f>
        <x:v>274.8715173653501</x:v>
      </x:c>
    </x:row>
    <x:row r="1597">
      <x:c r="A1597" t="n">
        <x:f>Dashboard_Live_Data!AG126</x:f>
        <x:v>1.9799999999999969</x:v>
      </x:c>
      <x:c r="B1597" t="n">
        <x:f>Dashboard_Live_Data!AH126</x:f>
        <x:v>2675.122229116734</x:v>
      </x:c>
      <x:c r="C1597" t="n">
        <x:f>Dashboard_Live_Data!AI126</x:f>
        <x:v>13.199999999999989</x:v>
      </x:c>
      <x:c r="D1597" t="n">
        <x:f>Dashboard_Live_Data!AJ126</x:f>
        <x:v>303.54886988121996</x:v>
      </x:c>
      <x:c r="E1597" t="n">
        <x:f>Dashboard_Live_Data!AK126</x:f>
        <x:v>26.399999999999977</x:v>
      </x:c>
      <x:c r="F1597" t="n">
        <x:f>Dashboard_Live_Data!AL126</x:f>
        <x:v>343.5612623013572</x:v>
      </x:c>
      <x:c r="G1597" t="n">
        <x:f>Dashboard_Live_Data!AM126</x:f>
        <x:v>26.399999999999977</x:v>
      </x:c>
      <x:c r="H1597" t="n">
        <x:f>Dashboard_Live_Data!AN126</x:f>
        <x:v>300.07341715264386</x:v>
      </x:c>
    </x:row>
    <x:row r="1598">
      <x:c r="A1598" t="n">
        <x:f>Dashboard_Live_Data!AG127</x:f>
        <x:v>2.520000000000003</x:v>
      </x:c>
      <x:c r="B1598" t="n">
        <x:f>Dashboard_Live_Data!AH127</x:f>
        <x:v>2675.165599385722</x:v>
      </x:c>
      <x:c r="C1598" t="n">
        <x:f>Dashboard_Live_Data!AI127</x:f>
        <x:v>16.80000000000001</x:v>
      </x:c>
      <x:c r="D1598" t="n">
        <x:f>Dashboard_Live_Data!AJ127</x:f>
        <x:v>312.798084448728</x:v>
      </x:c>
      <x:c r="E1598" t="n">
        <x:f>Dashboard_Live_Data!AK127</x:f>
        <x:v>33.60000000000002</x:v>
      </x:c>
      <x:c r="F1598" t="n">
        <x:f>Dashboard_Live_Data!AL127</x:f>
        <x:v>373.95808704286753</x:v>
      </x:c>
      <x:c r="G1598" t="n">
        <x:f>Dashboard_Live_Data!AM127</x:f>
        <x:v>33.60000000000002</x:v>
      </x:c>
      <x:c r="H1598" t="n">
        <x:f>Dashboard_Live_Data!AN127</x:f>
        <x:v>333.41947696346216</x:v>
      </x:c>
    </x:row>
    <x:row r="1599">
      <x:c r="A1599" t="n">
        <x:f>Dashboard_Live_Data!AG128</x:f>
        <x:v>3</x:v>
      </x:c>
      <x:c r="B1599" t="n">
        <x:f>Dashboard_Live_Data!AH128</x:f>
        <x:v>2675.2128884537788</x:v>
      </x:c>
      <x:c r="C1599" t="n">
        <x:f>Dashboard_Live_Data!AI128</x:f>
        <x:v>20</x:v>
      </x:c>
      <x:c r="D1599" t="n">
        <x:f>Dashboard_Live_Data!AJ128</x:f>
        <x:v>322.5932252064959</x:v>
      </x:c>
      <x:c r="E1599" t="n">
        <x:f>Dashboard_Live_Data!AK128</x:f>
        <x:v>40</x:v>
      </x:c>
      <x:c r="F1599" t="n">
        <x:f>Dashboard_Live_Data!AL128</x:f>
        <x:v>404.5820446556752</x:v>
      </x:c>
      <x:c r="G1599" t="n">
        <x:f>Dashboard_Live_Data!AM128</x:f>
        <x:v>40</x:v>
      </x:c>
      <x:c r="H1599" t="n">
        <x:f>Dashboard_Live_Data!AN128</x:f>
        <x:v>366.42028097133147</x:v>
      </x:c>
    </x:row>
    <x:row r="1600">
      <x:c r="A1600" t="n">
        <x:f>Dashboard_Live_Data!AG129</x:f>
        <x:v>3.480000000000004</x:v>
      </x:c>
      <x:c r="B1600" t="n">
        <x:f>Dashboard_Live_Data!AH129</x:f>
        <x:v>2675.2684009246454</x:v>
      </x:c>
      <x:c r="C1600" t="n">
        <x:f>Dashboard_Live_Data!AI129</x:f>
        <x:v>23.200000000000045</x:v>
      </x:c>
      <x:c r="D1600" t="n">
        <x:f>Dashboard_Live_Data!AJ129</x:f>
        <x:v>333.7408733876195</x:v>
      </x:c>
      <x:c r="E1600" t="n">
        <x:f>Dashboard_Live_Data!AK129</x:f>
        <x:v>46.40000000000009</x:v>
      </x:c>
      <x:c r="F1600" t="n">
        <x:f>Dashboard_Live_Data!AL129</x:f>
        <x:v>437.8992973190349</x:v>
      </x:c>
      <x:c r="G1600" t="n">
        <x:f>Dashboard_Live_Data!AM129</x:f>
        <x:v>46.40000000000009</x:v>
      </x:c>
      <x:c r="H1600" t="n">
        <x:f>Dashboard_Live_Data!AN129</x:f>
        <x:v>401.81820551497754</x:v>
      </x:c>
    </x:row>
    <x:row r="1601">
      <x:c r="A1601" t="n">
        <x:f>Dashboard_Live_Data!AG130</x:f>
        <x:v>4.019999999999996</x:v>
      </x:c>
      <x:c r="B1601" t="n">
        <x:f>Dashboard_Live_Data!AH130</x:f>
        <x:v>2675.340681520537</x:v>
      </x:c>
      <x:c r="C1601" t="n">
        <x:f>Dashboard_Live_Data!AI130</x:f>
        <x:v>26.799999999999955</x:v>
      </x:c>
      <x:c r="D1601" t="n">
        <x:f>Dashboard_Live_Data!AJ130</x:f>
        <x:v>347.7451277079186</x:v>
      </x:c>
      <x:c r="E1601" t="n">
        <x:f>Dashboard_Live_Data!AK130</x:f>
        <x:v>53.59999999999991</x:v>
      </x:c>
      <x:c r="F1601" t="n">
        <x:f>Dashboard_Live_Data!AL130</x:f>
        <x:v>477.9486297496659</x:v>
      </x:c>
      <x:c r="G1601" t="n">
        <x:f>Dashboard_Live_Data!AM130</x:f>
        <x:v>53.59999999999991</x:v>
      </x:c>
      <x:c r="H1601" t="n">
        <x:f>Dashboard_Live_Data!AN130</x:f>
        <x:v>443.8466445893456</x:v>
      </x:c>
    </x:row>
    <x:row r="1602">
      <x:c r="A1602" t="n">
        <x:f>Dashboard_Live_Data!AG131</x:f>
        <x:v>4.5</x:v>
      </x:c>
      <x:c r="B1602" t="n">
        <x:f>Dashboard_Live_Data!AH131</x:f>
        <x:v>2675.413667405526</x:v>
      </x:c>
      <x:c r="C1602" t="n">
        <x:f>Dashboard_Live_Data!AI131</x:f>
        <x:v>30</x:v>
      </x:c>
      <x:c r="D1602" t="n">
        <x:f>Dashboard_Live_Data!AJ131</x:f>
        <x:v>361.3628330842782</x:v>
      </x:c>
      <x:c r="E1602" t="n">
        <x:f>Dashboard_Live_Data!AK131</x:f>
        <x:v>60</x:v>
      </x:c>
      <x:c r="F1602" t="n">
        <x:f>Dashboard_Live_Data!AL131</x:f>
        <x:v>515.385935947316</x:v>
      </x:c>
      <x:c r="G1602" t="n">
        <x:f>Dashboard_Live_Data!AM131</x:f>
        <x:v>60</x:v>
      </x:c>
      <x:c r="H1602" t="n">
        <x:f>Dashboard_Live_Data!AN131</x:f>
        <x:v>482.7443088432838</x:v>
      </x:c>
    </x:row>
    <x:row r="1603">
      <x:c r="A1603" t="n">
        <x:f>Dashboard_Live_Data!AG132</x:f>
        <x:v>4.980000000000004</x:v>
      </x:c>
      <x:c r="B1603" t="n">
        <x:f>Dashboard_Live_Data!AH132</x:f>
        <x:v>2675.494875334485</x:v>
      </x:c>
      <x:c r="C1603" t="n">
        <x:f>Dashboard_Live_Data!AI132</x:f>
        <x:v>33.19999999999999</x:v>
      </x:c>
      <x:c r="D1603" t="n">
        <x:f>Dashboard_Live_Data!AJ132</x:f>
        <x:v>375.9660695790947</x:v>
      </x:c>
      <x:c r="E1603" t="n">
        <x:f>Dashboard_Live_Data!AK132</x:f>
        <x:v>66.39999999999998</x:v>
      </x:c>
      <x:c r="F1603" t="n">
        <x:f>Dashboard_Live_Data!AL132</x:f>
        <x:v>554.2362316751039</x:v>
      </x:c>
      <x:c r="G1603" t="n">
        <x:f>Dashboard_Live_Data!AM132</x:f>
        <x:v>66.39999999999998</x:v>
      </x:c>
      <x:c r="H1603" t="n">
        <x:f>Dashboard_Live_Data!AN132</x:f>
        <x:v>522.8056693168993</x:v>
      </x:c>
    </x:row>
    <x:row r="1604">
      <x:c r="A1604" t="n">
        <x:f>Dashboard_Live_Data!AG133</x:f>
        <x:v>5.52000000000001</x:v>
      </x:c>
      <x:c r="B1604" t="n">
        <x:f>Dashboard_Live_Data!AH133</x:f>
        <x:v>2675.596061480153</x:v>
      </x:c>
      <x:c r="C1604" t="n">
        <x:f>Dashboard_Live_Data!AI133</x:f>
        <x:v>36.80000000000001</x:v>
      </x:c>
      <x:c r="D1604" t="n">
        <x:f>Dashboard_Live_Data!AJ133</x:f>
        <x:v>393.44746490213646</x:v>
      </x:c>
      <x:c r="E1604" t="n">
        <x:f>Dashboard_Live_Data!AK133</x:f>
        <x:v>73.60000000000002</x:v>
      </x:c>
      <x:c r="F1604" t="n">
        <x:f>Dashboard_Live_Data!AL133</x:f>
        <x:v>599.3484103990154</x:v>
      </x:c>
      <x:c r="G1604" t="n">
        <x:f>Dashboard_Live_Data!AM133</x:f>
        <x:v>73.60000000000002</x:v>
      </x:c>
      <x:c r="H1604" t="n">
        <x:f>Dashboard_Live_Data!AN133</x:f>
        <x:v>569.0227686817443</x:v>
      </x:c>
    </x:row>
    <x:row r="1605">
      <x:c r="A1605" t="n">
        <x:f>Dashboard_Live_Data!AG134</x:f>
        <x:v>6</x:v>
      </x:c>
      <x:c r="B1605" t="n">
        <x:f>Dashboard_Live_Data!AH134</x:f>
        <x:v>2675.6947393589066</x:v>
      </x:c>
      <x:c r="C1605" t="n">
        <x:f>Dashboard_Live_Data!AI134</x:f>
        <x:v>40.00000000000006</x:v>
      </x:c>
      <x:c r="D1605" t="n">
        <x:f>Dashboard_Live_Data!AJ134</x:f>
        <x:v>409.8223646341818</x:v>
      </x:c>
      <x:c r="E1605" t="n">
        <x:f>Dashboard_Live_Data!AK134</x:f>
        <x:v>80.00000000000011</x:v>
      </x:c>
      <x:c r="F1605" t="n">
        <x:f>Dashboard_Live_Data!AL134</x:f>
        <x:v>640.5073835750494</x:v>
      </x:c>
      <x:c r="G1605" t="n">
        <x:f>Dashboard_Live_Data!AM134</x:f>
        <x:v>80.00000000000011</x:v>
      </x:c>
      <x:c r="H1605" t="n">
        <x:f>Dashboard_Live_Data!AN134</x:f>
        <x:v>610.9686237412925</x:v>
      </x:c>
    </x:row>
    <x:row r="1606">
      <x:c r="A1606" t="n">
        <x:f>Dashboard_Live_Data!AG135</x:f>
        <x:v>6.480000000000004</x:v>
      </x:c>
      <x:c r="B1606" t="n">
        <x:f>Dashboard_Live_Data!AH135</x:f>
        <x:v>2675.801637380072</x:v>
      </x:c>
      <x:c r="C1606" t="n">
        <x:f>Dashboard_Live_Data!AI135</x:f>
        <x:v>43.200000000000045</x:v>
      </x:c>
      <x:c r="D1606" t="n">
        <x:f>Dashboard_Live_Data!AJ135</x:f>
        <x:v>426.90066876687405</x:v>
      </x:c>
      <x:c r="E1606" t="n">
        <x:f>Dashboard_Live_Data!AK135</x:f>
        <x:v>86.40000000000009</x:v>
      </x:c>
      <x:c r="F1606" t="n">
        <x:f>Dashboard_Live_Data!AL135</x:f>
        <x:v>682.5280213875686</x:v>
      </x:c>
      <x:c r="G1606" t="n">
        <x:f>Dashboard_Live_Data!AM135</x:f>
        <x:v>86.40000000000009</x:v>
      </x:c>
      <x:c r="H1606" t="n">
        <x:f>Dashboard_Live_Data!AN135</x:f>
        <x:v>653.6204124325454</x:v>
      </x:c>
    </x:row>
    <x:row r="1607">
      <x:c r="A1607" t="n">
        <x:f>Dashboard_Live_Data!AG136</x:f>
        <x:v>7.019999999999996</x:v>
      </x:c>
      <x:c r="B1607" t="n">
        <x:f>Dashboard_Live_Data!AH136</x:f>
        <x:v>2675.93172239053</x:v>
      </x:c>
      <x:c r="C1607" t="n">
        <x:f>Dashboard_Live_Data!AI136</x:f>
        <x:v>46.80000000000001</x:v>
      </x:c>
      <x:c r="D1607" t="n">
        <x:f>Dashboard_Live_Data!AJ136</x:f>
        <x:v>446.86749403358624</x:v>
      </x:c>
      <x:c r="E1607" t="n">
        <x:f>Dashboard_Live_Data!AK136</x:f>
        <x:v>93.60000000000002</x:v>
      </x:c>
      <x:c r="F1607" t="n">
        <x:f>Dashboard_Live_Data!AL136</x:f>
        <x:v>730.7097325562099</x:v>
      </x:c>
      <x:c r="G1607" t="n">
        <x:f>Dashboard_Live_Data!AM136</x:f>
        <x:v>93.60000000000002</x:v>
      </x:c>
      <x:c r="H1607" t="n">
        <x:f>Dashboard_Live_Data!AN136</x:f>
        <x:v>702.354778608177</x:v>
      </x:c>
    </x:row>
    <x:row r="1608">
      <x:c r="A1608" t="n">
        <x:f>Dashboard_Live_Data!AG137</x:f>
        <x:v>7.5</x:v>
      </x:c>
      <x:c r="B1608" t="n">
        <x:f>Dashboard_Live_Data!AH137</x:f>
        <x:v>2676.0560857448104</x:v>
      </x:c>
      <x:c r="C1608" t="n">
        <x:f>Dashboard_Live_Data!AI137</x:f>
        <x:v>50</x:v>
      </x:c>
      <x:c r="D1608" t="n">
        <x:f>Dashboard_Live_Data!AJ137</x:f>
        <x:v>465.21831918360385</x:v>
      </x:c>
      <x:c r="E1608" t="n">
        <x:f>Dashboard_Live_Data!AK137</x:f>
        <x:v>100</x:v>
      </x:c>
      <x:c r="F1608" t="n">
        <x:f>Dashboard_Live_Data!AL137</x:f>
        <x:v>774.2635773636083</x:v>
      </x:c>
      <x:c r="G1608" t="n">
        <x:f>Dashboard_Live_Data!AM137</x:f>
        <x:v>100</x:v>
      </x:c>
      <x:c r="H1608" t="n">
        <x:f>Dashboard_Live_Data!AN137</x:f>
        <x:v>746.2816902643984</x:v>
      </x:c>
    </x:row>
    <x:row r="1609">
      <x:c r="A1609" t="n">
        <x:f>Dashboard_Live_Data!AG138</x:f>
        <x:v>7.980000000000004</x:v>
      </x:c>
      <x:c r="B1609" t="n">
        <x:f>Dashboard_Live_Data!AH138</x:f>
        <x:v>2676.188666798151</x:v>
      </x:c>
      <x:c r="C1609" t="n">
        <x:f>Dashboard_Live_Data!AI138</x:f>
        <x:v>53.19999999999999</x:v>
      </x:c>
      <x:c r="D1609" t="n">
        <x:f>Dashboard_Live_Data!AJ138</x:f>
        <x:v>484.08118424505756</x:v>
      </x:c>
      <x:c r="E1609" t="n">
        <x:f>Dashboard_Live_Data!AK138</x:f>
        <x:v>106.39999999999998</x:v>
      </x:c>
      <x:c r="F1609" t="n">
        <x:f>Dashboard_Live_Data!AL138</x:f>
        <x:v>818.4420076699244</x:v>
      </x:c>
      <x:c r="G1609" t="n">
        <x:f>Dashboard_Live_Data!AM138</x:f>
        <x:v>106.39999999999998</x:v>
      </x:c>
      <x:c r="H1609" t="n">
        <x:f>Dashboard_Live_Data!AN138</x:f>
        <x:v>790.7392217429494</x:v>
      </x:c>
    </x:row>
    <x:row r="1610">
      <x:c r="A1610" t="n">
        <x:f>Dashboard_Live_Data!AG139</x:f>
        <x:v>8.519999999999996</x:v>
      </x:c>
      <x:c r="B1610" t="n">
        <x:f>Dashboard_Live_Data!AH139</x:f>
        <x:v>2676.3476420836173</x:v>
      </x:c>
      <x:c r="C1610" t="n">
        <x:f>Dashboard_Live_Data!AI139</x:f>
        <x:v>56.799999999999955</x:v>
      </x:c>
      <x:c r="D1610" t="n">
        <x:f>Dashboard_Live_Data!AJ139</x:f>
        <x:v>505.85734229616077</x:v>
      </x:c>
      <x:c r="E1610" t="n">
        <x:f>Dashboard_Live_Data!AK139</x:f>
        <x:v>113.59999999999991</x:v>
      </x:c>
      <x:c r="F1610" t="n">
        <x:f>Dashboard_Live_Data!AL139</x:f>
        <x:v>868.8370802821825</x:v>
      </x:c>
      <x:c r="G1610" t="n">
        <x:f>Dashboard_Live_Data!AM139</x:f>
        <x:v>113.59999999999991</x:v>
      </x:c>
      <x:c r="H1610" t="n">
        <x:f>Dashboard_Live_Data!AN139</x:f>
        <x:v>841.3532788829613</x:v>
      </x:c>
    </x:row>
    <x:row r="1611">
      <x:c r="A1611" t="n">
        <x:f>Dashboard_Live_Data!AG140</x:f>
        <x:v>9</x:v>
      </x:c>
      <x:c r="B1611" t="n">
        <x:f>Dashboard_Live_Data!AH140</x:f>
        <x:v>2676.4976827030932</x:v>
      </x:c>
      <x:c r="C1611" t="n">
        <x:f>Dashboard_Live_Data!AI140</x:f>
        <x:v>59.99999999999994</x:v>
      </x:c>
      <x:c r="D1611" t="n">
        <x:f>Dashboard_Live_Data!AJ140</x:f>
        <x:v>525.6642714445533</x:v>
      </x:c>
      <x:c r="E1611" t="n">
        <x:f>Dashboard_Live_Data!AK140</x:f>
        <x:v>119.99999999999989</x:v>
      </x:c>
      <x:c r="F1611" t="n">
        <x:f>Dashboard_Live_Data!AL140</x:f>
        <x:v>914.2150944753647</x:v>
      </x:c>
      <x:c r="G1611" t="n">
        <x:f>Dashboard_Live_Data!AM140</x:f>
        <x:v>119.99999999999989</x:v>
      </x:c>
      <x:c r="H1611" t="n">
        <x:f>Dashboard_Live_Data!AN140</x:f>
        <x:v>886.8544947202699</x:v>
      </x:c>
    </x:row>
    <x:row r="1612">
      <x:c r="A1612" t="n">
        <x:f>Dashboard_Live_Data!AG141</x:f>
        <x:v>9.47999999999999</x:v>
      </x:c>
      <x:c r="B1612" t="n">
        <x:f>Dashboard_Live_Data!AH141</x:f>
        <x:v>2676.655938037531</x:v>
      </x:c>
      <x:c r="C1612" t="n">
        <x:f>Dashboard_Live_Data!AI141</x:f>
        <x:v>63.19999999999999</x:v>
      </x:c>
      <x:c r="D1612" t="n">
        <x:f>Dashboard_Live_Data!AJ141</x:f>
        <x:v>545.8599335087318</x:v>
      </x:c>
      <x:c r="E1612" t="n">
        <x:f>Dashboard_Live_Data!AK141</x:f>
        <x:v>126.39999999999998</x:v>
      </x:c>
      <x:c r="F1612" t="n">
        <x:f>Dashboard_Live_Data!AL141</x:f>
        <x:v>960.117033428206</x:v>
      </x:c>
      <x:c r="G1612" t="n">
        <x:f>Dashboard_Live_Data!AM141</x:f>
        <x:v>126.39999999999998</x:v>
      </x:c>
      <x:c r="H1612" t="n">
        <x:f>Dashboard_Live_Data!AN141</x:f>
        <x:v>932.8227451453487</x:v>
      </x:c>
    </x:row>
    <x:row r="1613">
      <x:c r="A1613" t="n">
        <x:f>Dashboard_Live_Data!AG142</x:f>
        <x:v>10.019999999999996</x:v>
      </x:c>
      <x:c r="B1613" t="n">
        <x:f>Dashboard_Live_Data!AH142</x:f>
        <x:v>2676.843793107199</x:v>
      </x:c>
      <x:c r="C1613" t="n">
        <x:f>Dashboard_Live_Data!AI142</x:f>
        <x:v>66.80000000000001</x:v>
      </x:c>
      <x:c r="D1613" t="n">
        <x:f>Dashboard_Live_Data!AJ142</x:f>
        <x:v>569.0088081002975</x:v>
      </x:c>
      <x:c r="E1613" t="n">
        <x:f>Dashboard_Live_Data!AK142</x:f>
        <x:v>133.60000000000002</x:v>
      </x:c>
      <x:c r="F1613" t="n">
        <x:f>Dashboard_Live_Data!AL142</x:f>
        <x:v>1012.362240937457</x:v>
      </x:c>
      <x:c r="G1613" t="n">
        <x:f>Dashboard_Live_Data!AM142</x:f>
        <x:v>133.60000000000002</x:v>
      </x:c>
      <x:c r="H1613" t="n">
        <x:f>Dashboard_Live_Data!AN142</x:f>
        <x:v>985.0850258038517</x:v>
      </x:c>
    </x:row>
    <x:row r="1614">
      <x:c r="A1614" t="n">
        <x:f>Dashboard_Live_Data!AG143</x:f>
        <x:v>10.5</x:v>
      </x:c>
      <x:c r="B1614" t="n">
        <x:f>Dashboard_Live_Data!AH143</x:f>
        <x:v>2677.019501093122</x:v>
      </x:c>
      <x:c r="C1614" t="n">
        <x:f>Dashboard_Live_Data!AI143</x:f>
        <x:v>70</x:v>
      </x:c>
      <x:c r="D1614" t="n">
        <x:f>Dashboard_Live_Data!AJ143</x:f>
        <x:v>589.9393087491328</x:v>
      </x:c>
      <x:c r="E1614" t="n">
        <x:f>Dashboard_Live_Data!AK143</x:f>
        <x:v>140</x:v>
      </x:c>
      <x:c r="F1614" t="n">
        <x:f>Dashboard_Live_Data!AL143</x:f>
        <x:v>1059.3278163208254</x:v>
      </x:c>
      <x:c r="G1614" t="n">
        <x:f>Dashboard_Live_Data!AM143</x:f>
        <x:v>140</x:v>
      </x:c>
      <x:c r="H1614" t="n">
        <x:f>Dashboard_Live_Data!AN143</x:f>
        <x:v>1032.0225937697833</x:v>
      </x:c>
    </x:row>
    <x:row r="1615">
      <x:c r="A1615" t="n">
        <x:f>Dashboard_Live_Data!AG144</x:f>
        <x:v>10.980000000000004</x:v>
      </x:c>
      <x:c r="B1615" t="n">
        <x:f>Dashboard_Live_Data!AH144</x:f>
        <x:v>2677.2034202705154</x:v>
      </x:c>
      <x:c r="C1615" t="n">
        <x:f>Dashboard_Live_Data!AI144</x:f>
        <x:v>73.20000000000005</x:v>
      </x:c>
      <x:c r="D1615" t="n">
        <x:f>Dashboard_Live_Data!AJ144</x:f>
        <x:v>611.1806207136659</x:v>
      </x:c>
      <x:c r="E1615" t="n">
        <x:f>Dashboard_Live_Data!AK144</x:f>
        <x:v>146.4000000000001</x:v>
      </x:c>
      <x:c r="F1615" t="n">
        <x:f>Dashboard_Live_Data!AL144</x:f>
        <x:v>1106.77995128393</x:v>
      </x:c>
      <x:c r="G1615" t="n">
        <x:f>Dashboard_Live_Data!AM144</x:f>
        <x:v>146.4000000000001</x:v>
      </x:c>
      <x:c r="H1615" t="n">
        <x:f>Dashboard_Live_Data!AN144</x:f>
        <x:v>1079.4124988914414</x:v>
      </x:c>
    </x:row>
    <x:row r="1616">
      <x:c r="A1616" t="n">
        <x:f>Dashboard_Live_Data!AG145</x:f>
        <x:v>11.519999999999996</x:v>
      </x:c>
      <x:c r="B1616" t="n">
        <x:f>Dashboard_Live_Data!AH145</x:f>
        <x:v>2677.4201427373237</x:v>
      </x:c>
      <x:c r="C1616" t="n">
        <x:f>Dashboard_Live_Data!AI145</x:f>
        <x:v>76.79999999999995</x:v>
      </x:c>
      <x:c r="D1616" t="n">
        <x:f>Dashboard_Live_Data!AJ145</x:f>
        <x:v>635.426085871894</x:v>
      </x:c>
      <x:c r="E1616" t="n">
        <x:f>Dashboard_Live_Data!AK145</x:f>
        <x:v>153.5999999999999</x:v>
      </x:c>
      <x:c r="F1616" t="n">
        <x:f>Dashboard_Live_Data!AL145</x:f>
        <x:v>1160.7398106982935</x:v>
      </x:c>
      <x:c r="G1616" t="n">
        <x:f>Dashboard_Live_Data!AM145</x:f>
        <x:v>153.5999999999999</x:v>
      </x:c>
      <x:c r="H1616" t="n">
        <x:f>Dashboard_Live_Data!AN145</x:f>
        <x:v>1133.2680310356866</x:v>
      </x:c>
    </x:row>
    <x:row r="1617">
      <x:c r="A1617" t="n">
        <x:f>Dashboard_Live_Data!AG146</x:f>
        <x:v>12</x:v>
      </x:c>
      <x:c r="B1617" t="n">
        <x:f>Dashboard_Live_Data!AH146</x:f>
        <x:v>2677.621506506962</x:v>
      </x:c>
      <x:c r="C1617" t="n">
        <x:f>Dashboard_Live_Data!AI146</x:f>
        <x:v>80</x:v>
      </x:c>
      <x:c r="D1617" t="n">
        <x:f>Dashboard_Live_Data!AJ146</x:f>
        <x:v>657.2706885164247</x:v>
      </x:c>
      <x:c r="E1617" t="n">
        <x:f>Dashboard_Live_Data!AK146</x:f>
        <x:v>160</x:v>
      </x:c>
      <x:c r="F1617" t="n">
        <x:f>Dashboard_Live_Data!AL146</x:f>
        <x:v>1209.2143519498034</x:v>
      </x:c>
      <x:c r="G1617" t="n">
        <x:f>Dashboard_Live_Data!AM146</x:f>
        <x:v>160</x:v>
      </x:c>
      <x:c r="H1617" t="n">
        <x:f>Dashboard_Live_Data!AN146</x:f>
        <x:v>1181.6244054437507</x:v>
      </x:c>
    </x:row>
    <x:row r="1618">
      <x:c r="A1618" t="n">
        <x:f>Dashboard_Live_Data!AG147</x:f>
        <x:v>12.480000000000004</x:v>
      </x:c>
      <x:c r="B1618" t="n">
        <x:f>Dashboard_Live_Data!AH147</x:f>
        <x:v>2677.8310774067595</x:v>
      </x:c>
      <x:c r="C1618" t="n">
        <x:f>Dashboard_Live_Data!AI147</x:f>
        <x:v>83.19999999999999</x:v>
      </x:c>
      <x:c r="D1618" t="n">
        <x:f>Dashboard_Live_Data!AJ147</x:f>
        <x:v>679.3773518856626</x:v>
      </x:c>
      <x:c r="E1618" t="n">
        <x:f>Dashboard_Live_Data!AK147</x:f>
        <x:v>166.39999999999998</x:v>
      </x:c>
      <x:c r="F1618" t="n">
        <x:f>Dashboard_Live_Data!AL147</x:f>
        <x:v>1258.1693986938863</x:v>
      </x:c>
      <x:c r="G1618" t="n">
        <x:f>Dashboard_Live_Data!AM147</x:f>
        <x:v>166.39999999999998</x:v>
      </x:c>
      <x:c r="H1618" t="n">
        <x:f>Dashboard_Live_Data!AN147</x:f>
        <x:v>1230.4415066288307</x:v>
      </x:c>
    </x:row>
    <x:row r="1619">
      <x:c r="A1619" t="n">
        <x:f>Dashboard_Live_Data!AG148</x:f>
        <x:v>13.02000000000001</x:v>
      </x:c>
      <x:c r="B1619" t="n">
        <x:f>Dashboard_Live_Data!AH148</x:f>
        <x:v>2678.0766529929315</x:v>
      </x:c>
      <x:c r="C1619" t="n">
        <x:f>Dashboard_Live_Data!AI148</x:f>
        <x:v>86.80000000000001</x:v>
      </x:c>
      <x:c r="D1619" t="n">
        <x:f>Dashboard_Live_Data!AJ148</x:f>
        <x:v>704.5466168692386</x:v>
      </x:c>
      <x:c r="E1619" t="n">
        <x:f>Dashboard_Live_Data!AK148</x:f>
        <x:v>173.60000000000002</x:v>
      </x:c>
      <x:c r="F1619" t="n">
        <x:f>Dashboard_Live_Data!AL148</x:f>
        <x:v>1313.820661862484</x:v>
      </x:c>
      <x:c r="G1619" t="n">
        <x:f>Dashboard_Live_Data!AM148</x:f>
        <x:v>173.60000000000002</x:v>
      </x:c>
      <x:c r="H1619" t="n">
        <x:f>Dashboard_Live_Data!AN148</x:f>
        <x:v>1285.9182668026356</x:v>
      </x:c>
    </x:row>
    <x:row r="1620">
      <x:c r="A1620" t="n">
        <x:f>Dashboard_Live_Data!AG149</x:f>
        <x:v>13.5</x:v>
      </x:c>
      <x:c r="B1620" t="n">
        <x:f>Dashboard_Live_Data!AH149</x:f>
        <x:v>2678.3036592847507</x:v>
      </x:c>
      <x:c r="C1620" t="n">
        <x:f>Dashboard_Live_Data!AI149</x:f>
        <x:v>90.00000000000006</x:v>
      </x:c>
      <x:c r="D1620" t="n">
        <x:f>Dashboard_Live_Data!AJ149</x:f>
        <x:v>727.1747453672517</x:v>
      </x:c>
      <x:c r="E1620" t="n">
        <x:f>Dashboard_Live_Data!AK149</x:f>
        <x:v>180.0000000000001</x:v>
      </x:c>
      <x:c r="F1620" t="n">
        <x:f>Dashboard_Live_Data!AL149</x:f>
        <x:v>1363.804879466073</x:v>
      </x:c>
      <x:c r="G1620" t="n">
        <x:f>Dashboard_Live_Data!AM149</x:f>
        <x:v>180.0000000000001</x:v>
      </x:c>
      <x:c r="H1620" t="n">
        <x:f>Dashboard_Live_Data!AN149</x:f>
        <x:v>1335.73358143176</x:v>
      </x:c>
    </x:row>
    <x:row r="1621">
      <x:c r="A1621" t="n">
        <x:f>Dashboard_Live_Data!AG150</x:f>
        <x:v>13.980000000000004</x:v>
      </x:c>
      <x:c r="B1621" t="n">
        <x:f>Dashboard_Live_Data!AH150</x:f>
        <x:v>2678.53886810944</x:v>
      </x:c>
      <x:c r="C1621" t="n">
        <x:f>Dashboard_Live_Data!AI150</x:f>
        <x:v>93.20000000000005</x:v>
      </x:c>
      <x:c r="D1621" t="n">
        <x:f>Dashboard_Live_Data!AJ150</x:f>
        <x:v>750.0348628533561</x:v>
      </x:c>
      <x:c r="E1621" t="n">
        <x:f>Dashboard_Live_Data!AK150</x:f>
        <x:v>186.4000000000001</x:v>
      </x:c>
      <x:c r="F1621" t="n">
        <x:f>Dashboard_Live_Data!AL150</x:f>
        <x:v>1414.279745381553</x:v>
      </x:c>
      <x:c r="G1621" t="n">
        <x:f>Dashboard_Live_Data!AM150</x:f>
        <x:v>186.4000000000001</x:v>
      </x:c>
      <x:c r="H1621" t="n">
        <x:f>Dashboard_Live_Data!AN150</x:f>
        <x:v>1386.0293710733336</x:v>
      </x:c>
    </x:row>
    <x:row r="1622">
      <x:c r="A1622" t="n">
        <x:f>Dashboard_Live_Data!AG151</x:f>
        <x:v>14.519999999999996</x:v>
      </x:c>
      <x:c r="B1622" t="n">
        <x:f>Dashboard_Live_Data!AH151</x:f>
        <x:v>2678.813280652873</x:v>
      </x:c>
      <x:c r="C1622" t="n">
        <x:f>Dashboard_Live_Data!AI151</x:f>
        <x:v>96.80000000000001</x:v>
      </x:c>
      <x:c r="D1622" t="n">
        <x:f>Dashboard_Live_Data!AJ151</x:f>
        <x:v>776.021326811133</x:v>
      </x:c>
      <x:c r="E1622" t="n">
        <x:f>Dashboard_Live_Data!AK151</x:f>
        <x:v>193.60000000000002</x:v>
      </x:c>
      <x:c r="F1622" t="n">
        <x:f>Dashboard_Live_Data!AL151</x:f>
        <x:v>1471.657065923119</x:v>
      </x:c>
      <x:c r="G1622" t="n">
        <x:f>Dashboard_Live_Data!AM151</x:f>
        <x:v>193.60000000000002</x:v>
      </x:c>
      <x:c r="H1622" t="n">
        <x:f>Dashboard_Live_Data!AN151</x:f>
        <x:v>1443.1960281662846</x:v>
      </x:c>
    </x:row>
    <x:row r="1623">
      <x:c r="A1623" t="n">
        <x:f>Dashboard_Live_Data!AG152</x:f>
        <x:v>15</x:v>
      </x:c>
      <x:c r="B1623" t="n">
        <x:f>Dashboard_Live_Data!AH152</x:f>
        <x:v>2679.065914532494</x:v>
      </x:c>
      <x:c r="C1623" t="n">
        <x:f>Dashboard_Live_Data!AI152</x:f>
        <x:v>100</x:v>
      </x:c>
      <x:c r="D1623" t="n">
        <x:f>Dashboard_Live_Data!AJ152</x:f>
        <x:v>799.3530465257882</x:v>
      </x:c>
      <x:c r="E1623" t="n">
        <x:f>Dashboard_Live_Data!AK152</x:f>
        <x:v>200</x:v>
      </x:c>
      <x:c r="F1623" t="n">
        <x:f>Dashboard_Live_Data!AL152</x:f>
        <x:v>1523.1929864371127</x:v>
      </x:c>
      <x:c r="G1623" t="n">
        <x:f>Dashboard_Live_Data!AM152</x:f>
        <x:v>200</x:v>
      </x:c>
      <x:c r="H1623" t="n">
        <x:f>Dashboard_Live_Data!AN152</x:f>
        <x:v>1494.538848738704</x:v>
      </x:c>
    </x:row>
    <x:row r="1624">
      <x:c r="A1624" t="n">
        <x:f>Dashboard_Live_Data!AG153</x:f>
        <x:v>15.480000000000004</x:v>
      </x:c>
      <x:c r="B1624" t="n">
        <x:f>Dashboard_Live_Data!AH153</x:f>
        <x:v>2679.3267458137466</x:v>
      </x:c>
      <x:c r="C1624" t="n">
        <x:f>Dashboard_Live_Data!AI153</x:f>
        <x:v>103.19999999999999</x:v>
      </x:c>
      <x:c r="D1624" t="n">
        <x:f>Dashboard_Live_Data!AJ153</x:f>
        <x:v>822.8987615597109</x:v>
      </x:c>
      <x:c r="E1624" t="n">
        <x:f>Dashboard_Live_Data!AK153</x:f>
        <x:v>206.39999999999998</x:v>
      </x:c>
      <x:c r="F1624" t="n">
        <x:f>Dashboard_Live_Data!AL153</x:f>
        <x:v>1575.2382195812656</x:v>
      </x:c>
      <x:c r="G1624" t="n">
        <x:f>Dashboard_Live_Data!AM153</x:f>
        <x:v>206.39999999999998</x:v>
      </x:c>
      <x:c r="H1624" t="n">
        <x:f>Dashboard_Live_Data!AN153</x:f>
        <x:v>1546.3874430517</x:v>
      </x:c>
    </x:row>
    <x:row r="1625">
      <x:c r="A1625" t="n">
        <x:f>Dashboard_Live_Data!AG154</x:f>
        <x:v>16.019999999999996</x:v>
      </x:c>
      <x:c r="B1625" t="n">
        <x:f>Dashboard_Live_Data!AH154</x:f>
        <x:v>2679.6299772752322</x:v>
      </x:c>
      <x:c r="C1625" t="n">
        <x:f>Dashboard_Live_Data!AI154</x:f>
        <x:v>106.79999999999995</x:v>
      </x:c>
      <x:c r="D1625" t="n">
        <x:f>Dashboard_Live_Data!AJ154</x:f>
        <x:v>849.6386115770032</x:v>
      </x:c>
      <x:c r="E1625" t="n">
        <x:f>Dashboard_Live_Data!AK154</x:f>
        <x:v>213.5999999999999</x:v>
      </x:c>
      <x:c r="F1625" t="n">
        <x:f>Dashboard_Live_Data!AL154</x:f>
        <x:v>1634.406668398929</x:v>
      </x:c>
      <x:c r="G1625" t="n">
        <x:f>Dashboard_Live_Data!AM154</x:f>
        <x:v>213.5999999999999</x:v>
      </x:c>
      <x:c r="H1625" t="n">
        <x:f>Dashboard_Live_Data!AN154</x:f>
        <x:v>1605.3325327342354</x:v>
      </x:c>
    </x:row>
    <x:row r="1626">
      <x:c r="A1626" t="n">
        <x:f>Dashboard_Live_Data!AG155</x:f>
        <x:v>16.5</x:v>
      </x:c>
      <x:c r="B1626" t="n">
        <x:f>Dashboard_Live_Data!AH155</x:f>
        <x:v>2679.9082221420913</x:v>
      </x:c>
      <x:c r="C1626" t="n">
        <x:f>Dashboard_Live_Data!AI155</x:f>
        <x:v>109.99999999999994</x:v>
      </x:c>
      <x:c r="D1626" t="n">
        <x:f>Dashboard_Live_Data!AJ155</x:f>
        <x:v>873.6268737519348</x:v>
      </x:c>
      <x:c r="E1626" t="n">
        <x:f>Dashboard_Live_Data!AK155</x:f>
        <x:v>219.9999999999999</x:v>
      </x:c>
      <x:c r="F1626" t="n">
        <x:f>Dashboard_Live_Data!AL155</x:f>
        <x:v>1687.557977658393</x:v>
      </x:c>
      <x:c r="G1626" t="n">
        <x:f>Dashboard_Live_Data!AM155</x:f>
        <x:v>219.9999999999999</x:v>
      </x:c>
      <x:c r="H1626" t="n">
        <x:f>Dashboard_Live_Data!AN155</x:f>
        <x:v>1658.2850643618456</x:v>
      </x:c>
    </x:row>
    <x:row r="1627">
      <x:c r="A1627" t="n">
        <x:f>Dashboard_Live_Data!AG156</x:f>
        <x:v>16.97999999999999</x:v>
      </x:c>
      <x:c r="B1627" t="n">
        <x:f>Dashboard_Live_Data!AH156</x:f>
        <x:v>2680.1946587476814</x:v>
      </x:c>
      <x:c r="C1627" t="n">
        <x:f>Dashboard_Live_Data!AI156</x:f>
        <x:v>113.19999999999993</x:v>
      </x:c>
      <x:c r="D1627" t="n">
        <x:f>Dashboard_Live_Data!AJ156</x:f>
        <x:v>897.8190596262613</x:v>
      </x:c>
      <x:c r="E1627" t="n">
        <x:f>Dashboard_Live_Data!AK156</x:f>
        <x:v>226.39999999999986</x:v>
      </x:c>
      <x:c r="F1627" t="n">
        <x:f>Dashboard_Live_Data!AL156</x:f>
        <x:v>1741.2416393615815</x:v>
      </x:c>
      <x:c r="G1627" t="n">
        <x:f>Dashboard_Live_Data!AM156</x:f>
        <x:v>226.39999999999986</x:v>
      </x:c>
      <x:c r="H1627" t="n">
        <x:f>Dashboard_Live_Data!AN156</x:f>
        <x:v>1711.7711368171172</x:v>
      </x:c>
    </x:row>
    <x:row r="1628">
      <x:c r="A1628" t="n">
        <x:f>Dashboard_Live_Data!AG157</x:f>
        <x:v>17.519999999999996</x:v>
      </x:c>
      <x:c r="B1628" t="n">
        <x:f>Dashboard_Live_Data!AH157</x:f>
        <x:v>2680.526689218967</x:v>
      </x:c>
      <x:c r="C1628" t="n">
        <x:f>Dashboard_Live_Data!AI157</x:f>
        <x:v>116.80000000000007</x:v>
      </x:c>
      <x:c r="D1628" t="n">
        <x:f>Dashboard_Live_Data!AJ157</x:f>
        <x:v>925.2765339546444</x:v>
      </x:c>
      <x:c r="E1628" t="n">
        <x:f>Dashboard_Live_Data!AK157</x:f>
        <x:v>233.60000000000014</x:v>
      </x:c>
      <x:c r="F1628" t="n">
        <x:f>Dashboard_Live_Data!AL157</x:f>
        <x:v>1802.2819043727418</x:v>
      </x:c>
      <x:c r="G1628" t="n">
        <x:f>Dashboard_Live_Data!AM157</x:f>
        <x:v>233.60000000000014</x:v>
      </x:c>
      <x:c r="H1628" t="n">
        <x:f>Dashboard_Live_Data!AN157</x:f>
        <x:v>1772.5920499108024</x:v>
      </x:c>
    </x:row>
    <x:row r="1629">
      <x:c r="A1629" t="n">
        <x:f>Dashboard_Live_Data!AG158</x:f>
        <x:v>18</x:v>
      </x:c>
      <x:c r="B1629" t="n">
        <x:f>Dashboard_Live_Data!AH158</x:f>
        <x:v>2680.8305268137187</x:v>
      </x:c>
      <x:c r="C1629" t="n">
        <x:f>Dashboard_Live_Data!AI158</x:f>
        <x:v>120</x:v>
      </x:c>
      <x:c r="D1629" t="n">
        <x:f>Dashboard_Live_Data!AJ158</x:f>
        <x:v>949.8959568514337</x:v>
      </x:c>
      <x:c r="E1629" t="n">
        <x:f>Dashboard_Live_Data!AK158</x:f>
        <x:v>240</x:v>
      </x:c>
      <x:c r="F1629" t="n">
        <x:f>Dashboard_Live_Data!AL158</x:f>
        <x:v>1857.1231620816707</x:v>
      </x:c>
      <x:c r="G1629" t="n">
        <x:f>Dashboard_Live_Data!AM158</x:f>
        <x:v>240</x:v>
      </x:c>
      <x:c r="H1629" t="n">
        <x:f>Dashboard_Live_Data!AN158</x:f>
        <x:v>1827.2421550832848</x:v>
      </x:c>
    </x:row>
    <x:row r="1630">
      <x:c r="A1630" t="n">
        <x:f>Dashboard_Live_Data!AG159</x:f>
        <x:v>18.480000000000004</x:v>
      </x:c>
      <x:c r="B1630" t="n">
        <x:f>Dashboard_Live_Data!AH159</x:f>
        <x:v>2681.1425499551765</x:v>
      </x:c>
      <x:c r="C1630" t="n">
        <x:f>Dashboard_Live_Data!AI159</x:f>
        <x:v>123.20000000000005</x:v>
      </x:c>
      <x:c r="D1630" t="n">
        <x:f>Dashboard_Live_Data!AJ159</x:f>
        <x:v>974.7145021127182</x:v>
      </x:c>
      <x:c r="E1630" t="n">
        <x:f>Dashboard_Live_Data!AK159</x:f>
        <x:v>246.4000000000001</x:v>
      </x:c>
      <x:c r="F1630" t="n">
        <x:f>Dashboard_Live_Data!AL159</x:f>
        <x:v>1912.5218325119242</x:v>
      </x:c>
      <x:c r="G1630" t="n">
        <x:f>Dashboard_Live_Data!AM159</x:f>
        <x:v>246.4000000000001</x:v>
      </x:c>
      <x:c r="H1630" t="n">
        <x:f>Dashboard_Live_Data!AN159</x:f>
        <x:v>1882.4543117385992</x:v>
      </x:c>
    </x:row>
    <x:row r="1631">
      <x:c r="A1631" t="n">
        <x:f>Dashboard_Live_Data!AG160</x:f>
        <x:v>19.019999999999996</x:v>
      </x:c>
      <x:c r="B1631" t="n">
        <x:f>Dashboard_Live_Data!AH160</x:f>
        <x:v>2681.5033576678143</x:v>
      </x:c>
      <x:c r="C1631" t="n">
        <x:f>Dashboard_Live_Data!AI160</x:f>
        <x:v>126.79999999999995</x:v>
      </x:c>
      <x:c r="D1631" t="n">
        <x:f>Dashboard_Live_Data!AJ160</x:f>
        <x:v>1002.8724909144175</x:v>
      </x:c>
      <x:c r="E1631" t="n">
        <x:f>Dashboard_Live_Data!AK160</x:f>
        <x:v>253.5999999999999</x:v>
      </x:c>
      <x:c r="F1631" t="n">
        <x:f>Dashboard_Live_Data!AL160</x:f>
        <x:v>1975.5218318440923</x:v>
      </x:c>
      <x:c r="G1631" t="n">
        <x:f>Dashboard_Live_Data!AM160</x:f>
        <x:v>253.5999999999999</x:v>
      </x:c>
      <x:c r="H1631" t="n">
        <x:f>Dashboard_Live_Data!AN160</x:f>
        <x:v>1945.2511482815198</x:v>
      </x:c>
    </x:row>
    <x:row r="1632">
      <x:c r="A1632" t="n">
        <x:f>Dashboard_Live_Data!AG161</x:f>
        <x:v>19.5</x:v>
      </x:c>
      <x:c r="B1632" t="n">
        <x:f>Dashboard_Live_Data!AH161</x:f>
        <x:v>2681.8327680804646</x:v>
      </x:c>
      <x:c r="C1632" t="n">
        <x:f>Dashboard_Live_Data!AI161</x:f>
        <x:v>130</x:v>
      </x:c>
      <x:c r="D1632" t="n">
        <x:f>Dashboard_Live_Data!AJ161</x:f>
        <x:v>1028.1121624339564</x:v>
      </x:c>
      <x:c r="E1632" t="n">
        <x:f>Dashboard_Live_Data!AK161</x:f>
        <x:v>260</x:v>
      </x:c>
      <x:c r="F1632" t="n">
        <x:f>Dashboard_Live_Data!AL161</x:f>
        <x:v>2032.132269523135</x:v>
      </x:c>
      <x:c r="G1632" t="n">
        <x:f>Dashboard_Live_Data!AM161</x:f>
        <x:v>260</x:v>
      </x:c>
      <x:c r="H1632" t="n">
        <x:f>Dashboard_Live_Data!AN161</x:f>
        <x:v>2001.6878257232431</x:v>
      </x:c>
    </x:row>
    <x:row r="1633">
      <x:c r="A1633" t="n">
        <x:f>Dashboard_Live_Data!AG162</x:f>
        <x:v>19.980000000000004</x:v>
      </x:c>
      <x:c r="B1633" t="n">
        <x:f>Dashboard_Live_Data!AH162</x:f>
        <x:v>2682.170357321432</x:v>
      </x:c>
      <x:c r="C1633" t="n">
        <x:f>Dashboard_Live_Data!AI162</x:f>
        <x:v>133.19999999999993</x:v>
      </x:c>
      <x:c r="D1633" t="n">
        <x:f>Dashboard_Live_Data!AJ162</x:f>
        <x:v>1053.5497018470367</x:v>
      </x:c>
      <x:c r="E1633" t="n">
        <x:f>Dashboard_Live_Data!AK162</x:f>
        <x:v>266.39999999999986</x:v>
      </x:c>
      <x:c r="F1633" t="n">
        <x:f>Dashboard_Live_Data!AL162</x:f>
        <x:v>2089.3258107719435</x:v>
      </x:c>
      <x:c r="G1633" t="n">
        <x:f>Dashboard_Live_Data!AM162</x:f>
        <x:v>266.39999999999986</x:v>
      </x:c>
      <x:c r="H1633" t="n">
        <x:f>Dashboard_Live_Data!AN162</x:f>
        <x:v>2058.7148075309083</x:v>
      </x:c>
    </x:row>
    <x:row r="1634">
      <x:c r="A1634" t="n">
        <x:f>Dashboard_Live_Data!AG163</x:f>
        <x:v>20.52000000000001</x:v>
      </x:c>
      <x:c r="B1634" t="n">
        <x:f>Dashboard_Live_Data!AH163</x:f>
        <x:v>2682.559918656496</x:v>
      </x:c>
      <x:c r="C1634" t="n">
        <x:f>Dashboard_Live_Data!AI163</x:f>
        <x:v>136.80000000000007</x:v>
      </x:c>
      <x:c r="D1634" t="n">
        <x:f>Dashboard_Live_Data!AJ163</x:f>
        <x:v>1082.4036420950645</x:v>
      </x:c>
      <x:c r="E1634" t="n">
        <x:f>Dashboard_Live_Data!AK163</x:f>
        <x:v>273.60000000000014</x:v>
      </x:c>
      <x:c r="F1634" t="n">
        <x:f>Dashboard_Live_Data!AL163</x:f>
        <x:v>2154.375751929062</x:v>
      </x:c>
      <x:c r="G1634" t="n">
        <x:f>Dashboard_Live_Data!AM163</x:f>
        <x:v>273.60000000000014</x:v>
      </x:c>
      <x:c r="H1634" t="n">
        <x:f>Dashboard_Live_Data!AN163</x:f>
        <x:v>2123.5868153942665</x:v>
      </x:c>
    </x:row>
    <x:row r="1635">
      <x:c r="A1635" t="n">
        <x:f>Dashboard_Live_Data!AG164</x:f>
        <x:v>21</x:v>
      </x:c>
      <x:c r="B1635" t="n">
        <x:f>Dashboard_Live_Data!AH164</x:f>
        <x:v>2682.914880335254</x:v>
      </x:c>
      <x:c r="C1635" t="n">
        <x:f>Dashboard_Live_Data!AI164</x:f>
        <x:v>140</x:v>
      </x:c>
      <x:c r="D1635" t="n">
        <x:f>Dashboard_Live_Data!AJ164</x:f>
        <x:v>1108.2624133501783</x:v>
      </x:c>
      <x:c r="E1635" t="n">
        <x:f>Dashboard_Live_Data!AK164</x:f>
        <x:v>280</x:v>
      </x:c>
      <x:c r="F1635" t="n">
        <x:f>Dashboard_Live_Data!AL164</x:f>
        <x:v>2212.8355811384035</x:v>
      </x:c>
      <x:c r="G1635" t="n">
        <x:f>Dashboard_Live_Data!AM164</x:f>
        <x:v>280</x:v>
      </x:c>
      <x:c r="H1635" t="n">
        <x:f>Dashboard_Live_Data!AN164</x:f>
        <x:v>2181.897557099264</x:v>
      </x:c>
    </x:row>
    <x:row r="1636">
      <x:c r="A1636" t="n">
        <x:f>Dashboard_Live_Data!AG165</x:f>
        <x:v>21.480000000000004</x:v>
      </x:c>
      <x:c r="B1636" t="n">
        <x:f>Dashboard_Live_Data!AH165</x:f>
        <x:v>2683.2780136005345</x:v>
      </x:c>
      <x:c r="C1636" t="n">
        <x:f>Dashboard_Live_Data!AI165</x:f>
        <x:v>143.20000000000005</x:v>
      </x:c>
      <x:c r="D1636" t="n">
        <x:f>Dashboard_Live_Data!AJ165</x:f>
        <x:v>1134.320202233334</x:v>
      </x:c>
      <x:c r="E1636" t="n">
        <x:f>Dashboard_Live_Data!AK165</x:f>
        <x:v>286.4000000000001</x:v>
      </x:c>
      <x:c r="F1636" t="n">
        <x:f>Dashboard_Live_Data!AL165</x:f>
        <x:v>2271.9039940577863</x:v>
      </x:c>
      <x:c r="G1636" t="n">
        <x:f>Dashboard_Live_Data!AM165</x:f>
        <x:v>286.4000000000001</x:v>
      </x:c>
      <x:c r="H1636" t="n">
        <x:f>Dashboard_Live_Data!AN165</x:f>
        <x:v>2240.826006094351</x:v>
      </x:c>
    </x:row>
    <x:row r="1637">
      <x:c r="A1637" t="n">
        <x:f>Dashboard_Live_Data!AG166</x:f>
        <x:v>22.019999999999996</x:v>
      </x:c>
      <x:c r="B1637" t="n">
        <x:f>Dashboard_Live_Data!AH166</x:f>
        <x:v>2683.69630309907</x:v>
      </x:c>
      <x:c r="C1637" t="n">
        <x:f>Dashboard_Live_Data!AI166</x:f>
        <x:v>146.79999999999995</x:v>
      </x:c>
      <x:c r="D1637" t="n">
        <x:f>Dashboard_Live_Data!AJ166</x:f>
        <x:v>1163.87403253476</x:v>
      </x:c>
      <x:c r="E1637" t="n">
        <x:f>Dashboard_Live_Data!AK166</x:f>
        <x:v>293.5999999999999</x:v>
      </x:c>
      <x:c r="F1637" t="n">
        <x:f>Dashboard_Live_Data!AL166</x:f>
        <x:v>2339.0933871403463</x:v>
      </x:c>
      <x:c r="G1637" t="n">
        <x:f>Dashboard_Live_Data!AM166</x:f>
        <x:v>293.5999999999999</x:v>
      </x:c>
      <x:c r="H1637" t="n">
        <x:f>Dashboard_Live_Data!AN166</x:f>
        <x:v>2307.86947732593</x:v>
      </x:c>
    </x:row>
    <x:row r="1638">
      <x:c r="A1638" t="n">
        <x:f>Dashboard_Live_Data!AG167</x:f>
        <x:v>22.5</x:v>
      </x:c>
      <x:c r="B1638" t="n">
        <x:f>Dashboard_Live_Data!AH167</x:f>
        <x:v>2684.0767928598584</x:v>
      </x:c>
      <x:c r="C1638" t="n">
        <x:f>Dashboard_Live_Data!AI167</x:f>
        <x:v>150</x:v>
      </x:c>
      <x:c r="D1638" t="n">
        <x:f>Dashboard_Live_Data!AJ167</x:f>
        <x:v>1190.3573781400514</x:v>
      </x:c>
      <x:c r="E1638" t="n">
        <x:f>Dashboard_Live_Data!AK167</x:f>
        <x:v>300</x:v>
      </x:c>
      <x:c r="F1638" t="n">
        <x:f>Dashboard_Live_Data!AL167</x:f>
        <x:v>2399.4815554213374</x:v>
      </x:c>
      <x:c r="G1638" t="n">
        <x:f>Dashboard_Live_Data!AM167</x:f>
        <x:v>300</x:v>
      </x:c>
      <x:c r="H1638" t="n">
        <x:f>Dashboard_Live_Data!AN167</x:f>
        <x:v>2368.1387047809635</x:v>
      </x:c>
    </x:row>
    <x:row r="1639">
      <x:c r="A1639" t="n">
        <x:f>Dashboard_Live_Data!AG168</x:f>
        <x:v>22.980000000000004</x:v>
      </x:c>
      <x:c r="B1639" t="n">
        <x:f>Dashboard_Live_Data!AH168</x:f>
        <x:v>2684.465446445234</x:v>
      </x:c>
      <x:c r="C1639" t="n">
        <x:f>Dashboard_Live_Data!AI168</x:f>
        <x:v>153.20000000000005</x:v>
      </x:c>
      <x:c r="D1639" t="n">
        <x:f>Dashboard_Live_Data!AJ168</x:f>
        <x:v>1217.0425226665805</x:v>
      </x:c>
      <x:c r="E1639" t="n">
        <x:f>Dashboard_Live_Data!AK168</x:f>
        <x:v>306.4000000000001</x:v>
      </x:c>
      <x:c r="F1639" t="n">
        <x:f>Dashboard_Live_Data!AL168</x:f>
        <x:v>2460.503062399682</x:v>
      </x:c>
      <x:c r="G1639" t="n">
        <x:f>Dashboard_Live_Data!AM168</x:f>
        <x:v>306.4000000000001</x:v>
      </x:c>
      <x:c r="H1639" t="n">
        <x:f>Dashboard_Live_Data!AN168</x:f>
        <x:v>2429.051843860189</x:v>
      </x:c>
    </x:row>
    <x:row r="1640">
      <x:c r="A1640" t="n">
        <x:f>Dashboard_Live_Data!AG169</x:f>
        <x:v>23.519999999999996</x:v>
      </x:c>
      <x:c r="B1640" t="n">
        <x:f>Dashboard_Live_Data!AH169</x:f>
        <x:v>2684.9124368195003</x:v>
      </x:c>
      <x:c r="C1640" t="n">
        <x:f>Dashboard_Live_Data!AI169</x:f>
        <x:v>156.79999999999995</x:v>
      </x:c>
      <x:c r="D1640" t="n">
        <x:f>Dashboard_Live_Data!AJ169</x:f>
        <x:v>1247.305949695761</x:v>
      </x:c>
      <x:c r="E1640" t="n">
        <x:f>Dashboard_Live_Data!AK169</x:f>
        <x:v>313.5999999999999</x:v>
      </x:c>
      <x:c r="F1640" t="n">
        <x:f>Dashboard_Live_Data!AL169</x:f>
        <x:v>2529.918895127145</x:v>
      </x:c>
      <x:c r="G1640" t="n">
        <x:f>Dashboard_Live_Data!AM169</x:f>
        <x:v>313.5999999999999</x:v>
      </x:c>
      <x:c r="H1640" t="n">
        <x:f>Dashboard_Live_Data!AN169</x:f>
        <x:v>2498.3588768603126</x:v>
      </x:c>
    </x:row>
    <x:row r="1641">
      <x:c r="A1641" t="n">
        <x:f>Dashboard_Live_Data!AG170</x:f>
        <x:v>24</x:v>
      </x:c>
      <x:c r="B1641" t="n">
        <x:f>Dashboard_Live_Data!AH170</x:f>
        <x:v>2685.318429856306</x:v>
      </x:c>
      <x:c r="C1641" t="n">
        <x:f>Dashboard_Live_Data!AI170</x:f>
        <x:v>160</x:v>
      </x:c>
      <x:c r="D1641" t="n">
        <x:f>Dashboard_Live_Data!AJ170</x:f>
        <x:v>1274.4238323326915</x:v>
      </x:c>
      <x:c r="E1641" t="n">
        <x:f>Dashboard_Live_Data!AK170</x:f>
        <x:v>320</x:v>
      </x:c>
      <x:c r="F1641" t="n">
        <x:f>Dashboard_Live_Data!AL170</x:f>
        <x:v>2592.311715433615</x:v>
      </x:c>
      <x:c r="G1641" t="n">
        <x:f>Dashboard_Live_Data!AM170</x:f>
        <x:v>320</x:v>
      </x:c>
      <x:c r="H1641" t="n">
        <x:f>Dashboard_Live_Data!AN170</x:f>
        <x:v>2560.6670284536167</x:v>
      </x:c>
    </x:row>
    <x:row r="1642">
      <x:c r="A1642" t="n">
        <x:f>Dashboard_Live_Data!AG171</x:f>
        <x:v>24.47999999999999</x:v>
      </x:c>
      <x:c r="B1642" t="n">
        <x:f>Dashboard_Live_Data!AH171</x:f>
        <x:v>2685.7325784389564</x:v>
      </x:c>
      <x:c r="C1642" t="n">
        <x:f>Dashboard_Live_Data!AI171</x:f>
        <x:v>163.19999999999993</x:v>
      </x:c>
      <x:c r="D1642" t="n">
        <x:f>Dashboard_Live_Data!AJ171</x:f>
        <x:v>1301.7473946103885</x:v>
      </x:c>
      <x:c r="E1642" t="n">
        <x:f>Dashboard_Live_Data!AK171</x:f>
        <x:v>326.39999999999986</x:v>
      </x:c>
      <x:c r="F1642" t="n">
        <x:f>Dashboard_Live_Data!AL171</x:f>
        <x:v>2655.3615925812765</x:v>
      </x:c>
      <x:c r="G1642" t="n">
        <x:f>Dashboard_Live_Data!AM171</x:f>
        <x:v>326.39999999999986</x:v>
      </x:c>
      <x:c r="H1642" t="n">
        <x:f>Dashboard_Live_Data!AN171</x:f>
        <x:v>2623.6439001292542</x:v>
      </x:c>
    </x:row>
    <x:row r="1643">
      <x:c r="A1643" t="n">
        <x:f>Dashboard_Live_Data!AG172</x:f>
        <x:v>25.019999999999996</x:v>
      </x:c>
      <x:c r="B1643" t="n">
        <x:f>Dashboard_Live_Data!AH172</x:f>
        <x:v>2686.2082405845767</x:v>
      </x:c>
      <x:c r="C1643" t="n">
        <x:f>Dashboard_Live_Data!AI172</x:f>
        <x:v>166.80000000000007</x:v>
      </x:c>
      <x:c r="D1643" t="n">
        <x:f>Dashboard_Live_Data!AJ172</x:f>
        <x:v>1332.7340115462373</x:v>
      </x:c>
      <x:c r="E1643" t="n">
        <x:f>Dashboard_Live_Data!AK172</x:f>
        <x:v>333.60000000000014</x:v>
      </x:c>
      <x:c r="F1643" t="n">
        <x:f>Dashboard_Live_Data!AL172</x:f>
        <x:v>2727.0872248769224</x:v>
      </x:c>
      <x:c r="G1643" t="n">
        <x:f>Dashboard_Live_Data!AM172</x:f>
        <x:v>333.60000000000014</x:v>
      </x:c>
      <x:c r="H1643" t="n">
        <x:f>Dashboard_Live_Data!AN172</x:f>
        <x:v>2695.3016989076004</x:v>
      </x:c>
    </x:row>
    <x:row r="1644">
      <x:c r="A1644" t="n">
        <x:f>Dashboard_Live_Data!AG173</x:f>
        <x:v>25.5</x:v>
      </x:c>
      <x:c r="B1644" t="n">
        <x:f>Dashboard_Live_Data!AH173</x:f>
        <x:v>2686.6397104802963</x:v>
      </x:c>
      <x:c r="C1644" t="n">
        <x:f>Dashboard_Live_Data!AI173</x:f>
        <x:v>170</x:v>
      </x:c>
      <x:c r="D1644" t="n">
        <x:f>Dashboard_Live_Data!AJ173</x:f>
        <x:v>1360.4994034490926</x:v>
      </x:c>
      <x:c r="E1644" t="n">
        <x:f>Dashboard_Live_Data!AK173</x:f>
        <x:v>340</x:v>
      </x:c>
      <x:c r="F1644" t="n">
        <x:f>Dashboard_Live_Data!AL173</x:f>
        <x:v>2791.557552752647</x:v>
      </x:c>
      <x:c r="G1644" t="n">
        <x:f>Dashboard_Live_Data!AM173</x:f>
        <x:v>340</x:v>
      </x:c>
      <x:c r="H1644" t="n">
        <x:f>Dashboard_Live_Data!AN173</x:f>
        <x:v>2759.724726481357</x:v>
      </x:c>
    </x:row>
    <x:row r="1645">
      <x:c r="A1645" t="n">
        <x:f>Dashboard_Live_Data!AG174</x:f>
        <x:v>25.980000000000004</x:v>
      </x:c>
      <x:c r="B1645" t="n">
        <x:f>Dashboard_Live_Data!AH174</x:f>
        <x:v>2687.0793271300054</x:v>
      </x:c>
      <x:c r="C1645" t="n">
        <x:f>Dashboard_Live_Data!AI174</x:f>
        <x:v>173.20000000000005</x:v>
      </x:c>
      <x:c r="D1645" t="n">
        <x:f>Dashboard_Live_Data!AJ174</x:f>
        <x:v>1388.4750825653464</x:v>
      </x:c>
      <x:c r="E1645" t="n">
        <x:f>Dashboard_Live_Data!AK174</x:f>
        <x:v>346.4000000000001</x:v>
      </x:c>
      <x:c r="F1645" t="n">
        <x:f>Dashboard_Live_Data!AL174</x:f>
        <x:v>2856.707437171217</x:v>
      </x:c>
      <x:c r="G1645" t="n">
        <x:f>Dashboard_Live_Data!AM174</x:f>
        <x:v>346.4000000000001</x:v>
      </x:c>
      <x:c r="H1645" t="n">
        <x:f>Dashboard_Live_Data!AN174</x:f>
        <x:v>2824.8397867428093</x:v>
      </x:c>
    </x:row>
    <x:row r="1646">
      <x:c r="A1646" t="n">
        <x:f>Dashboard_Live_Data!AG175</x:f>
        <x:v>26.519999999999996</x:v>
      </x:c>
      <x:c r="B1646" t="n">
        <x:f>Dashboard_Live_Data!AH175</x:f>
        <x:v>2687.5836301386457</x:v>
      </x:c>
      <x:c r="C1646" t="n">
        <x:f>Dashboard_Live_Data!AI175</x:f>
        <x:v>176.79999999999995</x:v>
      </x:c>
      <x:c r="D1646" t="n">
        <x:f>Dashboard_Live_Data!AJ175</x:f>
        <x:v>1420.2010523856848</x:v>
      </x:c>
      <x:c r="E1646" t="n">
        <x:f>Dashboard_Live_Data!AK175</x:f>
        <x:v>353.5999999999999</x:v>
      </x:c>
      <x:c r="F1646" t="n">
        <x:f>Dashboard_Live_Data!AL175</x:f>
        <x:v>2930.821956828647</x:v>
      </x:c>
      <x:c r="G1646" t="n">
        <x:f>Dashboard_Live_Data!AM175</x:f>
        <x:v>353.5999999999999</x:v>
      </x:c>
      <x:c r="H1646" t="n">
        <x:f>Dashboard_Live_Data!AN175</x:f>
        <x:v>2898.93030502441</x:v>
      </x:c>
    </x:row>
    <x:row r="1647">
      <x:c r="A1647" t="n">
        <x:f>Dashboard_Live_Data!AG176</x:f>
        <x:v>27</x:v>
      </x:c>
      <x:c r="B1647" t="n">
        <x:f>Dashboard_Live_Data!AH176</x:f>
        <x:v>2688.0405488767533</x:v>
      </x:c>
      <x:c r="C1647" t="n">
        <x:f>Dashboard_Live_Data!AI176</x:f>
        <x:v>180</x:v>
      </x:c>
      <x:c r="D1647" t="n">
        <x:f>Dashboard_Live_Data!AJ176</x:f>
        <x:v>1448.628895361848</x:v>
      </x:c>
      <x:c r="E1647" t="n">
        <x:f>Dashboard_Live_Data!AK176</x:f>
        <x:v>360</x:v>
      </x:c>
      <x:c r="F1647" t="n">
        <x:f>Dashboard_Live_Data!AL176</x:f>
        <x:v>2997.4387220817075</x:v>
      </x:c>
      <x:c r="G1647" t="n">
        <x:f>Dashboard_Live_Data!AM176</x:f>
        <x:v>360</x:v>
      </x:c>
      <x:c r="H1647" t="n">
        <x:f>Dashboard_Live_Data!AN176</x:f>
        <x:v>2965.539435665303</x:v>
      </x:c>
    </x:row>
    <x:row r="1648">
      <x:c r="A1648" t="n">
        <x:f>Dashboard_Live_Data!AG177</x:f>
        <x:v>27.480000000000004</x:v>
      </x:c>
      <x:c r="B1648" t="n">
        <x:f>Dashboard_Live_Data!AH177</x:f>
        <x:v>2688.505605067754</x:v>
      </x:c>
      <x:c r="C1648" t="n">
        <x:f>Dashboard_Live_Data!AI177</x:f>
        <x:v>183.19999999999993</x:v>
      </x:c>
      <x:c r="D1648" t="n">
        <x:f>Dashboard_Live_Data!AJ177</x:f>
        <x:v>1477.272095393459</x:v>
      </x:c>
      <x:c r="E1648" t="n">
        <x:f>Dashboard_Live_Data!AK177</x:f>
        <x:v>366.39999999999986</x:v>
      </x:c>
      <x:c r="F1648" t="n">
        <x:f>Dashboard_Live_Data!AL177</x:f>
        <x:v>3064.756229239328</x:v>
      </x:c>
      <x:c r="G1648" t="n">
        <x:f>Dashboard_Live_Data!AM177</x:f>
        <x:v>366.39999999999986</x:v>
      </x:c>
      <x:c r="H1648" t="n">
        <x:f>Dashboard_Live_Data!AN177</x:f>
        <x:v>3032.8623798858607</x:v>
      </x:c>
    </x:row>
    <x:row r="1649">
      <x:c r="A1649" t="n">
        <x:f>Dashboard_Live_Data!AG178</x:f>
        <x:v>28.02000000000001</x:v>
      </x:c>
      <x:c r="B1649" t="n">
        <x:f>Dashboard_Live_Data!AH178</x:f>
        <x:v>2689.038516240782</x:v>
      </x:c>
      <x:c r="C1649" t="n">
        <x:f>Dashboard_Live_Data!AI178</x:f>
        <x:v>186.80000000000007</x:v>
      </x:c>
      <x:c r="D1649" t="n">
        <x:f>Dashboard_Live_Data!AJ178</x:f>
        <x:v>1509.7552162254726</x:v>
      </x:c>
      <x:c r="E1649" t="n">
        <x:f>Dashboard_Live_Data!AK178</x:f>
        <x:v>373.60000000000014</x:v>
      </x:c>
      <x:c r="F1649" t="n">
        <x:f>Dashboard_Live_Data!AL178</x:f>
        <x:v>3141.3341110240226</x:v>
      </x:c>
      <x:c r="G1649" t="n">
        <x:f>Dashboard_Live_Data!AM178</x:f>
        <x:v>373.60000000000014</x:v>
      </x:c>
      <x:c r="H1649" t="n">
        <x:f>Dashboard_Live_Data!AN178</x:f>
        <x:v>3109.462192200807</x:v>
      </x:c>
    </x:row>
    <x:row r="1650">
      <x:c r="A1650" t="n">
        <x:f>Dashboard_Live_Data!AG179</x:f>
        <x:v>28.5</x:v>
      </x:c>
      <x:c r="B1650" t="n">
        <x:f>Dashboard_Live_Data!AH179</x:f>
        <x:v>2689.520854217586</x:v>
      </x:c>
      <x:c r="C1650" t="n">
        <x:f>Dashboard_Live_Data!AI179</x:f>
        <x:v>190</x:v>
      </x:c>
      <x:c r="D1650" t="n">
        <x:f>Dashboard_Live_Data!AJ179</x:f>
        <x:v>1538.8616802693725</x:v>
      </x:c>
      <x:c r="E1650" t="n">
        <x:f>Dashboard_Live_Data!AK179</x:f>
        <x:v>380</x:v>
      </x:c>
      <x:c r="F1650" t="n">
        <x:f>Dashboard_Live_Data!AL179</x:f>
        <x:v>3210.1620844044405</x:v>
      </x:c>
      <x:c r="G1650" t="n">
        <x:f>Dashboard_Live_Data!AM179</x:f>
        <x:v>380</x:v>
      </x:c>
      <x:c r="H1650" t="n">
        <x:f>Dashboard_Live_Data!AN179</x:f>
        <x:v>3178.323865680885</x:v>
      </x:c>
    </x:row>
    <x:row r="1651">
      <x:c r="A1651" t="n">
        <x:f>Dashboard_Live_Data!AG180</x:f>
        <x:v>28.980000000000004</x:v>
      </x:c>
      <x:c r="B1651" t="n">
        <x:f>Dashboard_Live_Data!AH180</x:f>
        <x:v>2690.0113198410036</x:v>
      </x:c>
      <x:c r="C1651" t="n">
        <x:f>Dashboard_Live_Data!AI180</x:f>
        <x:v>193.20000000000005</x:v>
      </x:c>
      <x:c r="D1651" t="n">
        <x:f>Dashboard_Live_Data!AJ180</x:f>
        <x:v>1568.188843395766</x:v>
      </x:c>
      <x:c r="E1651" t="n">
        <x:f>Dashboard_Live_Data!AK180</x:f>
        <x:v>386.4000000000001</x:v>
      </x:c>
      <x:c r="F1651" t="n">
        <x:f>Dashboard_Live_Data!AL180</x:f>
        <x:v>3279.710632319749</x:v>
      </x:c>
      <x:c r="G1651" t="n">
        <x:f>Dashboard_Live_Data!AM180</x:f>
        <x:v>386.4000000000001</x:v>
      </x:c>
      <x:c r="H1651" t="n">
        <x:f>Dashboard_Live_Data!AN180</x:f>
        <x:v>3247.91960889348</x:v>
      </x:c>
    </x:row>
    <x:row r="1652">
      <x:c r="A1652" t="n">
        <x:f>Dashboard_Live_Data!AG181</x:f>
        <x:v>29.519999999999996</x:v>
      </x:c>
      <x:c r="B1652" t="n">
        <x:f>Dashboard_Live_Data!AH181</x:f>
        <x:v>2690.572804703775</x:v>
      </x:c>
      <x:c r="C1652" t="n">
        <x:f>Dashboard_Live_Data!AI181</x:f>
        <x:v>196.79999999999995</x:v>
      </x:c>
      <x:c r="D1652" t="n">
        <x:f>Dashboard_Live_Data!AJ181</x:f>
        <x:v>1601.4478772869256</x:v>
      </x:c>
      <x:c r="E1652" t="n">
        <x:f>Dashboard_Live_Data!AK181</x:f>
        <x:v>393.5999999999999</x:v>
      </x:c>
      <x:c r="F1652" t="n">
        <x:f>Dashboard_Live_Data!AL181</x:f>
        <x:v>3358.8216005216295</x:v>
      </x:c>
      <x:c r="G1652" t="n">
        <x:f>Dashboard_Live_Data!AM181</x:f>
        <x:v>393.5999999999999</x:v>
      </x:c>
      <x:c r="H1652" t="n">
        <x:f>Dashboard_Live_Data!AN181</x:f>
        <x:v>3327.0999332019915</x:v>
      </x:c>
    </x:row>
    <x:row r="1653">
      <x:c r="A1653" t="n">
        <x:f>Dashboard_Live_Data!AG182</x:f>
        <x:v>30</x:v>
      </x:c>
      <x:c r="B1653" t="n">
        <x:f>Dashboard_Live_Data!AH182</x:f>
        <x:v>2691.0805307414003</x:v>
      </x:c>
      <x:c r="C1653" t="n">
        <x:f>Dashboard_Live_Data!AI182</x:f>
        <x:v>200</x:v>
      </x:c>
      <x:c r="D1653" t="n">
        <x:f>Dashboard_Live_Data!AJ182</x:f>
        <x:v>1631.2498263703887</x:v>
      </x:c>
      <x:c r="E1653" t="n">
        <x:f>Dashboard_Live_Data!AK182</x:f>
        <x:v>400</x:v>
      </x:c>
      <x:c r="F1653" t="n">
        <x:f>Dashboard_Live_Data!AL182</x:f>
        <x:v>3429.9213186632924</x:v>
      </x:c>
      <x:c r="G1653" t="n">
        <x:f>Dashboard_Live_Data!AM182</x:f>
        <x:v>400</x:v>
      </x:c>
      <x:c r="H1653" t="n">
        <x:f>Dashboard_Live_Data!AN182</x:f>
        <x:v>3398.275856941299</x:v>
      </x:c>
    </x:row>
    <x:row r="1654">
      <x:c r="A1654" t="n">
        <x:f>Dashboard_Live_Data!AG183</x:f>
        <x:v>30.480000000000004</x:v>
      </x:c>
      <x:c r="B1654" t="n">
        <x:f>Dashboard_Live_Data!AH183</x:f>
        <x:v>2691.596374118459</x:v>
      </x:c>
      <x:c r="C1654" t="n">
        <x:f>Dashboard_Live_Data!AI183</x:f>
        <x:v>203.20000000000005</x:v>
      </x:c>
      <x:c r="D1654" t="n">
        <x:f>Dashboard_Live_Data!AJ183</x:f>
        <x:v>1661.27795099574</x:v>
      </x:c>
      <x:c r="E1654" t="n">
        <x:f>Dashboard_Live_Data!AK183</x:f>
        <x:v>406.4000000000001</x:v>
      </x:c>
      <x:c r="F1654" t="n">
        <x:f>Dashboard_Live_Data!AL183</x:f>
        <x:v>3501.760091807711</x:v>
      </x:c>
      <x:c r="G1654" t="n">
        <x:f>Dashboard_Live_Data!AM183</x:f>
        <x:v>406.4000000000001</x:v>
      </x:c>
      <x:c r="H1654" t="n">
        <x:f>Dashboard_Live_Data!AN183</x:f>
        <x:v>3470.2046174700704</x:v>
      </x:c>
    </x:row>
    <x:row r="1655">
      <x:c r="A1655" t="n">
        <x:f>Dashboard_Live_Data!AG184</x:f>
        <x:v>31.019999999999996</x:v>
      </x:c>
      <x:c r="B1655" t="n">
        <x:f>Dashboard_Live_Data!AH184</x:f>
        <x:v>2692.1863964353583</x:v>
      </x:c>
      <x:c r="C1655" t="n">
        <x:f>Dashboard_Live_Data!AI184</x:f>
        <x:v>206.79999999999995</x:v>
      </x:c>
      <x:c r="D1655" t="n">
        <x:f>Dashboard_Live_Data!AJ184</x:f>
        <x:v>1695.3321376263839</x:v>
      </x:c>
      <x:c r="E1655" t="n">
        <x:f>Dashboard_Live_Data!AK184</x:f>
        <x:v>413.5999999999999</x:v>
      </x:c>
      <x:c r="F1655" t="n">
        <x:f>Dashboard_Live_Data!AL184</x:f>
        <x:v>3583.4691205577215</x:v>
      </x:c>
      <x:c r="G1655" t="n">
        <x:f>Dashboard_Live_Data!AM184</x:f>
        <x:v>413.5999999999999</x:v>
      </x:c>
      <x:c r="H1655" t="n">
        <x:f>Dashboard_Live_Data!AN184</x:f>
        <x:v>3552.0314391676843</x:v>
      </x:c>
    </x:row>
    <x:row r="1656">
      <x:c r="A1656" t="n">
        <x:f>Dashboard_Live_Data!AG185</x:f>
        <x:v>31.5</x:v>
      </x:c>
      <x:c r="B1656" t="n">
        <x:f>Dashboard_Live_Data!AH185</x:f>
        <x:v>2692.7194777953123</x:v>
      </x:c>
      <x:c r="C1656" t="n">
        <x:f>Dashboard_Live_Data!AI185</x:f>
        <x:v>210</x:v>
      </x:c>
      <x:c r="D1656" t="n">
        <x:f>Dashboard_Live_Data!AJ185</x:f>
        <x:v>1725.8467418024873</x:v>
      </x:c>
      <x:c r="E1656" t="n">
        <x:f>Dashboard_Live_Data!AK185</x:f>
        <x:v>420</x:v>
      </x:c>
      <x:c r="F1656" t="n">
        <x:f>Dashboard_Live_Data!AL185</x:f>
        <x:v>3656.896918210815</x:v>
      </x:c>
      <x:c r="G1656" t="n">
        <x:f>Dashboard_Live_Data!AM185</x:f>
        <x:v>420</x:v>
      </x:c>
      <x:c r="H1656" t="n">
        <x:f>Dashboard_Live_Data!AN185</x:f>
        <x:v>3625.578721629772</x:v>
      </x:c>
    </x:row>
    <x:row r="1657">
      <x:c r="A1657" t="n">
        <x:f>Dashboard_Live_Data!AG186</x:f>
        <x:v>31.97999999999999</x:v>
      </x:c>
      <x:c r="B1657" t="n">
        <x:f>Dashboard_Live_Data!AH186</x:f>
        <x:v>2693.260665691084</x:v>
      </x:c>
      <x:c r="C1657" t="n">
        <x:f>Dashboard_Live_Data!AI186</x:f>
        <x:v>213.19999999999993</x:v>
      </x:c>
      <x:c r="D1657" t="n">
        <x:f>Dashboard_Live_Data!AJ186</x:f>
        <x:v>1756.5930320423138</x:v>
      </x:c>
      <x:c r="E1657" t="n">
        <x:f>Dashboard_Live_Data!AK186</x:f>
        <x:v>426.39999999999986</x:v>
      </x:c>
      <x:c r="F1657" t="n">
        <x:f>Dashboard_Live_Data!AL186</x:f>
        <x:v>3731.0809261239924</x:v>
      </x:c>
      <x:c r="G1657" t="n">
        <x:f>Dashboard_Live_Data!AM186</x:f>
        <x:v>426.39999999999986</x:v>
      </x:c>
      <x:c r="H1657" t="n">
        <x:f>Dashboard_Live_Data!AN186</x:f>
        <x:v>3699.896173425861</x:v>
      </x:c>
    </x:row>
    <x:row r="1658">
      <x:c r="A1658" t="n">
        <x:f>Dashboard_Live_Data!AG187</x:f>
        <x:v>32.519999999999996</x:v>
      </x:c>
      <x:c r="B1658" t="n">
        <x:f>Dashboard_Live_Data!AH187</x:f>
        <x:v>2693.8791874812646</x:v>
      </x:c>
      <x:c r="C1658" t="n">
        <x:f>Dashboard_Live_Data!AI187</x:f>
        <x:v>216.80000000000007</x:v>
      </x:c>
      <x:c r="D1658" t="n">
        <x:f>Dashboard_Live_Data!AJ187</x:f>
        <x:v>1791.4617344869769</x:v>
      </x:c>
      <x:c r="E1658" t="n">
        <x:f>Dashboard_Live_Data!AK187</x:f>
        <x:v>433.60000000000014</x:v>
      </x:c>
      <x:c r="F1658" t="n">
        <x:f>Dashboard_Live_Data!AL187</x:f>
        <x:v>3815.4483329742607</x:v>
      </x:c>
      <x:c r="G1658" t="n">
        <x:f>Dashboard_Live_Data!AM187</x:f>
        <x:v>433.60000000000014</x:v>
      </x:c>
      <x:c r="H1658" t="n">
        <x:f>Dashboard_Live_Data!AN187</x:f>
        <x:v>3784.430436320021</x:v>
      </x:c>
    </x:row>
    <x:row r="1659">
      <x:c r="A1659" t="n">
        <x:f>Dashboard_Live_Data!AG188</x:f>
        <x:v>33</x:v>
      </x:c>
      <x:c r="B1659" t="n">
        <x:f>Dashboard_Live_Data!AH188</x:f>
        <x:v>2694.4375898786375</x:v>
      </x:c>
      <x:c r="C1659" t="n">
        <x:f>Dashboard_Live_Data!AI188</x:f>
        <x:v>220</x:v>
      </x:c>
      <x:c r="D1659" t="n">
        <x:f>Dashboard_Live_Data!AJ188</x:f>
        <x:v>1822.7061870307282</x:v>
      </x:c>
      <x:c r="E1659" t="n">
        <x:f>Dashboard_Live_Data!AK188</x:f>
        <x:v>440</x:v>
      </x:c>
      <x:c r="F1659" t="n">
        <x:f>Dashboard_Live_Data!AL188</x:f>
        <x:v>3891.256447672386</x:v>
      </x:c>
      <x:c r="G1659" t="n">
        <x:f>Dashboard_Live_Data!AM188</x:f>
        <x:v>440</x:v>
      </x:c>
      <x:c r="H1659" t="n">
        <x:f>Dashboard_Live_Data!AN188</x:f>
        <x:v>3860.401771777322</x:v>
      </x:c>
    </x:row>
    <x:row r="1660">
      <x:c r="A1660" t="n">
        <x:f>Dashboard_Live_Data!AG189</x:f>
        <x:v>33.480000000000004</x:v>
      </x:c>
      <x:c r="B1660" t="n">
        <x:f>Dashboard_Live_Data!AH189</x:f>
        <x:v>2695.0040875164605</x:v>
      </x:c>
      <x:c r="C1660" t="n">
        <x:f>Dashboard_Live_Data!AI189</x:f>
        <x:v>223.20000000000005</x:v>
      </x:c>
      <x:c r="D1660" t="n">
        <x:f>Dashboard_Live_Data!AJ189</x:f>
        <x:v>1854.1877969704217</x:v>
      </x:c>
      <x:c r="E1660" t="n">
        <x:f>Dashboard_Live_Data!AK189</x:f>
        <x:v>446.4000000000001</x:v>
      </x:c>
      <x:c r="F1660" t="n">
        <x:f>Dashboard_Live_Data!AL189</x:f>
        <x:v>3967.8366472645534</x:v>
      </x:c>
      <x:c r="G1660" t="n">
        <x:f>Dashboard_Live_Data!AM189</x:f>
        <x:v>446.4000000000001</x:v>
      </x:c>
      <x:c r="H1660" t="n">
        <x:f>Dashboard_Live_Data!AN189</x:f>
        <x:v>3937.159241278996</x:v>
      </x:c>
    </x:row>
    <x:row r="1661">
      <x:c r="A1661" t="n">
        <x:f>Dashboard_Live_Data!AG190</x:f>
        <x:v>34.019999999999996</x:v>
      </x:c>
      <x:c r="B1661" t="n">
        <x:f>Dashboard_Live_Data!AH190</x:f>
        <x:v>2695.6510690703108</x:v>
      </x:c>
      <x:c r="C1661" t="n">
        <x:f>Dashboard_Live_Data!AI190</x:f>
        <x:v>226.79999999999995</x:v>
      </x:c>
      <x:c r="D1661" t="n">
        <x:f>Dashboard_Live_Data!AJ190</x:f>
        <x:v>1889.8902432096763</x:v>
      </x:c>
      <x:c r="E1661" t="n">
        <x:f>Dashboard_Live_Data!AK190</x:f>
        <x:v>453.5999999999999</x:v>
      </x:c>
      <x:c r="F1661" t="n">
        <x:f>Dashboard_Live_Data!AL190</x:f>
        <x:v>4054.918249107175</x:v>
      </x:c>
      <x:c r="G1661" t="n">
        <x:f>Dashboard_Live_Data!AM190</x:f>
        <x:v>453.5999999999999</x:v>
      </x:c>
      <x:c r="H1661" t="n">
        <x:f>Dashboard_Live_Data!AN190</x:f>
        <x:v>4024.457081346861</x:v>
      </x:c>
    </x:row>
    <x:row r="1662">
      <x:c r="A1662" t="n">
        <x:f>Dashboard_Live_Data!AG191</x:f>
        <x:v>34.5</x:v>
      </x:c>
      <x:c r="B1662" t="n">
        <x:f>Dashboard_Live_Data!AH191</x:f>
        <x:v>2696.234756688648</x:v>
      </x:c>
      <x:c r="C1662" t="n">
        <x:f>Dashboard_Live_Data!AI191</x:f>
        <x:v>230</x:v>
      </x:c>
      <x:c r="D1662" t="n">
        <x:f>Dashboard_Live_Data!AJ191</x:f>
        <x:v>1921.881554297467</x:v>
      </x:c>
      <x:c r="E1662" t="n">
        <x:f>Dashboard_Live_Data!AK191</x:f>
        <x:v>460</x:v>
      </x:c>
      <x:c r="F1662" t="n">
        <x:f>Dashboard_Live_Data!AL191</x:f>
        <x:v>4133.154973866361</x:v>
      </x:c>
      <x:c r="G1662" t="n">
        <x:f>Dashboard_Live_Data!AM191</x:f>
        <x:v>460</x:v>
      </x:c>
      <x:c r="H1662" t="n">
        <x:f>Dashboard_Live_Data!AN191</x:f>
        <x:v>4102.900966862511</x:v>
      </x:c>
    </x:row>
    <x:row r="1663">
      <x:c r="A1663" t="n">
        <x:f>Dashboard_Live_Data!AG192</x:f>
        <x:v>34.980000000000004</x:v>
      </x:c>
      <x:c r="B1663" t="n">
        <x:f>Dashboard_Live_Data!AH192</x:f>
        <x:v>2696.8265277651735</x:v>
      </x:c>
      <x:c r="C1663" t="n">
        <x:f>Dashboard_Live_Data!AI192</x:f>
        <x:v>233.19999999999993</x:v>
      </x:c>
      <x:c r="D1663" t="n">
        <x:f>Dashboard_Live_Data!AJ192</x:f>
        <x:v>1954.1154016181265</x:v>
      </x:c>
      <x:c r="E1663" t="n">
        <x:f>Dashboard_Live_Data!AK192</x:f>
        <x:v>466.39999999999986</x:v>
      </x:c>
      <x:c r="F1663" t="n">
        <x:f>Dashboard_Live_Data!AL192</x:f>
        <x:v>4212.178433547609</x:v>
      </x:c>
      <x:c r="G1663" t="n">
        <x:f>Dashboard_Live_Data!AM192</x:f>
        <x:v>466.39999999999986</x:v>
      </x:c>
      <x:c r="H1663" t="n">
        <x:f>Dashboard_Live_Data!AN192</x:f>
        <x:v>4182.145657173544</x:v>
      </x:c>
    </x:row>
    <x:row r="1664">
      <x:c r="A1664" t="n">
        <x:f>Dashboard_Live_Data!AG193</x:f>
        <x:v>35.52000000000001</x:v>
      </x:c>
      <x:c r="B1664" t="n">
        <x:f>Dashboard_Live_Data!AH193</x:f>
        <x:v>2697.5019276614603</x:v>
      </x:c>
      <x:c r="C1664" t="n">
        <x:f>Dashboard_Live_Data!AI193</x:f>
        <x:v>236.80000000000007</x:v>
      </x:c>
      <x:c r="D1664" t="n">
        <x:f>Dashboard_Live_Data!AJ193</x:f>
        <x:v>1990.6704964522148</x:v>
      </x:c>
      <x:c r="E1664" t="n">
        <x:f>Dashboard_Live_Data!AK193</x:f>
        <x:v>473.60000000000014</x:v>
      </x:c>
      <x:c r="F1664" t="n">
        <x:f>Dashboard_Live_Data!AL193</x:f>
        <x:v>4302.02574295159</x:v>
      </x:c>
      <x:c r="G1664" t="n">
        <x:f>Dashboard_Live_Data!AM193</x:f>
        <x:v>473.60000000000014</x:v>
      </x:c>
      <x:c r="H1664" t="n">
        <x:f>Dashboard_Live_Data!AN193</x:f>
        <x:v>4272.258661802538</x:v>
      </x:c>
    </x:row>
    <x:row r="1665">
      <x:c r="A1665" t="n">
        <x:f>Dashboard_Live_Data!AG194</x:f>
        <x:v>36</x:v>
      </x:c>
      <x:c r="B1665" t="n">
        <x:f>Dashboard_Live_Data!AH194</x:f>
        <x:v>2698.110863168117</x:v>
      </x:c>
      <x:c r="C1665" t="n">
        <x:f>Dashboard_Live_Data!AI194</x:f>
        <x:v>240</x:v>
      </x:c>
      <x:c r="D1665" t="n">
        <x:f>Dashboard_Live_Data!AJ194</x:f>
        <x:v>2023.4253433638573</x:v>
      </x:c>
      <x:c r="E1665" t="n">
        <x:f>Dashboard_Live_Data!AK194</x:f>
        <x:v>480</x:v>
      </x:c>
      <x:c r="F1665" t="n">
        <x:f>Dashboard_Live_Data!AL194</x:f>
        <x:v>4382.735609610576</x:v>
      </x:c>
      <x:c r="G1665" t="n">
        <x:f>Dashboard_Live_Data!AM194</x:f>
        <x:v>480</x:v>
      </x:c>
      <x:c r="H1665" t="n">
        <x:f>Dashboard_Live_Data!AN194</x:f>
        <x:v>4353.219632675859</x:v>
      </x:c>
    </x:row>
    <x:row r="1666">
      <x:c r="A1666" t="n">
        <x:f>Dashboard_Live_Data!AG195</x:f>
        <x:v>36.480000000000004</x:v>
      </x:c>
      <x:c r="B1666" t="n">
        <x:f>Dashboard_Live_Data!AH195</x:f>
        <x:v>2698.7278698689106</x:v>
      </x:c>
      <x:c r="C1666" t="n">
        <x:f>Dashboard_Live_Data!AI195</x:f>
        <x:v>243.20000000000005</x:v>
      </x:c>
      <x:c r="D1666" t="n">
        <x:f>Dashboard_Live_Data!AJ195</x:f>
        <x:v>2056.4279743959246</x:v>
      </x:c>
      <x:c r="E1666" t="n">
        <x:f>Dashboard_Live_Data!AK195</x:f>
        <x:v>486.4000000000001</x:v>
      </x:c>
      <x:c r="F1666" t="n">
        <x:f>Dashboard_Live_Data!AL195</x:f>
        <x:v>4464.245699599919</x:v>
      </x:c>
      <x:c r="G1666" t="n">
        <x:f>Dashboard_Live_Data!AM195</x:f>
        <x:v>486.4000000000001</x:v>
      </x:c>
      <x:c r="H1666" t="n">
        <x:f>Dashboard_Live_Data!AN195</x:f>
        <x:v>4434.994862669758</x:v>
      </x:c>
    </x:row>
    <x:row r="1667">
      <x:c r="A1667" t="n">
        <x:f>Dashboard_Live_Data!AG196</x:f>
        <x:v>37.019999999999996</x:v>
      </x:c>
      <x:c r="B1667" t="n">
        <x:f>Dashboard_Live_Data!AH196</x:f>
        <x:v>2699.43164499259</x:v>
      </x:c>
      <x:c r="C1667" t="n">
        <x:f>Dashboard_Live_Data!AI196</x:f>
        <x:v>246.79999999999995</x:v>
      </x:c>
      <x:c r="D1667" t="n">
        <x:f>Dashboard_Live_Data!AJ196</x:f>
        <x:v>2093.854163760291</x:v>
      </x:c>
      <x:c r="E1667" t="n">
        <x:f>Dashboard_Live_Data!AK196</x:f>
        <x:v>493.5999999999999</x:v>
      </x:c>
      <x:c r="F1667" t="n">
        <x:f>Dashboard_Live_Data!AL196</x:f>
        <x:v>4556.906145812415</x:v>
      </x:c>
      <x:c r="G1667" t="n">
        <x:f>Dashboard_Live_Data!AM196</x:f>
        <x:v>493.5999999999999</x:v>
      </x:c>
      <x:c r="H1667" t="n">
        <x:f>Dashboard_Live_Data!AN196</x:f>
        <x:v>4527.970342892097</x:v>
      </x:c>
    </x:row>
    <x:row r="1668">
      <x:c r="A1668" t="n">
        <x:f>Dashboard_Live_Data!AG197</x:f>
        <x:v>37.5</x:v>
      </x:c>
      <x:c r="B1668" t="n">
        <x:f>Dashboard_Live_Data!AH197</x:f>
        <x:v>2700.065789554835</x:v>
      </x:c>
      <x:c r="C1668" t="n">
        <x:f>Dashboard_Live_Data!AI197</x:f>
        <x:v>250</x:v>
      </x:c>
      <x:c r="D1668" t="n">
        <x:f>Dashboard_Live_Data!AJ197</x:f>
        <x:v>2127.3887833117165</x:v>
      </x:c>
      <x:c r="E1668" t="n">
        <x:f>Dashboard_Live_Data!AK197</x:f>
        <x:v>500</x:v>
      </x:c>
      <x:c r="F1668" t="n">
        <x:f>Dashboard_Live_Data!AL197</x:f>
        <x:v>4640.130126474501</x:v>
      </x:c>
      <x:c r="G1668" t="n">
        <x:f>Dashboard_Live_Data!AM197</x:f>
        <x:v>500</x:v>
      </x:c>
      <x:c r="H1668" t="n">
        <x:f>Dashboard_Live_Data!AN197</x:f>
        <x:v>4611.489216623593</x:v>
      </x:c>
    </x:row>
    <x:row r="1669">
      <x:c r="A1669" t="n">
        <x:f>Dashboard_Live_Data!AG198</x:f>
        <x:v>37.980000000000004</x:v>
      </x:c>
      <x:c r="B1669" t="n">
        <x:f>Dashboard_Live_Data!AH198</x:f>
        <x:v>2700.7079925706203</x:v>
      </x:c>
      <x:c r="C1669" t="n">
        <x:f>Dashboard_Live_Data!AI198</x:f>
        <x:v>253.20000000000005</x:v>
      </x:c>
      <x:c r="D1669" t="n">
        <x:f>Dashboard_Live_Data!AJ198</x:f>
        <x:v>2161.1762766414804</x:v>
      </x:c>
      <x:c r="E1669" t="n">
        <x:f>Dashboard_Live_Data!AK198</x:f>
        <x:v>506.4000000000001</x:v>
      </x:c>
      <x:c r="F1669" t="n">
        <x:f>Dashboard_Live_Data!AL198</x:f>
        <x:v>4724.1667239784065</x:v>
      </x:c>
      <x:c r="G1669" t="n">
        <x:f>Dashboard_Live_Data!AM198</x:f>
        <x:v>506.4000000000001</x:v>
      </x:c>
      <x:c r="H1669" t="n">
        <x:f>Dashboard_Live_Data!AN198</x:f>
        <x:v>4695.8346660074885</x:v>
      </x:c>
    </x:row>
    <x:row r="1670">
      <x:c r="A1670" t="n">
        <x:f>Dashboard_Live_Data!AG199</x:f>
        <x:v>38.519999999999996</x:v>
      </x:c>
      <x:c r="B1670" t="n">
        <x:f>Dashboard_Live_Data!AH199</x:f>
        <x:v>2701.440098131209</x:v>
      </x:c>
      <x:c r="C1670" t="n">
        <x:f>Dashboard_Live_Data!AI199</x:f>
        <x:v>256.79999999999995</x:v>
      </x:c>
      <x:c r="D1670" t="n">
        <x:f>Dashboard_Live_Data!AJ199</x:f>
        <x:v>2199.4914513372773</x:v>
      </x:c>
      <x:c r="E1670" t="n">
        <x:f>Dashboard_Live_Data!AK199</x:f>
        <x:v>513.5999999999999</x:v>
      </x:c>
      <x:c r="F1670" t="n">
        <x:f>Dashboard_Live_Data!AL199</x:f>
        <x:v>4819.683887182147</x:v>
      </x:c>
      <x:c r="G1670" t="n">
        <x:f>Dashboard_Live_Data!AM199</x:f>
        <x:v>513.5999999999999</x:v>
      </x:c>
      <x:c r="H1670" t="n">
        <x:f>Dashboard_Live_Data!AN199</x:f>
        <x:v>4791.715932694854</x:v>
      </x:c>
    </x:row>
    <x:row r="1671">
      <x:c r="A1671" t="n">
        <x:f>Dashboard_Live_Data!AG200</x:f>
        <x:v>39</x:v>
      </x:c>
      <x:c r="B1671" t="n">
        <x:f>Dashboard_Live_Data!AH200</x:f>
        <x:v>2702.0994114328023</x:v>
      </x:c>
      <x:c r="C1671" t="n">
        <x:f>Dashboard_Live_Data!AI200</x:f>
        <x:v>260</x:v>
      </x:c>
      <x:c r="D1671" t="n">
        <x:f>Dashboard_Live_Data!AJ200</x:f>
        <x:v>2233.821564177517</x:v>
      </x:c>
      <x:c r="E1671" t="n">
        <x:f>Dashboard_Live_Data!AK200</x:f>
        <x:v>520</x:v>
      </x:c>
      <x:c r="F1671" t="n">
        <x:f>Dashboard_Live_Data!AL200</x:f>
        <x:v>4905.459604666784</x:v>
      </x:c>
      <x:c r="G1671" t="n">
        <x:f>Dashboard_Live_Data!AM200</x:f>
        <x:v>520</x:v>
      </x:c>
      <x:c r="H1671" t="n">
        <x:f>Dashboard_Live_Data!AN200</x:f>
        <x:v>4877.830054285296</x:v>
      </x:c>
    </x:row>
    <x:row r="1672">
      <x:c r="A1672" t="n">
        <x:f>Dashboard_Live_Data!AG201</x:f>
        <x:v>39.47999999999999</x:v>
      </x:c>
      <x:c r="B1672" t="n">
        <x:f>Dashboard_Live_Data!AH201</x:f>
        <x:v>2702.766769976195</x:v>
      </x:c>
      <x:c r="C1672" t="n">
        <x:f>Dashboard_Live_Data!AI201</x:f>
        <x:v>263.19999999999993</x:v>
      </x:c>
      <x:c r="D1672" t="n">
        <x:f>Dashboard_Live_Data!AJ201</x:f>
        <x:v>2268.4094634231324</x:v>
      </x:c>
      <x:c r="E1672" t="n">
        <x:f>Dashboard_Live_Data!AK201</x:f>
        <x:v>526.3999999999999</x:v>
      </x:c>
      <x:c r="F1672" t="n">
        <x:f>Dashboard_Live_Data!AL201</x:f>
        <x:v>4992.0593057230435</x:v>
      </x:c>
      <x:c r="G1672" t="n">
        <x:f>Dashboard_Live_Data!AM201</x:f>
        <x:v>526.3999999999999</x:v>
      </x:c>
      <x:c r="H1672" t="n">
        <x:f>Dashboard_Live_Data!AN201</x:f>
        <x:v>4964.7820081571645</x:v>
      </x:c>
    </x:row>
    <x:row r="1673">
      <x:c r="A1673" t="n">
        <x:f>Dashboard_Live_Data!AG202</x:f>
        <x:v>40.019999999999996</x:v>
      </x:c>
      <x:c r="B1673" t="n">
        <x:f>Dashboard_Live_Data!AH202</x:f>
        <x:v>2703.527159526966</x:v>
      </x:c>
      <x:c r="C1673" t="n">
        <x:f>Dashboard_Live_Data!AI202</x:f>
        <x:v>266.80000000000007</x:v>
      </x:c>
      <x:c r="D1673" t="n">
        <x:f>Dashboard_Live_Data!AJ202</x:f>
        <x:v>2307.6308927499517</x:v>
      </x:c>
      <x:c r="E1673" t="n">
        <x:f>Dashboard_Live_Data!AK202</x:f>
        <x:v>533.6000000000001</x:v>
      </x:c>
      <x:c r="F1673" t="n">
        <x:f>Dashboard_Live_Data!AL202</x:f>
        <x:v>5090.473156276304</x:v>
      </x:c>
      <x:c r="G1673" t="n">
        <x:f>Dashboard_Live_Data!AM202</x:f>
        <x:v>533.6000000000001</x:v>
      </x:c>
      <x:c r="H1673" t="n">
        <x:f>Dashboard_Live_Data!AN202</x:f>
        <x:v>5063.608645679323</x:v>
      </x:c>
    </x:row>
    <x:row r="1674">
      <x:c r="A1674" t="n">
        <x:f>Dashboard_Live_Data!AG203</x:f>
        <x:v>40.5</x:v>
      </x:c>
      <x:c r="B1674" t="n">
        <x:f>Dashboard_Live_Data!AH203</x:f>
        <x:v>2704.2115997852675</x:v>
      </x:c>
      <x:c r="C1674" t="n">
        <x:f>Dashboard_Live_Data!AI203</x:f>
        <x:v>270</x:v>
      </x:c>
      <x:c r="D1674" t="n">
        <x:f>Dashboard_Live_Data!AJ203</x:f>
        <x:v>2342.7716518918514</x:v>
      </x:c>
      <x:c r="E1674" t="n">
        <x:f>Dashboard_Live_Data!AK203</x:f>
        <x:v>540</x:v>
      </x:c>
      <x:c r="F1674" t="n">
        <x:f>Dashboard_Live_Data!AL203</x:f>
        <x:v>5178.835096993912</x:v>
      </x:c>
      <x:c r="G1674" t="n">
        <x:f>Dashboard_Live_Data!AM203</x:f>
        <x:v>540</x:v>
      </x:c>
      <x:c r="H1674" t="n">
        <x:f>Dashboard_Live_Data!AN203</x:f>
        <x:v>5152.352129116699</x:v>
      </x:c>
    </x:row>
    <x:row r="1675">
      <x:c r="A1675" t="n">
        <x:f>Dashboard_Live_Data!AG204</x:f>
        <x:v>40.980000000000004</x:v>
      </x:c>
      <x:c r="B1675" t="n">
        <x:f>Dashboard_Live_Data!AH204</x:f>
        <x:v>2704.9040716081277</x:v>
      </x:c>
      <x:c r="C1675" t="n">
        <x:f>Dashboard_Live_Data!AI204</x:f>
        <x:v>273.20000000000005</x:v>
      </x:c>
      <x:c r="D1675" t="n">
        <x:f>Dashboard_Live_Data!AJ204</x:f>
        <x:v>2378.1749207105045</x:v>
      </x:c>
      <x:c r="E1675" t="n">
        <x:f>Dashboard_Live_Data!AK204</x:f>
        <x:v>546.4000000000001</x:v>
      </x:c>
      <x:c r="F1675" t="n">
        <x:f>Dashboard_Live_Data!AL204</x:f>
        <x:v>5268.031429047745</x:v>
      </x:c>
      <x:c r="G1675" t="n">
        <x:f>Dashboard_Live_Data!AM204</x:f>
        <x:v>546.4000000000001</x:v>
      </x:c>
      <x:c r="H1675" t="n">
        <x:f>Dashboard_Live_Data!AN204</x:f>
        <x:v>5241.943717406506</x:v>
      </x:c>
    </x:row>
    <x:row r="1676">
      <x:c r="A1676" t="n">
        <x:f>Dashboard_Live_Data!AG205</x:f>
        <x:v>41.519999999999996</x:v>
      </x:c>
      <x:c r="B1676" t="n">
        <x:f>Dashboard_Live_Data!AH205</x:f>
        <x:v>2705.692697065748</x:v>
      </x:c>
      <x:c r="C1676" t="n">
        <x:f>Dashboard_Live_Data!AI205</x:f>
        <x:v>276.79999999999995</x:v>
      </x:c>
      <x:c r="D1676" t="n">
        <x:f>Dashboard_Live_Data!AJ205</x:f>
        <x:v>2418.3192089337513</x:v>
      </x:c>
      <x:c r="E1676" t="n">
        <x:f>Dashboard_Live_Data!AK205</x:f>
        <x:v>553.5999999999999</x:v>
      </x:c>
      <x:c r="F1676" t="n">
        <x:f>Dashboard_Live_Data!AL205</x:f>
        <x:v>5369.3785657395565</x:v>
      </x:c>
      <x:c r="G1676" t="n">
        <x:f>Dashboard_Live_Data!AM205</x:f>
        <x:v>553.5999999999999</x:v>
      </x:c>
      <x:c r="H1676" t="n">
        <x:f>Dashboard_Live_Data!AN205</x:f>
        <x:v>5343.751850152343</x:v>
      </x:c>
    </x:row>
    <x:row r="1677">
      <x:c r="A1677" t="n">
        <x:f>Dashboard_Live_Data!AG206</x:f>
        <x:v>42</x:v>
      </x:c>
      <x:c r="B1677" t="n">
        <x:f>Dashboard_Live_Data!AH206</x:f>
        <x:v>2706.402221049479</x:v>
      </x:c>
      <x:c r="C1677" t="n">
        <x:f>Dashboard_Live_Data!AI206</x:f>
        <x:v>280</x:v>
      </x:c>
      <x:c r="D1677" t="n">
        <x:f>Dashboard_Live_Data!AJ206</x:f>
        <x:v>2454.285166823356</x:v>
      </x:c>
      <x:c r="E1677" t="n">
        <x:f>Dashboard_Live_Data!AK206</x:f>
        <x:v>560</x:v>
      </x:c>
      <x:c r="F1677" t="n">
        <x:f>Dashboard_Live_Data!AL206</x:f>
        <x:v>5460.3582902555545</x:v>
      </x:c>
      <x:c r="G1677" t="n">
        <x:f>Dashboard_Live_Data!AM206</x:f>
        <x:v>560</x:v>
      </x:c>
      <x:c r="H1677" t="n">
        <x:f>Dashboard_Live_Data!AN206</x:f>
        <x:v>5435.1558124688245</x:v>
      </x:c>
    </x:row>
    <x:row r="1678">
      <x:c r="A1678" t="n">
        <x:f>Dashboard_Live_Data!AG207</x:f>
        <x:v>42.480000000000004</x:v>
      </x:c>
      <x:c r="B1678" t="n">
        <x:f>Dashboard_Live_Data!AH207</x:f>
        <x:v>2707.119762460756</x:v>
      </x:c>
      <x:c r="C1678" t="n">
        <x:f>Dashboard_Live_Data!AI207</x:f>
        <x:v>283.19999999999993</x:v>
      </x:c>
      <x:c r="D1678" t="n">
        <x:f>Dashboard_Live_Data!AJ207</x:f>
        <x:v>2490.518160948682</x:v>
      </x:c>
      <x:c r="E1678" t="n">
        <x:f>Dashboard_Live_Data!AK207</x:f>
        <x:v>566.3999999999999</x:v>
      </x:c>
      <x:c r="F1678" t="n">
        <x:f>Dashboard_Live_Data!AL207</x:f>
        <x:v>5552.181921221128</x:v>
      </x:c>
      <x:c r="G1678" t="n">
        <x:f>Dashboard_Live_Data!AM207</x:f>
        <x:v>566.3999999999999</x:v>
      </x:c>
      <x:c r="H1678" t="n">
        <x:f>Dashboard_Live_Data!AN207</x:f>
        <x:v>5527.4172410510055</x:v>
      </x:c>
    </x:row>
    <x:row r="1679">
      <x:c r="A1679" t="n">
        <x:f>Dashboard_Live_Data!AG208</x:f>
        <x:v>43.02000000000001</x:v>
      </x:c>
      <x:c r="B1679" t="n">
        <x:f>Dashboard_Live_Data!AH208</x:f>
        <x:v>2707.9365741255974</x:v>
      </x:c>
      <x:c r="C1679" t="n">
        <x:f>Dashboard_Live_Data!AI208</x:f>
        <x:v>286.80000000000007</x:v>
      </x:c>
      <x:c r="D1679" t="n">
        <x:f>Dashboard_Live_Data!AJ208</x:f>
        <x:v>2531.601221281773</x:v>
      </x:c>
      <x:c r="E1679" t="n">
        <x:f>Dashboard_Live_Data!AK208</x:f>
        <x:v>573.6000000000001</x:v>
      </x:c>
      <x:c r="F1679" t="n">
        <x:f>Dashboard_Live_Data!AL208</x:f>
        <x:v>5656.495804293952</x:v>
      </x:c>
      <x:c r="G1679" t="n">
        <x:f>Dashboard_Live_Data!AM208</x:f>
        <x:v>573.6000000000001</x:v>
      </x:c>
      <x:c r="H1679" t="n">
        <x:f>Dashboard_Live_Data!AN208</x:f>
        <x:v>5632.239789639232</x:v>
      </x:c>
    </x:row>
    <x:row r="1680">
      <x:c r="A1680" t="n">
        <x:f>Dashboard_Live_Data!AG209</x:f>
        <x:v>43.5</x:v>
      </x:c>
      <x:c r="B1680" t="n">
        <x:f>Dashboard_Live_Data!AH209</x:f>
        <x:v>2708.6711371730257</x:v>
      </x:c>
      <x:c r="C1680" t="n">
        <x:f>Dashboard_Live_Data!AI209</x:f>
        <x:v>290</x:v>
      </x:c>
      <x:c r="D1680" t="n">
        <x:f>Dashboard_Live_Data!AJ209</x:f>
        <x:v>2568.4063111009086</x:v>
      </x:c>
      <x:c r="E1680" t="n">
        <x:f>Dashboard_Live_Data!AK209</x:f>
        <x:v>580</x:v>
      </x:c>
      <x:c r="F1680" t="n">
        <x:f>Dashboard_Live_Data!AL209</x:f>
        <x:v>5750.1221522344285</x:v>
      </x:c>
      <x:c r="G1680" t="n">
        <x:f>Dashboard_Live_Data!AM209</x:f>
        <x:v>580</x:v>
      </x:c>
      <x:c r="H1680" t="n">
        <x:f>Dashboard_Live_Data!AN209</x:f>
        <x:v>5726.332575075653</x:v>
      </x:c>
    </x:row>
    <x:row r="1681">
      <x:c r="A1681" t="n">
        <x:f>Dashboard_Live_Data!AG210</x:f>
        <x:v>43.980000000000004</x:v>
      </x:c>
      <x:c r="B1681" t="n">
        <x:f>Dashboard_Live_Data!AH210</x:f>
        <x:v>2709.41370305717</x:v>
      </x:c>
      <x:c r="C1681" t="n">
        <x:f>Dashboard_Live_Data!AI210</x:f>
        <x:v>293.20000000000005</x:v>
      </x:c>
      <x:c r="D1681" t="n">
        <x:f>Dashboard_Live_Data!AJ210</x:f>
        <x:v>2605.4827634648645</x:v>
      </x:c>
      <x:c r="E1681" t="n">
        <x:f>Dashboard_Live_Data!AK210</x:f>
        <x:v>586.4000000000001</x:v>
      </x:c>
      <x:c r="F1681" t="n">
        <x:f>Dashboard_Live_Data!AL210</x:f>
        <x:v>5844.601093061466</x:v>
      </x:c>
      <x:c r="G1681" t="n">
        <x:f>Dashboard_Live_Data!AM210</x:f>
        <x:v>586.4000000000001</x:v>
      </x:c>
      <x:c r="H1681" t="n">
        <x:f>Dashboard_Live_Data!AN210</x:f>
        <x:v>5821.291346397364</x:v>
      </x:c>
    </x:row>
    <x:row r="1682">
      <x:c r="A1682" t="n">
        <x:f>Dashboard_Live_Data!AG211</x:f>
        <x:v>44.519999999999996</x:v>
      </x:c>
      <x:c r="B1682" t="n">
        <x:f>Dashboard_Live_Data!AH211</x:f>
        <x:v>2710.258649634195</x:v>
      </x:c>
      <x:c r="C1682" t="n">
        <x:f>Dashboard_Live_Data!AI211</x:f>
        <x:v>296.79999999999995</x:v>
      </x:c>
      <x:c r="D1682" t="n">
        <x:f>Dashboard_Live_Data!AJ211</x:f>
        <x:v>2647.519805513155</x:v>
      </x:c>
      <x:c r="E1682" t="n">
        <x:f>Dashboard_Live_Data!AK211</x:f>
        <x:v>593.5999999999999</x:v>
      </x:c>
      <x:c r="F1682" t="n">
        <x:f>Dashboard_Live_Data!AL211</x:f>
        <x:v>5951.912269047644</x:v>
      </x:c>
      <x:c r="G1682" t="n">
        <x:f>Dashboard_Live_Data!AM211</x:f>
        <x:v>593.5999999999999</x:v>
      </x:c>
      <x:c r="H1682" t="n">
        <x:f>Dashboard_Live_Data!AN211</x:f>
        <x:v>5929.1582714862625</x:v>
      </x:c>
    </x:row>
    <x:row r="1683">
      <x:c r="A1683" t="n">
        <x:f>Dashboard_Live_Data!AG212</x:f>
        <x:v>45</x:v>
      </x:c>
      <x:c r="B1683" t="n">
        <x:f>Dashboard_Live_Data!AH212</x:f>
        <x:v>2711.018205671868</x:v>
      </x:c>
      <x:c r="C1683" t="n">
        <x:f>Dashboard_Live_Data!AI212</x:f>
        <x:v>300</x:v>
      </x:c>
      <x:c r="D1683" t="n">
        <x:f>Dashboard_Live_Data!AJ212</x:f>
        <x:v>2685.177333423242</x:v>
      </x:c>
      <x:c r="E1683" t="n">
        <x:f>Dashboard_Live_Data!AK212</x:f>
        <x:v>600</x:v>
      </x:c>
      <x:c r="F1683" t="n">
        <x:f>Dashboard_Live_Data!AL212</x:f>
        <x:v>6048.211556044975</x:v>
      </x:c>
      <x:c r="G1683" t="n">
        <x:f>Dashboard_Live_Data!AM212</x:f>
        <x:v>600</x:v>
      </x:c>
      <x:c r="H1683" t="n">
        <x:f>Dashboard_Live_Data!AN212</x:f>
        <x:v>6025.965664177064</x:v>
      </x:c>
    </x:row>
    <x:row r="1684">
      <x:c r="A1684" t="n">
        <x:f>Dashboard_Live_Data!AG213</x:f>
        <x:v>45.480000000000004</x:v>
      </x:c>
      <x:c r="B1684" t="n">
        <x:f>Dashboard_Live_Data!AH213</x:f>
        <x:v>2711.7857495077187</x:v>
      </x:c>
      <x:c r="C1684" t="n">
        <x:f>Dashboard_Live_Data!AI213</x:f>
        <x:v>303.20000000000005</x:v>
      </x:c>
      <x:c r="D1684" t="n">
        <x:f>Dashboard_Live_Data!AJ213</x:f>
        <x:v>2723.110349333624</x:v>
      </x:c>
      <x:c r="E1684" t="n">
        <x:f>Dashboard_Live_Data!AK213</x:f>
        <x:v>606.4000000000001</x:v>
      </x:c>
      <x:c r="F1684" t="n">
        <x:f>Dashboard_Live_Data!AL213</x:f>
        <x:v>6145.371354766013</x:v>
      </x:c>
      <x:c r="G1684" t="n">
        <x:f>Dashboard_Live_Data!AM213</x:f>
        <x:v>606.4000000000001</x:v>
      </x:c>
      <x:c r="H1684" t="n">
        <x:f>Dashboard_Live_Data!AN213</x:f>
        <x:v>6123.6467860475295</x:v>
      </x:c>
    </x:row>
    <x:row r="1685">
      <x:c r="A1685" t="n">
        <x:f>Dashboard_Live_Data!AG214</x:f>
        <x:v>46.019999999999996</x:v>
      </x:c>
      <x:c r="B1685" t="n">
        <x:f>Dashboard_Live_Data!AH214</x:f>
        <x:v>2712.658778127942</x:v>
      </x:c>
      <x:c r="C1685" t="n">
        <x:f>Dashboard_Live_Data!AI214</x:f>
        <x:v>306.79999999999995</x:v>
      </x:c>
      <x:c r="D1685" t="n">
        <x:f>Dashboard_Live_Data!AJ214</x:f>
        <x:v>2766.1158768793084</x:v>
      </x:c>
      <x:c r="E1685" t="n">
        <x:f>Dashboard_Live_Data!AK214</x:f>
        <x:v>613.5999999999999</x:v>
      </x:c>
      <x:c r="F1685" t="n">
        <x:f>Dashboard_Live_Data!AL214</x:f>
        <x:v>6255.7076711632635</x:v>
      </x:c>
      <x:c r="G1685" t="n">
        <x:f>Dashboard_Live_Data!AM214</x:f>
        <x:v>613.5999999999999</x:v>
      </x:c>
      <x:c r="H1685" t="n">
        <x:f>Dashboard_Live_Data!AN214</x:f>
        <x:v>6234.585318473166</x:v>
      </x:c>
    </x:row>
    <x:row r="1686">
      <x:c r="A1686" t="n">
        <x:f>Dashboard_Live_Data!AG215</x:f>
        <x:v>46.5</x:v>
      </x:c>
      <x:c r="B1686" t="n">
        <x:f>Dashboard_Live_Data!AH215</x:f>
        <x:v>2713.4432796899005</x:v>
      </x:c>
      <x:c r="C1686" t="n">
        <x:f>Dashboard_Live_Data!AI215</x:f>
        <x:v>310</x:v>
      </x:c>
      <x:c r="D1686" t="n">
        <x:f>Dashboard_Live_Data!AJ215</x:f>
        <x:v>2804.638522662561</x:v>
      </x:c>
      <x:c r="E1686" t="n">
        <x:f>Dashboard_Live_Data!AK215</x:f>
        <x:v>620</x:v>
      </x:c>
      <x:c r="F1686" t="n">
        <x:f>Dashboard_Live_Data!AL215</x:f>
        <x:v>6354.703876330992</x:v>
      </x:c>
      <x:c r="G1686" t="n">
        <x:f>Dashboard_Live_Data!AM215</x:f>
        <x:v>620</x:v>
      </x:c>
      <x:c r="H1686" t="n">
        <x:f>Dashboard_Live_Data!AN215</x:f>
        <x:v>6334.130742726853</x:v>
      </x:c>
    </x:row>
    <x:row r="1687">
      <x:c r="A1687" t="n">
        <x:f>Dashboard_Live_Data!AG216</x:f>
        <x:v>46.97999999999999</x:v>
      </x:c>
      <x:c r="B1687" t="n">
        <x:f>Dashboard_Live_Data!AH216</x:f>
        <x:v>2714.235753570058</x:v>
      </x:c>
      <x:c r="C1687" t="n">
        <x:f>Dashboard_Live_Data!AI216</x:f>
        <x:v>313.19999999999993</x:v>
      </x:c>
      <x:c r="D1687" t="n">
        <x:f>Dashboard_Live_Data!AJ216</x:f>
        <x:v>2843.440582690019</x:v>
      </x:c>
      <x:c r="E1687" t="n">
        <x:f>Dashboard_Live_Data!AK216</x:f>
        <x:v>626.3999999999999</x:v>
      </x:c>
      <x:c r="F1687" t="n">
        <x:f>Dashboard_Live_Data!AL216</x:f>
        <x:v>6454.567802288764</x:v>
      </x:c>
      <x:c r="G1687" t="n">
        <x:f>Dashboard_Live_Data!AM216</x:f>
        <x:v>626.3999999999999</x:v>
      </x:c>
      <x:c r="H1687" t="n">
        <x:f>Dashboard_Live_Data!AN216</x:f>
        <x:v>6434.556924518235</x:v>
      </x:c>
    </x:row>
    <x:row r="1688">
      <x:c r="A1688" t="n">
        <x:f>Dashboard_Live_Data!AG217</x:f>
        <x:v>47.519999999999996</x:v>
      </x:c>
      <x:c r="B1688" t="n">
        <x:f>Dashboard_Live_Data!AH217</x:f>
        <x:v>2715.1368098124726</x:v>
      </x:c>
      <x:c r="C1688" t="n">
        <x:f>Dashboard_Live_Data!AI217</x:f>
        <x:v>316.80000000000007</x:v>
      </x:c>
      <x:c r="D1688" t="n">
        <x:f>Dashboard_Live_Data!AJ217</x:f>
        <x:v>2887.428399392069</x:v>
      </x:c>
      <x:c r="E1688" t="n">
        <x:f>Dashboard_Live_Data!AK217</x:f>
        <x:v>633.6000000000001</x:v>
      </x:c>
      <x:c r="F1688" t="n">
        <x:f>Dashboard_Live_Data!AL217</x:f>
        <x:v>6567.954610839783</x:v>
      </x:c>
      <x:c r="G1688" t="n">
        <x:f>Dashboard_Live_Data!AM217</x:f>
        <x:v>633.6000000000001</x:v>
      </x:c>
      <x:c r="H1688" t="n">
        <x:f>Dashboard_Live_Data!AN217</x:f>
        <x:v>6548.591781107734</x:v>
      </x:c>
    </x:row>
    <x:row r="1689">
      <x:c r="A1689" t="n">
        <x:f>Dashboard_Live_Data!AG218</x:f>
        <x:v>48</x:v>
      </x:c>
      <x:c r="B1689" t="n">
        <x:f>Dashboard_Live_Data!AH218</x:f>
        <x:v>2715.9462080599938</x:v>
      </x:c>
      <x:c r="C1689" t="n">
        <x:f>Dashboard_Live_Data!AI218</x:f>
        <x:v>320</x:v>
      </x:c>
      <x:c r="D1689" t="n">
        <x:f>Dashboard_Live_Data!AJ218</x:f>
        <x:v>2926.8282235073743</x:v>
      </x:c>
      <x:c r="E1689" t="n">
        <x:f>Dashboard_Live_Data!AK218</x:f>
        <x:v>640</x:v>
      </x:c>
      <x:c r="F1689" t="n">
        <x:f>Dashboard_Live_Data!AL218</x:f>
        <x:v>6669.6695538641015</x:v>
      </x:c>
      <x:c r="G1689" t="n">
        <x:f>Dashboard_Live_Data!AM218</x:f>
        <x:v>640</x:v>
      </x:c>
      <x:c r="H1689" t="n">
        <x:f>Dashboard_Live_Data!AN218</x:f>
        <x:v>6650.89648885563</x:v>
      </x:c>
    </x:row>
    <x:row r="1690">
      <x:c r="A1690" t="n">
        <x:f>Dashboard_Live_Data!AG219</x:f>
        <x:v>48.480000000000004</x:v>
      </x:c>
      <x:c r="B1690" t="n">
        <x:f>Dashboard_Live_Data!AH219</x:f>
        <x:v>2716.763562710639</x:v>
      </x:c>
      <x:c r="C1690" t="n">
        <x:f>Dashboard_Live_Data!AI219</x:f>
        <x:v>323.20000000000005</x:v>
      </x:c>
      <x:c r="D1690" t="n">
        <x:f>Dashboard_Live_Data!AJ219</x:f>
        <x:v>2966.5111922476426</x:v>
      </x:c>
      <x:c r="E1690" t="n">
        <x:f>Dashboard_Live_Data!AK219</x:f>
        <x:v>646.4000000000001</x:v>
      </x:c>
      <x:c r="F1690" t="n">
        <x:f>Dashboard_Live_Data!AL219</x:f>
        <x:v>6772.258771364358</x:v>
      </x:c>
      <x:c r="G1690" t="n">
        <x:f>Dashboard_Live_Data!AM219</x:f>
        <x:v>646.4000000000001</x:v>
      </x:c>
      <x:c r="H1690" t="n">
        <x:f>Dashboard_Live_Data!AN219</x:f>
        <x:v>6754.08832481869</x:v>
      </x:c>
    </x:row>
    <x:row r="1691">
      <x:c r="A1691" t="n">
        <x:f>Dashboard_Live_Data!AG220</x:f>
        <x:v>49.019999999999996</x:v>
      </x:c>
      <x:c r="B1691" t="n">
        <x:f>Dashboard_Live_Data!AH220</x:f>
        <x:v>2717.692590624826</x:v>
      </x:c>
      <x:c r="C1691" t="n">
        <x:f>Dashboard_Live_Data!AI220</x:f>
        <x:v>326.79999999999995</x:v>
      </x:c>
      <x:c r="D1691" t="n">
        <x:f>Dashboard_Live_Data!AJ220</x:f>
        <x:v>3011.4944133564245</x:v>
      </x:c>
      <x:c r="E1691" t="n">
        <x:f>Dashboard_Live_Data!AK220</x:f>
        <x:v>653.5999999999999</x:v>
      </x:c>
      <x:c r="F1691" t="n">
        <x:f>Dashboard_Live_Data!AL220</x:f>
        <x:v>6888.7191192634255</x:v>
      </x:c>
      <x:c r="G1691" t="n">
        <x:f>Dashboard_Live_Data!AM220</x:f>
        <x:v>653.5999999999999</x:v>
      </x:c>
      <x:c r="H1691" t="n">
        <x:f>Dashboard_Live_Data!AN220</x:f>
        <x:v>6871.241909686075</x:v>
      </x:c>
    </x:row>
    <x:row r="1692">
      <x:c r="A1692" t="n">
        <x:f>Dashboard_Live_Data!AG221</x:f>
        <x:v>49.5</x:v>
      </x:c>
      <x:c r="B1692" t="n">
        <x:f>Dashboard_Live_Data!AH221</x:f>
        <x:v>2718.5268353664997</x:v>
      </x:c>
      <x:c r="C1692" t="n">
        <x:f>Dashboard_Live_Data!AI221</x:f>
        <x:v>330</x:v>
      </x:c>
      <x:c r="D1692" t="n">
        <x:f>Dashboard_Live_Data!AJ221</x:f>
        <x:v>3051.7828688525797</x:v>
      </x:c>
      <x:c r="E1692" t="n">
        <x:f>Dashboard_Live_Data!AK221</x:f>
        <x:v>660</x:v>
      </x:c>
      <x:c r="F1692" t="n">
        <x:f>Dashboard_Live_Data!AL221</x:f>
        <x:v>6993.172626647848</x:v>
      </x:c>
      <x:c r="G1692" t="n">
        <x:f>Dashboard_Live_Data!AM221</x:f>
        <x:v>660</x:v>
      </x:c>
      <x:c r="H1692" t="n">
        <x:f>Dashboard_Live_Data!AN221</x:f>
        <x:v>6976.325155041407</x:v>
      </x:c>
    </x:row>
    <x:row r="1693">
      <x:c r="A1693" t="n">
        <x:f>Dashboard_Live_Data!AG222</x:f>
        <x:v>49.980000000000004</x:v>
      </x:c>
      <x:c r="B1693" t="n">
        <x:f>Dashboard_Live_Data!AH222</x:f>
        <x:v>2719.3690201677696</x:v>
      </x:c>
      <x:c r="C1693" t="n">
        <x:f>Dashboard_Live_Data!AI222</x:f>
        <x:v>333.19999999999993</x:v>
      </x:c>
      <x:c r="D1693" t="n">
        <x:f>Dashboard_Live_Data!AJ222</x:f>
        <x:v>3092.3580081209293</x:v>
      </x:c>
      <x:c r="E1693" t="n">
        <x:f>Dashboard_Live_Data!AK222</x:f>
        <x:v>666.3999999999999</x:v>
      </x:c>
      <x:c r="F1693" t="n">
        <x:f>Dashboard_Live_Data!AL222</x:f>
        <x:v>7098.5063576925695</x:v>
      </x:c>
      <x:c r="G1693" t="n">
        <x:f>Dashboard_Live_Data!AM222</x:f>
        <x:v>666.3999999999999</x:v>
      </x:c>
      <x:c r="H1693" t="n">
        <x:f>Dashboard_Live_Data!AN222</x:f>
        <x:v>7082.30129477401</x:v>
      </x:c>
    </x:row>
    <x:row r="1694">
      <x:c r="A1694" t="n">
        <x:f>Dashboard_Live_Data!AG223</x:f>
        <x:v>50.52000000000001</x:v>
      </x:c>
      <x:c r="B1694" t="n">
        <x:f>Dashboard_Live_Data!AH223</x:f>
        <x:v>2720.3259622967576</x:v>
      </x:c>
      <x:c r="C1694" t="n">
        <x:f>Dashboard_Live_Data!AI223</x:f>
        <x:v>336.80000000000007</x:v>
      </x:c>
      <x:c r="D1694" t="n">
        <x:f>Dashboard_Live_Data!AJ223</x:f>
        <x:v>3138.34907670858</x:v>
      </x:c>
      <x:c r="E1694" t="n">
        <x:f>Dashboard_Live_Data!AK223</x:f>
        <x:v>673.6000000000001</x:v>
      </x:c>
      <x:c r="F1694" t="n">
        <x:f>Dashboard_Live_Data!AL223</x:f>
        <x:v>7218.061166458944</x:v>
      </x:c>
      <x:c r="G1694" t="n">
        <x:f>Dashboard_Live_Data!AM223</x:f>
        <x:v>673.6000000000001</x:v>
      </x:c>
      <x:c r="H1694" t="n">
        <x:f>Dashboard_Live_Data!AN223</x:f>
        <x:v>7202.593886244597</x:v>
      </x:c>
    </x:row>
    <x:row r="1695">
      <x:c r="A1695" t="n">
        <x:f>Dashboard_Live_Data!AG224</x:f>
        <x:v>51</x:v>
      </x:c>
      <x:c r="B1695" t="n">
        <x:f>Dashboard_Live_Data!AH224</x:f>
        <x:v>2721.1850020092143</x:v>
      </x:c>
      <x:c r="C1695" t="n">
        <x:f>Dashboard_Live_Data!AI224</x:f>
        <x:v>340</x:v>
      </x:c>
      <x:c r="D1695" t="n">
        <x:f>Dashboard_Live_Data!AJ224</x:f>
        <x:v>3179.537024764877</x:v>
      </x:c>
      <x:c r="E1695" t="n">
        <x:f>Dashboard_Live_Data!AK224</x:f>
        <x:v>680</x:v>
      </x:c>
      <x:c r="F1695" t="n">
        <x:f>Dashboard_Live_Data!AL224</x:f>
        <x:v>7325.2712267935</x:v>
      </x:c>
      <x:c r="G1695" t="n">
        <x:f>Dashboard_Live_Data!AM224</x:f>
        <x:v>680</x:v>
      </x:c>
      <x:c r="H1695" t="n">
        <x:f>Dashboard_Live_Data!AN224</x:f>
        <x:v>7310.473087383565</x:v>
      </x:c>
    </x:row>
    <x:row r="1696">
      <x:c r="A1696" t="n">
        <x:f>Dashboard_Live_Data!AG225</x:f>
        <x:v>51.480000000000004</x:v>
      </x:c>
      <x:c r="B1696" t="n">
        <x:f>Dashboard_Live_Data!AH225</x:f>
        <x:v>2722.0519650158485</x:v>
      </x:c>
      <x:c r="C1696" t="n">
        <x:f>Dashboard_Live_Data!AI225</x:f>
        <x:v>343.20000000000005</x:v>
      </x:c>
      <x:c r="D1696" t="n">
        <x:f>Dashboard_Live_Data!AJ225</x:f>
        <x:v>3221.015010080671</x:v>
      </x:c>
      <x:c r="E1696" t="n">
        <x:f>Dashboard_Live_Data!AK225</x:f>
        <x:v>686.4000000000001</x:v>
      </x:c>
      <x:c r="F1696" t="n">
        <x:f>Dashboard_Live_Data!AL225</x:f>
        <x:v>7433.366902852947</x:v>
      </x:c>
      <x:c r="G1696" t="n">
        <x:f>Dashboard_Live_Data!AM225</x:f>
        <x:v>686.4000000000001</x:v>
      </x:c>
      <x:c r="H1696" t="n">
        <x:f>Dashboard_Live_Data!AN225</x:f>
        <x:v>7419.250393732713</x:v>
      </x:c>
    </x:row>
    <x:row r="1697">
      <x:c r="A1697" t="n">
        <x:f>Dashboard_Live_Data!AG226</x:f>
        <x:v>52.019999999999996</x:v>
      </x:c>
      <x:c r="B1697" t="n">
        <x:f>Dashboard_Live_Data!AH226</x:f>
        <x:v>2723.0367624197406</x:v>
      </x:c>
      <x:c r="C1697" t="n">
        <x:f>Dashboard_Live_Data!AI226</x:f>
        <x:v>346.79999999999995</x:v>
      </x:c>
      <x:c r="D1697" t="n">
        <x:f>Dashboard_Live_Data!AJ226</x:f>
        <x:v>3268.0257165997627</x:v>
      </x:c>
      <x:c r="E1697" t="n">
        <x:f>Dashboard_Live_Data!AK226</x:f>
        <x:v>693.5999999999999</x:v>
      </x:c>
      <x:c r="F1697" t="n">
        <x:f>Dashboard_Live_Data!AL226</x:f>
        <x:v>7556.035134917943</x:v>
      </x:c>
      <x:c r="G1697" t="n">
        <x:f>Dashboard_Live_Data!AM226</x:f>
        <x:v>693.5999999999999</x:v>
      </x:c>
      <x:c r="H1697" t="n">
        <x:f>Dashboard_Live_Data!AN226</x:f>
        <x:v>7542.700317284668</x:v>
      </x:c>
    </x:row>
    <x:row r="1698">
      <x:c r="A1698" t="n">
        <x:f>Dashboard_Live_Data!AG227</x:f>
        <x:v>52.5</x:v>
      </x:c>
      <x:c r="B1698" t="n">
        <x:f>Dashboard_Live_Data!AH227</x:f>
        <x:v>2723.920544268542</x:v>
      </x:c>
      <x:c r="C1698" t="n">
        <x:f>Dashboard_Live_Data!AI227</x:f>
        <x:v>350</x:v>
      </x:c>
      <x:c r="D1698" t="n">
        <x:f>Dashboard_Live_Data!AJ227</x:f>
        <x:v>3310.123444717516</x:v>
      </x:c>
      <x:c r="E1698" t="n">
        <x:f>Dashboard_Live_Data!AK227</x:f>
        <x:v>700</x:v>
      </x:c>
      <x:c r="F1698" t="n">
        <x:f>Dashboard_Live_Data!AL227</x:f>
        <x:v>7666.018043289701</x:v>
      </x:c>
      <x:c r="G1698" t="n">
        <x:f>Dashboard_Live_Data!AM227</x:f>
        <x:v>700</x:v>
      </x:c>
      <x:c r="H1698" t="n">
        <x:f>Dashboard_Live_Data!AN227</x:f>
        <x:v>7653.39120605297</x:v>
      </x:c>
    </x:row>
    <x:row r="1699">
      <x:c r="A1699" t="n">
        <x:f>Dashboard_Live_Data!AG228</x:f>
        <x:v>52.980000000000004</x:v>
      </x:c>
      <x:c r="B1699" t="n">
        <x:f>Dashboard_Live_Data!AH228</x:f>
        <x:v>2724.8122322311165</x:v>
      </x:c>
      <x:c r="C1699" t="n">
        <x:f>Dashboard_Live_Data!AI228</x:f>
        <x:v>353.20000000000005</x:v>
      </x:c>
      <x:c r="D1699" t="n">
        <x:f>Dashboard_Live_Data!AJ228</x:f>
        <x:v>3352.5143841718163</x:v>
      </x:c>
      <x:c r="E1699" t="n">
        <x:f>Dashboard_Live_Data!AK228</x:f>
        <x:v>706.4000000000001</x:v>
      </x:c>
      <x:c r="F1699" t="n">
        <x:f>Dashboard_Live_Data!AL228</x:f>
        <x:v>7776.891446293156</x:v>
      </x:c>
      <x:c r="G1699" t="n">
        <x:f>Dashboard_Live_Data!AM228</x:f>
        <x:v>706.4000000000001</x:v>
      </x:c>
      <x:c r="H1699" t="n">
        <x:f>Dashboard_Live_Data!AN228</x:f>
        <x:v>7764.984900901371</x:v>
      </x:c>
    </x:row>
    <x:row r="1700">
      <x:c r="A1700" t="n">
        <x:f>Dashboard_Live_Data!AG229</x:f>
        <x:v>53.519999999999996</x:v>
      </x:c>
      <x:c r="B1700" t="n">
        <x:f>Dashboard_Live_Data!AH229</x:f>
        <x:v>2725.824824510964</x:v>
      </x:c>
      <x:c r="C1700" t="n">
        <x:f>Dashboard_Live_Data!AI229</x:f>
        <x:v>356.79999999999995</x:v>
      </x:c>
      <x:c r="D1700" t="n">
        <x:f>Dashboard_Live_Data!AJ229</x:f>
        <x:v>3400.5558883978983</x:v>
      </x:c>
      <x:c r="E1700" t="n">
        <x:f>Dashboard_Live_Data!AK229</x:f>
        <x:v>713.5999999999999</x:v>
      </x:c>
      <x:c r="F1700" t="n">
        <x:f>Dashboard_Live_Data!AL229</x:f>
        <x:v>7902.690259570726</x:v>
      </x:c>
      <x:c r="G1700" t="n">
        <x:f>Dashboard_Live_Data!AM229</x:f>
        <x:v>713.5999999999999</x:v>
      </x:c>
      <x:c r="H1700" t="n">
        <x:f>Dashboard_Live_Data!AN229</x:f>
        <x:v>7891.608688682572</x:v>
      </x:c>
    </x:row>
    <x:row r="1701">
      <x:c r="A1701" t="n">
        <x:f>Dashboard_Live_Data!AG230</x:f>
        <x:v>54</x:v>
      </x:c>
      <x:c r="B1701" t="n">
        <x:f>Dashboard_Live_Data!AH230</x:f>
        <x:v>2726.7332943721008</x:v>
      </x:c>
      <x:c r="C1701" t="n">
        <x:f>Dashboard_Live_Data!AI230</x:f>
        <x:v>360</x:v>
      </x:c>
      <x:c r="D1701" t="n">
        <x:f>Dashboard_Live_Data!AJ230</x:f>
        <x:v>3443.5731304663896</x:v>
      </x:c>
      <x:c r="E1701" t="n">
        <x:f>Dashboard_Live_Data!AK230</x:f>
        <x:v>720</x:v>
      </x:c>
      <x:c r="F1701" t="n">
        <x:f>Dashboard_Live_Data!AL230</x:f>
        <x:v>8015.460751408424</x:v>
      </x:c>
      <x:c r="G1701" t="n">
        <x:f>Dashboard_Live_Data!AM230</x:f>
        <x:v>720</x:v>
      </x:c>
      <x:c r="H1701" t="n">
        <x:f>Dashboard_Live_Data!AN230</x:f>
        <x:v>8005.125448461821</x:v>
      </x:c>
    </x:row>
    <x:row r="1702">
      <x:c r="A1702" t="n">
        <x:f>Dashboard_Live_Data!AG231</x:f>
        <x:v>54.47999999999999</x:v>
      </x:c>
      <x:c r="B1702" t="n">
        <x:f>Dashboard_Live_Data!AH231</x:f>
        <x:v>2727.649652758524</x:v>
      </x:c>
      <x:c r="C1702" t="n">
        <x:f>Dashboard_Live_Data!AI231</x:f>
        <x:v>363.19999999999993</x:v>
      </x:c>
      <x:c r="D1702" t="n">
        <x:f>Dashboard_Live_Data!AJ231</x:f>
        <x:v>3486.8865852502836</x:v>
      </x:c>
      <x:c r="E1702" t="n">
        <x:f>Dashboard_Live_Data!AK231</x:f>
        <x:v>726.3999999999999</x:v>
      </x:c>
      <x:c r="F1702" t="n">
        <x:f>Dashboard_Live_Data!AL231</x:f>
        <x:v>8129.12614429087</x:v>
      </x:c>
      <x:c r="G1702" t="n">
        <x:f>Dashboard_Live_Data!AM231</x:f>
        <x:v>726.3999999999999</x:v>
      </x:c>
      <x:c r="H1702" t="n">
        <x:f>Dashboard_Live_Data!AN231</x:f>
        <x:v>8119.549246965395</x:v>
      </x:c>
    </x:row>
    <x:row r="1703">
      <x:c r="A1703" t="n">
        <x:f>Dashboard_Live_Data!AG232</x:f>
        <x:v>55.019999999999996</x:v>
      </x:c>
      <x:c r="B1703" t="n">
        <x:f>Dashboard_Live_Data!AH232</x:f>
        <x:v>2728.689978080741</x:v>
      </x:c>
      <x:c r="C1703" t="n">
        <x:f>Dashboard_Live_Data!AI232</x:f>
        <x:v>366.80000000000007</x:v>
      </x:c>
      <x:c r="D1703" t="n">
        <x:f>Dashboard_Live_Data!AJ232</x:f>
        <x:v>3535.9694398561164</x:v>
      </x:c>
      <x:c r="E1703" t="n">
        <x:f>Dashboard_Live_Data!AK232</x:f>
        <x:v>733.6000000000001</x:v>
      </x:c>
      <x:c r="F1703" t="n">
        <x:f>Dashboard_Live_Data!AL232</x:f>
        <x:v>8258.071035157735</x:v>
      </x:c>
      <x:c r="G1703" t="n">
        <x:f>Dashboard_Live_Data!AM232</x:f>
        <x:v>733.6000000000001</x:v>
      </x:c>
      <x:c r="H1703" t="n">
        <x:f>Dashboard_Live_Data!AN232</x:f>
        <x:v>8249.361784554472</x:v>
      </x:c>
    </x:row>
    <x:row r="1704">
      <x:c r="A1704" t="n">
        <x:f>Dashboard_Live_Data!AG233</x:f>
        <x:v>55.5</x:v>
      </x:c>
      <x:c r="B1704" t="n">
        <x:f>Dashboard_Live_Data!AH233</x:f>
        <x:v>2729.6230805624396</x:v>
      </x:c>
      <x:c r="C1704" t="n">
        <x:f>Dashboard_Live_Data!AI233</x:f>
        <x:v>370</x:v>
      </x:c>
      <x:c r="D1704" t="n">
        <x:f>Dashboard_Live_Data!AJ233</x:f>
        <x:v>3579.915397473851</x:v>
      </x:c>
      <x:c r="E1704" t="n">
        <x:f>Dashboard_Live_Data!AK233</x:f>
        <x:v>740</x:v>
      </x:c>
      <x:c r="F1704" t="n">
        <x:f>Dashboard_Live_Data!AL233</x:f>
        <x:v>8373.64240992586</x:v>
      </x:c>
      <x:c r="G1704" t="n">
        <x:f>Dashboard_Live_Data!AM233</x:f>
        <x:v>740</x:v>
      </x:c>
      <x:c r="H1704" t="n">
        <x:f>Dashboard_Live_Data!AN233</x:f>
        <x:v>8365.717177007828</x:v>
      </x:c>
    </x:row>
    <x:row r="1705">
      <x:c r="A1705" t="n">
        <x:f>Dashboard_Live_Data!AG234</x:f>
        <x:v>55.980000000000004</x:v>
      </x:c>
      <x:c r="B1705" t="n">
        <x:f>Dashboard_Live_Data!AH234</x:f>
        <x:v>2730.5640535799016</x:v>
      </x:c>
      <x:c r="C1705" t="n">
        <x:f>Dashboard_Live_Data!AI234</x:f>
        <x:v>373.20000000000005</x:v>
      </x:c>
      <x:c r="D1705" t="n">
        <x:f>Dashboard_Live_Data!AJ234</x:f>
        <x:v>3624.160403492118</x:v>
      </x:c>
      <x:c r="E1705" t="n">
        <x:f>Dashboard_Live_Data!AK234</x:f>
        <x:v>746.4000000000001</x:v>
      </x:c>
      <x:c r="F1705" t="n">
        <x:f>Dashboard_Live_Data!AL234</x:f>
        <x:v>8490.112657175801</x:v>
      </x:c>
      <x:c r="G1705" t="n">
        <x:f>Dashboard_Live_Data!AM234</x:f>
        <x:v>746.4000000000001</x:v>
      </x:c>
      <x:c r="H1705" t="n">
        <x:f>Dashboard_Live_Data!AN234</x:f>
        <x:v>8482.983410922227</x:v>
      </x:c>
    </x:row>
    <x:row r="1706">
      <x:c r="A1706" t="n">
        <x:f>Dashboard_Live_Data!AG235</x:f>
        <x:v>56.519999999999996</x:v>
      </x:c>
      <x:c r="B1706" t="n">
        <x:f>Dashboard_Live_Data!AH235</x:f>
        <x:v>2731.632048701091</x:v>
      </x:c>
      <x:c r="C1706" t="n">
        <x:f>Dashboard_Live_Data!AI235</x:f>
        <x:v>376.79999999999995</x:v>
      </x:c>
      <x:c r="D1706" t="n">
        <x:f>Dashboard_Live_Data!AJ235</x:f>
        <x:v>3674.294578654452</x:v>
      </x:c>
      <x:c r="E1706" t="n">
        <x:f>Dashboard_Live_Data!AK235</x:f>
        <x:v>753.5999999999999</x:v>
      </x:c>
      <x:c r="F1706" t="n">
        <x:f>Dashboard_Live_Data!AL235</x:f>
        <x:v>8622.217592392886</x:v>
      </x:c>
      <x:c r="G1706" t="n">
        <x:f>Dashboard_Live_Data!AM235</x:f>
        <x:v>753.5999999999999</x:v>
      </x:c>
      <x:c r="H1706" t="n">
        <x:f>Dashboard_Live_Data!AN235</x:f>
        <x:v>8615.998072070657</x:v>
      </x:c>
    </x:row>
    <x:row r="1707">
      <x:c r="A1707" t="n">
        <x:f>Dashboard_Live_Data!AG236</x:f>
        <x:v>57</x:v>
      </x:c>
      <x:c r="B1707" t="n">
        <x:f>Dashboard_Live_Data!AH236</x:f>
        <x:v>2732.589727165975</x:v>
      </x:c>
      <x:c r="C1707" t="n">
        <x:f>Dashboard_Live_Data!AI236</x:f>
        <x:v>380</x:v>
      </x:c>
      <x:c r="D1707" t="n">
        <x:f>Dashboard_Live_Data!AJ236</x:f>
        <x:v>3719.1779432130656</x:v>
      </x:c>
      <x:c r="E1707" t="n">
        <x:f>Dashboard_Live_Data!AK236</x:f>
        <x:v>760</x:v>
      </x:c>
      <x:c r="F1707" t="n">
        <x:f>Dashboard_Live_Data!AL236</x:f>
        <x:v>8740.601827631473</x:v>
      </x:c>
      <x:c r="G1707" t="n">
        <x:f>Dashboard_Live_Data!AM236</x:f>
        <x:v>760</x:v>
      </x:c>
      <x:c r="H1707" t="n">
        <x:f>Dashboard_Live_Data!AN236</x:f>
        <x:v>8735.203553435682</x:v>
      </x:c>
    </x:row>
    <x:row r="1708">
      <x:c r="A1708" t="n">
        <x:f>Dashboard_Live_Data!AG237</x:f>
        <x:v>57.480000000000004</x:v>
      </x:c>
      <x:c r="B1708" t="n">
        <x:f>Dashboard_Live_Data!AH237</x:f>
        <x:v>2733.555257783269</x:v>
      </x:c>
      <x:c r="C1708" t="n">
        <x:f>Dashboard_Live_Data!AI237</x:f>
        <x:v>383.19999999999993</x:v>
      </x:c>
      <x:c r="D1708" t="n">
        <x:f>Dashboard_Live_Data!AJ237</x:f>
        <x:v>3764.3630333251954</x:v>
      </x:c>
      <x:c r="E1708" t="n">
        <x:f>Dashboard_Live_Data!AK237</x:f>
        <x:v>766.3999999999999</x:v>
      </x:c>
      <x:c r="F1708" t="n">
        <x:f>Dashboard_Live_Data!AL237</x:f>
        <x:v>8859.888506354831</x:v>
      </x:c>
      <x:c r="G1708" t="n">
        <x:f>Dashboard_Live_Data!AM237</x:f>
        <x:v>766.3999999999999</x:v>
      </x:c>
      <x:c r="H1708" t="n">
        <x:f>Dashboard_Live_Data!AN237</x:f>
        <x:v>8855.323284209488</x:v>
      </x:c>
    </x:row>
    <x:row r="1709">
      <x:c r="A1709" t="n">
        <x:f>Dashboard_Live_Data!AG238</x:f>
        <x:v>58.02000000000001</x:v>
      </x:c>
      <x:c r="B1709" t="n">
        <x:f>Dashboard_Live_Data!AH238</x:f>
        <x:v>2734.650858075406</x:v>
      </x:c>
      <x:c r="C1709" t="n">
        <x:f>Dashboard_Live_Data!AI238</x:f>
        <x:v>386.80000000000007</x:v>
      </x:c>
      <x:c r="D1709" t="n">
        <x:f>Dashboard_Live_Data!AJ238</x:f>
        <x:v>3815.557941887678</x:v>
      </x:c>
      <x:c r="E1709" t="n">
        <x:f>Dashboard_Live_Data!AK238</x:f>
        <x:v>773.6000000000001</x:v>
      </x:c>
      <x:c r="F1709" t="n">
        <x:f>Dashboard_Live_Data!AL238</x:f>
        <x:v>8995.16604452832</x:v>
      </x:c>
      <x:c r="G1709" t="n">
        <x:f>Dashboard_Live_Data!AM238</x:f>
        <x:v>773.6000000000001</x:v>
      </x:c>
      <x:c r="H1709" t="n">
        <x:f>Dashboard_Live_Data!AN238</x:f>
        <x:v>8991.552054335494</x:v>
      </x:c>
    </x:row>
    <x:row r="1710">
      <x:c r="A1710" t="n">
        <x:f>Dashboard_Live_Data!AG239</x:f>
        <x:v>58.5</x:v>
      </x:c>
      <x:c r="B1710" t="n">
        <x:f>Dashboard_Live_Data!AH239</x:f>
        <x:v>2735.6330546630293</x:v>
      </x:c>
      <x:c r="C1710" t="n">
        <x:f>Dashboard_Live_Data!AI239</x:f>
        <x:v>390</x:v>
      </x:c>
      <x:c r="D1710" t="n">
        <x:f>Dashboard_Live_Data!AJ239</x:f>
        <x:v>3861.3869170271155</x:v>
      </x:c>
      <x:c r="E1710" t="n">
        <x:f>Dashboard_Live_Data!AK239</x:f>
        <x:v>780</x:v>
      </x:c>
      <x:c r="F1710" t="n">
        <x:f>Dashboard_Live_Data!AL239</x:f>
        <x:v>9116.373900783714</x:v>
      </x:c>
      <x:c r="G1710" t="n">
        <x:f>Dashboard_Live_Data!AM239</x:f>
        <x:v>780</x:v>
      </x:c>
      <x:c r="H1710" t="n">
        <x:f>Dashboard_Live_Data!AN239</x:f>
        <x:v>9113.617881954191</x:v>
      </x:c>
    </x:row>
    <x:row r="1711">
      <x:c r="A1711" t="n">
        <x:f>Dashboard_Live_Data!AG240</x:f>
        <x:v>58.980000000000004</x:v>
      </x:c>
      <x:c r="B1711" t="n">
        <x:f>Dashboard_Live_Data!AH240</x:f>
        <x:v>2736.623084633149</x:v>
      </x:c>
      <x:c r="C1711" t="n">
        <x:f>Dashboard_Live_Data!AI240</x:f>
        <x:v>393.20000000000005</x:v>
      </x:c>
      <x:c r="D1711" t="n">
        <x:f>Dashboard_Live_Data!AJ240</x:f>
        <x:v>3907.520143552331</x:v>
      </x:c>
      <x:c r="E1711" t="n">
        <x:f>Dashboard_Live_Data!AK240</x:f>
        <x:v>786.4000000000001</x:v>
      </x:c>
      <x:c r="F1711" t="n">
        <x:f>Dashboard_Live_Data!AL240</x:f>
        <x:v>9238.487402839648</x:v>
      </x:c>
      <x:c r="G1711" t="n">
        <x:f>Dashboard_Live_Data!AM240</x:f>
        <x:v>786.4000000000001</x:v>
      </x:c>
      <x:c r="H1711" t="n">
        <x:f>Dashboard_Live_Data!AN240</x:f>
        <x:v>9236.601004281434</x:v>
      </x:c>
    </x:row>
    <x:row r="1712">
      <x:c r="A1712" t="n">
        <x:f>Dashboard_Live_Data!AG241</x:f>
        <x:v>59.519999999999996</x:v>
      </x:c>
      <x:c r="B1712" t="n">
        <x:f>Dashboard_Live_Data!AH241</x:f>
        <x:v>2737.746224109234</x:v>
      </x:c>
      <x:c r="C1712" t="n">
        <x:f>Dashboard_Live_Data!AI241</x:f>
        <x:v>396.79999999999995</x:v>
      </x:c>
      <x:c r="D1712" t="n">
        <x:f>Dashboard_Live_Data!AJ241</x:f>
        <x:v>3959.784666367032</x:v>
      </x:c>
      <x:c r="E1712" t="n">
        <x:f>Dashboard_Live_Data!AK241</x:f>
        <x:v>793.5999999999999</x:v>
      </x:c>
      <x:c r="F1712" t="n">
        <x:f>Dashboard_Live_Data!AL241</x:f>
        <x:v>9376.948806056138</x:v>
      </x:c>
      <x:c r="G1712" t="n">
        <x:f>Dashboard_Live_Data!AM241</x:f>
        <x:v>793.5999999999999</x:v>
      </x:c>
      <x:c r="H1712" t="n">
        <x:f>Dashboard_Live_Data!AN241</x:f>
        <x:v>9376.054593495282</x:v>
      </x:c>
    </x:row>
    <x:row r="1713">
      <x:c r="A1713" t="n">
        <x:f>Dashboard_Live_Data!AG242</x:f>
        <x:v>60</x:v>
      </x:c>
      <x:c r="B1713" t="n">
        <x:f>Dashboard_Live_Data!AH242</x:f>
        <x:v>2738.7528797589603</x:v>
      </x:c>
      <x:c r="C1713" t="n">
        <x:f>Dashboard_Live_Data!AI242</x:f>
        <x:v>400</x:v>
      </x:c>
      <x:c r="D1713" t="n">
        <x:f>Dashboard_Live_Data!AJ242</x:f>
        <x:v>4006.5669904921833</x:v>
      </x:c>
      <x:c r="E1713" t="n">
        <x:f>Dashboard_Live_Data!AK242</x:f>
        <x:v>800</x:v>
      </x:c>
      <x:c r="F1713" t="n">
        <x:f>Dashboard_Live_Data!AL242</x:f>
        <x:v>9500.98992327336</x:v>
      </x:c>
      <x:c r="G1713" t="n">
        <x:f>Dashboard_Live_Data!AM242</x:f>
        <x:v>800</x:v>
      </x:c>
      <x:c r="H1713" t="n">
        <x:f>Dashboard_Live_Data!AN242</x:f>
        <x:v>9500.98992327336</x:v>
      </x:c>
    </x:row>
    <x:row r="1716">
      <x:c r="A1716" t="s">
        <x:v>727</x:v>
      </x:c>
    </x:row>
    <x:row r="1717">
      <x:c r="A1717" t="s">
        <x:v>705</x:v>
      </x:c>
      <x:c r="B1717" t="s">
        <x:v>706</x:v>
      </x:c>
      <x:c r="C1717" t="s">
        <x:v>707</x:v>
      </x:c>
      <x:c r="D1717" t="s">
        <x:v>708</x:v>
      </x:c>
      <x:c r="E1717" t="s">
        <x:v>709</x:v>
      </x:c>
      <x:c r="F1717" t="s">
        <x:v>710</x:v>
      </x:c>
      <x:c r="G1717" t="s">
        <x:v>711</x:v>
      </x:c>
      <x:c r="H1717" t="s">
        <x:v>712</x:v>
      </x:c>
    </x:row>
    <x:row r="1718">
      <x:c r="A1718" t="n">
        <x:f>Dashboard_Live_Data!AP2</x:f>
        <x:v>-60</x:v>
      </x:c>
      <x:c r="B1718" t="n">
        <x:f>Dashboard_Live_Data!AQ2</x:f>
        <x:v>2737.9721339616262</x:v>
      </x:c>
      <x:c r="C1718" t="n">
        <x:f>Dashboard_Live_Data!AR2</x:f>
        <x:v>-400</x:v>
      </x:c>
      <x:c r="D1718" t="n">
        <x:f>Dashboard_Live_Data!AS2</x:f>
        <x:v>4006.1845220388846</x:v>
      </x:c>
      <x:c r="E1718" t="n">
        <x:f>Dashboard_Live_Data!AT2</x:f>
        <x:v>-800</x:v>
      </x:c>
      <x:c r="F1718" t="n">
        <x:f>Dashboard_Live_Data!AU2</x:f>
        <x:v>9500.556371343455</x:v>
      </x:c>
      <x:c r="G1718" t="n">
        <x:f>Dashboard_Live_Data!AV2</x:f>
        <x:v>-800</x:v>
      </x:c>
      <x:c r="H1718" t="n">
        <x:f>Dashboard_Live_Data!AW2</x:f>
        <x:v>9500.556371343455</x:v>
      </x:c>
    </x:row>
    <x:row r="1719">
      <x:c r="A1719" t="n">
        <x:f>Dashboard_Live_Data!AP3</x:f>
        <x:v>-59.519999999999996</x:v>
      </x:c>
      <x:c r="B1719" t="n">
        <x:f>Dashboard_Live_Data!AQ3</x:f>
        <x:v>2736.952820139559</x:v>
      </x:c>
      <x:c r="C1719" t="n">
        <x:f>Dashboard_Live_Data!AR3</x:f>
        <x:v>-396.8</x:v>
      </x:c>
      <x:c r="D1719" t="n">
        <x:f>Dashboard_Live_Data!AS3</x:f>
        <x:v>3959.1477374020114</x:v>
      </x:c>
      <x:c r="E1719" t="n">
        <x:f>Dashboard_Live_Data!AT3</x:f>
        <x:v>-793.6</x:v>
      </x:c>
      <x:c r="F1719" t="n">
        <x:f>Dashboard_Live_Data!AU3</x:f>
        <x:v>9376.680634893852</x:v>
      </x:c>
      <x:c r="G1719" t="n">
        <x:f>Dashboard_Live_Data!AV3</x:f>
        <x:v>-793.6</x:v>
      </x:c>
      <x:c r="H1719" t="n">
        <x:f>Dashboard_Live_Data!AW3</x:f>
        <x:v>9375.786453121236</x:v>
      </x:c>
    </x:row>
    <x:row r="1720">
      <x:c r="A1720" t="n">
        <x:f>Dashboard_Live_Data!AP4</x:f>
        <x:v>-58.98</x:v>
      </x:c>
      <x:c r="B1720" t="n">
        <x:f>Dashboard_Live_Data!AQ4</x:f>
        <x:v>2735.869392882246</x:v>
      </x:c>
      <x:c r="C1720" t="n">
        <x:f>Dashboard_Live_Data!AR4</x:f>
        <x:v>-393.2</x:v>
      </x:c>
      <x:c r="D1720" t="n">
        <x:f>Dashboard_Live_Data!AS4</x:f>
        <x:v>3906.689980315416</x:v>
      </x:c>
      <x:c r="E1720" t="n">
        <x:f>Dashboard_Live_Data!AT4</x:f>
        <x:v>-786.4</x:v>
      </x:c>
      <x:c r="F1720" t="n">
        <x:f>Dashboard_Live_Data!AU4</x:f>
        <x:v>9237.866936575247</x:v>
      </x:c>
      <x:c r="G1720" t="n">
        <x:f>Dashboard_Live_Data!AV4</x:f>
        <x:v>-786.4</x:v>
      </x:c>
      <x:c r="H1720" t="n">
        <x:f>Dashboard_Live_Data!AW4</x:f>
        <x:v>9235.980691879404</x:v>
      </x:c>
    </x:row>
    <x:row r="1721">
      <x:c r="A1721" t="n">
        <x:f>Dashboard_Live_Data!AP5</x:f>
        <x:v>-58.5</x:v>
      </x:c>
      <x:c r="B1721" t="n">
        <x:f>Dashboard_Live_Data!AQ5</x:f>
        <x:v>2734.7537852754253</x:v>
      </x:c>
      <x:c r="C1721" t="n">
        <x:f>Dashboard_Live_Data!AR5</x:f>
        <x:v>-390</x:v>
      </x:c>
      <x:c r="D1721" t="n">
        <x:f>Dashboard_Live_Data!AS5</x:f>
        <x:v>3860.6694546054136</x:v>
      </x:c>
      <x:c r="E1721" t="n">
        <x:f>Dashboard_Live_Data!AT5</x:f>
        <x:v>-780</x:v>
      </x:c>
      <x:c r="F1721" t="n">
        <x:f>Dashboard_Live_Data!AU5</x:f>
        <x:v>9116.215434885857</x:v>
      </x:c>
      <x:c r="G1721" t="n">
        <x:f>Dashboard_Live_Data!AV5</x:f>
        <x:v>-780</x:v>
      </x:c>
      <x:c r="H1721" t="n">
        <x:f>Dashboard_Live_Data!AW5</x:f>
        <x:v>9113.459474677602</x:v>
      </x:c>
    </x:row>
    <x:row r="1722">
      <x:c r="A1722" t="n">
        <x:f>Dashboard_Live_Data!AP6</x:f>
        <x:v>-58.019999999999996</x:v>
      </x:c>
      <x:c r="B1722" t="n">
        <x:f>Dashboard_Live_Data!AQ6</x:f>
        <x:v>2733.8712853195143</x:v>
      </x:c>
      <x:c r="C1722" t="n">
        <x:f>Dashboard_Live_Data!AR6</x:f>
        <x:v>-386.8</x:v>
      </x:c>
      <x:c r="D1722" t="n">
        <x:f>Dashboard_Live_Data!AS6</x:f>
        <x:v>3815.077300022674</x:v>
      </x:c>
      <x:c r="E1722" t="n">
        <x:f>Dashboard_Live_Data!AT6</x:f>
        <x:v>-773.6</x:v>
      </x:c>
      <x:c r="F1722" t="n">
        <x:f>Dashboard_Live_Data!AU6</x:f>
        <x:v>8994.69701979891</x:v>
      </x:c>
      <x:c r="G1722" t="n">
        <x:f>Dashboard_Live_Data!AV6</x:f>
        <x:v>-773.6</x:v>
      </x:c>
      <x:c r="H1722" t="n">
        <x:f>Dashboard_Live_Data!AW6</x:f>
        <x:v>8991.083262053256</x:v>
      </x:c>
    </x:row>
    <x:row r="1723">
      <x:c r="A1723" t="n">
        <x:f>Dashboard_Live_Data!AP7</x:f>
        <x:v>-57.48</x:v>
      </x:c>
      <x:c r="B1723" t="n">
        <x:f>Dashboard_Live_Data!AQ7</x:f>
        <x:v>2732.687149406082</x:v>
      </x:c>
      <x:c r="C1723" t="n">
        <x:f>Dashboard_Live_Data!AR7</x:f>
        <x:v>-383.2</x:v>
      </x:c>
      <x:c r="D1723" t="n">
        <x:f>Dashboard_Live_Data!AS7</x:f>
        <x:v>3764.015425077756</x:v>
      </x:c>
      <x:c r="E1723" t="n">
        <x:f>Dashboard_Live_Data!AT7</x:f>
        <x:v>-766.4</x:v>
      </x:c>
      <x:c r="F1723" t="n">
        <x:f>Dashboard_Live_Data!AU7</x:f>
        <x:v>8859.340160987978</x:v>
      </x:c>
      <x:c r="G1723" t="n">
        <x:f>Dashboard_Live_Data!AV7</x:f>
        <x:v>-766.4</x:v>
      </x:c>
      <x:c r="H1723" t="n">
        <x:f>Dashboard_Live_Data!AW7</x:f>
        <x:v>8854.775290553753</x:v>
      </x:c>
    </x:row>
    <x:row r="1724">
      <x:c r="A1724" t="n">
        <x:f>Dashboard_Live_Data!AP8</x:f>
        <x:v>-57</x:v>
      </x:c>
      <x:c r="B1724" t="n">
        <x:f>Dashboard_Live_Data!AQ8</x:f>
        <x:v>2731.689576789972</x:v>
      </x:c>
      <x:c r="C1724" t="n">
        <x:f>Dashboard_Live_Data!AR8</x:f>
        <x:v>-380</x:v>
      </x:c>
      <x:c r="D1724" t="n">
        <x:f>Dashboard_Live_Data!AS8</x:f>
        <x:v>3718.7207527081573</x:v>
      </x:c>
      <x:c r="E1724" t="n">
        <x:f>Dashboard_Live_Data!AT8</x:f>
        <x:v>-760</x:v>
      </x:c>
      <x:c r="F1724" t="n">
        <x:f>Dashboard_Live_Data!AU8</x:f>
        <x:v>8740.331788861331</x:v>
      </x:c>
      <x:c r="G1724" t="n">
        <x:f>Dashboard_Live_Data!AV8</x:f>
        <x:v>-760</x:v>
      </x:c>
      <x:c r="H1724" t="n">
        <x:f>Dashboard_Live_Data!AW8</x:f>
        <x:v>8734.93372395211</x:v>
      </x:c>
    </x:row>
    <x:row r="1725">
      <x:c r="A1725" t="n">
        <x:f>Dashboard_Live_Data!AP9</x:f>
        <x:v>-56.519999999999996</x:v>
      </x:c>
      <x:c r="B1725" t="n">
        <x:f>Dashboard_Live_Data!AQ9</x:f>
        <x:v>2730.708831878115</x:v>
      </x:c>
      <x:c r="C1725" t="n">
        <x:f>Dashboard_Live_Data!AR9</x:f>
        <x:v>-376.79999999999995</x:v>
      </x:c>
      <x:c r="D1725" t="n">
        <x:f>Dashboard_Live_Data!AS9</x:f>
        <x:v>3673.7176119881537</x:v>
      </x:c>
      <x:c r="E1725" t="n">
        <x:f>Dashboard_Live_Data!AT9</x:f>
        <x:v>-753.5999999999999</x:v>
      </x:c>
      <x:c r="F1725" t="n">
        <x:f>Dashboard_Live_Data!AU9</x:f>
        <x:v>8621.530757474558</x:v>
      </x:c>
      <x:c r="G1725" t="n">
        <x:f>Dashboard_Live_Data!AV9</x:f>
        <x:v>-753.5999999999999</x:v>
      </x:c>
      <x:c r="H1725" t="n">
        <x:f>Dashboard_Live_Data!AW9</x:f>
        <x:v>8615.311864200492</x:v>
      </x:c>
    </x:row>
    <x:row r="1726">
      <x:c r="A1726" t="n">
        <x:f>Dashboard_Live_Data!AP10</x:f>
        <x:v>-55.980000000000004</x:v>
      </x:c>
      <x:c r="B1726" t="n">
        <x:f>Dashboard_Live_Data!AQ10</x:f>
        <x:v>2729.524186781265</x:v>
      </x:c>
      <x:c r="C1726" t="n">
        <x:f>Dashboard_Live_Data!AR10</x:f>
        <x:v>-373.20000000000005</x:v>
      </x:c>
      <x:c r="D1726" t="n">
        <x:f>Dashboard_Live_Data!AS10</x:f>
        <x:v>3623.578456931738</x:v>
      </x:c>
      <x:c r="E1726" t="n">
        <x:f>Dashboard_Live_Data!AT10</x:f>
        <x:v>-746.4000000000001</x:v>
      </x:c>
      <x:c r="F1726" t="n">
        <x:f>Dashboard_Live_Data!AU10</x:f>
        <x:v>8489.738021557188</x:v>
      </x:c>
      <x:c r="G1726" t="n">
        <x:f>Dashboard_Live_Data!AV10</x:f>
        <x:v>-746.4000000000001</x:v>
      </x:c>
      <x:c r="H1726" t="n">
        <x:f>Dashboard_Live_Data!AW10</x:f>
        <x:v>8482.60917722077</x:v>
      </x:c>
    </x:row>
    <x:row r="1727">
      <x:c r="A1727" t="n">
        <x:f>Dashboard_Live_Data!AP11</x:f>
        <x:v>-55.5</x:v>
      </x:c>
      <x:c r="B1727" t="n">
        <x:f>Dashboard_Live_Data!AQ11</x:f>
        <x:v>2728.570750363843</x:v>
      </x:c>
      <x:c r="C1727" t="n">
        <x:f>Dashboard_Live_Data!AR11</x:f>
        <x:v>-370</x:v>
      </x:c>
      <x:c r="D1727" t="n">
        <x:f>Dashboard_Live_Data!AS11</x:f>
        <x:v>3579.321968781586</x:v>
      </x:c>
      <x:c r="E1727" t="n">
        <x:f>Dashboard_Live_Data!AT11</x:f>
        <x:v>-740</x:v>
      </x:c>
      <x:c r="F1727" t="n">
        <x:f>Dashboard_Live_Data!AU11</x:f>
        <x:v>8373.161917250281</x:v>
      </x:c>
      <x:c r="G1727" t="n">
        <x:f>Dashboard_Live_Data!AV11</x:f>
        <x:v>-740</x:v>
      </x:c>
      <x:c r="H1727" t="n">
        <x:f>Dashboard_Live_Data!AW11</x:f>
        <x:v>8365.237270419912</x:v>
      </x:c>
    </x:row>
    <x:row r="1728">
      <x:c r="A1728" t="n">
        <x:f>Dashboard_Live_Data!AP12</x:f>
        <x:v>-55.02</x:v>
      </x:c>
      <x:c r="B1728" t="n">
        <x:f>Dashboard_Live_Data!AQ12</x:f>
        <x:v>2727.45681982305</x:v>
      </x:c>
      <x:c r="C1728" t="n">
        <x:f>Dashboard_Live_Data!AR12</x:f>
        <x:v>-366.8</x:v>
      </x:c>
      <x:c r="D1728" t="n">
        <x:f>Dashboard_Live_Data!AS12</x:f>
        <x:v>3535.53973919248</x:v>
      </x:c>
      <x:c r="E1728" t="n">
        <x:f>Dashboard_Live_Data!AT12</x:f>
        <x:v>-733.6</x:v>
      </x:c>
      <x:c r="F1728" t="n">
        <x:f>Dashboard_Live_Data!AU12</x:f>
        <x:v>8257.496479709396</x:v>
      </x:c>
      <x:c r="G1728" t="n">
        <x:f>Dashboard_Live_Data!AV12</x:f>
        <x:v>-733.6</x:v>
      </x:c>
      <x:c r="H1728" t="n">
        <x:f>Dashboard_Live_Data!AW12</x:f>
        <x:v>8248.788016979055</x:v>
      </x:c>
    </x:row>
    <x:row r="1729">
      <x:c r="A1729" t="n">
        <x:f>Dashboard_Live_Data!AP13</x:f>
        <x:v>-54.480000000000004</x:v>
      </x:c>
      <x:c r="B1729" t="n">
        <x:f>Dashboard_Live_Data!AQ13</x:f>
        <x:v>2726.3354650184833</x:v>
      </x:c>
      <x:c r="C1729" t="n">
        <x:f>Dashboard_Live_Data!AR13</x:f>
        <x:v>-363.2</x:v>
      </x:c>
      <x:c r="D1729" t="n">
        <x:f>Dashboard_Live_Data!AS13</x:f>
        <x:v>3486.6311054490343</x:v>
      </x:c>
      <x:c r="E1729" t="n">
        <x:f>Dashboard_Live_Data!AT13</x:f>
        <x:v>-726.4</x:v>
      </x:c>
      <x:c r="F1729" t="n">
        <x:f>Dashboard_Live_Data!AU13</x:f>
        <x:v>8128.795130995124</x:v>
      </x:c>
      <x:c r="G1729" t="n">
        <x:f>Dashboard_Live_Data!AV13</x:f>
        <x:v>-726.4</x:v>
      </x:c>
      <x:c r="H1729" t="n">
        <x:f>Dashboard_Live_Data!AW13</x:f>
        <x:v>8119.218745794955</x:v>
      </x:c>
    </x:row>
    <x:row r="1730">
      <x:c r="A1730" t="n">
        <x:f>Dashboard_Live_Data!AP14</x:f>
        <x:v>-54</x:v>
      </x:c>
      <x:c r="B1730" t="n">
        <x:f>Dashboard_Live_Data!AQ14</x:f>
        <x:v>2725.4452542994177</x:v>
      </x:c>
      <x:c r="C1730" t="n">
        <x:f>Dashboard_Live_Data!AR14</x:f>
        <x:v>-360</x:v>
      </x:c>
      <x:c r="D1730" t="n">
        <x:f>Dashboard_Live_Data!AS14</x:f>
        <x:v>3443.2133979979462</x:v>
      </x:c>
      <x:c r="E1730" t="n">
        <x:f>Dashboard_Live_Data!AT14</x:f>
        <x:v>-720</x:v>
      </x:c>
      <x:c r="F1730" t="n">
        <x:f>Dashboard_Live_Data!AU14</x:f>
        <x:v>8015.099169643812</x:v>
      </x:c>
      <x:c r="G1730" t="n">
        <x:f>Dashboard_Live_Data!AV14</x:f>
        <x:v>-720</x:v>
      </x:c>
      <x:c r="H1730" t="n">
        <x:f>Dashboard_Live_Data!AW14</x:f>
        <x:v>8004.764484602612</x:v>
      </x:c>
    </x:row>
    <x:row r="1731">
      <x:c r="A1731" t="n">
        <x:f>Dashboard_Live_Data!AP15</x:f>
        <x:v>-53.52</x:v>
      </x:c>
      <x:c r="B1731" t="n">
        <x:f>Dashboard_Live_Data!AQ15</x:f>
        <x:v>2724.3586238461326</x:v>
      </x:c>
      <x:c r="C1731" t="n">
        <x:f>Dashboard_Live_Data!AR15</x:f>
        <x:v>-356.8</x:v>
      </x:c>
      <x:c r="D1731" t="n">
        <x:f>Dashboard_Live_Data!AS15</x:f>
        <x:v>3399.895538099978</x:v>
      </x:c>
      <x:c r="E1731" t="n">
        <x:f>Dashboard_Live_Data!AT15</x:f>
        <x:v>-713.6</x:v>
      </x:c>
      <x:c r="F1731" t="n">
        <x:f>Dashboard_Live_Data!AU15</x:f>
        <x:v>7902.130399222024</x:v>
      </x:c>
      <x:c r="G1731" t="n">
        <x:f>Dashboard_Live_Data!AV15</x:f>
        <x:v>-713.6</x:v>
      </x:c>
      <x:c r="H1731" t="n">
        <x:f>Dashboard_Live_Data!AW15</x:f>
        <x:v>7891.049878608124</x:v>
      </x:c>
    </x:row>
    <x:row r="1732">
      <x:c r="A1732" t="n">
        <x:f>Dashboard_Live_Data!AP16</x:f>
        <x:v>-52.980000000000004</x:v>
      </x:c>
      <x:c r="B1732" t="n">
        <x:f>Dashboard_Live_Data!AQ16</x:f>
        <x:v>2723.262706168718</x:v>
      </x:c>
      <x:c r="C1732" t="n">
        <x:f>Dashboard_Live_Data!AR16</x:f>
        <x:v>-353.2</x:v>
      </x:c>
      <x:c r="D1732" t="n">
        <x:f>Dashboard_Live_Data!AS16</x:f>
        <x:v>3351.834258988057</x:v>
      </x:c>
      <x:c r="E1732" t="n">
        <x:f>Dashboard_Live_Data!AT16</x:f>
        <x:v>-706.4</x:v>
      </x:c>
      <x:c r="F1732" t="n">
        <x:f>Dashboard_Live_Data!AU16</x:f>
        <x:v>7776.6419921566785</x:v>
      </x:c>
      <x:c r="G1732" t="n">
        <x:f>Dashboard_Live_Data!AV16</x:f>
        <x:v>-706.4</x:v>
      </x:c>
      <x:c r="H1732" t="n">
        <x:f>Dashboard_Live_Data!AW16</x:f>
        <x:v>7764.7359630806795</x:v>
      </x:c>
    </x:row>
    <x:row r="1733">
      <x:c r="A1733" t="n">
        <x:f>Dashboard_Live_Data!AP17</x:f>
        <x:v>-52.5</x:v>
      </x:c>
      <x:c r="B1733" t="n">
        <x:f>Dashboard_Live_Data!AQ17</x:f>
        <x:v>2722.4209257280004</x:v>
      </x:c>
      <x:c r="C1733" t="n">
        <x:f>Dashboard_Live_Data!AR17</x:f>
        <x:v>-350</x:v>
      </x:c>
      <x:c r="D1733" t="n">
        <x:f>Dashboard_Live_Data!AS17</x:f>
        <x:v>3309.70809101759</x:v>
      </x:c>
      <x:c r="E1733" t="n">
        <x:f>Dashboard_Live_Data!AT17</x:f>
        <x:v>-700</x:v>
      </x:c>
      <x:c r="F1733" t="n">
        <x:f>Dashboard_Live_Data!AU17</x:f>
        <x:v>7665.4810009588955</x:v>
      </x:c>
      <x:c r="G1733" t="n">
        <x:f>Dashboard_Live_Data!AV17</x:f>
        <x:v>-700</x:v>
      </x:c>
      <x:c r="H1733" t="n">
        <x:f>Dashboard_Live_Data!AW17</x:f>
        <x:v>7652.855371318062</x:v>
      </x:c>
    </x:row>
    <x:row r="1734">
      <x:c r="A1734" t="n">
        <x:f>Dashboard_Live_Data!AP18</x:f>
        <x:v>-52.019999999999996</x:v>
      </x:c>
      <x:c r="B1734" t="n">
        <x:f>Dashboard_Live_Data!AQ18</x:f>
        <x:v>2721.453798788491</x:v>
      </x:c>
      <x:c r="C1734" t="n">
        <x:f>Dashboard_Live_Data!AR18</x:f>
        <x:v>-346.8</x:v>
      </x:c>
      <x:c r="D1734" t="n">
        <x:f>Dashboard_Live_Data!AS18</x:f>
        <x:v>3267.709124542621</x:v>
      </x:c>
      <x:c r="E1734" t="n">
        <x:f>Dashboard_Live_Data!AT18</x:f>
        <x:v>-693.6</x:v>
      </x:c>
      <x:c r="F1734" t="n">
        <x:f>Dashboard_Live_Data!AU18</x:f>
        <x:v>7555.439677176813</x:v>
      </x:c>
      <x:c r="G1734" t="n">
        <x:f>Dashboard_Live_Data!AV18</x:f>
        <x:v>-693.6</x:v>
      </x:c>
      <x:c r="H1734" t="n">
        <x:f>Dashboard_Live_Data!AW18</x:f>
        <x:v>7542.106308297932</x:v>
      </x:c>
    </x:row>
    <x:row r="1735">
      <x:c r="A1735" t="n">
        <x:f>Dashboard_Live_Data!AP19</x:f>
        <x:v>-51.48</x:v>
      </x:c>
      <x:c r="B1735" t="n">
        <x:f>Dashboard_Live_Data!AQ19</x:f>
        <x:v>2720.3789439041557</x:v>
      </x:c>
      <x:c r="C1735" t="n">
        <x:f>Dashboard_Live_Data!AR19</x:f>
        <x:v>-343.2</x:v>
      </x:c>
      <x:c r="D1735" t="n">
        <x:f>Dashboard_Live_Data!AS19</x:f>
        <x:v>3220.525348840778</x:v>
      </x:c>
      <x:c r="E1735" t="n">
        <x:f>Dashboard_Live_Data!AT19</x:f>
        <x:v>-686.4</x:v>
      </x:c>
      <x:c r="F1735" t="n">
        <x:f>Dashboard_Live_Data!AU19</x:f>
        <x:v>7433.099881007341</x:v>
      </x:c>
      <x:c r="G1735" t="n">
        <x:f>Dashboard_Live_Data!AV19</x:f>
        <x:v>-686.4</x:v>
      </x:c>
      <x:c r="H1735" t="n">
        <x:f>Dashboard_Live_Data!AW19</x:f>
        <x:v>7418.984078737651</x:v>
      </x:c>
    </x:row>
    <x:row r="1736">
      <x:c r="A1736" t="n">
        <x:f>Dashboard_Live_Data!AP20</x:f>
        <x:v>-51</x:v>
      </x:c>
      <x:c r="B1736" t="n">
        <x:f>Dashboard_Live_Data!AQ20</x:f>
        <x:v>2719.530057692372</x:v>
      </x:c>
      <x:c r="C1736" t="n">
        <x:f>Dashboard_Live_Data!AR20</x:f>
        <x:v>-340</x:v>
      </x:c>
      <x:c r="D1736" t="n">
        <x:f>Dashboard_Live_Data!AS20</x:f>
        <x:v>3178.9032534055073</x:v>
      </x:c>
      <x:c r="E1736" t="n">
        <x:f>Dashboard_Live_Data!AT20</x:f>
        <x:v>-680</x:v>
      </x:c>
      <x:c r="F1736" t="n">
        <x:f>Dashboard_Live_Data!AU20</x:f>
        <x:v>7324.546168355662</x:v>
      </x:c>
      <x:c r="G1736" t="n">
        <x:f>Dashboard_Live_Data!AV20</x:f>
        <x:v>-680</x:v>
      </x:c>
      <x:c r="H1736" t="n">
        <x:f>Dashboard_Live_Data!AW20</x:f>
        <x:v>7309.750091969138</x:v>
      </x:c>
    </x:row>
    <x:row r="1737">
      <x:c r="A1737" t="n">
        <x:f>Dashboard_Live_Data!AP21</x:f>
        <x:v>-50.519999999999996</x:v>
      </x:c>
      <x:c r="B1737" t="n">
        <x:f>Dashboard_Live_Data!AQ21</x:f>
        <x:v>2718.6801987581757</x:v>
      </x:c>
      <x:c r="C1737" t="n">
        <x:f>Dashboard_Live_Data!AR21</x:f>
        <x:v>-336.8</x:v>
      </x:c>
      <x:c r="D1737" t="n">
        <x:f>Dashboard_Live_Data!AS21</x:f>
        <x:v>3137.627690080583</x:v>
      </x:c>
      <x:c r="E1737" t="n">
        <x:f>Dashboard_Live_Data!AT21</x:f>
        <x:v>-673.6</x:v>
      </x:c>
      <x:c r="F1737" t="n">
        <x:f>Dashboard_Live_Data!AU21</x:f>
        <x:v>7217.711125746066</x:v>
      </x:c>
      <x:c r="G1737" t="n">
        <x:f>Dashboard_Live_Data!AV21</x:f>
        <x:v>-673.6</x:v>
      </x:c>
      <x:c r="H1737" t="n">
        <x:f>Dashboard_Live_Data!AW21</x:f>
        <x:v>7202.2449127278005</x:v>
      </x:c>
    </x:row>
    <x:row r="1738">
      <x:c r="A1738" t="n">
        <x:f>Dashboard_Live_Data!AP22</x:f>
        <x:v>-49.98</x:v>
      </x:c>
      <x:c r="B1738" t="n">
        <x:f>Dashboard_Live_Data!AQ22</x:f>
        <x:v>2717.6974345549215</x:v>
      </x:c>
      <x:c r="C1738" t="n">
        <x:f>Dashboard_Live_Data!AR22</x:f>
        <x:v>-333.2</x:v>
      </x:c>
      <x:c r="D1738" t="n">
        <x:f>Dashboard_Live_Data!AS22</x:f>
        <x:v>3091.684937172292</x:v>
      </x:c>
      <x:c r="E1738" t="n">
        <x:f>Dashboard_Live_Data!AT22</x:f>
        <x:v>-666.4</x:v>
      </x:c>
      <x:c r="F1738" t="n">
        <x:f>Dashboard_Live_Data!AU22</x:f>
        <x:v>7098.019488341909</x:v>
      </x:c>
      <x:c r="G1738" t="n">
        <x:f>Dashboard_Live_Data!AV22</x:f>
        <x:v>-666.4</x:v>
      </x:c>
      <x:c r="H1738" t="n">
        <x:f>Dashboard_Live_Data!AW22</x:f>
        <x:v>7081.816025654208</x:v>
      </x:c>
    </x:row>
    <x:row r="1739">
      <x:c r="A1739" t="n">
        <x:f>Dashboard_Live_Data!AP23</x:f>
        <x:v>-49.5</x:v>
      </x:c>
      <x:c r="B1739" t="n">
        <x:f>Dashboard_Live_Data!AQ23</x:f>
        <x:v>2716.8250307204657</x:v>
      </x:c>
      <x:c r="C1739" t="n">
        <x:f>Dashboard_Live_Data!AR23</x:f>
        <x:v>-330</x:v>
      </x:c>
      <x:c r="D1739" t="n">
        <x:f>Dashboard_Live_Data!AS23</x:f>
        <x:v>3051.4674905866605</x:v>
      </x:c>
      <x:c r="E1739" t="n">
        <x:f>Dashboard_Live_Data!AT23</x:f>
        <x:v>-660</x:v>
      </x:c>
      <x:c r="F1739" t="n">
        <x:f>Dashboard_Live_Data!AU23</x:f>
        <x:v>6992.6479613045</x:v>
      </x:c>
      <x:c r="G1739" t="n">
        <x:f>Dashboard_Live_Data!AV23</x:f>
        <x:v>-660</x:v>
      </x:c>
      <x:c r="H1739" t="n">
        <x:f>Dashboard_Live_Data!AW23</x:f>
        <x:v>6975.80232907405</x:v>
      </x:c>
    </x:row>
    <x:row r="1740">
      <x:c r="A1740" t="n">
        <x:f>Dashboard_Live_Data!AP24</x:f>
        <x:v>-49.019999999999996</x:v>
      </x:c>
      <x:c r="B1740" t="n">
        <x:f>Dashboard_Live_Data!AQ24</x:f>
        <x:v>2716.0170983071607</x:v>
      </x:c>
      <x:c r="C1740" t="n">
        <x:f>Dashboard_Live_Data!AR24</x:f>
        <x:v>-326.79999999999995</x:v>
      </x:c>
      <x:c r="D1740" t="n">
        <x:f>Dashboard_Live_Data!AS24</x:f>
        <x:v>3011.205038375484</x:v>
      </x:c>
      <x:c r="E1740" t="n">
        <x:f>Dashboard_Live_Data!AT24</x:f>
        <x:v>-653.5999999999999</x:v>
      </x:c>
      <x:c r="F1740" t="n">
        <x:f>Dashboard_Live_Data!AU24</x:f>
        <x:v>6888.445538379483</x:v>
      </x:c>
      <x:c r="G1740" t="n">
        <x:f>Dashboard_Live_Data!AV24</x:f>
        <x:v>-653.5999999999999</x:v>
      </x:c>
      <x:c r="H1740" t="n">
        <x:f>Dashboard_Live_Data!AW24</x:f>
        <x:v>6870.9693497228955</x:v>
      </x:c>
    </x:row>
    <x:row r="1741">
      <x:c r="A1741" t="n">
        <x:f>Dashboard_Live_Data!AP25</x:f>
        <x:v>-48.480000000000004</x:v>
      </x:c>
      <x:c r="B1741" t="n">
        <x:f>Dashboard_Live_Data!AQ25</x:f>
        <x:v>2715.0613483936577</x:v>
      </x:c>
      <x:c r="C1741" t="n">
        <x:f>Dashboard_Live_Data!AR25</x:f>
        <x:v>-323.20000000000005</x:v>
      </x:c>
      <x:c r="D1741" t="n">
        <x:f>Dashboard_Live_Data!AS25</x:f>
        <x:v>2965.891539195201</x:v>
      </x:c>
      <x:c r="E1741" t="n">
        <x:f>Dashboard_Live_Data!AT25</x:f>
        <x:v>-646.4000000000001</x:v>
      </x:c>
      <x:c r="F1741" t="n">
        <x:f>Dashboard_Live_Data!AU25</x:f>
        <x:v>6771.789850814738</x:v>
      </x:c>
      <x:c r="G1741" t="n">
        <x:f>Dashboard_Live_Data!AV25</x:f>
        <x:v>-646.4000000000001</x:v>
      </x:c>
      <x:c r="H1741" t="n">
        <x:f>Dashboard_Live_Data!AW25</x:f>
        <x:v>6753.621278144666</x:v>
      </x:c>
    </x:row>
    <x:row r="1742">
      <x:c r="A1742" t="n">
        <x:f>Dashboard_Live_Data!AP26</x:f>
        <x:v>-48</x:v>
      </x:c>
      <x:c r="B1742" t="n">
        <x:f>Dashboard_Live_Data!AQ26</x:f>
        <x:v>2714.2779556726477</x:v>
      </x:c>
      <x:c r="C1742" t="n">
        <x:f>Dashboard_Live_Data!AR26</x:f>
        <x:v>-320</x:v>
      </x:c>
      <x:c r="D1742" t="n">
        <x:f>Dashboard_Live_Data!AS26</x:f>
        <x:v>2926.020997254117</x:v>
      </x:c>
      <x:c r="E1742" t="n">
        <x:f>Dashboard_Live_Data!AT26</x:f>
        <x:v>-640</x:v>
      </x:c>
      <x:c r="F1742" t="n">
        <x:f>Dashboard_Live_Data!AU26</x:f>
        <x:v>6669.242000062811</x:v>
      </x:c>
      <x:c r="G1742" t="n">
        <x:f>Dashboard_Live_Data!AV26</x:f>
        <x:v>-640</x:v>
      </x:c>
      <x:c r="H1742" t="n">
        <x:f>Dashboard_Live_Data!AW26</x:f>
        <x:v>6650.47074761406</x:v>
      </x:c>
    </x:row>
    <x:row r="1743">
      <x:c r="A1743" t="n">
        <x:f>Dashboard_Live_Data!AP27</x:f>
        <x:v>-47.52</x:v>
      </x:c>
      <x:c r="B1743" t="n">
        <x:f>Dashboard_Live_Data!AQ27</x:f>
        <x:v>2713.5291977559514</x:v>
      </x:c>
      <x:c r="C1743" t="n">
        <x:f>Dashboard_Live_Data!AR27</x:f>
        <x:v>-316.8</x:v>
      </x:c>
      <x:c r="D1743" t="n">
        <x:f>Dashboard_Live_Data!AS27</x:f>
        <x:v>2886.8217574751084</x:v>
      </x:c>
      <x:c r="E1743" t="n">
        <x:f>Dashboard_Live_Data!AT27</x:f>
        <x:v>-633.6</x:v>
      </x:c>
      <x:c r="F1743" t="n">
        <x:f>Dashboard_Live_Data!AU27</x:f>
        <x:v>6567.617122187415</x:v>
      </x:c>
      <x:c r="G1743" t="n">
        <x:f>Dashboard_Live_Data!AV27</x:f>
        <x:v>-633.6</x:v>
      </x:c>
      <x:c r="H1743" t="n">
        <x:f>Dashboard_Live_Data!AW27</x:f>
        <x:v>6548.25580809364</x:v>
      </x:c>
    </x:row>
    <x:row r="1744">
      <x:c r="A1744" t="n">
        <x:f>Dashboard_Live_Data!AP28</x:f>
        <x:v>-46.980000000000004</x:v>
      </x:c>
      <x:c r="B1744" t="n">
        <x:f>Dashboard_Live_Data!AQ28</x:f>
        <x:v>2712.5601656074723</x:v>
      </x:c>
      <x:c r="C1744" t="n">
        <x:f>Dashboard_Live_Data!AR28</x:f>
        <x:v>-313.20000000000005</x:v>
      </x:c>
      <x:c r="D1744" t="n">
        <x:f>Dashboard_Live_Data!AS28</x:f>
        <x:v>2843.1030562454516</x:v>
      </x:c>
      <x:c r="E1744" t="n">
        <x:f>Dashboard_Live_Data!AT28</x:f>
        <x:v>-626.4000000000001</x:v>
      </x:c>
      <x:c r="F1744" t="n">
        <x:f>Dashboard_Live_Data!AU28</x:f>
        <x:v>6453.946736401601</x:v>
      </x:c>
      <x:c r="G1744" t="n">
        <x:f>Dashboard_Live_Data!AV28</x:f>
        <x:v>-626.4000000000001</x:v>
      </x:c>
      <x:c r="H1744" t="n">
        <x:f>Dashboard_Live_Data!AW28</x:f>
        <x:v>6433.938830803955</x:v>
      </x:c>
    </x:row>
    <x:row r="1745">
      <x:c r="A1745" t="n">
        <x:f>Dashboard_Live_Data!AP29</x:f>
        <x:v>-46.5</x:v>
      </x:c>
      <x:c r="B1745" t="n">
        <x:f>Dashboard_Live_Data!AQ29</x:f>
        <x:v>2711.773173063473</x:v>
      </x:c>
      <x:c r="C1745" t="n">
        <x:f>Dashboard_Live_Data!AR29</x:f>
        <x:v>-310</x:v>
      </x:c>
      <x:c r="D1745" t="n">
        <x:f>Dashboard_Live_Data!AS29</x:f>
        <x:v>2804.324806344102</x:v>
      </x:c>
      <x:c r="E1745" t="n">
        <x:f>Dashboard_Live_Data!AT29</x:f>
        <x:v>-620</x:v>
      </x:c>
      <x:c r="F1745" t="n">
        <x:f>Dashboard_Live_Data!AU29</x:f>
        <x:v>6354.148628359924</x:v>
      </x:c>
      <x:c r="G1745" t="n">
        <x:f>Dashboard_Live_Data!AV29</x:f>
        <x:v>-620</x:v>
      </x:c>
      <x:c r="H1745" t="n">
        <x:f>Dashboard_Live_Data!AW29</x:f>
        <x:v>6333.578302346319</x:v>
      </x:c>
    </x:row>
    <x:row r="1746">
      <x:c r="A1746" t="n">
        <x:f>Dashboard_Live_Data!AP30</x:f>
        <x:v>-46.02</x:v>
      </x:c>
      <x:c r="B1746" t="n">
        <x:f>Dashboard_Live_Data!AQ30</x:f>
        <x:v>2711.160999256946</x:v>
      </x:c>
      <x:c r="C1746" t="n">
        <x:f>Dashboard_Live_Data!AR30</x:f>
        <x:v>-306.8</x:v>
      </x:c>
      <x:c r="D1746" t="n">
        <x:f>Dashboard_Live_Data!AS30</x:f>
        <x:v>2765.6399481746153</x:v>
      </x:c>
      <x:c r="E1746" t="n">
        <x:f>Dashboard_Live_Data!AT30</x:f>
        <x:v>-613.6</x:v>
      </x:c>
      <x:c r="F1746" t="n">
        <x:f>Dashboard_Live_Data!AU30</x:f>
        <x:v>6255.366172336804</x:v>
      </x:c>
      <x:c r="G1746" t="n">
        <x:f>Dashboard_Live_Data!AV30</x:f>
        <x:v>-613.6</x:v>
      </x:c>
      <x:c r="H1746" t="n">
        <x:f>Dashboard_Live_Data!AW30</x:f>
        <x:v>6234.24564203876</x:v>
      </x:c>
    </x:row>
    <x:row r="1747">
      <x:c r="A1747" t="n">
        <x:f>Dashboard_Live_Data!AP31</x:f>
        <x:v>-45.480000000000004</x:v>
      </x:c>
      <x:c r="B1747" t="n">
        <x:f>Dashboard_Live_Data!AQ31</x:f>
        <x:v>2710.338289310354</x:v>
      </x:c>
      <x:c r="C1747" t="n">
        <x:f>Dashboard_Live_Data!AR31</x:f>
        <x:v>-303.2</x:v>
      </x:c>
      <x:c r="D1747" t="n">
        <x:f>Dashboard_Live_Data!AS31</x:f>
        <x:v>2722.530866002271</x:v>
      </x:c>
      <x:c r="E1747" t="n">
        <x:f>Dashboard_Live_Data!AT31</x:f>
        <x:v>-606.4</x:v>
      </x:c>
      <x:c r="F1747" t="n">
        <x:f>Dashboard_Live_Data!AU31</x:f>
        <x:v>6144.635133313041</x:v>
      </x:c>
      <x:c r="G1747" t="n">
        <x:f>Dashboard_Live_Data!AV31</x:f>
        <x:v>-606.4</x:v>
      </x:c>
      <x:c r="H1747" t="n">
        <x:f>Dashboard_Live_Data!AW31</x:f>
        <x:v>6122.914735787475</x:v>
      </x:c>
    </x:row>
    <x:row r="1748">
      <x:c r="A1748" t="n">
        <x:f>Dashboard_Live_Data!AP32</x:f>
        <x:v>-45</x:v>
      </x:c>
      <x:c r="B1748" t="n">
        <x:f>Dashboard_Live_Data!AQ32</x:f>
        <x:v>2709.6428929865006</x:v>
      </x:c>
      <x:c r="C1748" t="n">
        <x:f>Dashboard_Live_Data!AR32</x:f>
        <x:v>-300</x:v>
      </x:c>
      <x:c r="D1748" t="n">
        <x:f>Dashboard_Live_Data!AS32</x:f>
        <x:v>2684.585268981876</x:v>
      </x:c>
      <x:c r="E1748" t="n">
        <x:f>Dashboard_Live_Data!AT32</x:f>
        <x:v>-600</x:v>
      </x:c>
      <x:c r="F1748" t="n">
        <x:f>Dashboard_Live_Data!AU32</x:f>
        <x:v>6047.970949157087</x:v>
      </x:c>
      <x:c r="G1748" t="n">
        <x:f>Dashboard_Live_Data!AV32</x:f>
        <x:v>-600</x:v>
      </x:c>
      <x:c r="H1748" t="n">
        <x:f>Dashboard_Live_Data!AW32</x:f>
        <x:v>6025.726492848604</x:v>
      </x:c>
    </x:row>
    <x:row r="1749">
      <x:c r="A1749" t="n">
        <x:f>Dashboard_Live_Data!AP33</x:f>
        <x:v>-44.519999999999996</x:v>
      </x:c>
      <x:c r="B1749" t="n">
        <x:f>Dashboard_Live_Data!AQ33</x:f>
        <x:v>2708.85476109416</x:v>
      </x:c>
      <x:c r="C1749" t="n">
        <x:f>Dashboard_Live_Data!AR33</x:f>
        <x:v>-296.8</x:v>
      </x:c>
      <x:c r="D1749" t="n">
        <x:f>Dashboard_Live_Data!AS33</x:f>
        <x:v>2647.0848704043838</x:v>
      </x:c>
      <x:c r="E1749" t="n">
        <x:f>Dashboard_Live_Data!AT33</x:f>
        <x:v>-593.6</x:v>
      </x:c>
      <x:c r="F1749" t="n">
        <x:f>Dashboard_Live_Data!AU33</x:f>
        <x:v>5951.39951323184</x:v>
      </x:c>
      <x:c r="G1749" t="n">
        <x:f>Dashboard_Live_Data!AV33</x:f>
        <x:v>-593.6</x:v>
      </x:c>
      <x:c r="H1749" t="n">
        <x:f>Dashboard_Live_Data!AW33</x:f>
        <x:v>5928.648736328782</x:v>
      </x:c>
    </x:row>
    <x:row r="1750">
      <x:c r="A1750" t="n">
        <x:f>Dashboard_Live_Data!AP34</x:f>
        <x:v>-43.980000000000004</x:v>
      </x:c>
      <x:c r="B1750" t="n">
        <x:f>Dashboard_Live_Data!AQ34</x:f>
        <x:v>2708.046309396769</x:v>
      </x:c>
      <x:c r="C1750" t="n">
        <x:f>Dashboard_Live_Data!AR34</x:f>
        <x:v>-293.2</x:v>
      </x:c>
      <x:c r="D1750" t="n">
        <x:f>Dashboard_Live_Data!AS34</x:f>
        <x:v>2605.1463027637274</x:v>
      </x:c>
      <x:c r="E1750" t="n">
        <x:f>Dashboard_Live_Data!AT34</x:f>
        <x:v>-586.4</x:v>
      </x:c>
      <x:c r="F1750" t="n">
        <x:f>Dashboard_Live_Data!AU34</x:f>
        <x:v>5844.072163861854</x:v>
      </x:c>
      <x:c r="G1750" t="n">
        <x:f>Dashboard_Live_Data!AV34</x:f>
        <x:v>-586.4</x:v>
      </x:c>
      <x:c r="H1750" t="n">
        <x:f>Dashboard_Live_Data!AW34</x:f>
        <x:v>5820.765933364904</x:v>
      </x:c>
    </x:row>
    <x:row r="1751">
      <x:c r="A1751" t="n">
        <x:f>Dashboard_Live_Data!AP35</x:f>
        <x:v>-43.5</x:v>
      </x:c>
      <x:c r="B1751" t="n">
        <x:f>Dashboard_Live_Data!AQ35</x:f>
        <x:v>2707.2816005599116</x:v>
      </x:c>
      <x:c r="C1751" t="n">
        <x:f>Dashboard_Live_Data!AR35</x:f>
        <x:v>-290</x:v>
      </x:c>
      <x:c r="D1751" t="n">
        <x:f>Dashboard_Live_Data!AS35</x:f>
        <x:v>2568.019958311417</x:v>
      </x:c>
      <x:c r="E1751" t="n">
        <x:f>Dashboard_Live_Data!AT35</x:f>
        <x:v>-580</x:v>
      </x:c>
      <x:c r="F1751" t="n">
        <x:f>Dashboard_Live_Data!AU35</x:f>
        <x:v>5749.953698963689</x:v>
      </x:c>
      <x:c r="G1751" t="n">
        <x:f>Dashboard_Live_Data!AV35</x:f>
        <x:v>-580</x:v>
      </x:c>
      <x:c r="H1751" t="n">
        <x:f>Dashboard_Live_Data!AW35</x:f>
        <x:v>5726.165298383326</x:v>
      </x:c>
    </x:row>
    <x:row r="1752">
      <x:c r="A1752" t="n">
        <x:f>Dashboard_Live_Data!AP36</x:f>
        <x:v>-43.019999999999996</x:v>
      </x:c>
      <x:c r="B1752" t="n">
        <x:f>Dashboard_Live_Data!AQ36</x:f>
        <x:v>2706.6595368359267</x:v>
      </x:c>
      <x:c r="C1752" t="n">
        <x:f>Dashboard_Live_Data!AR36</x:f>
        <x:v>-286.79999999999995</x:v>
      </x:c>
      <x:c r="D1752" t="n">
        <x:f>Dashboard_Live_Data!AS36</x:f>
        <x:v>2531.067100407615</x:v>
      </x:c>
      <x:c r="E1752" t="n">
        <x:f>Dashboard_Live_Data!AT36</x:f>
        <x:v>-573.5999999999999</x:v>
      </x:c>
      <x:c r="F1752" t="n">
        <x:f>Dashboard_Live_Data!AU36</x:f>
        <x:v>5655.904045000844</x:v>
      </x:c>
      <x:c r="G1752" t="n">
        <x:f>Dashboard_Live_Data!AV36</x:f>
        <x:v>-573.5999999999999</x:v>
      </x:c>
      <x:c r="H1752" t="n">
        <x:f>Dashboard_Live_Data!AW36</x:f>
        <x:v>5631.65237257585</x:v>
      </x:c>
    </x:row>
    <x:row r="1753">
      <x:c r="A1753" t="n">
        <x:f>Dashboard_Live_Data!AP37</x:f>
        <x:v>-42.48</x:v>
      </x:c>
      <x:c r="B1753" t="n">
        <x:f>Dashboard_Live_Data!AQ37</x:f>
        <x:v>2705.8693463886</x:v>
      </x:c>
      <x:c r="C1753" t="n">
        <x:f>Dashboard_Live_Data!AR37</x:f>
        <x:v>-283.2</x:v>
      </x:c>
      <x:c r="D1753" t="n">
        <x:f>Dashboard_Live_Data!AS37</x:f>
        <x:v>2489.887481598469</x:v>
      </x:c>
      <x:c r="E1753" t="n">
        <x:f>Dashboard_Live_Data!AT37</x:f>
        <x:v>-566.4</x:v>
      </x:c>
      <x:c r="F1753" t="n">
        <x:f>Dashboard_Live_Data!AU37</x:f>
        <x:v>5551.850758749343</x:v>
      </x:c>
      <x:c r="G1753" t="n">
        <x:f>Dashboard_Live_Data!AV37</x:f>
        <x:v>-566.4</x:v>
      </x:c>
      <x:c r="H1753" t="n">
        <x:f>Dashboard_Live_Data!AW37</x:f>
        <x:v>5527.088644171126</x:v>
      </x:c>
    </x:row>
    <x:row r="1754">
      <x:c r="A1754" t="n">
        <x:f>Dashboard_Live_Data!AP38</x:f>
        <x:v>-42</x:v>
      </x:c>
      <x:c r="B1754" t="n">
        <x:f>Dashboard_Live_Data!AQ38</x:f>
        <x:v>2705.27705475384</x:v>
      </x:c>
      <x:c r="C1754" t="n">
        <x:f>Dashboard_Live_Data!AR38</x:f>
        <x:v>-280</x:v>
      </x:c>
      <x:c r="D1754" t="n">
        <x:f>Dashboard_Live_Data!AS38</x:f>
        <x:v>2453.7296576050267</x:v>
      </x:c>
      <x:c r="E1754" t="n">
        <x:f>Dashboard_Live_Data!AT38</x:f>
        <x:v>-560</x:v>
      </x:c>
      <x:c r="F1754" t="n">
        <x:f>Dashboard_Live_Data!AU38</x:f>
        <x:v>5459.997895455708</x:v>
      </x:c>
      <x:c r="G1754" t="n">
        <x:f>Dashboard_Live_Data!AV38</x:f>
        <x:v>-560</x:v>
      </x:c>
      <x:c r="H1754" t="n">
        <x:f>Dashboard_Live_Data!AW38</x:f>
        <x:v>5434.79834663666</x:v>
      </x:c>
    </x:row>
    <x:row r="1755">
      <x:c r="A1755" t="n">
        <x:f>Dashboard_Live_Data!AP39</x:f>
        <x:v>-41.519999999999996</x:v>
      </x:c>
      <x:c r="B1755" t="n">
        <x:f>Dashboard_Live_Data!AQ39</x:f>
        <x:v>2704.569325361173</x:v>
      </x:c>
      <x:c r="C1755" t="n">
        <x:f>Dashboard_Live_Data!AR39</x:f>
        <x:v>-276.79999999999995</x:v>
      </x:c>
      <x:c r="D1755" t="n">
        <x:f>Dashboard_Live_Data!AS39</x:f>
        <x:v>2417.9520871285163</x:v>
      </x:c>
      <x:c r="E1755" t="n">
        <x:f>Dashboard_Live_Data!AT39</x:f>
        <x:v>-553.5999999999999</x:v>
      </x:c>
      <x:c r="F1755" t="n">
        <x:f>Dashboard_Live_Data!AU39</x:f>
        <x:v>5368.7858670736305</x:v>
      </x:c>
      <x:c r="G1755" t="n">
        <x:f>Dashboard_Live_Data!AV39</x:f>
        <x:v>-553.5999999999999</x:v>
      </x:c>
      <x:c r="H1755" t="n">
        <x:f>Dashboard_Live_Data!AW39</x:f>
        <x:v>5343.164202862709</x:v>
      </x:c>
    </x:row>
    <x:row r="1756">
      <x:c r="A1756" t="n">
        <x:f>Dashboard_Live_Data!AP40</x:f>
        <x:v>-40.980000000000004</x:v>
      </x:c>
      <x:c r="B1756" t="n">
        <x:f>Dashboard_Live_Data!AQ40</x:f>
        <x:v>2703.6905678073786</x:v>
      </x:c>
      <x:c r="C1756" t="n">
        <x:f>Dashboard_Live_Data!AR40</x:f>
        <x:v>-273.20000000000005</x:v>
      </x:c>
      <x:c r="D1756" t="n">
        <x:f>Dashboard_Live_Data!AS40</x:f>
        <x:v>2377.718715826389</x:v>
      </x:c>
      <x:c r="E1756" t="n">
        <x:f>Dashboard_Live_Data!AT40</x:f>
        <x:v>-546.4000000000001</x:v>
      </x:c>
      <x:c r="F1756" t="n">
        <x:f>Dashboard_Live_Data!AU40</x:f>
        <x:v>5267.622993940169</x:v>
      </x:c>
      <x:c r="G1756" t="n">
        <x:f>Dashboard_Live_Data!AV40</x:f>
        <x:v>-546.4000000000001</x:v>
      </x:c>
      <x:c r="H1756" t="n">
        <x:f>Dashboard_Live_Data!AW40</x:f>
        <x:v>5241.538951238175</x:v>
      </x:c>
    </x:row>
    <x:row r="1757">
      <x:c r="A1757" t="n">
        <x:f>Dashboard_Live_Data!AP41</x:f>
        <x:v>-40.5</x:v>
      </x:c>
      <x:c r="B1757" t="n">
        <x:f>Dashboard_Live_Data!AQ41</x:f>
        <x:v>2702.9497252740853</x:v>
      </x:c>
      <x:c r="C1757" t="n">
        <x:f>Dashboard_Live_Data!AR41</x:f>
        <x:v>-270</x:v>
      </x:c>
      <x:c r="D1757" t="n">
        <x:f>Dashboard_Live_Data!AS41</x:f>
        <x:v>2342.268846897384</x:v>
      </x:c>
      <x:c r="E1757" t="n">
        <x:f>Dashboard_Live_Data!AT41</x:f>
        <x:v>-540</x:v>
      </x:c>
      <x:c r="F1757" t="n">
        <x:f>Dashboard_Live_Data!AU41</x:f>
        <x:v>5178.40985077925</x:v>
      </x:c>
      <x:c r="G1757" t="n">
        <x:f>Dashboard_Live_Data!AV41</x:f>
        <x:v>-540</x:v>
      </x:c>
      <x:c r="H1757" t="n">
        <x:f>Dashboard_Live_Data!AW41</x:f>
        <x:v>5151.930884437782</x:v>
      </x:c>
    </x:row>
    <x:row r="1758">
      <x:c r="A1758" t="n">
        <x:f>Dashboard_Live_Data!AP42</x:f>
        <x:v>-40.02</x:v>
      </x:c>
      <x:c r="B1758" t="n">
        <x:f>Dashboard_Live_Data!AQ42</x:f>
        <x:v>2702.342639134389</x:v>
      </x:c>
      <x:c r="C1758" t="n">
        <x:f>Dashboard_Live_Data!AR42</x:f>
        <x:v>-266.8</x:v>
      </x:c>
      <x:c r="D1758" t="n">
        <x:f>Dashboard_Live_Data!AS42</x:f>
        <x:v>2306.9945829969192</x:v>
      </x:c>
      <x:c r="E1758" t="n">
        <x:f>Dashboard_Live_Data!AT42</x:f>
        <x:v>-533.6</x:v>
      </x:c>
      <x:c r="F1758" t="n">
        <x:f>Dashboard_Live_Data!AU42</x:f>
        <x:v>5089.837376029708</x:v>
      </x:c>
      <x:c r="G1758" t="n">
        <x:f>Dashboard_Live_Data!AV42</x:f>
        <x:v>-533.6</x:v>
      </x:c>
      <x:c r="H1758" t="n">
        <x:f>Dashboard_Live_Data!AW42</x:f>
        <x:v>5062.979131012552</x:v>
      </x:c>
    </x:row>
    <x:row r="1759">
      <x:c r="A1759" t="n">
        <x:f>Dashboard_Live_Data!AP43</x:f>
        <x:v>-39.480000000000004</x:v>
      </x:c>
      <x:c r="B1759" t="n">
        <x:f>Dashboard_Live_Data!AQ43</x:f>
        <x:v>2701.587502760221</x:v>
      </x:c>
      <x:c r="C1759" t="n">
        <x:f>Dashboard_Live_Data!AR43</x:f>
        <x:v>-263.20000000000005</x:v>
      </x:c>
      <x:c r="D1759" t="n">
        <x:f>Dashboard_Live_Data!AS43</x:f>
        <x:v>2267.7158327632287</x:v>
      </x:c>
      <x:c r="E1759" t="n">
        <x:f>Dashboard_Live_Data!AT43</x:f>
        <x:v>-526.4000000000001</x:v>
      </x:c>
      <x:c r="F1759" t="n">
        <x:f>Dashboard_Live_Data!AU43</x:f>
        <x:v>4991.755684834359</x:v>
      </x:c>
      <x:c r="G1759" t="n">
        <x:f>Dashboard_Live_Data!AV43</x:f>
        <x:v>-526.4000000000001</x:v>
      </x:c>
      <x:c r="H1759" t="n">
        <x:f>Dashboard_Live_Data!AW43</x:f>
        <x:v>4964.4815363744</x:v>
      </x:c>
    </x:row>
    <x:row r="1760">
      <x:c r="A1760" t="n">
        <x:f>Dashboard_Live_Data!AP44</x:f>
        <x:v>-39</x:v>
      </x:c>
      <x:c r="B1760" t="n">
        <x:f>Dashboard_Live_Data!AQ44</x:f>
        <x:v>2700.8810640310994</x:v>
      </x:c>
      <x:c r="C1760" t="n">
        <x:f>Dashboard_Live_Data!AR44</x:f>
        <x:v>-260</x:v>
      </x:c>
      <x:c r="D1760" t="n">
        <x:f>Dashboard_Live_Data!AS44</x:f>
        <x:v>2233.2466648870986</x:v>
      </x:c>
      <x:c r="E1760" t="n">
        <x:f>Dashboard_Live_Data!AT44</x:f>
        <x:v>-520</x:v>
      </x:c>
      <x:c r="F1760" t="n">
        <x:f>Dashboard_Live_Data!AU44</x:f>
        <x:v>4904.952222315528</x:v>
      </x:c>
      <x:c r="G1760" t="n">
        <x:f>Dashboard_Live_Data!AV44</x:f>
        <x:v>-520</x:v>
      </x:c>
      <x:c r="H1760" t="n">
        <x:f>Dashboard_Live_Data!AW44</x:f>
        <x:v>4877.328179359549</x:v>
      </x:c>
    </x:row>
    <x:row r="1761">
      <x:c r="A1761" t="n">
        <x:f>Dashboard_Live_Data!AP45</x:f>
        <x:v>-38.519999999999996</x:v>
      </x:c>
      <x:c r="B1761" t="n">
        <x:f>Dashboard_Live_Data!AQ45</x:f>
        <x:v>2700.0703913209777</x:v>
      </x:c>
      <x:c r="C1761" t="n">
        <x:f>Dashboard_Live_Data!AR45</x:f>
        <x:v>-256.8</x:v>
      </x:c>
      <x:c r="D1761" t="n">
        <x:f>Dashboard_Live_Data!AS45</x:f>
        <x:v>2199.1466378667237</x:v>
      </x:c>
      <x:c r="E1761" t="n">
        <x:f>Dashboard_Live_Data!AT45</x:f>
        <x:v>-513.6</x:v>
      </x:c>
      <x:c r="F1761" t="n">
        <x:f>Dashboard_Live_Data!AU45</x:f>
        <x:v>4819.191173047067</x:v>
      </x:c>
      <x:c r="G1761" t="n">
        <x:f>Dashboard_Live_Data!AV45</x:f>
        <x:v>-513.6</x:v>
      </x:c>
      <x:c r="H1761" t="n">
        <x:f>Dashboard_Live_Data!AW45</x:f>
        <x:v>4791.228813085901</x:v>
      </x:c>
    </x:row>
    <x:row r="1762">
      <x:c r="A1762" t="n">
        <x:f>Dashboard_Live_Data!AP46</x:f>
        <x:v>-37.980000000000004</x:v>
      </x:c>
      <x:c r="B1762" t="n">
        <x:f>Dashboard_Live_Data!AQ46</x:f>
        <x:v>2699.2430908261645</x:v>
      </x:c>
      <x:c r="C1762" t="n">
        <x:f>Dashboard_Live_Data!AR46</x:f>
        <x:v>-253.2</x:v>
      </x:c>
      <x:c r="D1762" t="n">
        <x:f>Dashboard_Live_Data!AS46</x:f>
        <x:v>2160.851579664378</x:v>
      </x:c>
      <x:c r="E1762" t="n">
        <x:f>Dashboard_Live_Data!AT46</x:f>
        <x:v>-506.4</x:v>
      </x:c>
      <x:c r="F1762" t="n">
        <x:f>Dashboard_Live_Data!AU46</x:f>
        <x:v>4723.98050134968</x:v>
      </x:c>
      <x:c r="G1762" t="n">
        <x:f>Dashboard_Live_Data!AV46</x:f>
        <x:v>-506.4</x:v>
      </x:c>
      <x:c r="H1762" t="n">
        <x:f>Dashboard_Live_Data!AW46</x:f>
        <x:v>4695.650666460148</x:v>
      </x:c>
    </x:row>
    <x:row r="1763">
      <x:c r="A1763" t="n">
        <x:f>Dashboard_Live_Data!AP47</x:f>
        <x:v>-37.5</x:v>
      </x:c>
      <x:c r="B1763" t="n">
        <x:f>Dashboard_Live_Data!AQ47</x:f>
        <x:v>2698.4858261088816</x:v>
      </x:c>
      <x:c r="C1763" t="n">
        <x:f>Dashboard_Live_Data!AR47</x:f>
        <x:v>-250</x:v>
      </x:c>
      <x:c r="D1763" t="n">
        <x:f>Dashboard_Live_Data!AS47</x:f>
        <x:v>2126.7530364399495</x:v>
      </x:c>
      <x:c r="E1763" t="n">
        <x:f>Dashboard_Live_Data!AT47</x:f>
        <x:v>-500</x:v>
      </x:c>
      <x:c r="F1763" t="n">
        <x:f>Dashboard_Live_Data!AU47</x:f>
        <x:v>4639.4759832506</x:v>
      </x:c>
      <x:c r="G1763" t="n">
        <x:f>Dashboard_Live_Data!AV47</x:f>
        <x:v>-500</x:v>
      </x:c>
      <x:c r="H1763" t="n">
        <x:f>Dashboard_Live_Data!AW47</x:f>
        <x:v>4610.84324098783</x:v>
      </x:c>
    </x:row>
    <x:row r="1764">
      <x:c r="A1764" t="n">
        <x:f>Dashboard_Live_Data!AP48</x:f>
        <x:v>-37.019999999999996</x:v>
      </x:c>
      <x:c r="B1764" t="n">
        <x:f>Dashboard_Live_Data!AQ48</x:f>
        <x:v>2697.912683127855</x:v>
      </x:c>
      <x:c r="C1764" t="n">
        <x:f>Dashboard_Live_Data!AR48</x:f>
        <x:v>-246.8</x:v>
      </x:c>
      <x:c r="D1764" t="n">
        <x:f>Dashboard_Live_Data!AS48</x:f>
        <x:v>2093.169629426536</x:v>
      </x:c>
      <x:c r="E1764" t="n">
        <x:f>Dashboard_Live_Data!AT48</x:f>
        <x:v>-493.6</x:v>
      </x:c>
      <x:c r="F1764" t="n">
        <x:f>Dashboard_Live_Data!AU48</x:f>
        <x:v>4556.60858333567</x:v>
      </x:c>
      <x:c r="G1764" t="n">
        <x:f>Dashboard_Live_Data!AV48</x:f>
        <x:v>-493.6</x:v>
      </x:c>
      <x:c r="H1764" t="n">
        <x:f>Dashboard_Live_Data!AW48</x:f>
        <x:v>4527.676662769074</x:v>
      </x:c>
    </x:row>
    <x:row r="1765">
      <x:c r="A1765" t="n">
        <x:f>Dashboard_Live_Data!AP49</x:f>
        <x:v>-36.480000000000004</x:v>
      </x:c>
      <x:c r="B1765" t="n">
        <x:f>Dashboard_Live_Data!AQ49</x:f>
        <x:v>2697.0681163678028</x:v>
      </x:c>
      <x:c r="C1765" t="n">
        <x:f>Dashboard_Live_Data!AR49</x:f>
        <x:v>-243.2</x:v>
      </x:c>
      <x:c r="D1765" t="n">
        <x:f>Dashboard_Live_Data!AS49</x:f>
        <x:v>2056.0497159682136</x:v>
      </x:c>
      <x:c r="E1765" t="n">
        <x:f>Dashboard_Live_Data!AT49</x:f>
        <x:v>-486.4</x:v>
      </x:c>
      <x:c r="F1765" t="n">
        <x:f>Dashboard_Live_Data!AU49</x:f>
        <x:v>4463.78426007426</x:v>
      </x:c>
      <x:c r="G1765" t="n">
        <x:f>Dashboard_Live_Data!AV49</x:f>
        <x:v>-486.4</x:v>
      </x:c>
      <x:c r="H1765" t="n">
        <x:f>Dashboard_Live_Data!AW49</x:f>
        <x:v>4434.539750557736</x:v>
      </x:c>
    </x:row>
    <x:row r="1766">
      <x:c r="A1766" t="n">
        <x:f>Dashboard_Live_Data!AP50</x:f>
        <x:v>-36</x:v>
      </x:c>
      <x:c r="B1766" t="n">
        <x:f>Dashboard_Live_Data!AQ50</x:f>
        <x:v>2696.3049663672955</x:v>
      </x:c>
      <x:c r="C1766" t="n">
        <x:f>Dashboard_Live_Data!AR50</x:f>
        <x:v>-240</x:v>
      </x:c>
      <x:c r="D1766" t="n">
        <x:f>Dashboard_Live_Data!AS50</x:f>
        <x:v>2023.202170567554</x:v>
      </x:c>
      <x:c r="E1766" t="n">
        <x:f>Dashboard_Live_Data!AT50</x:f>
        <x:v>-480</x:v>
      </x:c>
      <x:c r="F1766" t="n">
        <x:f>Dashboard_Live_Data!AU50</x:f>
        <x:v>4382.161216077137</x:v>
      </x:c>
      <x:c r="G1766" t="n">
        <x:f>Dashboard_Live_Data!AV50</x:f>
        <x:v>-480</x:v>
      </x:c>
      <x:c r="H1766" t="n">
        <x:f>Dashboard_Live_Data!AW50</x:f>
        <x:v>4352.65346960581</x:v>
      </x:c>
    </x:row>
    <x:row r="1767">
      <x:c r="A1767" t="n">
        <x:f>Dashboard_Live_Data!AP51</x:f>
        <x:v>-35.519999999999996</x:v>
      </x:c>
      <x:c r="B1767" t="n">
        <x:f>Dashboard_Live_Data!AQ51</x:f>
        <x:v>2695.6592976495863</x:v>
      </x:c>
      <x:c r="C1767" t="n">
        <x:f>Dashboard_Live_Data!AR51</x:f>
        <x:v>-236.79999999999998</x:v>
      </x:c>
      <x:c r="D1767" t="n">
        <x:f>Dashboard_Live_Data!AS51</x:f>
        <x:v>1990.4033581092428</x:v>
      </x:c>
      <x:c r="E1767" t="n">
        <x:f>Dashboard_Live_Data!AT51</x:f>
        <x:v>-473.59999999999997</x:v>
      </x:c>
      <x:c r="F1767" t="n">
        <x:f>Dashboard_Live_Data!AU51</x:f>
        <x:v>4301.685868120516</x:v>
      </x:c>
      <x:c r="G1767" t="n">
        <x:f>Dashboard_Live_Data!AV51</x:f>
        <x:v>-473.59999999999997</x:v>
      </x:c>
      <x:c r="H1767" t="n">
        <x:f>Dashboard_Live_Data!AW51</x:f>
        <x:v>4271.923873594473</x:v>
      </x:c>
    </x:row>
    <x:row r="1768">
      <x:c r="A1768" t="n">
        <x:f>Dashboard_Live_Data!AP52</x:f>
        <x:v>-34.98</x:v>
      </x:c>
      <x:c r="B1768" t="n">
        <x:f>Dashboard_Live_Data!AQ52</x:f>
        <x:v>2694.899956964054</x:v>
      </x:c>
      <x:c r="C1768" t="n">
        <x:f>Dashboard_Live_Data!AR52</x:f>
        <x:v>-233.2</x:v>
      </x:c>
      <x:c r="D1768" t="n">
        <x:f>Dashboard_Live_Data!AS52</x:f>
        <x:v>1953.6477907064188</x:v>
      </x:c>
      <x:c r="E1768" t="n">
        <x:f>Dashboard_Live_Data!AT52</x:f>
        <x:v>-466.4</x:v>
      </x:c>
      <x:c r="F1768" t="n">
        <x:f>Dashboard_Live_Data!AU52</x:f>
        <x:v>4211.604469769382</x:v>
      </x:c>
      <x:c r="G1768" t="n">
        <x:f>Dashboard_Live_Data!AV52</x:f>
        <x:v>-466.4</x:v>
      </x:c>
      <x:c r="H1768" t="n">
        <x:f>Dashboard_Live_Data!AW52</x:f>
        <x:v>4181.580717076413</x:v>
      </x:c>
    </x:row>
    <x:row r="1769">
      <x:c r="A1769" t="n">
        <x:f>Dashboard_Live_Data!AP53</x:f>
        <x:v>-34.5</x:v>
      </x:c>
      <x:c r="B1769" t="n">
        <x:f>Dashboard_Live_Data!AQ53</x:f>
        <x:v>2694.143153810637</x:v>
      </x:c>
      <x:c r="C1769" t="n">
        <x:f>Dashboard_Live_Data!AR53</x:f>
        <x:v>-229.99999999999997</x:v>
      </x:c>
      <x:c r="D1769" t="n">
        <x:f>Dashboard_Live_Data!AS53</x:f>
        <x:v>1921.2754887707686</x:v>
      </x:c>
      <x:c r="E1769" t="n">
        <x:f>Dashboard_Live_Data!AT53</x:f>
        <x:v>-459.99999999999994</x:v>
      </x:c>
      <x:c r="F1769" t="n">
        <x:f>Dashboard_Live_Data!AU53</x:f>
        <x:v>4132.672970012625</x:v>
      </x:c>
      <x:c r="G1769" t="n">
        <x:f>Dashboard_Live_Data!AV53</x:f>
        <x:v>-459.99999999999994</x:v>
      </x:c>
      <x:c r="H1769" t="n">
        <x:f>Dashboard_Live_Data!AW53</x:f>
        <x:v>4102.426876759548</x:v>
      </x:c>
    </x:row>
    <x:row r="1770">
      <x:c r="A1770" t="n">
        <x:f>Dashboard_Live_Data!AP54</x:f>
        <x:v>-34.019999999999996</x:v>
      </x:c>
      <x:c r="B1770" t="n">
        <x:f>Dashboard_Live_Data!AQ54</x:f>
        <x:v>2693.5887701095885</x:v>
      </x:c>
      <x:c r="C1770" t="n">
        <x:f>Dashboard_Live_Data!AR54</x:f>
        <x:v>-226.79999999999998</x:v>
      </x:c>
      <x:c r="D1770" t="n">
        <x:f>Dashboard_Live_Data!AS54</x:f>
        <x:v>1889.3707989649024</x:v>
      </x:c>
      <x:c r="E1770" t="n">
        <x:f>Dashboard_Live_Data!AT54</x:f>
        <x:v>-453.59999999999997</x:v>
      </x:c>
      <x:c r="F1770" t="n">
        <x:f>Dashboard_Live_Data!AU54</x:f>
        <x:v>4054.616149263494</x:v>
      </x:c>
      <x:c r="G1770" t="n">
        <x:f>Dashboard_Live_Data!AV54</x:f>
        <x:v>-453.59999999999997</x:v>
      </x:c>
      <x:c r="H1770" t="n">
        <x:f>Dashboard_Live_Data!AW54</x:f>
        <x:v>4024.1601603091813</x:v>
      </x:c>
    </x:row>
    <x:row r="1771">
      <x:c r="A1771" t="n">
        <x:f>Dashboard_Live_Data!AP55</x:f>
        <x:v>-33.480000000000004</x:v>
      </x:c>
      <x:c r="B1771" t="n">
        <x:f>Dashboard_Live_Data!AQ55</x:f>
        <x:v>2692.757963165586</x:v>
      </x:c>
      <x:c r="C1771" t="n">
        <x:f>Dashboard_Live_Data!AR55</x:f>
        <x:v>-223.20000000000002</x:v>
      </x:c>
      <x:c r="D1771" t="n">
        <x:f>Dashboard_Live_Data!AS55</x:f>
        <x:v>1853.9523697485693</x:v>
      </x:c>
      <x:c r="E1771" t="n">
        <x:f>Dashboard_Live_Data!AT55</x:f>
        <x:v>-446.40000000000003</x:v>
      </x:c>
      <x:c r="F1771" t="n">
        <x:f>Dashboard_Live_Data!AU55</x:f>
        <x:v>3967.3646091084047</x:v>
      </x:c>
      <x:c r="G1771" t="n">
        <x:f>Dashboard_Live_Data!AV55</x:f>
        <x:v>-446.40000000000003</x:v>
      </x:c>
      <x:c r="H1771" t="n">
        <x:f>Dashboard_Live_Data!AW55</x:f>
        <x:v>3936.6957000760913</x:v>
      </x:c>
    </x:row>
    <x:row r="1772">
      <x:c r="A1772" t="n">
        <x:f>Dashboard_Live_Data!AP56</x:f>
        <x:v>-33</x:v>
      </x:c>
      <x:c r="B1772" t="n">
        <x:f>Dashboard_Live_Data!AQ56</x:f>
        <x:v>2692.1746655892334</x:v>
      </x:c>
      <x:c r="C1772" t="n">
        <x:f>Dashboard_Live_Data!AR56</x:f>
        <x:v>-220.00000000000003</x:v>
      </x:c>
      <x:c r="D1772" t="n">
        <x:f>Dashboard_Live_Data!AS56</x:f>
        <x:v>1822.521136552667</x:v>
      </x:c>
      <x:c r="E1772" t="n">
        <x:f>Dashboard_Live_Data!AT56</x:f>
        <x:v>-440.00000000000006</x:v>
      </x:c>
      <x:c r="F1772" t="n">
        <x:f>Dashboard_Live_Data!AU56</x:f>
        <x:v>3890.8212117810226</x:v>
      </x:c>
      <x:c r="G1772" t="n">
        <x:f>Dashboard_Live_Data!AV56</x:f>
        <x:v>-440.00000000000006</x:v>
      </x:c>
      <x:c r="H1772" t="n">
        <x:f>Dashboard_Live_Data!AW56</x:f>
        <x:v>3859.9747157263696</x:v>
      </x:c>
    </x:row>
    <x:row r="1773">
      <x:c r="A1773" t="n">
        <x:f>Dashboard_Live_Data!AP57</x:f>
        <x:v>-32.52</x:v>
      </x:c>
      <x:c r="B1773" t="n">
        <x:f>Dashboard_Live_Data!AQ57</x:f>
        <x:v>2691.668504525569</x:v>
      </x:c>
      <x:c r="C1773" t="n">
        <x:f>Dashboard_Live_Data!AR57</x:f>
        <x:v>-216.8</x:v>
      </x:c>
      <x:c r="D1773" t="n">
        <x:f>Dashboard_Live_Data!AS57</x:f>
        <x:v>1791.0443942278735</x:v>
      </x:c>
      <x:c r="E1773" t="n">
        <x:f>Dashboard_Live_Data!AT57</x:f>
        <x:v>-433.6</x:v>
      </x:c>
      <x:c r="F1773" t="n">
        <x:f>Dashboard_Live_Data!AU57</x:f>
        <x:v>3815.2605376380343</x:v>
      </x:c>
      <x:c r="G1773" t="n">
        <x:f>Dashboard_Live_Data!AV57</x:f>
        <x:v>-433.6</x:v>
      </x:c>
      <x:c r="H1773" t="n">
        <x:f>Dashboard_Live_Data!AW57</x:f>
        <x:v>3784.2463249330663</x:v>
      </x:c>
    </x:row>
    <x:row r="1774">
      <x:c r="A1774" t="n">
        <x:f>Dashboard_Live_Data!AP58</x:f>
        <x:v>-31.98</x:v>
      </x:c>
      <x:c r="B1774" t="n">
        <x:f>Dashboard_Live_Data!AQ58</x:f>
        <x:v>2690.9024159206665</x:v>
      </x:c>
      <x:c r="C1774" t="n">
        <x:f>Dashboard_Live_Data!AR58</x:f>
        <x:v>-213.20000000000002</x:v>
      </x:c>
      <x:c r="D1774" t="n">
        <x:f>Dashboard_Live_Data!AS58</x:f>
        <x:v>1756.0232098844801</x:v>
      </x:c>
      <x:c r="E1774" t="n">
        <x:f>Dashboard_Live_Data!AT58</x:f>
        <x:v>-426.40000000000003</x:v>
      </x:c>
      <x:c r="F1774" t="n">
        <x:f>Dashboard_Live_Data!AU58</x:f>
        <x:v>3730.4741694394993</x:v>
      </x:c>
      <x:c r="G1774" t="n">
        <x:f>Dashboard_Live_Data!AV58</x:f>
        <x:v>-426.40000000000003</x:v>
      </x:c>
      <x:c r="H1774" t="n">
        <x:f>Dashboard_Live_Data!AW58</x:f>
        <x:v>3699.30191597568</x:v>
      </x:c>
    </x:row>
    <x:row r="1775">
      <x:c r="A1775" t="n">
        <x:f>Dashboard_Live_Data!AP59</x:f>
        <x:v>-31.5</x:v>
      </x:c>
      <x:c r="B1775" t="n">
        <x:f>Dashboard_Live_Data!AQ59</x:f>
        <x:v>2690.368823941855</x:v>
      </x:c>
      <x:c r="C1775" t="n">
        <x:f>Dashboard_Live_Data!AR59</x:f>
        <x:v>-210</x:v>
      </x:c>
      <x:c r="D1775" t="n">
        <x:f>Dashboard_Live_Data!AS59</x:f>
        <x:v>1725.305616464916</x:v>
      </x:c>
      <x:c r="E1775" t="n">
        <x:f>Dashboard_Live_Data!AT59</x:f>
        <x:v>-420</x:v>
      </x:c>
      <x:c r="F1775" t="n">
        <x:f>Dashboard_Live_Data!AU59</x:f>
        <x:v>3656.657350395744</x:v>
      </x:c>
      <x:c r="G1775" t="n">
        <x:f>Dashboard_Live_Data!AV59</x:f>
        <x:v>-420</x:v>
      </x:c>
      <x:c r="H1775" t="n">
        <x:f>Dashboard_Live_Data!AW59</x:f>
        <x:v>3625.3443038047226</x:v>
      </x:c>
    </x:row>
    <x:row r="1776">
      <x:c r="A1776" t="n">
        <x:f>Dashboard_Live_Data!AP60</x:f>
        <x:v>-31.02</x:v>
      </x:c>
      <x:c r="B1776" t="n">
        <x:f>Dashboard_Live_Data!AQ60</x:f>
        <x:v>2689.879981187311</x:v>
      </x:c>
      <x:c r="C1776" t="n">
        <x:f>Dashboard_Live_Data!AR60</x:f>
        <x:v>-206.8</x:v>
      </x:c>
      <x:c r="D1776" t="n">
        <x:f>Dashboard_Live_Data!AS60</x:f>
        <x:v>1694.9715481778403</x:v>
      </x:c>
      <x:c r="E1776" t="n">
        <x:f>Dashboard_Live_Data!AT60</x:f>
        <x:v>-413.6</x:v>
      </x:c>
      <x:c r="F1776" t="n">
        <x:f>Dashboard_Live_Data!AU60</x:f>
        <x:v>3583.025074116563</x:v>
      </x:c>
      <x:c r="G1776" t="n">
        <x:f>Dashboard_Live_Data!AV60</x:f>
        <x:v>-413.6</x:v>
      </x:c>
      <x:c r="H1776" t="n">
        <x:f>Dashboard_Live_Data!AW60</x:f>
        <x:v>3551.5973602312506</x:v>
      </x:c>
    </x:row>
    <x:row r="1777">
      <x:c r="A1777" t="n">
        <x:f>Dashboard_Live_Data!AP61</x:f>
        <x:v>-30.48</x:v>
      </x:c>
      <x:c r="B1777" t="n">
        <x:f>Dashboard_Live_Data!AQ61</x:f>
        <x:v>2689.3682686667476</x:v>
      </x:c>
      <x:c r="C1777" t="n">
        <x:f>Dashboard_Live_Data!AR61</x:f>
        <x:v>-203.2</x:v>
      </x:c>
      <x:c r="D1777" t="n">
        <x:f>Dashboard_Live_Data!AS61</x:f>
        <x:v>1660.9821859294339</x:v>
      </x:c>
      <x:c r="E1777" t="n">
        <x:f>Dashboard_Live_Data!AT61</x:f>
        <x:v>-406.4</x:v>
      </x:c>
      <x:c r="F1777" t="n">
        <x:f>Dashboard_Live_Data!AU61</x:f>
        <x:v>3501.228989140432</x:v>
      </x:c>
      <x:c r="G1777" t="n">
        <x:f>Dashboard_Live_Data!AV61</x:f>
        <x:v>-406.4</x:v>
      </x:c>
      <x:c r="H1777" t="n">
        <x:f>Dashboard_Live_Data!AW61</x:f>
        <x:v>3469.686028659542</x:v>
      </x:c>
    </x:row>
    <x:row r="1778">
      <x:c r="A1778" t="n">
        <x:f>Dashboard_Live_Data!AP62</x:f>
        <x:v>-30</x:v>
      </x:c>
      <x:c r="B1778" t="n">
        <x:f>Dashboard_Live_Data!AQ62</x:f>
        <x:v>2688.849181231688</x:v>
      </x:c>
      <x:c r="C1778" t="n">
        <x:f>Dashboard_Live_Data!AR62</x:f>
        <x:v>-200</x:v>
      </x:c>
      <x:c r="D1778" t="n">
        <x:f>Dashboard_Live_Data!AS62</x:f>
        <x:v>1630.7962996352992</x:v>
      </x:c>
      <x:c r="E1778" t="n">
        <x:f>Dashboard_Live_Data!AT62</x:f>
        <x:v>-400</x:v>
      </x:c>
      <x:c r="F1778" t="n">
        <x:f>Dashboard_Live_Data!AU62</x:f>
        <x:v>3429.6338635999455</x:v>
      </x:c>
      <x:c r="G1778" t="n">
        <x:f>Dashboard_Live_Data!AV62</x:f>
        <x:v>-400</x:v>
      </x:c>
      <x:c r="H1778" t="n">
        <x:f>Dashboard_Live_Data!AW62</x:f>
        <x:v>3397.995470414696</x:v>
      </x:c>
    </x:row>
    <x:row r="1779">
      <x:c r="A1779" t="n">
        <x:f>Dashboard_Live_Data!AP63</x:f>
        <x:v>-29.52</x:v>
      </x:c>
      <x:c r="B1779" t="n">
        <x:f>Dashboard_Live_Data!AQ63</x:f>
        <x:v>2688.418530040225</x:v>
      </x:c>
      <x:c r="C1779" t="n">
        <x:f>Dashboard_Live_Data!AR63</x:f>
        <x:v>-196.8</x:v>
      </x:c>
      <x:c r="D1779" t="n">
        <x:f>Dashboard_Live_Data!AS63</x:f>
        <x:v>1600.8913289068564</x:v>
      </x:c>
      <x:c r="E1779" t="n">
        <x:f>Dashboard_Live_Data!AT63</x:f>
        <x:v>-393.6</x:v>
      </x:c>
      <x:c r="F1779" t="n">
        <x:f>Dashboard_Live_Data!AU63</x:f>
        <x:v>3358.2164161547216</x:v>
      </x:c>
      <x:c r="G1779" t="n">
        <x:f>Dashboard_Live_Data!AV63</x:f>
        <x:v>-393.6</x:v>
      </x:c>
      <x:c r="H1779" t="n">
        <x:f>Dashboard_Live_Data!AW63</x:f>
        <x:v>3326.510290593986</x:v>
      </x:c>
    </x:row>
    <x:row r="1780">
      <x:c r="A1780" t="n">
        <x:f>Dashboard_Live_Data!AP64</x:f>
        <x:v>-28.98</x:v>
      </x:c>
      <x:c r="B1780" t="n">
        <x:f>Dashboard_Live_Data!AQ64</x:f>
        <x:v>2687.9354849524943</x:v>
      </x:c>
      <x:c r="C1780" t="n">
        <x:f>Dashboard_Live_Data!AR64</x:f>
        <x:v>-193.2</x:v>
      </x:c>
      <x:c r="D1780" t="n">
        <x:f>Dashboard_Live_Data!AS64</x:f>
        <x:v>1567.6371166506372</x:v>
      </x:c>
      <x:c r="E1780" t="n">
        <x:f>Dashboard_Live_Data!AT64</x:f>
        <x:v>-386.4</x:v>
      </x:c>
      <x:c r="F1780" t="n">
        <x:f>Dashboard_Live_Data!AU64</x:f>
        <x:v>3279.379574445211</x:v>
      </x:c>
      <x:c r="G1780" t="n">
        <x:f>Dashboard_Live_Data!AV64</x:f>
        <x:v>-386.4</x:v>
      </x:c>
      <x:c r="H1780" t="n">
        <x:f>Dashboard_Live_Data!AW64</x:f>
        <x:v>3247.597471574157</x:v>
      </x:c>
    </x:row>
    <x:row r="1781">
      <x:c r="A1781" t="n">
        <x:f>Dashboard_Live_Data!AP65</x:f>
        <x:v>-28.5</x:v>
      </x:c>
      <x:c r="B1781" t="n">
        <x:f>Dashboard_Live_Data!AQ65</x:f>
        <x:v>2687.4656545086355</x:v>
      </x:c>
      <x:c r="C1781" t="n">
        <x:f>Dashboard_Live_Data!AR65</x:f>
        <x:v>-190</x:v>
      </x:c>
      <x:c r="D1781" t="n">
        <x:f>Dashboard_Live_Data!AS65</x:f>
        <x:v>1538.2795008459386</x:v>
      </x:c>
      <x:c r="E1781" t="n">
        <x:f>Dashboard_Live_Data!AT65</x:f>
        <x:v>-380</x:v>
      </x:c>
      <x:c r="F1781" t="n">
        <x:f>Dashboard_Live_Data!AU65</x:f>
        <x:v>3209.819190900689</x:v>
      </x:c>
      <x:c r="G1781" t="n">
        <x:f>Dashboard_Live_Data!AV65</x:f>
        <x:v>-380</x:v>
      </x:c>
      <x:c r="H1781" t="n">
        <x:f>Dashboard_Live_Data!AW65</x:f>
        <x:v>3177.990618415184</x:v>
      </x:c>
    </x:row>
    <x:row r="1782">
      <x:c r="A1782" t="n">
        <x:f>Dashboard_Live_Data!AP66</x:f>
        <x:v>-28.020000000000003</x:v>
      </x:c>
      <x:c r="B1782" t="n">
        <x:f>Dashboard_Live_Data!AQ66</x:f>
        <x:v>2686.9865062165222</x:v>
      </x:c>
      <x:c r="C1782" t="n">
        <x:f>Dashboard_Live_Data!AR66</x:f>
        <x:v>-186.80000000000004</x:v>
      </x:c>
      <x:c r="D1782" t="n">
        <x:f>Dashboard_Live_Data!AS66</x:f>
        <x:v>1509.2748460225423</x:v>
      </x:c>
      <x:c r="E1782" t="n">
        <x:f>Dashboard_Live_Data!AT66</x:f>
        <x:v>-373.6000000000001</x:v>
      </x:c>
      <x:c r="F1782" t="n">
        <x:f>Dashboard_Live_Data!AU66</x:f>
        <x:v>3140.868117715043</x:v>
      </x:c>
      <x:c r="G1782" t="n">
        <x:f>Dashboard_Live_Data!AV66</x:f>
        <x:v>-373.6000000000001</x:v>
      </x:c>
      <x:c r="H1782" t="n">
        <x:f>Dashboard_Live_Data!AW66</x:f>
        <x:v>3109.009887937512</x:v>
      </x:c>
    </x:row>
    <x:row r="1783">
      <x:c r="A1783" t="n">
        <x:f>Dashboard_Live_Data!AP67</x:f>
        <x:v>-27.479999999999997</x:v>
      </x:c>
      <x:c r="B1783" t="n">
        <x:f>Dashboard_Live_Data!AQ67</x:f>
        <x:v>2686.576366733176</x:v>
      </x:c>
      <x:c r="C1783" t="n">
        <x:f>Dashboard_Live_Data!AR67</x:f>
        <x:v>-183.2</x:v>
      </x:c>
      <x:c r="D1783" t="n">
        <x:f>Dashboard_Live_Data!AS67</x:f>
        <x:v>1477.0077782495264</x:v>
      </x:c>
      <x:c r="E1783" t="n">
        <x:f>Dashboard_Live_Data!AT67</x:f>
        <x:v>-366.4</x:v>
      </x:c>
      <x:c r="F1783" t="n">
        <x:f>Dashboard_Live_Data!AU67</x:f>
        <x:v>3064.463120167224</x:v>
      </x:c>
      <x:c r="G1783" t="n">
        <x:f>Dashboard_Live_Data!AV67</x:f>
        <x:v>-366.4</x:v>
      </x:c>
      <x:c r="H1783" t="n">
        <x:f>Dashboard_Live_Data!AW67</x:f>
        <x:v>3032.5783074211417</x:v>
      </x:c>
    </x:row>
    <x:row r="1784">
      <x:c r="A1784" t="n">
        <x:f>Dashboard_Live_Data!AP68</x:f>
        <x:v>-27</x:v>
      </x:c>
      <x:c r="B1784" t="n">
        <x:f>Dashboard_Live_Data!AQ68</x:f>
        <x:v>2686.1230281089606</x:v>
      </x:c>
      <x:c r="C1784" t="n">
        <x:f>Dashboard_Live_Data!AR68</x:f>
        <x:v>-179.99999999999997</x:v>
      </x:c>
      <x:c r="D1784" t="n">
        <x:f>Dashboard_Live_Data!AS68</x:f>
        <x:v>1448.2038804819972</x:v>
      </x:c>
      <x:c r="E1784" t="n">
        <x:f>Dashboard_Live_Data!AT68</x:f>
        <x:v>-359.99999999999994</x:v>
      </x:c>
      <x:c r="F1784" t="n">
        <x:f>Dashboard_Live_Data!AU68</x:f>
        <x:v>2997.1693225152612</x:v>
      </x:c>
      <x:c r="G1784" t="n">
        <x:f>Dashboard_Live_Data!AV68</x:f>
        <x:v>-359.99999999999994</x:v>
      </x:c>
      <x:c r="H1784" t="n">
        <x:f>Dashboard_Live_Data!AW68</x:f>
        <x:v>2965.278708244999</x:v>
      </x:c>
    </x:row>
    <x:row r="1785">
      <x:c r="A1785" t="n">
        <x:f>Dashboard_Live_Data!AP69</x:f>
        <x:v>-26.519999999999996</x:v>
      </x:c>
      <x:c r="B1785" t="n">
        <x:f>Dashboard_Live_Data!AQ69</x:f>
        <x:v>2685.7641048695896</x:v>
      </x:c>
      <x:c r="C1785" t="n">
        <x:f>Dashboard_Live_Data!AR69</x:f>
        <x:v>-176.79999999999998</x:v>
      </x:c>
      <x:c r="D1785" t="n">
        <x:f>Dashboard_Live_Data!AS69</x:f>
        <x:v>1419.563933171673</x:v>
      </x:c>
      <x:c r="E1785" t="n">
        <x:f>Dashboard_Live_Data!AT69</x:f>
        <x:v>-353.59999999999997</x:v>
      </x:c>
      <x:c r="F1785" t="n">
        <x:f>Dashboard_Live_Data!AU69</x:f>
        <x:v>2930.290863262151</x:v>
      </x:c>
      <x:c r="G1785" t="n">
        <x:f>Dashboard_Live_Data!AV69</x:f>
        <x:v>-353.59999999999997</x:v>
      </x:c>
      <x:c r="H1785" t="n">
        <x:f>Dashboard_Live_Data!AW69</x:f>
        <x:v>2898.417070837936</x:v>
      </x:c>
    </x:row>
    <x:row r="1786">
      <x:c r="A1786" t="n">
        <x:f>Dashboard_Live_Data!AP70</x:f>
        <x:v>-25.980000000000004</x:v>
      </x:c>
      <x:c r="B1786" t="n">
        <x:f>Dashboard_Live_Data!AQ70</x:f>
        <x:v>2685.2667592520247</x:v>
      </x:c>
      <x:c r="C1786" t="n">
        <x:f>Dashboard_Live_Data!AR70</x:f>
        <x:v>-173.20000000000002</x:v>
      </x:c>
      <x:c r="D1786" t="n">
        <x:f>Dashboard_Live_Data!AS70</x:f>
        <x:v>1387.956266731438</x:v>
      </x:c>
      <x:c r="E1786" t="n">
        <x:f>Dashboard_Live_Data!AT70</x:f>
        <x:v>-346.40000000000003</x:v>
      </x:c>
      <x:c r="F1786" t="n">
        <x:f>Dashboard_Live_Data!AU70</x:f>
        <x:v>2856.458663651637</x:v>
      </x:c>
      <x:c r="G1786" t="n">
        <x:f>Dashboard_Live_Data!AV70</x:f>
        <x:v>-346.40000000000003</x:v>
      </x:c>
      <x:c r="H1786" t="n">
        <x:f>Dashboard_Live_Data!AW70</x:f>
        <x:v>2824.5997932549617</x:v>
      </x:c>
    </x:row>
    <x:row r="1787">
      <x:c r="A1787" t="n">
        <x:f>Dashboard_Live_Data!AP71</x:f>
        <x:v>-25.5</x:v>
      </x:c>
      <x:c r="B1787" t="n">
        <x:f>Dashboard_Live_Data!AQ71</x:f>
        <x:v>2684.8382682822116</x:v>
      </x:c>
      <x:c r="C1787" t="n">
        <x:f>Dashboard_Live_Data!AR71</x:f>
        <x:v>-170.00000000000003</x:v>
      </x:c>
      <x:c r="D1787" t="n">
        <x:f>Dashboard_Live_Data!AS71</x:f>
        <x:v>1360.1592081481224</x:v>
      </x:c>
      <x:c r="E1787" t="n">
        <x:f>Dashboard_Live_Data!AT71</x:f>
        <x:v>-340.00000000000006</x:v>
      </x:c>
      <x:c r="F1787" t="n">
        <x:f>Dashboard_Live_Data!AU71</x:f>
        <x:v>2791.0833339882856</x:v>
      </x:c>
      <x:c r="G1787" t="n">
        <x:f>Dashboard_Live_Data!AV71</x:f>
        <x:v>-340.00000000000006</x:v>
      </x:c>
      <x:c r="H1787" t="n">
        <x:f>Dashboard_Live_Data!AW71</x:f>
        <x:v>2759.2679936296245</x:v>
      </x:c>
    </x:row>
    <x:row r="1788">
      <x:c r="A1788" t="n">
        <x:f>Dashboard_Live_Data!AP72</x:f>
        <x:v>-25.020000000000003</x:v>
      </x:c>
      <x:c r="B1788" t="n">
        <x:f>Dashboard_Live_Data!AQ72</x:f>
        <x:v>2684.344258811687</x:v>
      </x:c>
      <x:c r="C1788" t="n">
        <x:f>Dashboard_Live_Data!AR72</x:f>
        <x:v>-166.8</x:v>
      </x:c>
      <x:c r="D1788" t="n">
        <x:f>Dashboard_Live_Data!AS72</x:f>
        <x:v>1332.4930771425575</x:v>
      </x:c>
      <x:c r="E1788" t="n">
        <x:f>Dashboard_Live_Data!AT72</x:f>
        <x:v>-333.6</x:v>
      </x:c>
      <x:c r="F1788" t="n">
        <x:f>Dashboard_Live_Data!AU72</x:f>
        <x:v>2726.5981963853515</x:v>
      </x:c>
      <x:c r="G1788" t="n">
        <x:f>Dashboard_Live_Data!AV72</x:f>
        <x:v>-333.6</x:v>
      </x:c>
      <x:c r="H1788" t="n">
        <x:f>Dashboard_Live_Data!AW72</x:f>
        <x:v>2694.8315049743364</x:v>
      </x:c>
    </x:row>
    <x:row r="1789">
      <x:c r="A1789" t="n">
        <x:f>Dashboard_Live_Data!AP73</x:f>
        <x:v>-24.479999999999997</x:v>
      </x:c>
      <x:c r="B1789" t="n">
        <x:f>Dashboard_Live_Data!AQ73</x:f>
        <x:v>2684.0091118985915</x:v>
      </x:c>
      <x:c r="C1789" t="n">
        <x:f>Dashboard_Live_Data!AR73</x:f>
        <x:v>-163.19999999999996</x:v>
      </x:c>
      <x:c r="D1789" t="n">
        <x:f>Dashboard_Live_Data!AS73</x:f>
        <x:v>1301.4430776136699</x:v>
      </x:c>
      <x:c r="E1789" t="n">
        <x:f>Dashboard_Live_Data!AT73</x:f>
        <x:v>-326.3999999999999</x:v>
      </x:c>
      <x:c r="F1789" t="n">
        <x:f>Dashboard_Live_Data!AU73</x:f>
        <x:v>2655.133708523069</x:v>
      </x:c>
      <x:c r="G1789" t="n">
        <x:f>Dashboard_Live_Data!AV73</x:f>
        <x:v>-326.3999999999999</x:v>
      </x:c>
      <x:c r="H1789" t="n">
        <x:f>Dashboard_Live_Data!AW73</x:f>
        <x:v>2623.425230126642</x:v>
      </x:c>
    </x:row>
    <x:row r="1790">
      <x:c r="A1790" t="n">
        <x:f>Dashboard_Live_Data!AP74</x:f>
        <x:v>-24</x:v>
      </x:c>
      <x:c r="B1790" t="n">
        <x:f>Dashboard_Live_Data!AQ74</x:f>
        <x:v>2683.537186227637</x:v>
      </x:c>
      <x:c r="C1790" t="n">
        <x:f>Dashboard_Live_Data!AR74</x:f>
        <x:v>-160</x:v>
      </x:c>
      <x:c r="D1790" t="n">
        <x:f>Dashboard_Live_Data!AS74</x:f>
        <x:v>1274.0147754263153</x:v>
      </x:c>
      <x:c r="E1790" t="n">
        <x:f>Dashboard_Live_Data!AT74</x:f>
        <x:v>-320</x:v>
      </x:c>
      <x:c r="F1790" t="n">
        <x:f>Dashboard_Live_Data!AU74</x:f>
        <x:v>2591.70764324169</x:v>
      </x:c>
      <x:c r="G1790" t="n">
        <x:f>Dashboard_Live_Data!AV74</x:f>
        <x:v>-320</x:v>
      </x:c>
      <x:c r="H1790" t="n">
        <x:f>Dashboard_Live_Data!AW74</x:f>
        <x:v>2560.088488449522</x:v>
      </x:c>
    </x:row>
    <x:row r="1791">
      <x:c r="A1791" t="n">
        <x:f>Dashboard_Live_Data!AP75</x:f>
        <x:v>-23.520000000000003</x:v>
      </x:c>
      <x:c r="B1791" t="n">
        <x:f>Dashboard_Live_Data!AQ75</x:f>
        <x:v>2682.959399881261</x:v>
      </x:c>
      <x:c r="C1791" t="n">
        <x:f>Dashboard_Live_Data!AR75</x:f>
        <x:v>-156.8</x:v>
      </x:c>
      <x:c r="D1791" t="n">
        <x:f>Dashboard_Live_Data!AS75</x:f>
        <x:v>1246.7289435174778</x:v>
      </x:c>
      <x:c r="E1791" t="n">
        <x:f>Dashboard_Live_Data!AT75</x:f>
        <x:v>-313.6</x:v>
      </x:c>
      <x:c r="F1791" t="n">
        <x:f>Dashboard_Live_Data!AU75</x:f>
        <x:v>2529.6567125397137</x:v>
      </x:c>
      <x:c r="G1791" t="n">
        <x:f>Dashboard_Live_Data!AV75</x:f>
        <x:v>-313.6</x:v>
      </x:c>
      <x:c r="H1791" t="n">
        <x:f>Dashboard_Live_Data!AW75</x:f>
        <x:v>2498.1082649566547</x:v>
      </x:c>
    </x:row>
    <x:row r="1792">
      <x:c r="A1792" t="n">
        <x:f>Dashboard_Live_Data!AP76</x:f>
        <x:v>-22.980000000000004</x:v>
      </x:c>
      <x:c r="B1792" t="n">
        <x:f>Dashboard_Live_Data!AQ76</x:f>
        <x:v>2682.5936759748174</x:v>
      </x:c>
      <x:c r="C1792" t="n">
        <x:f>Dashboard_Live_Data!AR76</x:f>
        <x:v>-153.2</x:v>
      </x:c>
      <x:c r="D1792" t="n">
        <x:f>Dashboard_Live_Data!AS76</x:f>
        <x:v>1216.5900679551614</x:v>
      </x:c>
      <x:c r="E1792" t="n">
        <x:f>Dashboard_Live_Data!AT76</x:f>
        <x:v>-306.4</x:v>
      </x:c>
      <x:c r="F1792" t="n">
        <x:f>Dashboard_Live_Data!AU76</x:f>
        <x:v>2460.1080312741733</x:v>
      </x:c>
      <x:c r="G1792" t="n">
        <x:f>Dashboard_Live_Data!AV76</x:f>
        <x:v>-306.4</x:v>
      </x:c>
      <x:c r="H1792" t="n">
        <x:f>Dashboard_Live_Data!AW76</x:f>
        <x:v>2428.67513320416</x:v>
      </x:c>
    </x:row>
    <x:row r="1793">
      <x:c r="A1793" t="n">
        <x:f>Dashboard_Live_Data!AP77</x:f>
        <x:v>-22.5</x:v>
      </x:c>
      <x:c r="B1793" t="n">
        <x:f>Dashboard_Live_Data!AQ77</x:f>
        <x:v>2682.174729680835</x:v>
      </x:c>
      <x:c r="C1793" t="n">
        <x:f>Dashboard_Live_Data!AR77</x:f>
        <x:v>-150</x:v>
      </x:c>
      <x:c r="D1793" t="n">
        <x:f>Dashboard_Live_Data!AS77</x:f>
        <x:v>1190.1745889310876</x:v>
      </x:c>
      <x:c r="E1793" t="n">
        <x:f>Dashboard_Live_Data!AT77</x:f>
        <x:v>-300</x:v>
      </x:c>
      <x:c r="F1793" t="n">
        <x:f>Dashboard_Live_Data!AU77</x:f>
        <x:v>2399.037857844189</x:v>
      </x:c>
      <x:c r="G1793" t="n">
        <x:f>Dashboard_Live_Data!AV77</x:f>
        <x:v>-300</x:v>
      </x:c>
      <x:c r="H1793" t="n">
        <x:f>Dashboard_Live_Data!AW77</x:f>
        <x:v>2367.7165122313922</x:v>
      </x:c>
    </x:row>
    <x:row r="1794">
      <x:c r="A1794" t="n">
        <x:f>Dashboard_Live_Data!AP78</x:f>
        <x:v>-22.019999999999996</x:v>
      </x:c>
      <x:c r="B1794" t="n">
        <x:f>Dashboard_Live_Data!AQ78</x:f>
        <x:v>2681.633377970777</x:v>
      </x:c>
      <x:c r="C1794" t="n">
        <x:f>Dashboard_Live_Data!AR78</x:f>
        <x:v>-146.8</x:v>
      </x:c>
      <x:c r="D1794" t="n">
        <x:f>Dashboard_Live_Data!AS78</x:f>
        <x:v>1163.6467818706817</x:v>
      </x:c>
      <x:c r="E1794" t="n">
        <x:f>Dashboard_Live_Data!AT78</x:f>
        <x:v>-293.6</x:v>
      </x:c>
      <x:c r="F1794" t="n">
        <x:f>Dashboard_Live_Data!AU78</x:f>
        <x:v>2338.848545673518</x:v>
      </x:c>
      <x:c r="G1794" t="n">
        <x:f>Dashboard_Live_Data!AV78</x:f>
        <x:v>-293.6</x:v>
      </x:c>
      <x:c r="H1794" t="n">
        <x:f>Dashboard_Live_Data!AW78</x:f>
        <x:v>2307.637032802526</x:v>
      </x:c>
    </x:row>
    <x:row r="1795">
      <x:c r="A1795" t="n">
        <x:f>Dashboard_Live_Data!AP79</x:f>
        <x:v>-21.479999999999997</x:v>
      </x:c>
      <x:c r="B1795" t="n">
        <x:f>Dashboard_Live_Data!AQ79</x:f>
        <x:v>2681.074277895876</x:v>
      </x:c>
      <x:c r="C1795" t="n">
        <x:f>Dashboard_Live_Data!AR79</x:f>
        <x:v>-143.2</x:v>
      </x:c>
      <x:c r="D1795" t="n">
        <x:f>Dashboard_Live_Data!AS79</x:f>
        <x:v>1133.8107705131229</x:v>
      </x:c>
      <x:c r="E1795" t="n">
        <x:f>Dashboard_Live_Data!AT79</x:f>
        <x:v>-286.4</x:v>
      </x:c>
      <x:c r="F1795" t="n">
        <x:f>Dashboard_Live_Data!AU79</x:f>
        <x:v>2271.4757396841865</x:v>
      </x:c>
      <x:c r="G1795" t="n">
        <x:f>Dashboard_Live_Data!AV79</x:f>
        <x:v>-286.4</x:v>
      </x:c>
      <x:c r="H1795" t="n">
        <x:f>Dashboard_Live_Data!AW79</x:f>
        <x:v>2240.4205489602696</x:v>
      </x:c>
    </x:row>
    <x:row r="1796">
      <x:c r="A1796" t="n">
        <x:f>Dashboard_Live_Data!AP80</x:f>
        <x:v>-21</x:v>
      </x:c>
      <x:c r="B1796" t="n">
        <x:f>Dashboard_Live_Data!AQ80</x:f>
        <x:v>2680.805031719671</x:v>
      </x:c>
      <x:c r="C1796" t="n">
        <x:f>Dashboard_Live_Data!AR80</x:f>
        <x:v>-140</x:v>
      </x:c>
      <x:c r="D1796" t="n">
        <x:f>Dashboard_Live_Data!AS80</x:f>
        <x:v>1107.663476732817</x:v>
      </x:c>
      <x:c r="E1796" t="n">
        <x:f>Dashboard_Live_Data!AT80</x:f>
        <x:v>-280</x:v>
      </x:c>
      <x:c r="F1796" t="n">
        <x:f>Dashboard_Live_Data!AU80</x:f>
        <x:v>2212.418081073065</x:v>
      </x:c>
      <x:c r="G1796" t="n">
        <x:f>Dashboard_Live_Data!AV80</x:f>
        <x:v>-280</x:v>
      </x:c>
      <x:c r="H1796" t="n">
        <x:f>Dashboard_Live_Data!AW80</x:f>
        <x:v>2181.5032877091103</x:v>
      </x:c>
    </x:row>
    <x:row r="1797">
      <x:c r="A1797" t="n">
        <x:f>Dashboard_Live_Data!AP81</x:f>
        <x:v>-20.520000000000003</x:v>
      </x:c>
      <x:c r="B1797" t="n">
        <x:f>Dashboard_Live_Data!AQ81</x:f>
        <x:v>2680.307213361289</x:v>
      </x:c>
      <x:c r="C1797" t="n">
        <x:f>Dashboard_Live_Data!AR81</x:f>
        <x:v>-136.8</x:v>
      </x:c>
      <x:c r="D1797" t="n">
        <x:f>Dashboard_Live_Data!AS81</x:f>
        <x:v>1081.9289025291496</x:v>
      </x:c>
      <x:c r="E1797" t="n">
        <x:f>Dashboard_Live_Data!AT81</x:f>
        <x:v>-273.6</x:v>
      </x:c>
      <x:c r="F1797" t="n">
        <x:f>Dashboard_Live_Data!AU81</x:f>
        <x:v>2154.069064539017</x:v>
      </x:c>
      <x:c r="G1797" t="n">
        <x:f>Dashboard_Live_Data!AV81</x:f>
        <x:v>-273.6</x:v>
      </x:c>
      <x:c r="H1797" t="n">
        <x:f>Dashboard_Live_Data!AW81</x:f>
        <x:v>2123.297962760579</x:v>
      </x:c>
    </x:row>
    <x:row r="1798">
      <x:c r="A1798" t="n">
        <x:f>Dashboard_Live_Data!AP82</x:f>
        <x:v>-19.979999999999997</x:v>
      </x:c>
      <x:c r="B1798" t="n">
        <x:f>Dashboard_Live_Data!AQ82</x:f>
        <x:v>2679.910435734186</x:v>
      </x:c>
      <x:c r="C1798" t="n">
        <x:f>Dashboard_Live_Data!AR82</x:f>
        <x:v>-133.2</x:v>
      </x:c>
      <x:c r="D1798" t="n">
        <x:f>Dashboard_Live_Data!AS82</x:f>
        <x:v>1053.2379157384207</x:v>
      </x:c>
      <x:c r="E1798" t="n">
        <x:f>Dashboard_Live_Data!AT82</x:f>
        <x:v>-266.4</x:v>
      </x:c>
      <x:c r="F1798" t="n">
        <x:f>Dashboard_Live_Data!AU82</x:f>
        <x:v>2088.853489351747</x:v>
      </x:c>
      <x:c r="G1798" t="n">
        <x:f>Dashboard_Live_Data!AV82</x:f>
        <x:v>-266.4</x:v>
      </x:c>
      <x:c r="H1798" t="n">
        <x:f>Dashboard_Live_Data!AW82</x:f>
        <x:v>2058.271372657876</x:v>
      </x:c>
    </x:row>
    <x:row r="1799">
      <x:c r="A1799" t="n">
        <x:f>Dashboard_Live_Data!AP83</x:f>
        <x:v>-19.5</x:v>
      </x:c>
      <x:c r="B1799" t="n">
        <x:f>Dashboard_Live_Data!AQ83</x:f>
        <x:v>2679.4176164876385</x:v>
      </x:c>
      <x:c r="C1799" t="n">
        <x:f>Dashboard_Live_Data!AR83</x:f>
        <x:v>-130</x:v>
      </x:c>
      <x:c r="D1799" t="n">
        <x:f>Dashboard_Live_Data!AS83</x:f>
        <x:v>1027.767895171937</x:v>
      </x:c>
      <x:c r="E1799" t="n">
        <x:f>Dashboard_Live_Data!AT83</x:f>
        <x:v>-260</x:v>
      </x:c>
      <x:c r="F1799" t="n">
        <x:f>Dashboard_Live_Data!AU83</x:f>
        <x:v>2031.6981626888248</x:v>
      </x:c>
      <x:c r="G1799" t="n">
        <x:f>Dashboard_Live_Data!AV83</x:f>
        <x:v>-260</x:v>
      </x:c>
      <x:c r="H1799" t="n">
        <x:f>Dashboard_Live_Data!AW83</x:f>
        <x:v>2001.281475278257</x:v>
      </x:c>
    </x:row>
    <x:row r="1800">
      <x:c r="A1800" t="n">
        <x:f>Dashboard_Live_Data!AP84</x:f>
        <x:v>-19.019999999999996</x:v>
      </x:c>
      <x:c r="B1800" t="n">
        <x:f>Dashboard_Live_Data!AQ84</x:f>
        <x:v>2679.101138360728</x:v>
      </x:c>
      <x:c r="C1800" t="n">
        <x:f>Dashboard_Live_Data!AR84</x:f>
        <x:v>-126.79999999999995</x:v>
      </x:c>
      <x:c r="D1800" t="n">
        <x:f>Dashboard_Live_Data!AS84</x:f>
        <x:v>1002.3635175983735</x:v>
      </x:c>
      <x:c r="E1800" t="n">
        <x:f>Dashboard_Live_Data!AT84</x:f>
        <x:v>-253.5999999999999</x:v>
      </x:c>
      <x:c r="F1800" t="n">
        <x:f>Dashboard_Live_Data!AU84</x:f>
        <x:v>1975.2592929672044</x:v>
      </x:c>
      <x:c r="G1800" t="n">
        <x:f>Dashboard_Live_Data!AV84</x:f>
        <x:v>-253.5999999999999</x:v>
      </x:c>
      <x:c r="H1800" t="n">
        <x:f>Dashboard_Live_Data!AW84</x:f>
        <x:v>1945.0061543286497</x:v>
      </x:c>
    </x:row>
    <x:row r="1801">
      <x:c r="A1801" t="n">
        <x:f>Dashboard_Live_Data!AP85</x:f>
        <x:v>-18.480000000000004</x:v>
      </x:c>
      <x:c r="B1801" t="n">
        <x:f>Dashboard_Live_Data!AQ85</x:f>
        <x:v>2678.620330554761</x:v>
      </x:c>
      <x:c r="C1801" t="n">
        <x:f>Dashboard_Live_Data!AR85</x:f>
        <x:v>-123.20000000000005</x:v>
      </x:c>
      <x:c r="D1801" t="n">
        <x:f>Dashboard_Live_Data!AS85</x:f>
        <x:v>974.1534456502709</x:v>
      </x:c>
      <x:c r="E1801" t="n">
        <x:f>Dashboard_Live_Data!AT85</x:f>
        <x:v>-246.4000000000001</x:v>
      </x:c>
      <x:c r="F1801" t="n">
        <x:f>Dashboard_Live_Data!AU85</x:f>
        <x:v>1911.982365755576</x:v>
      </x:c>
      <x:c r="G1801" t="n">
        <x:f>Dashboard_Live_Data!AV85</x:f>
        <x:v>-246.4000000000001</x:v>
      </x:c>
      <x:c r="H1801" t="n">
        <x:f>Dashboard_Live_Data!AW85</x:f>
        <x:v>1881.9527809601716</x:v>
      </x:c>
    </x:row>
    <x:row r="1802">
      <x:c r="A1802" t="n">
        <x:f>Dashboard_Live_Data!AP86</x:f>
        <x:v>-18</x:v>
      </x:c>
      <x:c r="B1802" t="n">
        <x:f>Dashboard_Live_Data!AQ86</x:f>
        <x:v>2678.2274086948387</x:v>
      </x:c>
      <x:c r="C1802" t="n">
        <x:f>Dashboard_Live_Data!AR86</x:f>
        <x:v>-120</x:v>
      </x:c>
      <x:c r="D1802" t="n">
        <x:f>Dashboard_Live_Data!AS86</x:f>
        <x:v>949.3439263517315</x:v>
      </x:c>
      <x:c r="E1802" t="n">
        <x:f>Dashboard_Live_Data!AT86</x:f>
        <x:v>-240</x:v>
      </x:c>
      <x:c r="F1802" t="n">
        <x:f>Dashboard_Live_Data!AU86</x:f>
        <x:v>1856.953435568455</x:v>
      </x:c>
      <x:c r="G1802" t="n">
        <x:f>Dashboard_Live_Data!AV86</x:f>
        <x:v>-240</x:v>
      </x:c>
      <x:c r="H1802" t="n">
        <x:f>Dashboard_Live_Data!AW86</x:f>
        <x:v>1827.0848976277111</x:v>
      </x:c>
    </x:row>
    <x:row r="1803">
      <x:c r="A1803" t="n">
        <x:f>Dashboard_Live_Data!AP87</x:f>
        <x:v>-17.520000000000003</x:v>
      </x:c>
      <x:c r="B1803" t="n">
        <x:f>Dashboard_Live_Data!AQ87</x:f>
        <x:v>2677.901102367137</x:v>
      </x:c>
      <x:c r="C1803" t="n">
        <x:f>Dashboard_Live_Data!AR87</x:f>
        <x:v>-116.80000000000001</x:v>
      </x:c>
      <x:c r="D1803" t="n">
        <x:f>Dashboard_Live_Data!AS87</x:f>
        <x:v>924.7866303079909</x:v>
      </x:c>
      <x:c r="E1803" t="n">
        <x:f>Dashboard_Live_Data!AT87</x:f>
        <x:v>-233.60000000000002</x:v>
      </x:c>
      <x:c r="F1803" t="n">
        <x:f>Dashboard_Live_Data!AU87</x:f>
        <x:v>1801.9356748527755</x:v>
      </x:c>
      <x:c r="G1803" t="n">
        <x:f>Dashboard_Live_Data!AV87</x:f>
        <x:v>-233.60000000000002</x:v>
      </x:c>
      <x:c r="H1803" t="n">
        <x:f>Dashboard_Live_Data!AW87</x:f>
        <x:v>1772.2724325966283</x:v>
      </x:c>
    </x:row>
    <x:row r="1804">
      <x:c r="A1804" t="n">
        <x:f>Dashboard_Live_Data!AP88</x:f>
        <x:v>-16.979999999999997</x:v>
      </x:c>
      <x:c r="B1804" t="n">
        <x:f>Dashboard_Live_Data!AQ88</x:f>
        <x:v>2677.5923280337583</x:v>
      </x:c>
      <x:c r="C1804" t="n">
        <x:f>Dashboard_Live_Data!AR88</x:f>
        <x:v>-113.19999999999999</x:v>
      </x:c>
      <x:c r="D1804" t="n">
        <x:f>Dashboard_Live_Data!AS88</x:f>
        <x:v>897.5024239250529</x:v>
      </x:c>
      <x:c r="E1804" t="n">
        <x:f>Dashboard_Live_Data!AT88</x:f>
        <x:v>-226.39999999999998</x:v>
      </x:c>
      <x:c r="F1804" t="n">
        <x:f>Dashboard_Live_Data!AU88</x:f>
        <x:v>1740.8922865861819</x:v>
      </x:c>
      <x:c r="G1804" t="n">
        <x:f>Dashboard_Live_Data!AV88</x:f>
        <x:v>-226.39999999999998</x:v>
      </x:c>
      <x:c r="H1804" t="n">
        <x:f>Dashboard_Live_Data!AW88</x:f>
        <x:v>1711.4500227839458</x:v>
      </x:c>
    </x:row>
    <x:row r="1805">
      <x:c r="A1805" t="n">
        <x:f>Dashboard_Live_Data!AP89</x:f>
        <x:v>-16.5</x:v>
      </x:c>
      <x:c r="B1805" t="n">
        <x:f>Dashboard_Live_Data!AQ89</x:f>
        <x:v>2677.336851587953</x:v>
      </x:c>
      <x:c r="C1805" t="n">
        <x:f>Dashboard_Live_Data!AR89</x:f>
        <x:v>-110</x:v>
      </x:c>
      <x:c r="D1805" t="n">
        <x:f>Dashboard_Live_Data!AS89</x:f>
        <x:v>873.2708000463136</x:v>
      </x:c>
      <x:c r="E1805" t="n">
        <x:f>Dashboard_Live_Data!AT89</x:f>
        <x:v>-220</x:v>
      </x:c>
      <x:c r="F1805" t="n">
        <x:f>Dashboard_Live_Data!AU89</x:f>
        <x:v>1687.4158648553757</x:v>
      </x:c>
      <x:c r="G1805" t="n">
        <x:f>Dashboard_Live_Data!AV89</x:f>
        <x:v>-220</x:v>
      </x:c>
      <x:c r="H1805" t="n">
        <x:f>Dashboard_Live_Data!AW89</x:f>
        <x:v>1658.1549567841441</x:v>
      </x:c>
    </x:row>
    <x:row r="1806">
      <x:c r="A1806" t="n">
        <x:f>Dashboard_Live_Data!AP90</x:f>
        <x:v>-16.020000000000003</x:v>
      </x:c>
      <x:c r="B1806" t="n">
        <x:f>Dashboard_Live_Data!AQ90</x:f>
        <x:v>2676.8935781249206</x:v>
      </x:c>
      <x:c r="C1806" t="n">
        <x:f>Dashboard_Live_Data!AR90</x:f>
        <x:v>-106.80000000000001</x:v>
      </x:c>
      <x:c r="D1806" t="n">
        <x:f>Dashboard_Live_Data!AS90</x:f>
        <x:v>849.1298418746225</x:v>
      </x:c>
      <x:c r="E1806" t="n">
        <x:f>Dashboard_Live_Data!AT90</x:f>
        <x:v>-213.60000000000002</x:v>
      </x:c>
      <x:c r="F1806" t="n">
        <x:f>Dashboard_Live_Data!AU90</x:f>
        <x:v>1633.9682240085044</x:v>
      </x:c>
      <x:c r="G1806" t="n">
        <x:f>Dashboard_Live_Data!AV90</x:f>
        <x:v>-213.60000000000002</x:v>
      </x:c>
      <x:c r="H1806" t="n">
        <x:f>Dashboard_Live_Data!AW90</x:f>
        <x:v>1604.932853763352</x:v>
      </x:c>
    </x:row>
    <x:row r="1807">
      <x:c r="A1807" t="n">
        <x:f>Dashboard_Live_Data!AP91</x:f>
        <x:v>-15.480000000000004</x:v>
      </x:c>
      <x:c r="B1807" t="n">
        <x:f>Dashboard_Live_Data!AQ91</x:f>
        <x:v>2676.6826725277347</x:v>
      </x:c>
      <x:c r="C1807" t="n">
        <x:f>Dashboard_Live_Data!AR91</x:f>
        <x:v>-103.19999999999999</x:v>
      </x:c>
      <x:c r="D1807" t="n">
        <x:f>Dashboard_Live_Data!AS91</x:f>
        <x:v>822.3450160213688</x:v>
      </x:c>
      <x:c r="E1807" t="n">
        <x:f>Dashboard_Live_Data!AT91</x:f>
        <x:v>-206.39999999999998</x:v>
      </x:c>
      <x:c r="F1807" t="n">
        <x:f>Dashboard_Live_Data!AU91</x:f>
        <x:v>1574.9472856715226</x:v>
      </x:c>
      <x:c r="G1807" t="n">
        <x:f>Dashboard_Live_Data!AV91</x:f>
        <x:v>-206.39999999999998</x:v>
      </x:c>
      <x:c r="H1807" t="n">
        <x:f>Dashboard_Live_Data!AW91</x:f>
        <x:v>1546.1235434612527</x:v>
      </x:c>
    </x:row>
    <x:row r="1808">
      <x:c r="A1808" t="n">
        <x:f>Dashboard_Live_Data!AP92</x:f>
        <x:v>-15</x:v>
      </x:c>
      <x:c r="B1808" t="n">
        <x:f>Dashboard_Live_Data!AQ92</x:f>
        <x:v>2676.298054911225</x:v>
      </x:c>
      <x:c r="C1808" t="n">
        <x:f>Dashboard_Live_Data!AR92</x:f>
        <x:v>-100</x:v>
      </x:c>
      <x:c r="D1808" t="n">
        <x:f>Dashboard_Live_Data!AS92</x:f>
        <x:v>798.9000950122506</x:v>
      </x:c>
      <x:c r="E1808" t="n">
        <x:f>Dashboard_Live_Data!AT92</x:f>
        <x:v>-200</x:v>
      </x:c>
      <x:c r="F1808" t="n">
        <x:f>Dashboard_Live_Data!AU92</x:f>
        <x:v>1522.8401884505734</x:v>
      </x:c>
      <x:c r="G1808" t="n">
        <x:f>Dashboard_Live_Data!AV92</x:f>
        <x:v>-200</x:v>
      </x:c>
      <x:c r="H1808" t="n">
        <x:f>Dashboard_Live_Data!AW92</x:f>
        <x:v>1494.2203317731464</x:v>
      </x:c>
    </x:row>
    <x:row r="1809">
      <x:c r="A1809" t="n">
        <x:f>Dashboard_Live_Data!AP93</x:f>
        <x:v>-14.519999999999996</x:v>
      </x:c>
      <x:c r="B1809" t="n">
        <x:f>Dashboard_Live_Data!AQ93</x:f>
        <x:v>2676.0772755395565</x:v>
      </x:c>
      <x:c r="C1809" t="n">
        <x:f>Dashboard_Live_Data!AR93</x:f>
        <x:v>-96.80000000000001</x:v>
      </x:c>
      <x:c r="D1809" t="n">
        <x:f>Dashboard_Live_Data!AS93</x:f>
        <x:v>775.775665786726</x:v>
      </x:c>
      <x:c r="E1809" t="n">
        <x:f>Dashboard_Live_Data!AT93</x:f>
        <x:v>-193.60000000000002</x:v>
      </x:c>
      <x:c r="F1809" t="n">
        <x:f>Dashboard_Live_Data!AU93</x:f>
        <x:v>1471.2359482529555</x:v>
      </x:c>
      <x:c r="G1809" t="n">
        <x:f>Dashboard_Live_Data!AV93</x:f>
        <x:v>-193.60000000000002</x:v>
      </x:c>
      <x:c r="H1809" t="n">
        <x:f>Dashboard_Live_Data!AW93</x:f>
        <x:v>1442.817695131121</x:v>
      </x:c>
    </x:row>
    <x:row r="1810">
      <x:c r="A1810" t="n">
        <x:f>Dashboard_Live_Data!AP94</x:f>
        <x:v>-13.979999999999997</x:v>
      </x:c>
      <x:c r="B1810" t="n">
        <x:f>Dashboard_Live_Data!AQ94</x:f>
        <x:v>2675.7482372623963</x:v>
      </x:c>
      <x:c r="C1810" t="n">
        <x:f>Dashboard_Live_Data!AR94</x:f>
        <x:v>-93.19999999999999</x:v>
      </x:c>
      <x:c r="D1810" t="n">
        <x:f>Dashboard_Live_Data!AS94</x:f>
        <x:v>749.72198990354</x:v>
      </x:c>
      <x:c r="E1810" t="n">
        <x:f>Dashboard_Live_Data!AT94</x:f>
        <x:v>-186.39999999999998</x:v>
      </x:c>
      <x:c r="F1810" t="n">
        <x:f>Dashboard_Live_Data!AU94</x:f>
        <x:v>1413.9478129220597</x:v>
      </x:c>
      <x:c r="G1810" t="n">
        <x:f>Dashboard_Live_Data!AV94</x:f>
        <x:v>-186.39999999999998</x:v>
      </x:c>
      <x:c r="H1810" t="n">
        <x:f>Dashboard_Live_Data!AW94</x:f>
        <x:v>1385.7328673887378</x:v>
      </x:c>
    </x:row>
    <x:row r="1811">
      <x:c r="A1811" t="n">
        <x:f>Dashboard_Live_Data!AP95</x:f>
        <x:v>-13.5</x:v>
      </x:c>
      <x:c r="B1811" t="n">
        <x:f>Dashboard_Live_Data!AQ95</x:f>
        <x:v>2675.521002594637</x:v>
      </x:c>
      <x:c r="C1811" t="n">
        <x:f>Dashboard_Live_Data!AR95</x:f>
        <x:v>-90</x:v>
      </x:c>
      <x:c r="D1811" t="n">
        <x:f>Dashboard_Live_Data!AS95</x:f>
        <x:v>726.8407684316289</x:v>
      </x:c>
      <x:c r="E1811" t="n">
        <x:f>Dashboard_Live_Data!AT95</x:f>
        <x:v>-180</x:v>
      </x:c>
      <x:c r="F1811" t="n">
        <x:f>Dashboard_Live_Data!AU95</x:f>
        <x:v>1363.4686402752502</x:v>
      </x:c>
      <x:c r="G1811" t="n">
        <x:f>Dashboard_Live_Data!AV95</x:f>
        <x:v>-180</x:v>
      </x:c>
      <x:c r="H1811" t="n">
        <x:f>Dashboard_Live_Data!AW95</x:f>
        <x:v>1335.4348399633955</x:v>
      </x:c>
    </x:row>
    <x:row r="1812">
      <x:c r="A1812" t="n">
        <x:f>Dashboard_Live_Data!AP96</x:f>
        <x:v>-13.019999999999996</x:v>
      </x:c>
      <x:c r="B1812" t="n">
        <x:f>Dashboard_Live_Data!AQ96</x:f>
        <x:v>2675.243509673234</x:v>
      </x:c>
      <x:c r="C1812" t="n">
        <x:f>Dashboard_Live_Data!AR96</x:f>
        <x:v>-86.80000000000001</x:v>
      </x:c>
      <x:c r="D1812" t="n">
        <x:f>Dashboard_Live_Data!AS96</x:f>
        <x:v>704.1134347722967</x:v>
      </x:c>
      <x:c r="E1812" t="n">
        <x:f>Dashboard_Live_Data!AT96</x:f>
        <x:v>-173.60000000000002</x:v>
      </x:c>
      <x:c r="F1812" t="n">
        <x:f>Dashboard_Live_Data!AU96</x:f>
        <x:v>1313.3523256405263</x:v>
      </x:c>
      <x:c r="G1812" t="n">
        <x:f>Dashboard_Live_Data!AV96</x:f>
        <x:v>-173.60000000000002</x:v>
      </x:c>
      <x:c r="H1812" t="n">
        <x:f>Dashboard_Live_Data!AW96</x:f>
        <x:v>1285.5045115158039</x:v>
      </x:c>
    </x:row>
    <x:row r="1813">
      <x:c r="A1813" t="n">
        <x:f>Dashboard_Live_Data!AP97</x:f>
        <x:v>-12.479999999999997</x:v>
      </x:c>
      <x:c r="B1813" t="n">
        <x:f>Dashboard_Live_Data!AQ97</x:f>
        <x:v>2674.8308245474545</x:v>
      </x:c>
      <x:c r="C1813" t="n">
        <x:f>Dashboard_Live_Data!AR97</x:f>
        <x:v>-83.19999999999999</x:v>
      </x:c>
      <x:c r="D1813" t="n">
        <x:f>Dashboard_Live_Data!AS97</x:f>
        <x:v>678.7707236721552</x:v>
      </x:c>
      <x:c r="E1813" t="n">
        <x:f>Dashboard_Live_Data!AT97</x:f>
        <x:v>-166.39999999999998</x:v>
      </x:c>
      <x:c r="F1813" t="n">
        <x:f>Dashboard_Live_Data!AU97</x:f>
        <x:v>1257.9527051449093</x:v>
      </x:c>
      <x:c r="G1813" t="n">
        <x:f>Dashboard_Live_Data!AV97</x:f>
        <x:v>-166.39999999999998</x:v>
      </x:c>
      <x:c r="H1813" t="n">
        <x:f>Dashboard_Live_Data!AW97</x:f>
        <x:v>1230.251296014278</x:v>
      </x:c>
    </x:row>
    <x:row r="1814">
      <x:c r="A1814" t="n">
        <x:f>Dashboard_Live_Data!AP98</x:f>
        <x:v>-12</x:v>
      </x:c>
      <x:c r="B1814" t="n">
        <x:f>Dashboard_Live_Data!AQ98</x:f>
        <x:v>2674.7105794245053</x:v>
      </x:c>
      <x:c r="C1814" t="n">
        <x:f>Dashboard_Live_Data!AR98</x:f>
        <x:v>-80</x:v>
      </x:c>
      <x:c r="D1814" t="n">
        <x:f>Dashboard_Live_Data!AS98</x:f>
        <x:v>656.7701971330839</x:v>
      </x:c>
      <x:c r="E1814" t="n">
        <x:f>Dashboard_Live_Data!AT98</x:f>
        <x:v>-160</x:v>
      </x:c>
      <x:c r="F1814" t="n">
        <x:f>Dashboard_Live_Data!AU98</x:f>
        <x:v>1208.883796960501</x:v>
      </x:c>
      <x:c r="G1814" t="n">
        <x:f>Dashboard_Live_Data!AV98</x:f>
        <x:v>-160</x:v>
      </x:c>
      <x:c r="H1814" t="n">
        <x:f>Dashboard_Live_Data!AW98</x:f>
        <x:v>1181.3360267787766</x:v>
      </x:c>
    </x:row>
    <x:row r="1815">
      <x:c r="A1815" t="n">
        <x:f>Dashboard_Live_Data!AP99</x:f>
        <x:v>-11.519999999999996</x:v>
      </x:c>
      <x:c r="B1815" t="n">
        <x:f>Dashboard_Live_Data!AQ99</x:f>
        <x:v>2674.359012410629</x:v>
      </x:c>
      <x:c r="C1815" t="n">
        <x:f>Dashboard_Live_Data!AR99</x:f>
        <x:v>-76.79999999999995</x:v>
      </x:c>
      <x:c r="D1815" t="n">
        <x:f>Dashboard_Live_Data!AS99</x:f>
        <x:v>635.1547992334081</x:v>
      </x:c>
      <x:c r="E1815" t="n">
        <x:f>Dashboard_Live_Data!AT99</x:f>
        <x:v>-153.5999999999999</x:v>
      </x:c>
      <x:c r="F1815" t="n">
        <x:f>Dashboard_Live_Data!AU99</x:f>
        <x:v>1160.3541102258998</x:v>
      </x:c>
      <x:c r="G1815" t="n">
        <x:f>Dashboard_Live_Data!AV99</x:f>
        <x:v>-153.5999999999999</x:v>
      </x:c>
      <x:c r="H1815" t="n">
        <x:f>Dashboard_Live_Data!AW99</x:f>
        <x:v>1132.9336684812708</x:v>
      </x:c>
    </x:row>
    <x:row r="1816">
      <x:c r="A1816" t="n">
        <x:f>Dashboard_Live_Data!AP100</x:f>
        <x:v>-10.980000000000004</x:v>
      </x:c>
      <x:c r="B1816" t="n">
        <x:f>Dashboard_Live_Data!AQ100</x:f>
        <x:v>2674.190016568398</x:v>
      </x:c>
      <x:c r="C1816" t="n">
        <x:f>Dashboard_Live_Data!AR100</x:f>
        <x:v>-73.20000000000005</x:v>
      </x:c>
      <x:c r="D1816" t="n">
        <x:f>Dashboard_Live_Data!AS100</x:f>
        <x:v>610.8510113002076</x:v>
      </x:c>
      <x:c r="E1816" t="n">
        <x:f>Dashboard_Live_Data!AT100</x:f>
        <x:v>-146.4000000000001</x:v>
      </x:c>
      <x:c r="F1816" t="n">
        <x:f>Dashboard_Live_Data!AU100</x:f>
        <x:v>1106.563522654145</x:v>
      </x:c>
      <x:c r="G1816" t="n">
        <x:f>Dashboard_Live_Data!AV100</x:f>
        <x:v>-146.4000000000001</x:v>
      </x:c>
      <x:c r="H1816" t="n">
        <x:f>Dashboard_Live_Data!AW100</x:f>
        <x:v>1079.2262262421423</x:v>
      </x:c>
    </x:row>
    <x:row r="1817">
      <x:c r="A1817" t="n">
        <x:f>Dashboard_Live_Data!AP101</x:f>
        <x:v>-10.5</x:v>
      </x:c>
      <x:c r="B1817" t="n">
        <x:f>Dashboard_Live_Data!AQ101</x:f>
        <x:v>2673.894654942711</x:v>
      </x:c>
      <x:c r="C1817" t="n">
        <x:f>Dashboard_Live_Data!AR101</x:f>
        <x:v>-70</x:v>
      </x:c>
      <x:c r="D1817" t="n">
        <x:f>Dashboard_Live_Data!AS101</x:f>
        <x:v>589.2813068975925</x:v>
      </x:c>
      <x:c r="E1817" t="n">
        <x:f>Dashboard_Live_Data!AT101</x:f>
        <x:v>-140</x:v>
      </x:c>
      <x:c r="F1817" t="n">
        <x:f>Dashboard_Live_Data!AU101</x:f>
        <x:v>1058.8311599750984</x:v>
      </x:c>
      <x:c r="G1817" t="n">
        <x:f>Dashboard_Live_Data!AV101</x:f>
        <x:v>-140</x:v>
      </x:c>
      <x:c r="H1817" t="n">
        <x:f>Dashboard_Live_Data!AW101</x:f>
        <x:v>1031.5980886484233</x:v>
      </x:c>
    </x:row>
    <x:row r="1818">
      <x:c r="A1818" t="n">
        <x:f>Dashboard_Live_Data!AP102</x:f>
        <x:v>-10.020000000000003</x:v>
      </x:c>
      <x:c r="B1818" t="n">
        <x:f>Dashboard_Live_Data!AQ102</x:f>
        <x:v>2673.759697209001</x:v>
      </x:c>
      <x:c r="C1818" t="n">
        <x:f>Dashboard_Live_Data!AR102</x:f>
        <x:v>-66.80000000000001</x:v>
      </x:c>
      <x:c r="D1818" t="n">
        <x:f>Dashboard_Live_Data!AS102</x:f>
        <x:v>568.2671800772529</x:v>
      </x:c>
      <x:c r="E1818" t="n">
        <x:f>Dashboard_Live_Data!AT102</x:f>
        <x:v>-133.60000000000002</x:v>
      </x:c>
      <x:c r="F1818" t="n">
        <x:f>Dashboard_Live_Data!AU102</x:f>
        <x:v>1012.0645953546137</x:v>
      </x:c>
      <x:c r="G1818" t="n">
        <x:f>Dashboard_Live_Data!AV102</x:f>
        <x:v>-133.60000000000002</x:v>
      </x:c>
      <x:c r="H1818" t="n">
        <x:f>Dashboard_Live_Data!AW102</x:f>
        <x:v>984.8323231675628</x:v>
      </x:c>
    </x:row>
    <x:row r="1819">
      <x:c r="A1819" t="n">
        <x:f>Dashboard_Live_Data!AP103</x:f>
        <x:v>-9.480000000000004</x:v>
      </x:c>
      <x:c r="B1819" t="n">
        <x:f>Dashboard_Live_Data!AQ103</x:f>
        <x:v>2673.572737760398</x:v>
      </x:c>
      <x:c r="C1819" t="n">
        <x:f>Dashboard_Live_Data!AR103</x:f>
        <x:v>-63.19999999999999</x:v>
      </x:c>
      <x:c r="D1819" t="n">
        <x:f>Dashboard_Live_Data!AS103</x:f>
        <x:v>545.3235753259175</x:v>
      </x:c>
      <x:c r="E1819" t="n">
        <x:f>Dashboard_Live_Data!AT103</x:f>
        <x:v>-126.39999999999998</x:v>
      </x:c>
      <x:c r="F1819" t="n">
        <x:f>Dashboard_Live_Data!AU103</x:f>
        <x:v>959.6992490366466</x:v>
      </x:c>
      <x:c r="G1819" t="n">
        <x:f>Dashboard_Live_Data!AV103</x:f>
        <x:v>-126.39999999999998</x:v>
      </x:c>
      <x:c r="H1819" t="n">
        <x:f>Dashboard_Live_Data!AW103</x:f>
        <x:v>932.4708641756583</x:v>
      </x:c>
    </x:row>
    <x:row r="1820">
      <x:c r="A1820" t="n">
        <x:f>Dashboard_Live_Data!AP104</x:f>
        <x:v>-9</x:v>
      </x:c>
      <x:c r="B1820" t="n">
        <x:f>Dashboard_Live_Data!AQ104</x:f>
        <x:v>2673.302473071738</x:v>
      </x:c>
      <x:c r="C1820" t="n">
        <x:f>Dashboard_Live_Data!AR104</x:f>
        <x:v>-60</x:v>
      </x:c>
      <x:c r="D1820" t="n">
        <x:f>Dashboard_Live_Data!AS104</x:f>
        <x:v>525.2418298323732</x:v>
      </x:c>
      <x:c r="E1820" t="n">
        <x:f>Dashboard_Live_Data!AT104</x:f>
        <x:v>-120</x:v>
      </x:c>
      <x:c r="F1820" t="n">
        <x:f>Dashboard_Live_Data!AU104</x:f>
        <x:v>913.7430465581227</x:v>
      </x:c>
      <x:c r="G1820" t="n">
        <x:f>Dashboard_Live_Data!AV104</x:f>
        <x:v>-120</x:v>
      </x:c>
      <x:c r="H1820" t="n">
        <x:f>Dashboard_Live_Data!AW104</x:f>
        <x:v>886.4597372531108</x:v>
      </x:c>
    </x:row>
    <x:row r="1821">
      <x:c r="A1821" t="n">
        <x:f>Dashboard_Live_Data!AP105</x:f>
        <x:v>-8.520000000000003</x:v>
      </x:c>
      <x:c r="B1821" t="n">
        <x:f>Dashboard_Live_Data!AQ105</x:f>
        <x:v>2673.207375269783</x:v>
      </x:c>
      <x:c r="C1821" t="n">
        <x:f>Dashboard_Live_Data!AR105</x:f>
        <x:v>-56.80000000000001</x:v>
      </x:c>
      <x:c r="D1821" t="n">
        <x:f>Dashboard_Live_Data!AS105</x:f>
        <x:v>505.3303245017397</x:v>
      </x:c>
      <x:c r="E1821" t="n">
        <x:f>Dashboard_Live_Data!AT105</x:f>
        <x:v>-113.60000000000002</x:v>
      </x:c>
      <x:c r="F1821" t="n">
        <x:f>Dashboard_Live_Data!AU105</x:f>
        <x:v>868.5395491003828</x:v>
      </x:c>
      <x:c r="G1821" t="n">
        <x:f>Dashboard_Live_Data!AV105</x:f>
        <x:v>-113.60000000000002</x:v>
      </x:c>
      <x:c r="H1821" t="n">
        <x:f>Dashboard_Live_Data!AW105</x:f>
        <x:v>841.1061786695878</x:v>
      </x:c>
    </x:row>
    <x:row r="1822">
      <x:c r="A1822" t="n">
        <x:f>Dashboard_Live_Data!AP106</x:f>
        <x:v>-7.980000000000004</x:v>
      </x:c>
      <x:c r="B1822" t="n">
        <x:f>Dashboard_Live_Data!AQ106</x:f>
        <x:v>2673.1725556374686</x:v>
      </x:c>
      <x:c r="C1822" t="n">
        <x:f>Dashboard_Live_Data!AR106</x:f>
        <x:v>-53.19999999999999</x:v>
      </x:c>
      <x:c r="D1822" t="n">
        <x:f>Dashboard_Live_Data!AS106</x:f>
        <x:v>483.24555653411164</x:v>
      </x:c>
      <x:c r="E1822" t="n">
        <x:f>Dashboard_Live_Data!AT106</x:f>
        <x:v>-106.39999999999998</x:v>
      </x:c>
      <x:c r="F1822" t="n">
        <x:f>Dashboard_Live_Data!AU106</x:f>
        <x:v>817.9688649858522</x:v>
      </x:c>
      <x:c r="G1822" t="n">
        <x:f>Dashboard_Live_Data!AV106</x:f>
        <x:v>-106.39999999999998</x:v>
      </x:c>
      <x:c r="H1822" t="n">
        <x:f>Dashboard_Live_Data!AW106</x:f>
        <x:v>790.3494390057505</x:v>
      </x:c>
    </x:row>
    <x:row r="1823">
      <x:c r="A1823" t="n">
        <x:f>Dashboard_Live_Data!AP107</x:f>
        <x:v>-7.5</x:v>
      </x:c>
      <x:c r="B1823" t="n">
        <x:f>Dashboard_Live_Data!AQ107</x:f>
        <x:v>2672.9293325644585</x:v>
      </x:c>
      <x:c r="C1823" t="n">
        <x:f>Dashboard_Live_Data!AR107</x:f>
        <x:v>-50</x:v>
      </x:c>
      <x:c r="D1823" t="n">
        <x:f>Dashboard_Live_Data!AS107</x:f>
        <x:v>464.1818123077337</x:v>
      </x:c>
      <x:c r="E1823" t="n">
        <x:f>Dashboard_Live_Data!AT107</x:f>
        <x:v>-100</x:v>
      </x:c>
      <x:c r="F1823" t="n">
        <x:f>Dashboard_Live_Data!AU107</x:f>
        <x:v>773.8625324971048</x:v>
      </x:c>
      <x:c r="G1823" t="n">
        <x:f>Dashboard_Live_Data!AV107</x:f>
        <x:v>-100</x:v>
      </x:c>
      <x:c r="H1823" t="n">
        <x:f>Dashboard_Live_Data!AW107</x:f>
        <x:v>745.953527022406</x:v>
      </x:c>
    </x:row>
    <x:row r="1824">
      <x:c r="A1824" t="n">
        <x:f>Dashboard_Live_Data!AP108</x:f>
        <x:v>-7.019999999999996</x:v>
      </x:c>
      <x:c r="B1824" t="n">
        <x:f>Dashboard_Live_Data!AQ108</x:f>
        <x:v>2672.888297210901</x:v>
      </x:c>
      <x:c r="C1824" t="n">
        <x:f>Dashboard_Live_Data!AR108</x:f>
        <x:v>-46.80000000000001</x:v>
      </x:c>
      <x:c r="D1824" t="n">
        <x:f>Dashboard_Live_Data!AS108</x:f>
        <x:v>445.93034998876044</x:v>
      </x:c>
      <x:c r="E1824" t="n">
        <x:f>Dashboard_Live_Data!AT108</x:f>
        <x:v>-93.60000000000002</x:v>
      </x:c>
      <x:c r="F1824" t="n">
        <x:f>Dashboard_Live_Data!AU108</x:f>
        <x:v>730.4506475657673</x:v>
      </x:c>
      <x:c r="G1824" t="n">
        <x:f>Dashboard_Live_Data!AV108</x:f>
        <x:v>-93.60000000000002</x:v>
      </x:c>
      <x:c r="H1824" t="n">
        <x:f>Dashboard_Live_Data!AW108</x:f>
        <x:v>702.144121054545</x:v>
      </x:c>
    </x:row>
    <x:row r="1825">
      <x:c r="A1825" t="n">
        <x:f>Dashboard_Live_Data!AP109</x:f>
        <x:v>-6.479999999999997</x:v>
      </x:c>
      <x:c r="B1825" t="n">
        <x:f>Dashboard_Live_Data!AQ109</x:f>
        <x:v>2672.8488768179254</x:v>
      </x:c>
      <x:c r="C1825" t="n">
        <x:f>Dashboard_Live_Data!AR109</x:f>
        <x:v>-43.19999999999999</x:v>
      </x:c>
      <x:c r="D1825" t="n">
        <x:f>Dashboard_Live_Data!AS109</x:f>
        <x:v>426.13145439102254</x:v>
      </x:c>
      <x:c r="E1825" t="n">
        <x:f>Dashboard_Live_Data!AT109</x:f>
        <x:v>-86.39999999999998</x:v>
      </x:c>
      <x:c r="F1825" t="n">
        <x:f>Dashboard_Live_Data!AU109</x:f>
        <x:v>682.0960655809658</x:v>
      </x:c>
      <x:c r="G1825" t="n">
        <x:f>Dashboard_Live_Data!AV109</x:f>
        <x:v>-86.39999999999998</x:v>
      </x:c>
      <x:c r="H1825" t="n">
        <x:f>Dashboard_Live_Data!AW109</x:f>
        <x:v>653.271654028491</x:v>
      </x:c>
    </x:row>
    <x:row r="1826">
      <x:c r="A1826" t="n">
        <x:f>Dashboard_Live_Data!AP110</x:f>
        <x:v>-6</x:v>
      </x:c>
      <x:c r="B1826" t="n">
        <x:f>Dashboard_Live_Data!AQ110</x:f>
        <x:v>2672.7173618544525</x:v>
      </x:c>
      <x:c r="C1826" t="n">
        <x:f>Dashboard_Live_Data!AR110</x:f>
        <x:v>-40</x:v>
      </x:c>
      <x:c r="D1826" t="n">
        <x:f>Dashboard_Live_Data!AS110</x:f>
        <x:v>409.0096923375385</x:v>
      </x:c>
      <x:c r="E1826" t="n">
        <x:f>Dashboard_Live_Data!AT110</x:f>
        <x:v>-80</x:v>
      </x:c>
      <x:c r="F1826" t="n">
        <x:f>Dashboard_Live_Data!AU110</x:f>
        <x:v>640.0475870733427</x:v>
      </x:c>
      <x:c r="G1826" t="n">
        <x:f>Dashboard_Live_Data!AV110</x:f>
        <x:v>-80</x:v>
      </x:c>
      <x:c r="H1826" t="n">
        <x:f>Dashboard_Live_Data!AW110</x:f>
        <x:v>610.5993837127407</x:v>
      </x:c>
    </x:row>
    <x:row r="1827">
      <x:c r="A1827" t="n">
        <x:f>Dashboard_Live_Data!AP111</x:f>
        <x:v>-5.519999999999996</x:v>
      </x:c>
      <x:c r="B1827" t="n">
        <x:f>Dashboard_Live_Data!AQ111</x:f>
        <x:v>2672.777044222336</x:v>
      </x:c>
      <x:c r="C1827" t="n">
        <x:f>Dashboard_Live_Data!AR111</x:f>
        <x:v>-36.80000000000001</x:v>
      </x:c>
      <x:c r="D1827" t="n">
        <x:f>Dashboard_Live_Data!AS111</x:f>
        <x:v>392.42990322520836</x:v>
      </x:c>
      <x:c r="E1827" t="n">
        <x:f>Dashboard_Live_Data!AT111</x:f>
        <x:v>-73.60000000000002</x:v>
      </x:c>
      <x:c r="F1827" t="n">
        <x:f>Dashboard_Live_Data!AU111</x:f>
        <x:v>599.066176193741</x:v>
      </x:c>
      <x:c r="G1827" t="n">
        <x:f>Dashboard_Live_Data!AV111</x:f>
        <x:v>-73.60000000000002</x:v>
      </x:c>
      <x:c r="H1827" t="n">
        <x:f>Dashboard_Live_Data!AW111</x:f>
        <x:v>568.797072806705</x:v>
      </x:c>
    </x:row>
    <x:row r="1828">
      <x:c r="A1828" t="n">
        <x:f>Dashboard_Live_Data!AP112</x:f>
        <x:v>-4.979999999999997</x:v>
      </x:c>
      <x:c r="B1828" t="n">
        <x:f>Dashboard_Live_Data!AQ112</x:f>
        <x:v>2672.720653805265</x:v>
      </x:c>
      <x:c r="C1828" t="n">
        <x:f>Dashboard_Live_Data!AR112</x:f>
        <x:v>-33.19999999999999</x:v>
      </x:c>
      <x:c r="D1828" t="n">
        <x:f>Dashboard_Live_Data!AS112</x:f>
        <x:v>374.5318753864321</x:v>
      </x:c>
      <x:c r="E1828" t="n">
        <x:f>Dashboard_Live_Data!AT112</x:f>
        <x:v>-66.39999999999998</x:v>
      </x:c>
      <x:c r="F1828" t="n">
        <x:f>Dashboard_Live_Data!AU112</x:f>
        <x:v>553.4978964465374</x:v>
      </x:c>
      <x:c r="G1828" t="n">
        <x:f>Dashboard_Live_Data!AV112</x:f>
        <x:v>-66.39999999999998</x:v>
      </x:c>
      <x:c r="H1828" t="n">
        <x:f>Dashboard_Live_Data!AW112</x:f>
        <x:v>522.2177364636578</x:v>
      </x:c>
    </x:row>
    <x:row r="1829">
      <x:c r="A1829" t="n">
        <x:f>Dashboard_Live_Data!AP113</x:f>
        <x:v>-4.5</x:v>
      </x:c>
      <x:c r="B1829" t="n">
        <x:f>Dashboard_Live_Data!AQ113</x:f>
        <x:v>2672.598639611109</x:v>
      </x:c>
      <x:c r="C1829" t="n">
        <x:f>Dashboard_Live_Data!AR113</x:f>
        <x:v>-30</x:v>
      </x:c>
      <x:c r="D1829" t="n">
        <x:f>Dashboard_Live_Data!AS113</x:f>
        <x:v>359.84961427998934</x:v>
      </x:c>
      <x:c r="E1829" t="n">
        <x:f>Dashboard_Live_Data!AT113</x:f>
        <x:v>-60</x:v>
      </x:c>
      <x:c r="F1829" t="n">
        <x:f>Dashboard_Live_Data!AU113</x:f>
        <x:v>514.9837762599814</x:v>
      </x:c>
      <x:c r="G1829" t="n">
        <x:f>Dashboard_Live_Data!AV113</x:f>
        <x:v>-60</x:v>
      </x:c>
      <x:c r="H1829" t="n">
        <x:f>Dashboard_Live_Data!AW113</x:f>
        <x:v>482.4244073104283</x:v>
      </x:c>
    </x:row>
    <x:row r="1830">
      <x:c r="A1830" t="n">
        <x:f>Dashboard_Live_Data!AP114</x:f>
        <x:v>-4.019999999999996</x:v>
      </x:c>
      <x:c r="B1830" t="n">
        <x:f>Dashboard_Live_Data!AQ114</x:f>
        <x:v>2672.6169862341135</x:v>
      </x:c>
      <x:c r="C1830" t="n">
        <x:f>Dashboard_Live_Data!AR114</x:f>
        <x:v>-26.799999999999955</x:v>
      </x:c>
      <x:c r="D1830" t="n">
        <x:f>Dashboard_Live_Data!AS114</x:f>
        <x:v>346.3884478023773</x:v>
      </x:c>
      <x:c r="E1830" t="n">
        <x:f>Dashboard_Live_Data!AT114</x:f>
        <x:v>-53.59999999999991</x:v>
      </x:c>
      <x:c r="F1830" t="n">
        <x:f>Dashboard_Live_Data!AU114</x:f>
        <x:v>477.1635303185421</x:v>
      </x:c>
      <x:c r="G1830" t="n">
        <x:f>Dashboard_Live_Data!AV114</x:f>
        <x:v>-53.59999999999991</x:v>
      </x:c>
      <x:c r="H1830" t="n">
        <x:f>Dashboard_Live_Data!AW114</x:f>
        <x:v>443.22219695033067</x:v>
      </x:c>
    </x:row>
    <x:row r="1831">
      <x:c r="A1831" t="n">
        <x:f>Dashboard_Live_Data!AP115</x:f>
        <x:v>-3.480000000000004</x:v>
      </x:c>
      <x:c r="B1831" t="n">
        <x:f>Dashboard_Live_Data!AQ115</x:f>
        <x:v>2672.460019122305</x:v>
      </x:c>
      <x:c r="C1831" t="n">
        <x:f>Dashboard_Live_Data!AR115</x:f>
        <x:v>-23.200000000000045</x:v>
      </x:c>
      <x:c r="D1831" t="n">
        <x:f>Dashboard_Live_Data!AS115</x:f>
        <x:v>332.3135990985811</x:v>
      </x:c>
      <x:c r="E1831" t="n">
        <x:f>Dashboard_Live_Data!AT115</x:f>
        <x:v>-46.40000000000009</x:v>
      </x:c>
      <x:c r="F1831" t="n">
        <x:f>Dashboard_Live_Data!AU115</x:f>
        <x:v>437.0157822838088</x:v>
      </x:c>
      <x:c r="G1831" t="n">
        <x:f>Dashboard_Live_Data!AV115</x:f>
        <x:v>-46.40000000000009</x:v>
      </x:c>
      <x:c r="H1831" t="n">
        <x:f>Dashboard_Live_Data!AW115</x:f>
        <x:v>401.113136863523</x:v>
      </x:c>
    </x:row>
    <x:row r="1832">
      <x:c r="A1832" t="n">
        <x:f>Dashboard_Live_Data!AP116</x:f>
        <x:v>-3</x:v>
      </x:c>
      <x:c r="B1832" t="n">
        <x:f>Dashboard_Live_Data!AQ116</x:f>
        <x:v>2672.4187092220745</x:v>
      </x:c>
      <x:c r="C1832" t="n">
        <x:f>Dashboard_Live_Data!AR116</x:f>
        <x:v>-20</x:v>
      </x:c>
      <x:c r="D1832" t="n">
        <x:f>Dashboard_Live_Data!AS116</x:f>
        <x:v>320.93709247243464</x:v>
      </x:c>
      <x:c r="E1832" t="n">
        <x:f>Dashboard_Live_Data!AT116</x:f>
        <x:v>-40</x:v>
      </x:c>
      <x:c r="F1832" t="n">
        <x:f>Dashboard_Live_Data!AU116</x:f>
        <x:v>403.78577502859594</x:v>
      </x:c>
      <x:c r="G1832" t="n">
        <x:f>Dashboard_Live_Data!AV116</x:f>
        <x:v>-40</x:v>
      </x:c>
      <x:c r="H1832" t="n">
        <x:f>Dashboard_Live_Data!AW116</x:f>
        <x:v>365.78076718889946</x:v>
      </x:c>
    </x:row>
    <x:row r="1833">
      <x:c r="A1833" t="n">
        <x:f>Dashboard_Live_Data!AP117</x:f>
        <x:v>-2.520000000000003</x:v>
      </x:c>
      <x:c r="B1833" t="n">
        <x:f>Dashboard_Live_Data!AQ117</x:f>
        <x:v>2672.3765444545224</x:v>
      </x:c>
      <x:c r="C1833" t="n">
        <x:f>Dashboard_Live_Data!AR117</x:f>
        <x:v>-16.80000000000001</x:v>
      </x:c>
      <x:c r="D1833" t="n">
        <x:f>Dashboard_Live_Data!AS117</x:f>
        <x:v>310.87780289071844</x:v>
      </x:c>
      <x:c r="E1833" t="n">
        <x:f>Dashboard_Live_Data!AT117</x:f>
        <x:v>-33.60000000000002</x:v>
      </x:c>
      <x:c r="F1833" t="n">
        <x:f>Dashboard_Live_Data!AU117</x:f>
        <x:v>372.5309517744891</x:v>
      </x:c>
      <x:c r="G1833" t="n">
        <x:f>Dashboard_Live_Data!AV117</x:f>
        <x:v>-33.60000000000002</x:v>
      </x:c>
      <x:c r="H1833" t="n">
        <x:f>Dashboard_Live_Data!AW117</x:f>
        <x:v>332.263191455232</x:v>
      </x:c>
    </x:row>
    <x:row r="1834">
      <x:c r="A1834" t="n">
        <x:f>Dashboard_Live_Data!AP118</x:f>
        <x:v>-1.980000000000004</x:v>
      </x:c>
      <x:c r="B1834" t="n">
        <x:f>Dashboard_Live_Data!AQ118</x:f>
        <x:v>2672.284988766312</x:v>
      </x:c>
      <x:c r="C1834" t="n">
        <x:f>Dashboard_Live_Data!AR118</x:f>
        <x:v>-13.199999999999989</x:v>
      </x:c>
      <x:c r="D1834" t="n">
        <x:f>Dashboard_Live_Data!AS118</x:f>
        <x:v>301.3571579191976</x:v>
      </x:c>
      <x:c r="E1834" t="n">
        <x:f>Dashboard_Live_Data!AT118</x:f>
        <x:v>-26.399999999999977</x:v>
      </x:c>
      <x:c r="F1834" t="n">
        <x:f>Dashboard_Live_Data!AU118</x:f>
        <x:v>342.2544609165582</x:v>
      </x:c>
      <x:c r="G1834" t="n">
        <x:f>Dashboard_Live_Data!AV118</x:f>
        <x:v>-26.399999999999977</x:v>
      </x:c>
      <x:c r="H1834" t="n">
        <x:f>Dashboard_Live_Data!AW118</x:f>
        <x:v>298.9985244554888</x:v>
      </x:c>
    </x:row>
    <x:row r="1835">
      <x:c r="A1835" t="n">
        <x:f>Dashboard_Live_Data!AP119</x:f>
        <x:v>-1.5</x:v>
      </x:c>
      <x:c r="B1835" t="n">
        <x:f>Dashboard_Live_Data!AQ119</x:f>
        <x:v>2672.22526340349</x:v>
      </x:c>
      <x:c r="C1835" t="n">
        <x:f>Dashboard_Live_Data!AR119</x:f>
        <x:v>-10</x:v>
      </x:c>
      <x:c r="D1835" t="n">
        <x:f>Dashboard_Live_Data!AS119</x:f>
        <x:v>294.56495100596084</x:v>
      </x:c>
      <x:c r="E1835" t="n">
        <x:f>Dashboard_Live_Data!AT119</x:f>
        <x:v>-20</x:v>
      </x:c>
      <x:c r="F1835" t="n">
        <x:f>Dashboard_Live_Data!AU119</x:f>
        <x:v>319.39972411695146</x:v>
      </x:c>
      <x:c r="G1835" t="n">
        <x:f>Dashboard_Live_Data!AV119</x:f>
        <x:v>-20</x:v>
      </x:c>
      <x:c r="H1835" t="n">
        <x:f>Dashboard_Live_Data!AW119</x:f>
        <x:v>273.4933998987209</x:v>
      </x:c>
    </x:row>
    <x:row r="1836">
      <x:c r="A1836" t="n">
        <x:f>Dashboard_Live_Data!AP120</x:f>
        <x:v>-1.0200000000000031</x:v>
      </x:c>
      <x:c r="B1836" t="n">
        <x:f>Dashboard_Live_Data!AQ120</x:f>
        <x:v>2672.0265961152877</x:v>
      </x:c>
      <x:c r="C1836" t="n">
        <x:f>Dashboard_Live_Data!AR120</x:f>
        <x:v>-6.800000000000011</x:v>
      </x:c>
      <x:c r="D1836" t="n">
        <x:f>Dashboard_Live_Data!AS120</x:f>
        <x:v>289.8283648752175</x:v>
      </x:c>
      <x:c r="E1836" t="n">
        <x:f>Dashboard_Live_Data!AT120</x:f>
        <x:v>-13.600000000000023</x:v>
      </x:c>
      <x:c r="F1836" t="n">
        <x:f>Dashboard_Live_Data!AU120</x:f>
        <x:v>301.59997247160845</x:v>
      </x:c>
      <x:c r="G1836" t="n">
        <x:f>Dashboard_Live_Data!AV120</x:f>
        <x:v>-13.600000000000023</x:v>
      </x:c>
      <x:c r="H1836" t="n">
        <x:f>Dashboard_Live_Data!AW120</x:f>
        <x:v>253.29273098341292</x:v>
      </x:c>
    </x:row>
    <x:row r="1837">
      <x:c r="A1837" t="n">
        <x:f>Dashboard_Live_Data!AP121</x:f>
        <x:v>-0.480000000000004</x:v>
      </x:c>
      <x:c r="B1837" t="n">
        <x:f>Dashboard_Live_Data!AQ121</x:f>
        <x:v>2671.9704462755117</x:v>
      </x:c>
      <x:c r="C1837" t="n">
        <x:f>Dashboard_Live_Data!AR121</x:f>
        <x:v>-3.1999999999999886</x:v>
      </x:c>
      <x:c r="D1837" t="n">
        <x:f>Dashboard_Live_Data!AS121</x:f>
        <x:v>286.6768082586119</x:v>
      </x:c>
      <x:c r="E1837" t="n">
        <x:f>Dashboard_Live_Data!AT121</x:f>
        <x:v>-6.399999999999977</x:v>
      </x:c>
      <x:c r="F1837" t="n">
        <x:f>Dashboard_Live_Data!AU121</x:f>
        <x:v>289.2412791527174</x:v>
      </x:c>
      <x:c r="G1837" t="n">
        <x:f>Dashboard_Live_Data!AV121</x:f>
        <x:v>-6.399999999999977</x:v>
      </x:c>
      <x:c r="H1837" t="n">
        <x:f>Dashboard_Live_Data!AW121</x:f>
        <x:v>238.96678499620614</x:v>
      </x:c>
    </x:row>
    <x:row r="1838">
      <x:c r="A1838" t="n">
        <x:f>Dashboard_Live_Data!AP122</x:f>
        <x:v>0</x:v>
      </x:c>
      <x:c r="B1838" t="n">
        <x:f>Dashboard_Live_Data!AQ122</x:f>
        <x:v>2671.8569109380314</x:v>
      </x:c>
      <x:c r="C1838" t="n">
        <x:f>Dashboard_Live_Data!AR122</x:f>
        <x:v>0</x:v>
      </x:c>
      <x:c r="D1838" t="n">
        <x:f>Dashboard_Live_Data!AS122</x:f>
        <x:v>285.44962589236945</x:v>
      </x:c>
      <x:c r="E1838" t="n">
        <x:f>Dashboard_Live_Data!AT122</x:f>
        <x:v>0</x:v>
      </x:c>
      <x:c r="F1838" t="n">
        <x:f>Dashboard_Live_Data!AU122</x:f>
        <x:v>285.44962589236945</x:v>
      </x:c>
      <x:c r="G1838" t="n">
        <x:f>Dashboard_Live_Data!AV122</x:f>
        <x:v>0</x:v>
      </x:c>
      <x:c r="H1838" t="n">
        <x:f>Dashboard_Live_Data!AW122</x:f>
        <x:v>234.57893136334926</x:v>
      </x:c>
    </x:row>
    <x:row r="1839">
      <x:c r="A1839" t="n">
        <x:f>Dashboard_Live_Data!AP123</x:f>
        <x:v>0.480000000000004</x:v>
      </x:c>
      <x:c r="B1839" t="n">
        <x:f>Dashboard_Live_Data!AQ123</x:f>
        <x:v>2671.734762465316</x:v>
      </x:c>
      <x:c r="C1839" t="n">
        <x:f>Dashboard_Live_Data!AR123</x:f>
        <x:v>3.1999999999999886</x:v>
      </x:c>
      <x:c r="D1839" t="n">
        <x:f>Dashboard_Live_Data!AS123</x:f>
        <x:v>285.94379017860734</x:v>
      </x:c>
      <x:c r="E1839" t="n">
        <x:f>Dashboard_Live_Data!AT123</x:f>
        <x:v>6.399999999999977</x:v>
      </x:c>
      <x:c r="F1839" t="n">
        <x:f>Dashboard_Live_Data!AU123</x:f>
        <x:v>288.7955768368026</x:v>
      </x:c>
      <x:c r="G1839" t="n">
        <x:f>Dashboard_Live_Data!AV123</x:f>
        <x:v>6.399999999999977</x:v>
      </x:c>
      <x:c r="H1839" t="n">
        <x:f>Dashboard_Live_Data!AW123</x:f>
        <x:v>238.58427038631453</x:v>
      </x:c>
    </x:row>
    <x:row r="1840">
      <x:c r="A1840" t="n">
        <x:f>Dashboard_Live_Data!AP124</x:f>
        <x:v>1.019999999999996</x:v>
      </x:c>
      <x:c r="B1840" t="n">
        <x:f>Dashboard_Live_Data!AQ124</x:f>
        <x:v>2671.6247904009706</x:v>
      </x:c>
      <x:c r="C1840" t="n">
        <x:f>Dashboard_Live_Data!AR124</x:f>
        <x:v>6.7999999999999545</x:v>
      </x:c>
      <x:c r="D1840" t="n">
        <x:f>Dashboard_Live_Data!AS124</x:f>
        <x:v>289.50463278641934</x:v>
      </x:c>
      <x:c r="E1840" t="n">
        <x:f>Dashboard_Live_Data!AT124</x:f>
        <x:v>13.599999999999909</x:v>
      </x:c>
      <x:c r="F1840" t="n">
        <x:f>Dashboard_Live_Data!AU124</x:f>
        <x:v>301.63298762212946</x:v>
      </x:c>
      <x:c r="G1840" t="n">
        <x:f>Dashboard_Live_Data!AV124</x:f>
        <x:v>13.599999999999909</x:v>
      </x:c>
      <x:c r="H1840" t="n">
        <x:f>Dashboard_Live_Data!AW124</x:f>
        <x:v>253.320686057891</x:v>
      </x:c>
    </x:row>
    <x:row r="1841">
      <x:c r="A1841" t="n">
        <x:f>Dashboard_Live_Data!AP125</x:f>
        <x:v>1.499999999999993</x:v>
      </x:c>
      <x:c r="B1841" t="n">
        <x:f>Dashboard_Live_Data!AQ125</x:f>
        <x:v>2671.654913496507</x:v>
      </x:c>
      <x:c r="C1841" t="n">
        <x:f>Dashboard_Live_Data!AR125</x:f>
        <x:v>9.999999999999943</x:v>
      </x:c>
      <x:c r="D1841" t="n">
        <x:f>Dashboard_Live_Data!AS125</x:f>
        <x:v>294.65525229787505</x:v>
      </x:c>
      <x:c r="E1841" t="n">
        <x:f>Dashboard_Live_Data!AT125</x:f>
        <x:v>19.999999999999886</x:v>
      </x:c>
      <x:c r="F1841" t="n">
        <x:f>Dashboard_Live_Data!AU125</x:f>
        <x:v>318.9091927078766</x:v>
      </x:c>
      <x:c r="G1841" t="n">
        <x:f>Dashboard_Live_Data!AV125</x:f>
        <x:v>19.999999999999886</x:v>
      </x:c>
      <x:c r="H1841" t="n">
        <x:f>Dashboard_Live_Data!AW125</x:f>
        <x:v>273.0846489801912</x:v>
      </x:c>
    </x:row>
    <x:row r="1842">
      <x:c r="A1842" t="n">
        <x:f>Dashboard_Live_Data!AP126</x:f>
        <x:v>1.9799999999999969</x:v>
      </x:c>
      <x:c r="B1842" t="n">
        <x:f>Dashboard_Live_Data!AQ126</x:f>
        <x:v>2671.55448128243</x:v>
      </x:c>
      <x:c r="C1842" t="n">
        <x:f>Dashboard_Live_Data!AR126</x:f>
        <x:v>13.199999999999989</x:v>
      </x:c>
      <x:c r="D1842" t="n">
        <x:f>Dashboard_Live_Data!AS126</x:f>
        <x:v>301.38085055997664</x:v>
      </x:c>
      <x:c r="E1842" t="n">
        <x:f>Dashboard_Live_Data!AT126</x:f>
        <x:v>26.399999999999977</x:v>
      </x:c>
      <x:c r="F1842" t="n">
        <x:f>Dashboard_Live_Data!AU126</x:f>
        <x:v>341.8770920620382</x:v>
      </x:c>
      <x:c r="G1842" t="n">
        <x:f>Dashboard_Live_Data!AV126</x:f>
        <x:v>26.399999999999977</x:v>
      </x:c>
      <x:c r="H1842" t="n">
        <x:f>Dashboard_Live_Data!AW126</x:f>
        <x:v>298.68879997180886</x:v>
      </x:c>
    </x:row>
    <x:row r="1843">
      <x:c r="A1843" t="n">
        <x:f>Dashboard_Live_Data!AP127</x:f>
        <x:v>2.520000000000003</x:v>
      </x:c>
      <x:c r="B1843" t="n">
        <x:f>Dashboard_Live_Data!AQ127</x:f>
        <x:v>2671.5552629166887</x:v>
      </x:c>
      <x:c r="C1843" t="n">
        <x:f>Dashboard_Live_Data!AR127</x:f>
        <x:v>16.80000000000001</x:v>
      </x:c>
      <x:c r="D1843" t="n">
        <x:f>Dashboard_Live_Data!AS127</x:f>
        <x:v>310.74079426450356</x:v>
      </x:c>
      <x:c r="E1843" t="n">
        <x:f>Dashboard_Live_Data!AT127</x:f>
        <x:v>33.60000000000002</x:v>
      </x:c>
      <x:c r="F1843" t="n">
        <x:f>Dashboard_Live_Data!AU127</x:f>
        <x:v>372.99975846273446</x:v>
      </x:c>
      <x:c r="G1843" t="n">
        <x:f>Dashboard_Live_Data!AV127</x:f>
        <x:v>33.60000000000002</x:v>
      </x:c>
      <x:c r="H1843" t="n">
        <x:f>Dashboard_Live_Data!AW127</x:f>
        <x:v>332.64252675411603</x:v>
      </x:c>
    </x:row>
    <x:row r="1844">
      <x:c r="A1844" t="n">
        <x:f>Dashboard_Live_Data!AP128</x:f>
        <x:v>3</x:v>
      </x:c>
      <x:c r="B1844" t="n">
        <x:f>Dashboard_Live_Data!AQ128</x:f>
        <x:v>2671.6426309227986</x:v>
      </x:c>
      <x:c r="C1844" t="n">
        <x:f>Dashboard_Live_Data!AR128</x:f>
        <x:v>20</x:v>
      </x:c>
      <x:c r="D1844" t="n">
        <x:f>Dashboard_Live_Data!AS128</x:f>
        <x:v>320.44458185581664</x:v>
      </x:c>
      <x:c r="E1844" t="n">
        <x:f>Dashboard_Live_Data!AT128</x:f>
        <x:v>40</x:v>
      </x:c>
      <x:c r="F1844" t="n">
        <x:f>Dashboard_Live_Data!AU128</x:f>
        <x:v>403.35525783550514</x:v>
      </x:c>
      <x:c r="G1844" t="n">
        <x:f>Dashboard_Live_Data!AV128</x:f>
        <x:v>40</x:v>
      </x:c>
      <x:c r="H1844" t="n">
        <x:f>Dashboard_Live_Data!AW128</x:f>
        <x:v>365.43560445237125</x:v>
      </x:c>
    </x:row>
    <x:row r="1845">
      <x:c r="A1845" t="n">
        <x:f>Dashboard_Live_Data!AP129</x:f>
        <x:v>3.480000000000004</x:v>
      </x:c>
      <x:c r="B1845" t="n">
        <x:f>Dashboard_Live_Data!AQ129</x:f>
        <x:v>2671.5287542409565</x:v>
      </x:c>
      <x:c r="C1845" t="n">
        <x:f>Dashboard_Live_Data!AR129</x:f>
        <x:v>23.200000000000045</x:v>
      </x:c>
      <x:c r="D1845" t="n">
        <x:f>Dashboard_Live_Data!AS129</x:f>
        <x:v>331.6458641659622</x:v>
      </x:c>
      <x:c r="E1845" t="n">
        <x:f>Dashboard_Live_Data!AT129</x:f>
        <x:v>46.40000000000009</x:v>
      </x:c>
      <x:c r="F1845" t="n">
        <x:f>Dashboard_Live_Data!AU129</x:f>
        <x:v>437.3422960859125</x:v>
      </x:c>
      <x:c r="G1845" t="n">
        <x:f>Dashboard_Live_Data!AV129</x:f>
        <x:v>46.40000000000009</x:v>
      </x:c>
      <x:c r="H1845" t="n">
        <x:f>Dashboard_Live_Data!AW129</x:f>
        <x:v>401.37349365440116</x:v>
      </x:c>
    </x:row>
    <x:row r="1846">
      <x:c r="A1846" t="n">
        <x:f>Dashboard_Live_Data!AP130</x:f>
        <x:v>4.019999999999996</x:v>
      </x:c>
      <x:c r="B1846" t="n">
        <x:f>Dashboard_Live_Data!AQ130</x:f>
        <x:v>2671.7164768981124</x:v>
      </x:c>
      <x:c r="C1846" t="n">
        <x:f>Dashboard_Live_Data!AR130</x:f>
        <x:v>26.799999999999955</x:v>
      </x:c>
      <x:c r="D1846" t="n">
        <x:f>Dashboard_Live_Data!AS130</x:f>
        <x:v>346.1259254691169</x:v>
      </x:c>
      <x:c r="E1846" t="n">
        <x:f>Dashboard_Live_Data!AT130</x:f>
        <x:v>53.59999999999991</x:v>
      </x:c>
      <x:c r="F1846" t="n">
        <x:f>Dashboard_Live_Data!AU130</x:f>
        <x:v>477.3110002130046</x:v>
      </x:c>
      <x:c r="G1846" t="n">
        <x:f>Dashboard_Live_Data!AV130</x:f>
        <x:v>53.59999999999991</x:v>
      </x:c>
      <x:c r="H1846" t="n">
        <x:f>Dashboard_Live_Data!AW130</x:f>
        <x:v>443.33938132861306</x:v>
      </x:c>
    </x:row>
    <x:row r="1847">
      <x:c r="A1847" t="n">
        <x:f>Dashboard_Live_Data!AP131</x:f>
        <x:v>4.5</x:v>
      </x:c>
      <x:c r="B1847" t="n">
        <x:f>Dashboard_Live_Data!AQ131</x:f>
        <x:v>2671.6321310975477</x:v>
      </x:c>
      <x:c r="C1847" t="n">
        <x:f>Dashboard_Live_Data!AR131</x:f>
        <x:v>30</x:v>
      </x:c>
      <x:c r="D1847" t="n">
        <x:f>Dashboard_Live_Data!AS131</x:f>
        <x:v>360.2018669174499</x:v>
      </x:c>
      <x:c r="E1847" t="n">
        <x:f>Dashboard_Live_Data!AT131</x:f>
        <x:v>60</x:v>
      </x:c>
      <x:c r="F1847" t="n">
        <x:f>Dashboard_Live_Data!AU131</x:f>
        <x:v>514.7823373735504</x:v>
      </x:c>
      <x:c r="G1847" t="n">
        <x:f>Dashboard_Live_Data!AV131</x:f>
        <x:v>60</x:v>
      </x:c>
      <x:c r="H1847" t="n">
        <x:f>Dashboard_Live_Data!AW131</x:f>
        <x:v>482.26431149858644</x:v>
      </x:c>
    </x:row>
    <x:row r="1848">
      <x:c r="A1848" t="n">
        <x:f>Dashboard_Live_Data!AP132</x:f>
        <x:v>4.980000000000004</x:v>
      </x:c>
      <x:c r="B1848" t="n">
        <x:f>Dashboard_Live_Data!AQ132</x:f>
        <x:v>2671.7859679590338</x:v>
      </x:c>
      <x:c r="C1848" t="n">
        <x:f>Dashboard_Live_Data!AR132</x:f>
        <x:v>33.19999999999999</x:v>
      </x:c>
      <x:c r="D1848" t="n">
        <x:f>Dashboard_Live_Data!AS132</x:f>
        <x:v>374.979174132014</x:v>
      </x:c>
      <x:c r="E1848" t="n">
        <x:f>Dashboard_Live_Data!AT132</x:f>
        <x:v>66.39999999999998</x:v>
      </x:c>
      <x:c r="F1848" t="n">
        <x:f>Dashboard_Live_Data!AU132</x:f>
        <x:v>553.9006055367959</x:v>
      </x:c>
      <x:c r="G1848" t="n">
        <x:f>Dashboard_Live_Data!AV132</x:f>
        <x:v>66.39999999999998</x:v>
      </x:c>
      <x:c r="H1848" t="n">
        <x:f>Dashboard_Live_Data!AW132</x:f>
        <x:v>522.5382572248163</x:v>
      </x:c>
    </x:row>
    <x:row r="1849">
      <x:c r="A1849" t="n">
        <x:f>Dashboard_Live_Data!AP133</x:f>
        <x:v>5.52000000000001</x:v>
      </x:c>
      <x:c r="B1849" t="n">
        <x:f>Dashboard_Live_Data!AQ133</x:f>
        <x:v>2672.0025883219796</x:v>
      </x:c>
      <x:c r="C1849" t="n">
        <x:f>Dashboard_Live_Data!AR133</x:f>
        <x:v>36.80000000000001</x:v>
      </x:c>
      <x:c r="D1849" t="n">
        <x:f>Dashboard_Live_Data!AS133</x:f>
        <x:v>392.2776829264379</x:v>
      </x:c>
      <x:c r="E1849" t="n">
        <x:f>Dashboard_Live_Data!AT133</x:f>
        <x:v>73.60000000000002</x:v>
      </x:c>
      <x:c r="F1849" t="n">
        <x:f>Dashboard_Live_Data!AU133</x:f>
        <x:v>598.7767662365345</x:v>
      </x:c>
      <x:c r="G1849" t="n">
        <x:f>Dashboard_Live_Data!AV133</x:f>
        <x:v>73.60000000000002</x:v>
      </x:c>
      <x:c r="H1849" t="n">
        <x:f>Dashboard_Live_Data!AW133</x:f>
        <x:v>568.565823552878</x:v>
      </x:c>
    </x:row>
    <x:row r="1850">
      <x:c r="A1850" t="n">
        <x:f>Dashboard_Live_Data!AP134</x:f>
        <x:v>6</x:v>
      </x:c>
      <x:c r="B1850" t="n">
        <x:f>Dashboard_Live_Data!AQ134</x:f>
        <x:v>2672.145907617792</x:v>
      </x:c>
      <x:c r="C1850" t="n">
        <x:f>Dashboard_Live_Data!AR134</x:f>
        <x:v>40.00000000000006</x:v>
      </x:c>
      <x:c r="D1850" t="n">
        <x:f>Dashboard_Live_Data!AS134</x:f>
        <x:v>408.57024154816395</x:v>
      </x:c>
      <x:c r="E1850" t="n">
        <x:f>Dashboard_Live_Data!AT134</x:f>
        <x:v>80.00000000000011</x:v>
      </x:c>
      <x:c r="F1850" t="n">
        <x:f>Dashboard_Live_Data!AU134</x:f>
        <x:v>640.0379285550378</x:v>
      </x:c>
      <x:c r="G1850" t="n">
        <x:f>Dashboard_Live_Data!AV134</x:f>
        <x:v>80.00000000000011</x:v>
      </x:c>
      <x:c r="H1850" t="n">
        <x:f>Dashboard_Live_Data!AW134</x:f>
        <x:v>610.5916323677442</x:v>
      </x:c>
    </x:row>
    <x:row r="1851">
      <x:c r="A1851" t="n">
        <x:f>Dashboard_Live_Data!AP135</x:f>
        <x:v>6.480000000000004</x:v>
      </x:c>
      <x:c r="B1851" t="n">
        <x:f>Dashboard_Live_Data!AQ135</x:f>
        <x:v>2672.262088376571</x:v>
      </x:c>
      <x:c r="C1851" t="n">
        <x:f>Dashboard_Live_Data!AR135</x:f>
        <x:v>43.200000000000045</x:v>
      </x:c>
      <x:c r="D1851" t="n">
        <x:f>Dashboard_Live_Data!AS135</x:f>
        <x:v>425.93971816821346</x:v>
      </x:c>
      <x:c r="E1851" t="n">
        <x:f>Dashboard_Live_Data!AT135</x:f>
        <x:v>86.40000000000009</x:v>
      </x:c>
      <x:c r="F1851" t="n">
        <x:f>Dashboard_Live_Data!AU135</x:f>
        <x:v>682.1647345655422</x:v>
      </x:c>
      <x:c r="G1851" t="n">
        <x:f>Dashboard_Live_Data!AV135</x:f>
        <x:v>86.40000000000009</x:v>
      </x:c>
      <x:c r="H1851" t="n">
        <x:f>Dashboard_Live_Data!AW135</x:f>
        <x:v>653.3270706754272</x:v>
      </x:c>
    </x:row>
    <x:row r="1852">
      <x:c r="A1852" t="n">
        <x:f>Dashboard_Live_Data!AP136</x:f>
        <x:v>7.019999999999996</x:v>
      </x:c>
      <x:c r="B1852" t="n">
        <x:f>Dashboard_Live_Data!AQ136</x:f>
        <x:v>2672.4787069540553</x:v>
      </x:c>
      <x:c r="C1852" t="n">
        <x:f>Dashboard_Live_Data!AR136</x:f>
        <x:v>46.80000000000001</x:v>
      </x:c>
      <x:c r="D1852" t="n">
        <x:f>Dashboard_Live_Data!AS136</x:f>
        <x:v>446.3421213823275</x:v>
      </x:c>
      <x:c r="E1852" t="n">
        <x:f>Dashboard_Live_Data!AT136</x:f>
        <x:v>93.60000000000002</x:v>
      </x:c>
      <x:c r="F1852" t="n">
        <x:f>Dashboard_Live_Data!AU136</x:f>
        <x:v>730.1679277696081</x:v>
      </x:c>
      <x:c r="G1852" t="n">
        <x:f>Dashboard_Live_Data!AV136</x:f>
        <x:v>93.60000000000002</x:v>
      </x:c>
      <x:c r="H1852" t="n">
        <x:f>Dashboard_Live_Data!AW136</x:f>
        <x:v>701.9144007435814</x:v>
      </x:c>
    </x:row>
    <x:row r="1853">
      <x:c r="A1853" t="n">
        <x:f>Dashboard_Live_Data!AP137</x:f>
        <x:v>7.5</x:v>
      </x:c>
      <x:c r="B1853" t="n">
        <x:f>Dashboard_Live_Data!AQ137</x:f>
        <x:v>2672.7084579796765</x:v>
      </x:c>
      <x:c r="C1853" t="n">
        <x:f>Dashboard_Live_Data!AR137</x:f>
        <x:v>50</x:v>
      </x:c>
      <x:c r="D1853" t="n">
        <x:f>Dashboard_Live_Data!AS137</x:f>
        <x:v>464.7813525203341</x:v>
      </x:c>
      <x:c r="E1853" t="n">
        <x:f>Dashboard_Live_Data!AT137</x:f>
        <x:v>100</x:v>
      </x:c>
      <x:c r="F1853" t="n">
        <x:f>Dashboard_Live_Data!AU137</x:f>
        <x:v>773.8737899853746</x:v>
      </x:c>
      <x:c r="G1853" t="n">
        <x:f>Dashboard_Live_Data!AV137</x:f>
        <x:v>100</x:v>
      </x:c>
      <x:c r="H1853" t="n">
        <x:f>Dashboard_Live_Data!AW137</x:f>
        <x:v>745.9627344688287</x:v>
      </x:c>
    </x:row>
    <x:row r="1854">
      <x:c r="A1854" t="n">
        <x:f>Dashboard_Live_Data!AP138</x:f>
        <x:v>7.980000000000004</x:v>
      </x:c>
      <x:c r="B1854" t="n">
        <x:f>Dashboard_Live_Data!AQ138</x:f>
        <x:v>2672.811129833762</x:v>
      </x:c>
      <x:c r="C1854" t="n">
        <x:f>Dashboard_Live_Data!AR138</x:f>
        <x:v>53.19999999999999</x:v>
      </x:c>
      <x:c r="D1854" t="n">
        <x:f>Dashboard_Live_Data!AS138</x:f>
        <x:v>483.4361058635791</x:v>
      </x:c>
      <x:c r="E1854" t="n">
        <x:f>Dashboard_Live_Data!AT138</x:f>
        <x:v>106.39999999999998</x:v>
      </x:c>
      <x:c r="F1854" t="n">
        <x:f>Dashboard_Live_Data!AU138</x:f>
        <x:v>818.2319444740547</x:v>
      </x:c>
      <x:c r="G1854" t="n">
        <x:f>Dashboard_Live_Data!AV138</x:f>
        <x:v>106.39999999999998</x:v>
      </x:c>
      <x:c r="H1854" t="n">
        <x:f>Dashboard_Live_Data!AW138</x:f>
        <x:v>790.5661176236786</x:v>
      </x:c>
    </x:row>
    <x:row r="1855">
      <x:c r="A1855" t="n">
        <x:f>Dashboard_Live_Data!AP139</x:f>
        <x:v>8.519999999999996</x:v>
      </x:c>
      <x:c r="B1855" t="n">
        <x:f>Dashboard_Live_Data!AQ139</x:f>
        <x:v>2673.0186412762982</x:v>
      </x:c>
      <x:c r="C1855" t="n">
        <x:f>Dashboard_Live_Data!AR139</x:f>
        <x:v>56.799999999999955</x:v>
      </x:c>
      <x:c r="D1855" t="n">
        <x:f>Dashboard_Live_Data!AS139</x:f>
        <x:v>505.1728402834789</x:v>
      </x:c>
      <x:c r="E1855" t="n">
        <x:f>Dashboard_Live_Data!AT139</x:f>
        <x:v>113.59999999999991</x:v>
      </x:c>
      <x:c r="F1855" t="n">
        <x:f>Dashboard_Live_Data!AU139</x:f>
        <x:v>868.33044410973</x:v>
      </x:c>
      <x:c r="G1855" t="n">
        <x:f>Dashboard_Live_Data!AV139</x:f>
        <x:v>113.59999999999991</x:v>
      </x:c>
      <x:c r="H1855" t="n">
        <x:f>Dashboard_Live_Data!AW139</x:f>
        <x:v>840.9326078964309</x:v>
      </x:c>
    </x:row>
    <x:row r="1856">
      <x:c r="A1856" t="n">
        <x:f>Dashboard_Live_Data!AP140</x:f>
        <x:v>9</x:v>
      </x:c>
      <x:c r="B1856" t="n">
        <x:f>Dashboard_Live_Data!AQ140</x:f>
        <x:v>2673.298433729452</x:v>
      </x:c>
      <x:c r="C1856" t="n">
        <x:f>Dashboard_Live_Data!AR140</x:f>
        <x:v>59.99999999999994</x:v>
      </x:c>
      <x:c r="D1856" t="n">
        <x:f>Dashboard_Live_Data!AS140</x:f>
        <x:v>525.0301956551476</x:v>
      </x:c>
      <x:c r="E1856" t="n">
        <x:f>Dashboard_Live_Data!AT140</x:f>
        <x:v>119.99999999999989</x:v>
      </x:c>
      <x:c r="F1856" t="n">
        <x:f>Dashboard_Live_Data!AU140</x:f>
        <x:v>914.0428007371116</x:v>
      </x:c>
      <x:c r="G1856" t="n">
        <x:f>Dashboard_Live_Data!AV140</x:f>
        <x:v>119.99999999999989</x:v>
      </x:c>
      <x:c r="H1856" t="n">
        <x:f>Dashboard_Live_Data!AW140</x:f>
        <x:v>886.7103694425493</x:v>
      </x:c>
    </x:row>
    <x:row r="1857">
      <x:c r="A1857" t="n">
        <x:f>Dashboard_Live_Data!AP141</x:f>
        <x:v>9.47999999999999</x:v>
      </x:c>
      <x:c r="B1857" t="n">
        <x:f>Dashboard_Live_Data!AQ141</x:f>
        <x:v>2673.5257336157</x:v>
      </x:c>
      <x:c r="C1857" t="n">
        <x:f>Dashboard_Live_Data!AR141</x:f>
        <x:v>63.19999999999999</x:v>
      </x:c>
      <x:c r="D1857" t="n">
        <x:f>Dashboard_Live_Data!AS141</x:f>
        <x:v>545.294526979861</x:v>
      </x:c>
      <x:c r="E1857" t="n">
        <x:f>Dashboard_Live_Data!AT141</x:f>
        <x:v>126.39999999999998</x:v>
      </x:c>
      <x:c r="F1857" t="n">
        <x:f>Dashboard_Live_Data!AU141</x:f>
        <x:v>959.7681106792701</x:v>
      </x:c>
      <x:c r="G1857" t="n">
        <x:f>Dashboard_Live_Data!AV141</x:f>
        <x:v>126.39999999999998</x:v>
      </x:c>
      <x:c r="H1857" t="n">
        <x:f>Dashboard_Live_Data!AW141</x:f>
        <x:v>932.5288448805254</x:v>
      </x:c>
    </x:row>
    <x:row r="1858">
      <x:c r="A1858" t="n">
        <x:f>Dashboard_Live_Data!AP142</x:f>
        <x:v>10.019999999999996</x:v>
      </x:c>
      <x:c r="B1858" t="n">
        <x:f>Dashboard_Live_Data!AQ142</x:f>
        <x:v>2673.882119678937</x:v>
      </x:c>
      <x:c r="C1858" t="n">
        <x:f>Dashboard_Live_Data!AR142</x:f>
        <x:v>66.80000000000001</x:v>
      </x:c>
      <x:c r="D1858" t="n">
        <x:f>Dashboard_Live_Data!AS142</x:f>
        <x:v>568.6160000022179</x:v>
      </x:c>
      <x:c r="E1858" t="n">
        <x:f>Dashboard_Live_Data!AT142</x:f>
        <x:v>133.60000000000002</x:v>
      </x:c>
      <x:c r="F1858" t="n">
        <x:f>Dashboard_Live_Data!AU142</x:f>
        <x:v>1011.9614443866486</x:v>
      </x:c>
      <x:c r="G1858" t="n">
        <x:f>Dashboard_Live_Data!AV142</x:f>
        <x:v>133.60000000000002</x:v>
      </x:c>
      <x:c r="H1858" t="n">
        <x:f>Dashboard_Live_Data!AW142</x:f>
        <x:v>984.7447767945712</x:v>
      </x:c>
    </x:row>
    <x:row r="1859">
      <x:c r="A1859" t="n">
        <x:f>Dashboard_Live_Data!AP143</x:f>
        <x:v>10.5</x:v>
      </x:c>
      <x:c r="B1859" t="n">
        <x:f>Dashboard_Live_Data!AQ143</x:f>
        <x:v>2674.108450593098</x:v>
      </x:c>
      <x:c r="C1859" t="n">
        <x:f>Dashboard_Live_Data!AR143</x:f>
        <x:v>70</x:v>
      </x:c>
      <x:c r="D1859" t="n">
        <x:f>Dashboard_Live_Data!AS143</x:f>
        <x:v>589.5950730129001</x:v>
      </x:c>
      <x:c r="E1859" t="n">
        <x:f>Dashboard_Live_Data!AT143</x:f>
        <x:v>140</x:v>
      </x:c>
      <x:c r="F1859" t="n">
        <x:f>Dashboard_Live_Data!AU143</x:f>
        <x:v>1059.1278356854446</x:v>
      </x:c>
      <x:c r="G1859" t="n">
        <x:f>Dashboard_Live_Data!AV143</x:f>
        <x:v>140</x:v>
      </x:c>
      <x:c r="H1859" t="n">
        <x:f>Dashboard_Live_Data!AW143</x:f>
        <x:v>1031.851625789072</x:v>
      </x:c>
    </x:row>
    <x:row r="1860">
      <x:c r="A1860" t="n">
        <x:f>Dashboard_Live_Data!AP144</x:f>
        <x:v>10.980000000000004</x:v>
      </x:c>
      <x:c r="B1860" t="n">
        <x:f>Dashboard_Live_Data!AQ144</x:f>
        <x:v>2674.284219824957</x:v>
      </x:c>
      <x:c r="C1860" t="n">
        <x:f>Dashboard_Live_Data!AR144</x:f>
        <x:v>73.20000000000005</x:v>
      </x:c>
      <x:c r="D1860" t="n">
        <x:f>Dashboard_Live_Data!AS144</x:f>
        <x:v>610.6232752319127</x:v>
      </x:c>
      <x:c r="E1860" t="n">
        <x:f>Dashboard_Live_Data!AT144</x:f>
        <x:v>146.4000000000001</x:v>
      </x:c>
      <x:c r="F1860" t="n">
        <x:f>Dashboard_Live_Data!AU144</x:f>
        <x:v>1106.2320111687281</x:v>
      </x:c>
      <x:c r="G1860" t="n">
        <x:f>Dashboard_Live_Data!AV144</x:f>
        <x:v>146.4000000000001</x:v>
      </x:c>
      <x:c r="H1860" t="n">
        <x:f>Dashboard_Live_Data!AW144</x:f>
        <x:v>1078.9410179985136</x:v>
      </x:c>
    </x:row>
    <x:row r="1861">
      <x:c r="A1861" t="n">
        <x:f>Dashboard_Live_Data!AP145</x:f>
        <x:v>11.519999999999996</x:v>
      </x:c>
      <x:c r="B1861" t="n">
        <x:f>Dashboard_Live_Data!AQ145</x:f>
        <x:v>2674.619771268388</x:v>
      </x:c>
      <x:c r="C1861" t="n">
        <x:f>Dashboard_Live_Data!AR145</x:f>
        <x:v>76.79999999999995</x:v>
      </x:c>
      <x:c r="D1861" t="n">
        <x:f>Dashboard_Live_Data!AS145</x:f>
        <x:v>634.7142430382997</x:v>
      </x:c>
      <x:c r="E1861" t="n">
        <x:f>Dashboard_Live_Data!AT145</x:f>
        <x:v>153.5999999999999</x:v>
      </x:c>
      <x:c r="F1861" t="n">
        <x:f>Dashboard_Live_Data!AU145</x:f>
        <x:v>1160.4295298230816</x:v>
      </x:c>
      <x:c r="G1861" t="n">
        <x:f>Dashboard_Live_Data!AV145</x:f>
        <x:v>153.5999999999999</x:v>
      </x:c>
      <x:c r="H1861" t="n">
        <x:f>Dashboard_Live_Data!AW145</x:f>
        <x:v>1132.999036177561</x:v>
      </x:c>
    </x:row>
    <x:row r="1862">
      <x:c r="A1862" t="n">
        <x:f>Dashboard_Live_Data!AP146</x:f>
        <x:v>12</x:v>
      </x:c>
      <x:c r="B1862" t="n">
        <x:f>Dashboard_Live_Data!AQ146</x:f>
        <x:v>2674.811288200135</x:v>
      </x:c>
      <x:c r="C1862" t="n">
        <x:f>Dashboard_Live_Data!AR146</x:f>
        <x:v>80</x:v>
      </x:c>
      <x:c r="D1862" t="n">
        <x:f>Dashboard_Live_Data!AS146</x:f>
        <x:v>656.7596814523544</x:v>
      </x:c>
      <x:c r="E1862" t="n">
        <x:f>Dashboard_Live_Data!AT146</x:f>
        <x:v>160</x:v>
      </x:c>
      <x:c r="F1862" t="n">
        <x:f>Dashboard_Live_Data!AU146</x:f>
        <x:v>1208.8255450611855</x:v>
      </x:c>
      <x:c r="G1862" t="n">
        <x:f>Dashboard_Live_Data!AV146</x:f>
        <x:v>160</x:v>
      </x:c>
      <x:c r="H1862" t="n">
        <x:f>Dashboard_Live_Data!AW146</x:f>
        <x:v>1181.28521935239</x:v>
      </x:c>
    </x:row>
    <x:row r="1863">
      <x:c r="A1863" t="n">
        <x:f>Dashboard_Live_Data!AP147</x:f>
        <x:v>12.480000000000004</x:v>
      </x:c>
      <x:c r="B1863" t="n">
        <x:f>Dashboard_Live_Data!AQ147</x:f>
        <x:v>2675.095778091706</x:v>
      </x:c>
      <x:c r="C1863" t="n">
        <x:f>Dashboard_Live_Data!AR147</x:f>
        <x:v>83.19999999999999</x:v>
      </x:c>
      <x:c r="D1863" t="n">
        <x:f>Dashboard_Live_Data!AS147</x:f>
        <x:v>678.934378578411</x:v>
      </x:c>
      <x:c r="E1863" t="n">
        <x:f>Dashboard_Live_Data!AT147</x:f>
        <x:v>166.39999999999998</x:v>
      </x:c>
      <x:c r="F1863" t="n">
        <x:f>Dashboard_Live_Data!AU147</x:f>
        <x:v>1257.6964388963677</x:v>
      </x:c>
      <x:c r="G1863" t="n">
        <x:f>Dashboard_Live_Data!AV147</x:f>
        <x:v>166.39999999999998</x:v>
      </x:c>
      <x:c r="H1863" t="n">
        <x:f>Dashboard_Live_Data!AW147</x:f>
        <x:v>1230.026408396081</x:v>
      </x:c>
    </x:row>
    <x:row r="1864">
      <x:c r="A1864" t="n">
        <x:f>Dashboard_Live_Data!AP148</x:f>
        <x:v>13.02000000000001</x:v>
      </x:c>
      <x:c r="B1864" t="n">
        <x:f>Dashboard_Live_Data!AQ148</x:f>
        <x:v>2675.2952657628025</x:v>
      </x:c>
      <x:c r="C1864" t="n">
        <x:f>Dashboard_Live_Data!AR148</x:f>
        <x:v>86.80000000000001</x:v>
      </x:c>
      <x:c r="D1864" t="n">
        <x:f>Dashboard_Live_Data!AS148</x:f>
        <x:v>704.1449836362386</x:v>
      </x:c>
      <x:c r="E1864" t="n">
        <x:f>Dashboard_Live_Data!AT148</x:f>
        <x:v>173.60000000000002</x:v>
      </x:c>
      <x:c r="F1864" t="n">
        <x:f>Dashboard_Live_Data!AU148</x:f>
        <x:v>1313.5384373341913</x:v>
      </x:c>
      <x:c r="G1864" t="n">
        <x:f>Dashboard_Live_Data!AV148</x:f>
        <x:v>173.60000000000002</x:v>
      </x:c>
      <x:c r="H1864" t="n">
        <x:f>Dashboard_Live_Data!AW148</x:f>
        <x:v>1285.6689097446642</x:v>
      </x:c>
    </x:row>
    <x:row r="1865">
      <x:c r="A1865" t="n">
        <x:f>Dashboard_Live_Data!AP149</x:f>
        <x:v>13.5</x:v>
      </x:c>
      <x:c r="B1865" t="n">
        <x:f>Dashboard_Live_Data!AQ149</x:f>
        <x:v>2675.586944487273</x:v>
      </x:c>
      <x:c r="C1865" t="n">
        <x:f>Dashboard_Live_Data!AR149</x:f>
        <x:v>90.00000000000006</x:v>
      </x:c>
      <x:c r="D1865" t="n">
        <x:f>Dashboard_Live_Data!AS149</x:f>
        <x:v>726.6812853306784</x:v>
      </x:c>
      <x:c r="E1865" t="n">
        <x:f>Dashboard_Live_Data!AT149</x:f>
        <x:v>180.0000000000001</x:v>
      </x:c>
      <x:c r="F1865" t="n">
        <x:f>Dashboard_Live_Data!AU149</x:f>
        <x:v>1363.4922501356443</x:v>
      </x:c>
      <x:c r="G1865" t="n">
        <x:f>Dashboard_Live_Data!AV149</x:f>
        <x:v>180.0000000000001</x:v>
      </x:c>
      <x:c r="H1865" t="n">
        <x:f>Dashboard_Live_Data!AW149</x:f>
        <x:v>1335.4558137640058</x:v>
      </x:c>
    </x:row>
    <x:row r="1866">
      <x:c r="A1866" t="n">
        <x:f>Dashboard_Live_Data!AP150</x:f>
        <x:v>13.980000000000004</x:v>
      </x:c>
      <x:c r="B1866" t="n">
        <x:f>Dashboard_Live_Data!AQ150</x:f>
        <x:v>2675.7284415974937</x:v>
      </x:c>
      <x:c r="C1866" t="n">
        <x:f>Dashboard_Live_Data!AR150</x:f>
        <x:v>93.20000000000005</x:v>
      </x:c>
      <x:c r="D1866" t="n">
        <x:f>Dashboard_Live_Data!AS150</x:f>
        <x:v>749.5015119345261</x:v>
      </x:c>
      <x:c r="E1866" t="n">
        <x:f>Dashboard_Live_Data!AT150</x:f>
        <x:v>186.4000000000001</x:v>
      </x:c>
      <x:c r="F1866" t="n">
        <x:f>Dashboard_Live_Data!AU150</x:f>
        <x:v>1413.8780595568705</x:v>
      </x:c>
      <x:c r="G1866" t="n">
        <x:f>Dashboard_Live_Data!AV150</x:f>
        <x:v>186.4000000000001</x:v>
      </x:c>
      <x:c r="H1866" t="n">
        <x:f>Dashboard_Live_Data!AW150</x:f>
        <x:v>1385.6705698984597</x:v>
      </x:c>
    </x:row>
    <x:row r="1867">
      <x:c r="A1867" t="n">
        <x:f>Dashboard_Live_Data!AP151</x:f>
        <x:v>14.519999999999996</x:v>
      </x:c>
      <x:c r="B1867" t="n">
        <x:f>Dashboard_Live_Data!AQ151</x:f>
        <x:v>2676.03978450837</x:v>
      </x:c>
      <x:c r="C1867" t="n">
        <x:f>Dashboard_Live_Data!AR151</x:f>
        <x:v>96.80000000000001</x:v>
      </x:c>
      <x:c r="D1867" t="n">
        <x:f>Dashboard_Live_Data!AS151</x:f>
        <x:v>775.4018440048759</x:v>
      </x:c>
      <x:c r="E1867" t="n">
        <x:f>Dashboard_Live_Data!AT151</x:f>
        <x:v>193.60000000000002</x:v>
      </x:c>
      <x:c r="F1867" t="n">
        <x:f>Dashboard_Live_Data!AU151</x:f>
        <x:v>1471.4549088802494</x:v>
      </x:c>
      <x:c r="G1867" t="n">
        <x:f>Dashboard_Live_Data!AV151</x:f>
        <x:v>193.60000000000002</x:v>
      </x:c>
      <x:c r="H1867" t="n">
        <x:f>Dashboard_Live_Data!AW151</x:f>
        <x:v>1443.0143943069845</x:v>
      </x:c>
    </x:row>
    <x:row r="1868">
      <x:c r="A1868" t="n">
        <x:f>Dashboard_Live_Data!AP152</x:f>
        <x:v>15</x:v>
      </x:c>
      <x:c r="B1868" t="n">
        <x:f>Dashboard_Live_Data!AQ152</x:f>
        <x:v>2676.4128817659403</x:v>
      </x:c>
      <x:c r="C1868" t="n">
        <x:f>Dashboard_Live_Data!AR152</x:f>
        <x:v>100</x:v>
      </x:c>
      <x:c r="D1868" t="n">
        <x:f>Dashboard_Live_Data!AS152</x:f>
        <x:v>798.9128126847422</x:v>
      </x:c>
      <x:c r="E1868" t="n">
        <x:f>Dashboard_Live_Data!AT152</x:f>
        <x:v>200</x:v>
      </x:c>
      <x:c r="F1868" t="n">
        <x:f>Dashboard_Live_Data!AU152</x:f>
        <x:v>1522.8148844349405</x:v>
      </x:c>
      <x:c r="G1868" t="n">
        <x:f>Dashboard_Live_Data!AV152</x:f>
        <x:v>200</x:v>
      </x:c>
      <x:c r="H1868" t="n">
        <x:f>Dashboard_Live_Data!AW152</x:f>
        <x:v>1494.197489623103</x:v>
      </x:c>
    </x:row>
    <x:row r="1869">
      <x:c r="A1869" t="n">
        <x:f>Dashboard_Live_Data!AP153</x:f>
        <x:v>15.480000000000004</x:v>
      </x:c>
      <x:c r="B1869" t="n">
        <x:f>Dashboard_Live_Data!AQ153</x:f>
        <x:v>2676.700779028285</x:v>
      </x:c>
      <x:c r="C1869" t="n">
        <x:f>Dashboard_Live_Data!AR153</x:f>
        <x:v>103.19999999999999</x:v>
      </x:c>
      <x:c r="D1869" t="n">
        <x:f>Dashboard_Live_Data!AS153</x:f>
        <x:v>822.691392020902</x:v>
      </x:c>
      <x:c r="E1869" t="n">
        <x:f>Dashboard_Live_Data!AT153</x:f>
        <x:v>206.39999999999998</x:v>
      </x:c>
      <x:c r="F1869" t="n">
        <x:f>Dashboard_Live_Data!AU153</x:f>
        <x:v>1574.8772268654202</x:v>
      </x:c>
      <x:c r="G1869" t="n">
        <x:f>Dashboard_Live_Data!AV153</x:f>
        <x:v>206.39999999999998</x:v>
      </x:c>
      <x:c r="H1869" t="n">
        <x:f>Dashboard_Live_Data!AW153</x:f>
        <x:v>1546.060002257067</x:v>
      </x:c>
    </x:row>
    <x:row r="1870">
      <x:c r="A1870" t="n">
        <x:f>Dashboard_Live_Data!AP154</x:f>
        <x:v>16.019999999999996</x:v>
      </x:c>
      <x:c r="B1870" t="n">
        <x:f>Dashboard_Live_Data!AQ154</x:f>
        <x:v>2676.955320476383</x:v>
      </x:c>
      <x:c r="C1870" t="n">
        <x:f>Dashboard_Live_Data!AR154</x:f>
        <x:v>106.79999999999995</x:v>
      </x:c>
      <x:c r="D1870" t="n">
        <x:f>Dashboard_Live_Data!AS154</x:f>
        <x:v>849.2996394600398</x:v>
      </x:c>
      <x:c r="E1870" t="n">
        <x:f>Dashboard_Live_Data!AT154</x:f>
        <x:v>213.5999999999999</x:v>
      </x:c>
      <x:c r="F1870" t="n">
        <x:f>Dashboard_Live_Data!AU154</x:f>
        <x:v>1634.2100712797871</x:v>
      </x:c>
      <x:c r="G1870" t="n">
        <x:f>Dashboard_Live_Data!AV154</x:f>
        <x:v>213.5999999999999</x:v>
      </x:c>
      <x:c r="H1870" t="n">
        <x:f>Dashboard_Live_Data!AW154</x:f>
        <x:v>1605.1533049308696</x:v>
      </x:c>
    </x:row>
    <x:row r="1871">
      <x:c r="A1871" t="n">
        <x:f>Dashboard_Live_Data!AP155</x:f>
        <x:v>16.5</x:v>
      </x:c>
      <x:c r="B1871" t="n">
        <x:f>Dashboard_Live_Data!AQ155</x:f>
        <x:v>2677.210266088246</x:v>
      </x:c>
      <x:c r="C1871" t="n">
        <x:f>Dashboard_Live_Data!AR155</x:f>
        <x:v>109.99999999999994</x:v>
      </x:c>
      <x:c r="D1871" t="n">
        <x:f>Dashboard_Live_Data!AS155</x:f>
        <x:v>873.1094978635793</x:v>
      </x:c>
      <x:c r="E1871" t="n">
        <x:f>Dashboard_Live_Data!AT155</x:f>
        <x:v>219.9999999999999</x:v>
      </x:c>
      <x:c r="F1871" t="n">
        <x:f>Dashboard_Live_Data!AU155</x:f>
        <x:v>1686.9799883696526</x:v>
      </x:c>
      <x:c r="G1871" t="n">
        <x:f>Dashboard_Live_Data!AV155</x:f>
        <x:v>219.9999999999999</x:v>
      </x:c>
      <x:c r="H1871" t="n">
        <x:f>Dashboard_Live_Data!AW155</x:f>
        <x:v>1657.7559651879415</x:v>
      </x:c>
    </x:row>
    <x:row r="1872">
      <x:c r="A1872" t="n">
        <x:f>Dashboard_Live_Data!AP156</x:f>
        <x:v>16.97999999999999</x:v>
      </x:c>
      <x:c r="B1872" t="n">
        <x:f>Dashboard_Live_Data!AQ156</x:f>
        <x:v>2677.539889282522</x:v>
      </x:c>
      <x:c r="C1872" t="n">
        <x:f>Dashboard_Live_Data!AR156</x:f>
        <x:v>113.19999999999993</x:v>
      </x:c>
      <x:c r="D1872" t="n">
        <x:f>Dashboard_Live_Data!AS156</x:f>
        <x:v>897.2665212613587</x:v>
      </x:c>
      <x:c r="E1872" t="n">
        <x:f>Dashboard_Live_Data!AT156</x:f>
        <x:v>226.39999999999986</x:v>
      </x:c>
      <x:c r="F1872" t="n">
        <x:f>Dashboard_Live_Data!AU156</x:f>
        <x:v>1740.9784489069013</x:v>
      </x:c>
      <x:c r="G1872" t="n">
        <x:f>Dashboard_Live_Data!AV156</x:f>
        <x:v>226.39999999999986</x:v>
      </x:c>
      <x:c r="H1872" t="n">
        <x:f>Dashboard_Live_Data!AW156</x:f>
        <x:v>1711.5292151987658</x:v>
      </x:c>
    </x:row>
    <x:row r="1873">
      <x:c r="A1873" t="n">
        <x:f>Dashboard_Live_Data!AP157</x:f>
        <x:v>17.519999999999996</x:v>
      </x:c>
      <x:c r="B1873" t="n">
        <x:f>Dashboard_Live_Data!AQ157</x:f>
        <x:v>2677.7716485761302</x:v>
      </x:c>
      <x:c r="C1873" t="n">
        <x:f>Dashboard_Live_Data!AR157</x:f>
        <x:v>116.80000000000007</x:v>
      </x:c>
      <x:c r="D1873" t="n">
        <x:f>Dashboard_Live_Data!AS157</x:f>
        <x:v>924.8641481909997</x:v>
      </x:c>
      <x:c r="E1873" t="n">
        <x:f>Dashboard_Live_Data!AT157</x:f>
        <x:v>233.60000000000014</x:v>
      </x:c>
      <x:c r="F1873" t="n">
        <x:f>Dashboard_Live_Data!AU157</x:f>
        <x:v>1801.873071650149</x:v>
      </x:c>
      <x:c r="G1873" t="n">
        <x:f>Dashboard_Live_Data!AV157</x:f>
        <x:v>233.60000000000014</x:v>
      </x:c>
      <x:c r="H1873" t="n">
        <x:f>Dashboard_Live_Data!AW157</x:f>
        <x:v>1772.2146466917202</x:v>
      </x:c>
    </x:row>
    <x:row r="1874">
      <x:c r="A1874" t="n">
        <x:f>Dashboard_Live_Data!AP158</x:f>
        <x:v>18</x:v>
      </x:c>
      <x:c r="B1874" t="n">
        <x:f>Dashboard_Live_Data!AQ158</x:f>
        <x:v>2678.0591123143704</x:v>
      </x:c>
      <x:c r="C1874" t="n">
        <x:f>Dashboard_Live_Data!AR158</x:f>
        <x:v>120</x:v>
      </x:c>
      <x:c r="D1874" t="n">
        <x:f>Dashboard_Live_Data!AS158</x:f>
        <x:v>949.6945154062549</x:v>
      </x:c>
      <x:c r="E1874" t="n">
        <x:f>Dashboard_Live_Data!AT158</x:f>
        <x:v>240</x:v>
      </x:c>
      <x:c r="F1874" t="n">
        <x:f>Dashboard_Live_Data!AU158</x:f>
        <x:v>1856.7086148968674</x:v>
      </x:c>
      <x:c r="G1874" t="n">
        <x:f>Dashboard_Live_Data!AV158</x:f>
        <x:v>240</x:v>
      </x:c>
      <x:c r="H1874" t="n">
        <x:f>Dashboard_Live_Data!AW158</x:f>
        <x:v>1826.858082720953</x:v>
      </x:c>
    </x:row>
    <x:row r="1875">
      <x:c r="A1875" t="n">
        <x:f>Dashboard_Live_Data!AP159</x:f>
        <x:v>18.480000000000004</x:v>
      </x:c>
      <x:c r="B1875" t="n">
        <x:f>Dashboard_Live_Data!AQ159</x:f>
        <x:v>2678.324896242484</x:v>
      </x:c>
      <x:c r="C1875" t="n">
        <x:f>Dashboard_Live_Data!AR159</x:f>
        <x:v>123.20000000000005</x:v>
      </x:c>
      <x:c r="D1875" t="n">
        <x:f>Dashboard_Live_Data!AS159</x:f>
        <x:v>974.4855341929169</x:v>
      </x:c>
      <x:c r="E1875" t="n">
        <x:f>Dashboard_Live_Data!AT159</x:f>
        <x:v>246.4000000000001</x:v>
      </x:c>
      <x:c r="F1875" t="n">
        <x:f>Dashboard_Live_Data!AU159</x:f>
        <x:v>1912.259873742373</x:v>
      </x:c>
      <x:c r="G1875" t="n">
        <x:f>Dashboard_Live_Data!AV159</x:f>
        <x:v>246.4000000000001</x:v>
      </x:c>
      <x:c r="H1875" t="n">
        <x:f>Dashboard_Live_Data!AW159</x:f>
        <x:v>1882.210761089762</x:v>
      </x:c>
    </x:row>
    <x:row r="1876">
      <x:c r="A1876" t="n">
        <x:f>Dashboard_Live_Data!AP160</x:f>
        <x:v>19.019999999999996</x:v>
      </x:c>
      <x:c r="B1876" t="n">
        <x:f>Dashboard_Live_Data!AQ160</x:f>
        <x:v>2678.760343194256</x:v>
      </x:c>
      <x:c r="C1876" t="n">
        <x:f>Dashboard_Live_Data!AR160</x:f>
        <x:v>126.79999999999995</x:v>
      </x:c>
      <x:c r="D1876" t="n">
        <x:f>Dashboard_Live_Data!AS160</x:f>
        <x:v>1002.4378207984545</x:v>
      </x:c>
      <x:c r="E1876" t="n">
        <x:f>Dashboard_Live_Data!AT160</x:f>
        <x:v>253.5999999999999</x:v>
      </x:c>
      <x:c r="F1876" t="n">
        <x:f>Dashboard_Live_Data!AU160</x:f>
        <x:v>1975.1014147397316</x:v>
      </x:c>
      <x:c r="G1876" t="n">
        <x:f>Dashboard_Live_Data!AV160</x:f>
        <x:v>253.5999999999999</x:v>
      </x:c>
      <x:c r="H1876" t="n">
        <x:f>Dashboard_Live_Data!AW160</x:f>
        <x:v>1944.858837742305</x:v>
      </x:c>
    </x:row>
    <x:row r="1877">
      <x:c r="A1877" t="n">
        <x:f>Dashboard_Live_Data!AP161</x:f>
        <x:v>19.5</x:v>
      </x:c>
      <x:c r="B1877" t="n">
        <x:f>Dashboard_Live_Data!AQ161</x:f>
        <x:v>2678.934012540692</x:v>
      </x:c>
      <x:c r="C1877" t="n">
        <x:f>Dashboard_Live_Data!AR161</x:f>
        <x:v>130</x:v>
      </x:c>
      <x:c r="D1877" t="n">
        <x:f>Dashboard_Live_Data!AS161</x:f>
        <x:v>1027.5870587413654</x:v>
      </x:c>
      <x:c r="E1877" t="n">
        <x:f>Dashboard_Live_Data!AT161</x:f>
        <x:v>260</x:v>
      </x:c>
      <x:c r="F1877" t="n">
        <x:f>Dashboard_Live_Data!AU161</x:f>
        <x:v>2031.7985558053063</x:v>
      </x:c>
      <x:c r="G1877" t="n">
        <x:f>Dashboard_Live_Data!AV161</x:f>
        <x:v>260</x:v>
      </x:c>
      <x:c r="H1877" t="n">
        <x:f>Dashboard_Live_Data!AW161</x:f>
        <x:v>2001.3754442363258</x:v>
      </x:c>
    </x:row>
    <x:row r="1878">
      <x:c r="A1878" t="n">
        <x:f>Dashboard_Live_Data!AP162</x:f>
        <x:v>19.980000000000004</x:v>
      </x:c>
      <x:c r="B1878" t="n">
        <x:f>Dashboard_Live_Data!AQ162</x:f>
        <x:v>2679.273151773947</x:v>
      </x:c>
      <x:c r="C1878" t="n">
        <x:f>Dashboard_Live_Data!AR162</x:f>
        <x:v>133.19999999999993</x:v>
      </x:c>
      <x:c r="D1878" t="n">
        <x:f>Dashboard_Live_Data!AS162</x:f>
        <x:v>1053.0619961686768</x:v>
      </x:c>
      <x:c r="E1878" t="n">
        <x:f>Dashboard_Live_Data!AT162</x:f>
        <x:v>266.39999999999986</x:v>
      </x:c>
      <x:c r="F1878" t="n">
        <x:f>Dashboard_Live_Data!AU162</x:f>
        <x:v>2089.0735031949753</x:v>
      </x:c>
      <x:c r="G1878" t="n">
        <x:f>Dashboard_Live_Data!AV162</x:f>
        <x:v>266.39999999999986</x:v>
      </x:c>
      <x:c r="H1878" t="n">
        <x:f>Dashboard_Live_Data!AW162</x:f>
        <x:v>2058.477922917945</x:v>
      </x:c>
    </x:row>
    <x:row r="1879">
      <x:c r="A1879" t="n">
        <x:f>Dashboard_Live_Data!AP163</x:f>
        <x:v>20.52000000000001</x:v>
      </x:c>
      <x:c r="B1879" t="n">
        <x:f>Dashboard_Live_Data!AQ163</x:f>
        <x:v>2679.6384849074366</x:v>
      </x:c>
      <x:c r="C1879" t="n">
        <x:f>Dashboard_Live_Data!AR163</x:f>
        <x:v>136.80000000000007</x:v>
      </x:c>
      <x:c r="D1879" t="n">
        <x:f>Dashboard_Live_Data!AS163</x:f>
        <x:v>1082.1146416403806</x:v>
      </x:c>
      <x:c r="E1879" t="n">
        <x:f>Dashboard_Live_Data!AT163</x:f>
        <x:v>273.60000000000014</x:v>
      </x:c>
      <x:c r="F1879" t="n">
        <x:f>Dashboard_Live_Data!AU163</x:f>
        <x:v>2153.951648074589</x:v>
      </x:c>
      <x:c r="G1879" t="n">
        <x:f>Dashboard_Live_Data!AV163</x:f>
        <x:v>273.60000000000014</x:v>
      </x:c>
      <x:c r="H1879" t="n">
        <x:f>Dashboard_Live_Data!AW163</x:f>
        <x:v>2123.187380831997</x:v>
      </x:c>
    </x:row>
    <x:row r="1880">
      <x:c r="A1880" t="n">
        <x:f>Dashboard_Live_Data!AP164</x:f>
        <x:v>21</x:v>
      </x:c>
      <x:c r="B1880" t="n">
        <x:f>Dashboard_Live_Data!AQ164</x:f>
        <x:v>2679.9865256495527</x:v>
      </x:c>
      <x:c r="C1880" t="n">
        <x:f>Dashboard_Live_Data!AR164</x:f>
        <x:v>140</x:v>
      </x:c>
      <x:c r="D1880" t="n">
        <x:f>Dashboard_Live_Data!AS164</x:f>
        <x:v>1108.021307304762</x:v>
      </x:c>
      <x:c r="E1880" t="n">
        <x:f>Dashboard_Live_Data!AT164</x:f>
        <x:v>280</x:v>
      </x:c>
      <x:c r="F1880" t="n">
        <x:f>Dashboard_Live_Data!AU164</x:f>
        <x:v>2212.4908066079583</x:v>
      </x:c>
      <x:c r="G1880" t="n">
        <x:f>Dashboard_Live_Data!AV164</x:f>
        <x:v>280</x:v>
      </x:c>
      <x:c r="H1880" t="n">
        <x:f>Dashboard_Live_Data!AW164</x:f>
        <x:v>2181.5719636316157</x:v>
      </x:c>
    </x:row>
    <x:row r="1881">
      <x:c r="A1881" t="n">
        <x:f>Dashboard_Live_Data!AP165</x:f>
        <x:v>21.480000000000004</x:v>
      </x:c>
      <x:c r="B1881" t="n">
        <x:f>Dashboard_Live_Data!AQ165</x:f>
        <x:v>2680.3628439768113</x:v>
      </x:c>
      <x:c r="C1881" t="n">
        <x:f>Dashboard_Live_Data!AR165</x:f>
        <x:v>143.20000000000005</x:v>
      </x:c>
      <x:c r="D1881" t="n">
        <x:f>Dashboard_Live_Data!AS165</x:f>
        <x:v>1133.8978649739838</x:v>
      </x:c>
      <x:c r="E1881" t="n">
        <x:f>Dashboard_Live_Data!AT165</x:f>
        <x:v>286.4000000000001</x:v>
      </x:c>
      <x:c r="F1881" t="n">
        <x:f>Dashboard_Live_Data!AU165</x:f>
        <x:v>2271.6279066061034</x:v>
      </x:c>
      <x:c r="G1881" t="n">
        <x:f>Dashboard_Live_Data!AV165</x:f>
        <x:v>286.4000000000001</x:v>
      </x:c>
      <x:c r="H1881" t="n">
        <x:f>Dashboard_Live_Data!AW165</x:f>
        <x:v>2240.564610948291</x:v>
      </x:c>
    </x:row>
    <x:row r="1882">
      <x:c r="A1882" t="n">
        <x:f>Dashboard_Live_Data!AP166</x:f>
        <x:v>22.019999999999996</x:v>
      </x:c>
      <x:c r="B1882" t="n">
        <x:f>Dashboard_Live_Data!AQ166</x:f>
        <x:v>2680.656874477047</x:v>
      </x:c>
      <x:c r="C1882" t="n">
        <x:f>Dashboard_Live_Data!AR166</x:f>
        <x:v>146.79999999999995</x:v>
      </x:c>
      <x:c r="D1882" t="n">
        <x:f>Dashboard_Live_Data!AS166</x:f>
        <x:v>1163.204522336932</x:v>
      </x:c>
      <x:c r="E1882" t="n">
        <x:f>Dashboard_Live_Data!AT166</x:f>
        <x:v>293.5999999999999</x:v>
      </x:c>
      <x:c r="F1882" t="n">
        <x:f>Dashboard_Live_Data!AU166</x:f>
        <x:v>2338.4592438207114</x:v>
      </x:c>
      <x:c r="G1882" t="n">
        <x:f>Dashboard_Live_Data!AV166</x:f>
        <x:v>293.5999999999999</x:v>
      </x:c>
      <x:c r="H1882" t="n">
        <x:f>Dashboard_Live_Data!AW166</x:f>
        <x:v>2307.2674673048655</x:v>
      </x:c>
    </x:row>
    <x:row r="1883">
      <x:c r="A1883" t="n">
        <x:f>Dashboard_Live_Data!AP167</x:f>
        <x:v>22.5</x:v>
      </x:c>
      <x:c r="B1883" t="n">
        <x:f>Dashboard_Live_Data!AQ167</x:f>
        <x:v>2681.141038946116</x:v>
      </x:c>
      <x:c r="C1883" t="n">
        <x:f>Dashboard_Live_Data!AR167</x:f>
        <x:v>150</x:v>
      </x:c>
      <x:c r="D1883" t="n">
        <x:f>Dashboard_Live_Data!AS167</x:f>
        <x:v>1189.7387412010428</x:v>
      </x:c>
      <x:c r="E1883" t="n">
        <x:f>Dashboard_Live_Data!AT167</x:f>
        <x:v>300</x:v>
      </x:c>
      <x:c r="F1883" t="n">
        <x:f>Dashboard_Live_Data!AU167</x:f>
        <x:v>2399.2316666520933</x:v>
      </x:c>
      <x:c r="G1883" t="n">
        <x:f>Dashboard_Live_Data!AV167</x:f>
        <x:v>300</x:v>
      </x:c>
      <x:c r="H1883" t="n">
        <x:f>Dashboard_Live_Data!AW167</x:f>
        <x:v>2367.9009230173983</x:v>
      </x:c>
    </x:row>
    <x:row r="1884">
      <x:c r="A1884" t="n">
        <x:f>Dashboard_Live_Data!AP168</x:f>
        <x:v>22.980000000000004</x:v>
      </x:c>
      <x:c r="B1884" t="n">
        <x:f>Dashboard_Live_Data!AQ168</x:f>
        <x:v>2681.4410343801505</x:v>
      </x:c>
      <x:c r="C1884" t="n">
        <x:f>Dashboard_Live_Data!AR168</x:f>
        <x:v>153.20000000000005</x:v>
      </x:c>
      <x:c r="D1884" t="n">
        <x:f>Dashboard_Live_Data!AS168</x:f>
        <x:v>1216.6467476359378</x:v>
      </x:c>
      <x:c r="E1884" t="n">
        <x:f>Dashboard_Live_Data!AT168</x:f>
        <x:v>306.4000000000001</x:v>
      </x:c>
      <x:c r="F1884" t="n">
        <x:f>Dashboard_Live_Data!AU168</x:f>
        <x:v>2460.0404173793613</x:v>
      </x:c>
      <x:c r="G1884" t="n">
        <x:f>Dashboard_Live_Data!AV168</x:f>
        <x:v>306.4000000000001</x:v>
      </x:c>
      <x:c r="H1884" t="n">
        <x:f>Dashboard_Live_Data!AW168</x:f>
        <x:v>2428.610657778259</x:v>
      </x:c>
    </x:row>
    <x:row r="1885">
      <x:c r="A1885" t="n">
        <x:f>Dashboard_Live_Data!AP169</x:f>
        <x:v>23.519999999999996</x:v>
      </x:c>
      <x:c r="B1885" t="n">
        <x:f>Dashboard_Live_Data!AQ169</x:f>
        <x:v>2681.9939788953425</x:v>
      </x:c>
      <x:c r="C1885" t="n">
        <x:f>Dashboard_Live_Data!AR169</x:f>
        <x:v>156.79999999999995</x:v>
      </x:c>
      <x:c r="D1885" t="n">
        <x:f>Dashboard_Live_Data!AS169</x:f>
        <x:v>1246.8959337465285</x:v>
      </x:c>
      <x:c r="E1885" t="n">
        <x:f>Dashboard_Live_Data!AT169</x:f>
        <x:v>313.5999999999999</x:v>
      </x:c>
      <x:c r="F1885" t="n">
        <x:f>Dashboard_Live_Data!AU169</x:f>
        <x:v>2529.4862966892415</x:v>
      </x:c>
      <x:c r="G1885" t="n">
        <x:f>Dashboard_Live_Data!AV169</x:f>
        <x:v>313.5999999999999</x:v>
      </x:c>
      <x:c r="H1885" t="n">
        <x:f>Dashboard_Live_Data!AW169</x:f>
        <x:v>2497.9453758114487</x:v>
      </x:c>
    </x:row>
    <x:row r="1886">
      <x:c r="A1886" t="n">
        <x:f>Dashboard_Live_Data!AP170</x:f>
        <x:v>24</x:v>
      </x:c>
      <x:c r="B1886" t="n">
        <x:f>Dashboard_Live_Data!AQ170</x:f>
        <x:v>2682.3919407186913</x:v>
      </x:c>
      <x:c r="C1886" t="n">
        <x:f>Dashboard_Live_Data!AR170</x:f>
        <x:v>160</x:v>
      </x:c>
      <x:c r="D1886" t="n">
        <x:f>Dashboard_Live_Data!AS170</x:f>
        <x:v>1273.942666327713</x:v>
      </x:c>
      <x:c r="E1886" t="n">
        <x:f>Dashboard_Live_Data!AT170</x:f>
        <x:v>320</x:v>
      </x:c>
      <x:c r="F1886" t="n">
        <x:f>Dashboard_Live_Data!AU170</x:f>
        <x:v>2592.146348508657</x:v>
      </x:c>
      <x:c r="G1886" t="n">
        <x:f>Dashboard_Live_Data!AV170</x:f>
        <x:v>320</x:v>
      </x:c>
      <x:c r="H1886" t="n">
        <x:f>Dashboard_Live_Data!AW170</x:f>
        <x:v>2560.508645682442</x:v>
      </x:c>
    </x:row>
    <x:row r="1887">
      <x:c r="A1887" t="n">
        <x:f>Dashboard_Live_Data!AP171</x:f>
        <x:v>24.47999999999999</x:v>
      </x:c>
      <x:c r="B1887" t="n">
        <x:f>Dashboard_Live_Data!AQ171</x:f>
        <x:v>2682.915880658896</x:v>
      </x:c>
      <x:c r="C1887" t="n">
        <x:f>Dashboard_Live_Data!AR171</x:f>
        <x:v>163.19999999999993</x:v>
      </x:c>
      <x:c r="D1887" t="n">
        <x:f>Dashboard_Live_Data!AS171</x:f>
        <x:v>1301.2535415684738</x:v>
      </x:c>
      <x:c r="E1887" t="n">
        <x:f>Dashboard_Live_Data!AT171</x:f>
        <x:v>326.39999999999986</x:v>
      </x:c>
      <x:c r="F1887" t="n">
        <x:f>Dashboard_Live_Data!AU171</x:f>
        <x:v>2654.889210932727</x:v>
      </x:c>
      <x:c r="G1887" t="n">
        <x:f>Dashboard_Live_Data!AV171</x:f>
        <x:v>326.39999999999986</x:v>
      </x:c>
      <x:c r="H1887" t="n">
        <x:f>Dashboard_Live_Data!AW171</x:f>
        <x:v>2623.190626267785</x:v>
      </x:c>
    </x:row>
    <x:row r="1888">
      <x:c r="A1888" t="n">
        <x:f>Dashboard_Live_Data!AP172</x:f>
        <x:v>25.019999999999996</x:v>
      </x:c>
      <x:c r="B1888" t="n">
        <x:f>Dashboard_Live_Data!AQ172</x:f>
        <x:v>2683.4438459390726</x:v>
      </x:c>
      <x:c r="C1888" t="n">
        <x:f>Dashboard_Live_Data!AR172</x:f>
        <x:v>166.80000000000007</x:v>
      </x:c>
      <x:c r="D1888" t="n">
        <x:f>Dashboard_Live_Data!AS172</x:f>
        <x:v>1332.2058701793264</x:v>
      </x:c>
      <x:c r="E1888" t="n">
        <x:f>Dashboard_Live_Data!AT172</x:f>
        <x:v>333.60000000000014</x:v>
      </x:c>
      <x:c r="F1888" t="n">
        <x:f>Dashboard_Live_Data!AU172</x:f>
        <x:v>2726.825506113058</x:v>
      </x:c>
      <x:c r="G1888" t="n">
        <x:f>Dashboard_Live_Data!AV172</x:f>
        <x:v>333.60000000000014</x:v>
      </x:c>
      <x:c r="H1888" t="n">
        <x:f>Dashboard_Live_Data!AW172</x:f>
        <x:v>2695.0500562784723</x:v>
      </x:c>
    </x:row>
    <x:row r="1889">
      <x:c r="A1889" t="n">
        <x:f>Dashboard_Live_Data!AP173</x:f>
        <x:v>25.5</x:v>
      </x:c>
      <x:c r="B1889" t="n">
        <x:f>Dashboard_Live_Data!AQ173</x:f>
        <x:v>2684.0530894635986</x:v>
      </x:c>
      <x:c r="C1889" t="n">
        <x:f>Dashboard_Live_Data!AR173</x:f>
        <x:v>170</x:v>
      </x:c>
      <x:c r="D1889" t="n">
        <x:f>Dashboard_Live_Data!AS173</x:f>
        <x:v>1359.9452187192626</x:v>
      </x:c>
      <x:c r="E1889" t="n">
        <x:f>Dashboard_Live_Data!AT173</x:f>
        <x:v>340</x:v>
      </x:c>
      <x:c r="F1889" t="n">
        <x:f>Dashboard_Live_Data!AU173</x:f>
        <x:v>2791.225314975836</x:v>
      </x:c>
      <x:c r="G1889" t="n">
        <x:f>Dashboard_Live_Data!AV173</x:f>
        <x:v>340</x:v>
      </x:c>
      <x:c r="H1889" t="n">
        <x:f>Dashboard_Live_Data!AW173</x:f>
        <x:v>2759.4047365661204</x:v>
      </x:c>
    </x:row>
    <x:row r="1890">
      <x:c r="A1890" t="n">
        <x:f>Dashboard_Live_Data!AP174</x:f>
        <x:v>25.980000000000004</x:v>
      </x:c>
      <x:c r="B1890" t="n">
        <x:f>Dashboard_Live_Data!AQ174</x:f>
        <x:v>2684.4264672966287</x:v>
      </x:c>
      <x:c r="C1890" t="n">
        <x:f>Dashboard_Live_Data!AR174</x:f>
        <x:v>173.20000000000005</x:v>
      </x:c>
      <x:c r="D1890" t="n">
        <x:f>Dashboard_Live_Data!AS174</x:f>
        <x:v>1388.0981650857836</x:v>
      </x:c>
      <x:c r="E1890" t="n">
        <x:f>Dashboard_Live_Data!AT174</x:f>
        <x:v>346.4000000000001</x:v>
      </x:c>
      <x:c r="F1890" t="n">
        <x:f>Dashboard_Live_Data!AU174</x:f>
        <x:v>2856.226033694012</x:v>
      </x:c>
      <x:c r="G1890" t="n">
        <x:f>Dashboard_Live_Data!AV174</x:f>
        <x:v>346.4000000000001</x:v>
      </x:c>
      <x:c r="H1890" t="n">
        <x:f>Dashboard_Live_Data!AW174</x:f>
        <x:v>2824.3753796888404</x:v>
      </x:c>
    </x:row>
    <x:row r="1891">
      <x:c r="A1891" t="n">
        <x:f>Dashboard_Live_Data!AP175</x:f>
        <x:v>26.519999999999996</x:v>
      </x:c>
      <x:c r="B1891" t="n">
        <x:f>Dashboard_Live_Data!AQ175</x:f>
        <x:v>2685.202148008529</x:v>
      </x:c>
      <x:c r="C1891" t="n">
        <x:f>Dashboard_Live_Data!AR175</x:f>
        <x:v>176.79999999999995</x:v>
      </x:c>
      <x:c r="D1891" t="n">
        <x:f>Dashboard_Live_Data!AS175</x:f>
        <x:v>1419.9573139350396</x:v>
      </x:c>
      <x:c r="E1891" t="n">
        <x:f>Dashboard_Live_Data!AT175</x:f>
        <x:v>353.5999999999999</x:v>
      </x:c>
      <x:c r="F1891" t="n">
        <x:f>Dashboard_Live_Data!AU175</x:f>
        <x:v>2930.4635049360554</x:v>
      </x:c>
      <x:c r="G1891" t="n">
        <x:f>Dashboard_Live_Data!AV175</x:f>
        <x:v>353.5999999999999</x:v>
      </x:c>
      <x:c r="H1891" t="n">
        <x:f>Dashboard_Live_Data!AW175</x:f>
        <x:v>2898.5839038762006</x:v>
      </x:c>
    </x:row>
    <x:row r="1892">
      <x:c r="A1892" t="n">
        <x:f>Dashboard_Live_Data!AP176</x:f>
        <x:v>27</x:v>
      </x:c>
      <x:c r="B1892" t="n">
        <x:f>Dashboard_Live_Data!AQ176</x:f>
        <x:v>2685.7460339181407</x:v>
      </x:c>
      <x:c r="C1892" t="n">
        <x:f>Dashboard_Live_Data!AR176</x:f>
        <x:v>180</x:v>
      </x:c>
      <x:c r="D1892" t="n">
        <x:f>Dashboard_Live_Data!AS176</x:f>
        <x:v>1448.233731510371</x:v>
      </x:c>
      <x:c r="E1892" t="n">
        <x:f>Dashboard_Live_Data!AT176</x:f>
        <x:v>360</x:v>
      </x:c>
      <x:c r="F1892" t="n">
        <x:f>Dashboard_Live_Data!AU176</x:f>
        <x:v>2997.0388676298153</x:v>
      </x:c>
      <x:c r="G1892" t="n">
        <x:f>Dashboard_Live_Data!AV176</x:f>
        <x:v>360</x:v>
      </x:c>
      <x:c r="H1892" t="n">
        <x:f>Dashboard_Live_Data!AW176</x:f>
        <x:v>2965.1524552312057</x:v>
      </x:c>
    </x:row>
    <x:row r="1893">
      <x:c r="A1893" t="n">
        <x:f>Dashboard_Live_Data!AP177</x:f>
        <x:v>27.480000000000004</x:v>
      </x:c>
      <x:c r="B1893" t="n">
        <x:f>Dashboard_Live_Data!AQ177</x:f>
        <x:v>2686.2420281089157</x:v>
      </x:c>
      <x:c r="C1893" t="n">
        <x:f>Dashboard_Live_Data!AR177</x:f>
        <x:v>183.19999999999993</x:v>
      </x:c>
      <x:c r="D1893" t="n">
        <x:f>Dashboard_Live_Data!AS177</x:f>
        <x:v>1476.6661603886478</x:v>
      </x:c>
      <x:c r="E1893" t="n">
        <x:f>Dashboard_Live_Data!AT177</x:f>
        <x:v>366.39999999999986</x:v>
      </x:c>
      <x:c r="F1893" t="n">
        <x:f>Dashboard_Live_Data!AU177</x:f>
        <x:v>3064.1595178111925</x:v>
      </x:c>
      <x:c r="G1893" t="n">
        <x:f>Dashboard_Live_Data!AV177</x:f>
        <x:v>366.39999999999986</x:v>
      </x:c>
      <x:c r="H1893" t="n">
        <x:f>Dashboard_Live_Data!AW177</x:f>
        <x:v>3032.284073090573</x:v>
      </x:c>
    </x:row>
    <x:row r="1894">
      <x:c r="A1894" t="n">
        <x:f>Dashboard_Live_Data!AP178</x:f>
        <x:v>28.02000000000001</x:v>
      </x:c>
      <x:c r="B1894" t="n">
        <x:f>Dashboard_Live_Data!AQ178</x:f>
        <x:v>2686.848274404113</x:v>
      </x:c>
      <x:c r="C1894" t="n">
        <x:f>Dashboard_Live_Data!AR178</x:f>
        <x:v>186.80000000000007</x:v>
      </x:c>
      <x:c r="D1894" t="n">
        <x:f>Dashboard_Live_Data!AS178</x:f>
        <x:v>1509.2529786221405</x:v>
      </x:c>
      <x:c r="E1894" t="n">
        <x:f>Dashboard_Live_Data!AT178</x:f>
        <x:v>373.60000000000014</x:v>
      </x:c>
      <x:c r="F1894" t="n">
        <x:f>Dashboard_Live_Data!AU178</x:f>
        <x:v>3141.0226701663896</x:v>
      </x:c>
      <x:c r="G1894" t="n">
        <x:f>Dashboard_Live_Data!AV178</x:f>
        <x:v>373.60000000000014</x:v>
      </x:c>
      <x:c r="H1894" t="n">
        <x:f>Dashboard_Live_Data!AW178</x:f>
        <x:v>3109.1598983076765</x:v>
      </x:c>
    </x:row>
    <x:row r="1895">
      <x:c r="A1895" t="n">
        <x:f>Dashboard_Live_Data!AP179</x:f>
        <x:v>28.5</x:v>
      </x:c>
      <x:c r="B1895" t="n">
        <x:f>Dashboard_Live_Data!AQ179</x:f>
        <x:v>2687.4641738490877</x:v>
      </x:c>
      <x:c r="C1895" t="n">
        <x:f>Dashboard_Live_Data!AR179</x:f>
        <x:v>190</x:v>
      </x:c>
      <x:c r="D1895" t="n">
        <x:f>Dashboard_Live_Data!AS179</x:f>
        <x:v>1538.4831289843698</x:v>
      </x:c>
      <x:c r="E1895" t="n">
        <x:f>Dashboard_Live_Data!AT179</x:f>
        <x:v>380</x:v>
      </x:c>
      <x:c r="F1895" t="n">
        <x:f>Dashboard_Live_Data!AU179</x:f>
        <x:v>3209.636377410934</x:v>
      </x:c>
      <x:c r="G1895" t="n">
        <x:f>Dashboard_Live_Data!AV179</x:f>
        <x:v>380</x:v>
      </x:c>
      <x:c r="H1895" t="n">
        <x:f>Dashboard_Live_Data!AW179</x:f>
        <x:v>3177.812951422256</x:v>
      </x:c>
    </x:row>
    <x:row r="1896">
      <x:c r="A1896" t="n">
        <x:f>Dashboard_Live_Data!AP180</x:f>
        <x:v>28.980000000000004</x:v>
      </x:c>
      <x:c r="B1896" t="n">
        <x:f>Dashboard_Live_Data!AQ180</x:f>
        <x:v>2688.187625072262</x:v>
      </x:c>
      <x:c r="C1896" t="n">
        <x:f>Dashboard_Live_Data!AR180</x:f>
        <x:v>193.20000000000005</x:v>
      </x:c>
      <x:c r="D1896" t="n">
        <x:f>Dashboard_Live_Data!AS180</x:f>
        <x:v>1567.9590204754618</x:v>
      </x:c>
      <x:c r="E1896" t="n">
        <x:f>Dashboard_Live_Data!AT180</x:f>
        <x:v>386.4000000000001</x:v>
      </x:c>
      <x:c r="F1896" t="n">
        <x:f>Dashboard_Live_Data!AU180</x:f>
        <x:v>3279.232942558983</x:v>
      </x:c>
      <x:c r="G1896" t="n">
        <x:f>Dashboard_Live_Data!AV180</x:f>
        <x:v>386.4000000000001</x:v>
      </x:c>
      <x:c r="H1896" t="n">
        <x:f>Dashboard_Live_Data!AW180</x:f>
        <x:v>3247.4547932261544</x:v>
      </x:c>
    </x:row>
    <x:row r="1897">
      <x:c r="A1897" t="n">
        <x:f>Dashboard_Live_Data!AP181</x:f>
        <x:v>29.519999999999996</x:v>
      </x:c>
      <x:c r="B1897" t="n">
        <x:f>Dashboard_Live_Data!AQ181</x:f>
        <x:v>2688.722217643149</x:v>
      </x:c>
      <x:c r="C1897" t="n">
        <x:f>Dashboard_Live_Data!AR181</x:f>
        <x:v>196.79999999999995</x:v>
      </x:c>
      <x:c r="D1897" t="n">
        <x:f>Dashboard_Live_Data!AS181</x:f>
        <x:v>1601.1205159498156</x:v>
      </x:c>
      <x:c r="E1897" t="n">
        <x:f>Dashboard_Live_Data!AT181</x:f>
        <x:v>393.5999999999999</x:v>
      </x:c>
      <x:c r="F1897" t="n">
        <x:f>Dashboard_Live_Data!AU181</x:f>
        <x:v>3358.596047655168</x:v>
      </x:c>
      <x:c r="G1897" t="n">
        <x:f>Dashboard_Live_Data!AV181</x:f>
        <x:v>393.5999999999999</x:v>
      </x:c>
      <x:c r="H1897" t="n">
        <x:f>Dashboard_Live_Data!AW181</x:f>
        <x:v>3326.8801699923215</x:v>
      </x:c>
    </x:row>
    <x:row r="1898">
      <x:c r="A1898" t="n">
        <x:f>Dashboard_Live_Data!AP182</x:f>
        <x:v>30</x:v>
      </x:c>
      <x:c r="B1898" t="n">
        <x:f>Dashboard_Live_Data!AQ182</x:f>
        <x:v>2689.3696122533497</x:v>
      </x:c>
      <x:c r="C1898" t="n">
        <x:f>Dashboard_Live_Data!AR182</x:f>
        <x:v>200</x:v>
      </x:c>
      <x:c r="D1898" t="n">
        <x:f>Dashboard_Live_Data!AS182</x:f>
        <x:v>1630.7637614719622</x:v>
      </x:c>
      <x:c r="E1898" t="n">
        <x:f>Dashboard_Live_Data!AT182</x:f>
        <x:v>400</x:v>
      </x:c>
      <x:c r="F1898" t="n">
        <x:f>Dashboard_Live_Data!AU182</x:f>
        <x:v>3429.3588510465356</x:v>
      </x:c>
      <x:c r="G1898" t="n">
        <x:f>Dashboard_Live_Data!AV182</x:f>
        <x:v>400</x:v>
      </x:c>
      <x:c r="H1898" t="n">
        <x:f>Dashboard_Live_Data!AW182</x:f>
        <x:v>3397.727225112334</x:v>
      </x:c>
    </x:row>
    <x:row r="1899">
      <x:c r="A1899" t="n">
        <x:f>Dashboard_Live_Data!AP183</x:f>
        <x:v>30.480000000000004</x:v>
      </x:c>
      <x:c r="B1899" t="n">
        <x:f>Dashboard_Live_Data!AQ183</x:f>
        <x:v>2689.9524090049945</x:v>
      </x:c>
      <x:c r="C1899" t="n">
        <x:f>Dashboard_Live_Data!AR183</x:f>
        <x:v>203.20000000000005</x:v>
      </x:c>
      <x:c r="D1899" t="n">
        <x:f>Dashboard_Live_Data!AS183</x:f>
        <x:v>1660.6990177446987</x:v>
      </x:c>
      <x:c r="E1899" t="n">
        <x:f>Dashboard_Live_Data!AT183</x:f>
        <x:v>406.4000000000001</x:v>
      </x:c>
      <x:c r="F1899" t="n">
        <x:f>Dashboard_Live_Data!AU183</x:f>
        <x:v>3501.549494764668</x:v>
      </x:c>
      <x:c r="G1899" t="n">
        <x:f>Dashboard_Live_Data!AV183</x:f>
        <x:v>406.4000000000001</x:v>
      </x:c>
      <x:c r="H1899" t="n">
        <x:f>Dashboard_Live_Data!AW183</x:f>
        <x:v>3469.9989806158574</x:v>
      </x:c>
    </x:row>
    <x:row r="1900">
      <x:c r="A1900" t="n">
        <x:f>Dashboard_Live_Data!AP184</x:f>
        <x:v>31.019999999999996</x:v>
      </x:c>
      <x:c r="B1900" t="n">
        <x:f>Dashboard_Live_Data!AQ184</x:f>
        <x:v>2690.5667082175996</x:v>
      </x:c>
      <x:c r="C1900" t="n">
        <x:f>Dashboard_Live_Data!AR184</x:f>
        <x:v>206.79999999999995</x:v>
      </x:c>
      <x:c r="D1900" t="n">
        <x:f>Dashboard_Live_Data!AS184</x:f>
        <x:v>1694.822586614646</x:v>
      </x:c>
      <x:c r="E1900" t="n">
        <x:f>Dashboard_Live_Data!AT184</x:f>
        <x:v>413.5999999999999</x:v>
      </x:c>
      <x:c r="F1900" t="n">
        <x:f>Dashboard_Live_Data!AU184</x:f>
        <x:v>3583.0738605817146</x:v>
      </x:c>
      <x:c r="G1900" t="n">
        <x:f>Dashboard_Live_Data!AV184</x:f>
        <x:v>413.5999999999999</x:v>
      </x:c>
      <x:c r="H1900" t="n">
        <x:f>Dashboard_Live_Data!AW184</x:f>
        <x:v>3551.645051083141</x:v>
      </x:c>
    </x:row>
    <x:row r="1901">
      <x:c r="A1901" t="n">
        <x:f>Dashboard_Live_Data!AP185</x:f>
        <x:v>31.5</x:v>
      </x:c>
      <x:c r="B1901" t="n">
        <x:f>Dashboard_Live_Data!AQ185</x:f>
        <x:v>2691.286112934711</x:v>
      </x:c>
      <x:c r="C1901" t="n">
        <x:f>Dashboard_Live_Data!AR185</x:f>
        <x:v>210</x:v>
      </x:c>
      <x:c r="D1901" t="n">
        <x:f>Dashboard_Live_Data!AS185</x:f>
        <x:v>1725.5482605386435</x:v>
      </x:c>
      <x:c r="E1901" t="n">
        <x:f>Dashboard_Live_Data!AT185</x:f>
        <x:v>420</x:v>
      </x:c>
      <x:c r="F1901" t="n">
        <x:f>Dashboard_Live_Data!AU185</x:f>
        <x:v>3656.4070068229435</x:v>
      </x:c>
      <x:c r="G1901" t="n">
        <x:f>Dashboard_Live_Data!AV185</x:f>
        <x:v>420</x:v>
      </x:c>
      <x:c r="H1901" t="n">
        <x:f>Dashboard_Live_Data!AW185</x:f>
        <x:v>3625.099344864144</x:v>
      </x:c>
    </x:row>
    <x:row r="1902">
      <x:c r="A1902" t="n">
        <x:f>Dashboard_Live_Data!AP186</x:f>
        <x:v>31.97999999999999</x:v>
      </x:c>
      <x:c r="B1902" t="n">
        <x:f>Dashboard_Live_Data!AQ186</x:f>
        <x:v>2691.7084514155754</x:v>
      </x:c>
      <x:c r="C1902" t="n">
        <x:f>Dashboard_Live_Data!AR186</x:f>
        <x:v>213.19999999999993</x:v>
      </x:c>
      <x:c r="D1902" t="n">
        <x:f>Dashboard_Live_Data!AS186</x:f>
        <x:v>1756.3205691070345</x:v>
      </x:c>
      <x:c r="E1902" t="n">
        <x:f>Dashboard_Live_Data!AT186</x:f>
        <x:v>426.39999999999986</x:v>
      </x:c>
      <x:c r="F1902" t="n">
        <x:f>Dashboard_Live_Data!AU186</x:f>
        <x:v>3730.743436868081</x:v>
      </x:c>
      <x:c r="G1902" t="n">
        <x:f>Dashboard_Live_Data!AV186</x:f>
        <x:v>426.39999999999986</x:v>
      </x:c>
      <x:c r="H1902" t="n">
        <x:f>Dashboard_Live_Data!AW186</x:f>
        <x:v>3699.56563439895</x:v>
      </x:c>
    </x:row>
    <x:row r="1903">
      <x:c r="A1903" t="n">
        <x:f>Dashboard_Live_Data!AP187</x:f>
        <x:v>32.519999999999996</x:v>
      </x:c>
      <x:c r="B1903" t="n">
        <x:f>Dashboard_Live_Data!AQ187</x:f>
        <x:v>2692.3320799684448</x:v>
      </x:c>
      <x:c r="C1903" t="n">
        <x:f>Dashboard_Live_Data!AR187</x:f>
        <x:v>216.80000000000007</x:v>
      </x:c>
      <x:c r="D1903" t="n">
        <x:f>Dashboard_Live_Data!AS187</x:f>
        <x:v>1790.9188228799637</x:v>
      </x:c>
      <x:c r="E1903" t="n">
        <x:f>Dashboard_Live_Data!AT187</x:f>
        <x:v>433.60000000000014</x:v>
      </x:c>
      <x:c r="F1903" t="n">
        <x:f>Dashboard_Live_Data!AU187</x:f>
        <x:v>3814.9219703228828</x:v>
      </x:c>
      <x:c r="G1903" t="n">
        <x:f>Dashboard_Live_Data!AV187</x:f>
        <x:v>433.60000000000014</x:v>
      </x:c>
      <x:c r="H1903" t="n">
        <x:f>Dashboard_Live_Data!AW187</x:f>
        <x:v>3783.9144030090297</x:v>
      </x:c>
    </x:row>
    <x:row r="1904">
      <x:c r="A1904" t="n">
        <x:f>Dashboard_Live_Data!AP188</x:f>
        <x:v>33</x:v>
      </x:c>
      <x:c r="B1904" t="n">
        <x:f>Dashboard_Live_Data!AQ188</x:f>
        <x:v>2692.9418963583466</x:v>
      </x:c>
      <x:c r="C1904" t="n">
        <x:f>Dashboard_Live_Data!AR188</x:f>
        <x:v>220</x:v>
      </x:c>
      <x:c r="D1904" t="n">
        <x:f>Dashboard_Live_Data!AS188</x:f>
        <x:v>1821.953328576106</x:v>
      </x:c>
      <x:c r="E1904" t="n">
        <x:f>Dashboard_Live_Data!AT188</x:f>
        <x:v>440</x:v>
      </x:c>
      <x:c r="F1904" t="n">
        <x:f>Dashboard_Live_Data!AU188</x:f>
        <x:v>3890.7671657116257</x:v>
      </x:c>
      <x:c r="G1904" t="n">
        <x:f>Dashboard_Live_Data!AV188</x:f>
        <x:v>440</x:v>
      </x:c>
      <x:c r="H1904" t="n">
        <x:f>Dashboard_Live_Data!AW188</x:f>
        <x:v>3859.9216859248836</x:v>
      </x:c>
    </x:row>
    <x:row r="1905">
      <x:c r="A1905" t="n">
        <x:f>Dashboard_Live_Data!AP189</x:f>
        <x:v>33.480000000000004</x:v>
      </x:c>
      <x:c r="B1905" t="n">
        <x:f>Dashboard_Live_Data!AQ189</x:f>
        <x:v>2693.5471794573295</x:v>
      </x:c>
      <x:c r="C1905" t="n">
        <x:f>Dashboard_Live_Data!AR189</x:f>
        <x:v>223.20000000000005</x:v>
      </x:c>
      <x:c r="D1905" t="n">
        <x:f>Dashboard_Live_Data!AS189</x:f>
        <x:v>1853.59624895787</x:v>
      </x:c>
      <x:c r="E1905" t="n">
        <x:f>Dashboard_Live_Data!AT189</x:f>
        <x:v>446.4000000000001</x:v>
      </x:c>
      <x:c r="F1905" t="n">
        <x:f>Dashboard_Live_Data!AU189</x:f>
        <x:v>3967.480748745818</x:v>
      </x:c>
      <x:c r="G1905" t="n">
        <x:f>Dashboard_Live_Data!AV189</x:f>
        <x:v>446.4000000000001</x:v>
      </x:c>
      <x:c r="H1905" t="n">
        <x:f>Dashboard_Live_Data!AW189</x:f>
        <x:v>3936.8097483681768</x:v>
      </x:c>
    </x:row>
    <x:row r="1906">
      <x:c r="A1906" t="n">
        <x:f>Dashboard_Live_Data!AP190</x:f>
        <x:v>34.019999999999996</x:v>
      </x:c>
      <x:c r="B1906" t="n">
        <x:f>Dashboard_Live_Data!AQ190</x:f>
        <x:v>2694.1066115218923</x:v>
      </x:c>
      <x:c r="C1906" t="n">
        <x:f>Dashboard_Live_Data!AR190</x:f>
        <x:v>226.79999999999995</x:v>
      </x:c>
      <x:c r="D1906" t="n">
        <x:f>Dashboard_Live_Data!AS190</x:f>
        <x:v>1889.5699053140243</x:v>
      </x:c>
      <x:c r="E1906" t="n">
        <x:f>Dashboard_Live_Data!AT190</x:f>
        <x:v>453.5999999999999</x:v>
      </x:c>
      <x:c r="F1906" t="n">
        <x:f>Dashboard_Live_Data!AU190</x:f>
        <x:v>4054.3706512176195</x:v>
      </x:c>
      <x:c r="G1906" t="n">
        <x:f>Dashboard_Live_Data!AV190</x:f>
        <x:v>453.5999999999999</x:v>
      </x:c>
      <x:c r="H1906" t="n">
        <x:f>Dashboard_Live_Data!AW190</x:f>
        <x:v>4023.918873075728</x:v>
      </x:c>
    </x:row>
    <x:row r="1907">
      <x:c r="A1907" t="n">
        <x:f>Dashboard_Live_Data!AP191</x:f>
        <x:v>34.5</x:v>
      </x:c>
      <x:c r="B1907" t="n">
        <x:f>Dashboard_Live_Data!AQ191</x:f>
        <x:v>2694.58931326976</x:v>
      </x:c>
      <x:c r="C1907" t="n">
        <x:f>Dashboard_Live_Data!AR191</x:f>
        <x:v>230</x:v>
      </x:c>
      <x:c r="D1907" t="n">
        <x:f>Dashboard_Live_Data!AS191</x:f>
        <x:v>1921.4798302362296</x:v>
      </x:c>
      <x:c r="E1907" t="n">
        <x:f>Dashboard_Live_Data!AT191</x:f>
        <x:v>460</x:v>
      </x:c>
      <x:c r="F1907" t="n">
        <x:f>Dashboard_Live_Data!AU191</x:f>
        <x:v>4132.747732519659</x:v>
      </x:c>
      <x:c r="G1907" t="n">
        <x:f>Dashboard_Live_Data!AV191</x:f>
        <x:v>460</x:v>
      </x:c>
      <x:c r="H1907" t="n">
        <x:f>Dashboard_Live_Data!AW191</x:f>
        <x:v>4102.500411292229</x:v>
      </x:c>
    </x:row>
    <x:row r="1908">
      <x:c r="A1908" t="n">
        <x:f>Dashboard_Live_Data!AP192</x:f>
        <x:v>34.980000000000004</x:v>
      </x:c>
      <x:c r="B1908" t="n">
        <x:f>Dashboard_Live_Data!AQ192</x:f>
        <x:v>2695.227838941296</x:v>
      </x:c>
      <x:c r="C1908" t="n">
        <x:f>Dashboard_Live_Data!AR192</x:f>
        <x:v>233.19999999999993</x:v>
      </x:c>
      <x:c r="D1908" t="n">
        <x:f>Dashboard_Live_Data!AS192</x:f>
        <x:v>1953.587948364663</x:v>
      </x:c>
      <x:c r="E1908" t="n">
        <x:f>Dashboard_Live_Data!AT192</x:f>
        <x:v>466.39999999999986</x:v>
      </x:c>
      <x:c r="F1908" t="n">
        <x:f>Dashboard_Live_Data!AU192</x:f>
        <x:v>4211.941309035313</x:v>
      </x:c>
      <x:c r="G1908" t="n">
        <x:f>Dashboard_Live_Data!AV192</x:f>
        <x:v>466.39999999999986</x:v>
      </x:c>
      <x:c r="H1908" t="n">
        <x:f>Dashboard_Live_Data!AW192</x:f>
        <x:v>4181.912259453965</x:v>
      </x:c>
    </x:row>
    <x:row r="1909">
      <x:c r="A1909" t="n">
        <x:f>Dashboard_Live_Data!AP193</x:f>
        <x:v>35.52000000000001</x:v>
      </x:c>
      <x:c r="B1909" t="n">
        <x:f>Dashboard_Live_Data!AQ193</x:f>
        <x:v>2695.8930735840954</x:v>
      </x:c>
      <x:c r="C1909" t="n">
        <x:f>Dashboard_Live_Data!AR193</x:f>
        <x:v>236.80000000000007</x:v>
      </x:c>
      <x:c r="D1909" t="n">
        <x:f>Dashboard_Live_Data!AS193</x:f>
        <x:v>1990.0401318933384</x:v>
      </x:c>
      <x:c r="E1909" t="n">
        <x:f>Dashboard_Live_Data!AT193</x:f>
        <x:v>473.60000000000014</x:v>
      </x:c>
      <x:c r="F1909" t="n">
        <x:f>Dashboard_Live_Data!AU193</x:f>
        <x:v>4301.463511833895</x:v>
      </x:c>
      <x:c r="G1909" t="n">
        <x:f>Dashboard_Live_Data!AV193</x:f>
        <x:v>473.60000000000014</x:v>
      </x:c>
      <x:c r="H1909" t="n">
        <x:f>Dashboard_Live_Data!AW193</x:f>
        <x:v>4271.704846882371</x:v>
      </x:c>
    </x:row>
    <x:row r="1910">
      <x:c r="A1910" t="n">
        <x:f>Dashboard_Live_Data!AP194</x:f>
        <x:v>36</x:v>
      </x:c>
      <x:c r="B1910" t="n">
        <x:f>Dashboard_Live_Data!AQ194</x:f>
        <x:v>2696.4463864364902</x:v>
      </x:c>
      <x:c r="C1910" t="n">
        <x:f>Dashboard_Live_Data!AR194</x:f>
        <x:v>240</x:v>
      </x:c>
      <x:c r="D1910" t="n">
        <x:f>Dashboard_Live_Data!AS194</x:f>
        <x:v>2022.880167968336</x:v>
      </x:c>
      <x:c r="E1910" t="n">
        <x:f>Dashboard_Live_Data!AT194</x:f>
        <x:v>480</x:v>
      </x:c>
      <x:c r="F1910" t="n">
        <x:f>Dashboard_Live_Data!AU194</x:f>
        <x:v>4382.539155040683</x:v>
      </x:c>
      <x:c r="G1910" t="n">
        <x:f>Dashboard_Live_Data!AV194</x:f>
        <x:v>480</x:v>
      </x:c>
      <x:c r="H1910" t="n">
        <x:f>Dashboard_Live_Data!AW194</x:f>
        <x:v>4353.025992120449</x:v>
      </x:c>
    </x:row>
    <x:row r="1911">
      <x:c r="A1911" t="n">
        <x:f>Dashboard_Live_Data!AP195</x:f>
        <x:v>36.480000000000004</x:v>
      </x:c>
      <x:c r="B1911" t="n">
        <x:f>Dashboard_Live_Data!AQ195</x:f>
        <x:v>2696.984703352465</x:v>
      </x:c>
      <x:c r="C1911" t="n">
        <x:f>Dashboard_Live_Data!AR195</x:f>
        <x:v>243.20000000000005</x:v>
      </x:c>
      <x:c r="D1911" t="n">
        <x:f>Dashboard_Live_Data!AS195</x:f>
        <x:v>2055.916701140966</x:v>
      </x:c>
      <x:c r="E1911" t="n">
        <x:f>Dashboard_Live_Data!AT195</x:f>
        <x:v>486.4000000000001</x:v>
      </x:c>
      <x:c r="F1911" t="n">
        <x:f>Dashboard_Live_Data!AU195</x:f>
        <x:v>4463.734853187518</x:v>
      </x:c>
      <x:c r="G1911" t="n">
        <x:f>Dashboard_Live_Data!AV195</x:f>
        <x:v>486.4000000000001</x:v>
      </x:c>
      <x:c r="H1911" t="n">
        <x:f>Dashboard_Live_Data!AW195</x:f>
        <x:v>4434.491021465697</x:v>
      </x:c>
    </x:row>
    <x:row r="1912">
      <x:c r="A1912" t="n">
        <x:f>Dashboard_Live_Data!AP196</x:f>
        <x:v>37.019999999999996</x:v>
      </x:c>
      <x:c r="B1912" t="n">
        <x:f>Dashboard_Live_Data!AQ196</x:f>
        <x:v>2697.5027559631244</x:v>
      </x:c>
      <x:c r="C1912" t="n">
        <x:f>Dashboard_Live_Data!AR196</x:f>
        <x:v>246.79999999999995</x:v>
      </x:c>
      <x:c r="D1912" t="n">
        <x:f>Dashboard_Live_Data!AS196</x:f>
        <x:v>2093.535999451723</x:v>
      </x:c>
      <x:c r="E1912" t="n">
        <x:f>Dashboard_Live_Data!AT196</x:f>
        <x:v>493.5999999999999</x:v>
      </x:c>
      <x:c r="F1912" t="n">
        <x:f>Dashboard_Live_Data!AU196</x:f>
        <x:v>4556.388569519348</x:v>
      </x:c>
      <x:c r="G1912" t="n">
        <x:f>Dashboard_Live_Data!AV196</x:f>
        <x:v>493.5999999999999</x:v>
      </x:c>
      <x:c r="H1912" t="n">
        <x:f>Dashboard_Live_Data!AW196</x:f>
        <x:v>4527.459520818479</x:v>
      </x:c>
    </x:row>
    <x:row r="1913">
      <x:c r="A1913" t="n">
        <x:f>Dashboard_Live_Data!AP197</x:f>
        <x:v>37.5</x:v>
      </x:c>
      <x:c r="B1913" t="n">
        <x:f>Dashboard_Live_Data!AQ197</x:f>
        <x:v>2698.211716438776</x:v>
      </x:c>
      <x:c r="C1913" t="n">
        <x:f>Dashboard_Live_Data!AR197</x:f>
        <x:v>250</x:v>
      </x:c>
      <x:c r="D1913" t="n">
        <x:f>Dashboard_Live_Data!AS197</x:f>
        <x:v>2127.089015227387</x:v>
      </x:c>
      <x:c r="E1913" t="n">
        <x:f>Dashboard_Live_Data!AT197</x:f>
        <x:v>500</x:v>
      </x:c>
      <x:c r="F1913" t="n">
        <x:f>Dashboard_Live_Data!AU197</x:f>
        <x:v>4639.808507150277</x:v>
      </x:c>
      <x:c r="G1913" t="n">
        <x:f>Dashboard_Live_Data!AV197</x:f>
        <x:v>500</x:v>
      </x:c>
      <x:c r="H1913" t="n">
        <x:f>Dashboard_Live_Data!AW197</x:f>
        <x:v>4611.171611868267</x:v>
      </x:c>
    </x:row>
    <x:row r="1914">
      <x:c r="A1914" t="n">
        <x:f>Dashboard_Live_Data!AP198</x:f>
        <x:v>37.980000000000004</x:v>
      </x:c>
      <x:c r="B1914" t="n">
        <x:f>Dashboard_Live_Data!AQ198</x:f>
        <x:v>2698.7445748679534</x:v>
      </x:c>
      <x:c r="C1914" t="n">
        <x:f>Dashboard_Live_Data!AR198</x:f>
        <x:v>253.20000000000005</x:v>
      </x:c>
      <x:c r="D1914" t="n">
        <x:f>Dashboard_Live_Data!AS198</x:f>
        <x:v>2160.681927524224</x:v>
      </x:c>
      <x:c r="E1914" t="n">
        <x:f>Dashboard_Live_Data!AT198</x:f>
        <x:v>506.4000000000001</x:v>
      </x:c>
      <x:c r="F1914" t="n">
        <x:f>Dashboard_Live_Data!AU198</x:f>
        <x:v>4723.475434804295</x:v>
      </x:c>
      <x:c r="G1914" t="n">
        <x:f>Dashboard_Live_Data!AV198</x:f>
        <x:v>506.4000000000001</x:v>
      </x:c>
      <x:c r="H1914" t="n">
        <x:f>Dashboard_Live_Data!AW198</x:f>
        <x:v>4695.15163279323</x:v>
      </x:c>
    </x:row>
    <x:row r="1915">
      <x:c r="A1915" t="n">
        <x:f>Dashboard_Live_Data!AP199</x:f>
        <x:v>38.519999999999996</x:v>
      </x:c>
      <x:c r="B1915" t="n">
        <x:f>Dashboard_Live_Data!AQ199</x:f>
        <x:v>2699.550750181976</x:v>
      </x:c>
      <x:c r="C1915" t="n">
        <x:f>Dashboard_Live_Data!AR199</x:f>
        <x:v>256.79999999999995</x:v>
      </x:c>
      <x:c r="D1915" t="n">
        <x:f>Dashboard_Live_Data!AS199</x:f>
        <x:v>2198.86700095953</x:v>
      </x:c>
      <x:c r="E1915" t="n">
        <x:f>Dashboard_Live_Data!AT199</x:f>
        <x:v>513.5999999999999</x:v>
      </x:c>
      <x:c r="F1915" t="n">
        <x:f>Dashboard_Live_Data!AU199</x:f>
        <x:v>4819.254362723023</x:v>
      </x:c>
      <x:c r="G1915" t="n">
        <x:f>Dashboard_Live_Data!AV199</x:f>
        <x:v>513.5999999999999</x:v>
      </x:c>
      <x:c r="H1915" t="n">
        <x:f>Dashboard_Live_Data!AW199</x:f>
        <x:v>4791.291285020115</x:v>
      </x:c>
    </x:row>
    <x:row r="1916">
      <x:c r="A1916" t="n">
        <x:f>Dashboard_Live_Data!AP200</x:f>
        <x:v>39</x:v>
      </x:c>
      <x:c r="B1916" t="n">
        <x:f>Dashboard_Live_Data!AQ200</x:f>
        <x:v>2700.1000665260294</x:v>
      </x:c>
      <x:c r="C1916" t="n">
        <x:f>Dashboard_Live_Data!AR200</x:f>
        <x:v>260</x:v>
      </x:c>
      <x:c r="D1916" t="n">
        <x:f>Dashboard_Live_Data!AS200</x:f>
        <x:v>2233.3796452003226</x:v>
      </x:c>
      <x:c r="E1916" t="n">
        <x:f>Dashboard_Live_Data!AT200</x:f>
        <x:v>520</x:v>
      </x:c>
      <x:c r="F1916" t="n">
        <x:f>Dashboard_Live_Data!AU200</x:f>
        <x:v>4905.006260578229</x:v>
      </x:c>
      <x:c r="G1916" t="n">
        <x:f>Dashboard_Live_Data!AV200</x:f>
        <x:v>520</x:v>
      </x:c>
      <x:c r="H1916" t="n">
        <x:f>Dashboard_Live_Data!AW200</x:f>
        <x:v>4877.381630844184</x:v>
      </x:c>
    </x:row>
    <x:row r="1917">
      <x:c r="A1917" t="n">
        <x:f>Dashboard_Live_Data!AP201</x:f>
        <x:v>39.47999999999999</x:v>
      </x:c>
      <x:c r="B1917" t="n">
        <x:f>Dashboard_Live_Data!AQ201</x:f>
        <x:v>2700.798934050626</x:v>
      </x:c>
      <x:c r="C1917" t="n">
        <x:f>Dashboard_Live_Data!AR201</x:f>
        <x:v>263.19999999999993</x:v>
      </x:c>
      <x:c r="D1917" t="n">
        <x:f>Dashboard_Live_Data!AS201</x:f>
        <x:v>2268.093572924754</x:v>
      </x:c>
      <x:c r="E1917" t="n">
        <x:f>Dashboard_Live_Data!AT201</x:f>
        <x:v>526.3999999999999</x:v>
      </x:c>
      <x:c r="F1917" t="n">
        <x:f>Dashboard_Live_Data!AU201</x:f>
        <x:v>4991.48938144948</x:v>
      </x:c>
      <x:c r="G1917" t="n">
        <x:f>Dashboard_Live_Data!AV201</x:f>
        <x:v>526.3999999999999</x:v>
      </x:c>
      <x:c r="H1917" t="n">
        <x:f>Dashboard_Live_Data!AW201</x:f>
        <x:v>4964.217996293782</x:v>
      </x:c>
    </x:row>
    <x:row r="1918">
      <x:c r="A1918" t="n">
        <x:f>Dashboard_Live_Data!AP202</x:f>
        <x:v>40.019999999999996</x:v>
      </x:c>
      <x:c r="B1918" t="n">
        <x:f>Dashboard_Live_Data!AQ202</x:f>
        <x:v>2701.6135071673953</x:v>
      </x:c>
      <x:c r="C1918" t="n">
        <x:f>Dashboard_Live_Data!AR202</x:f>
        <x:v>266.80000000000007</x:v>
      </x:c>
      <x:c r="D1918" t="n">
        <x:f>Dashboard_Live_Data!AS202</x:f>
        <x:v>2307.269279658743</x:v>
      </x:c>
      <x:c r="E1918" t="n">
        <x:f>Dashboard_Live_Data!AT202</x:f>
        <x:v>533.6000000000001</x:v>
      </x:c>
      <x:c r="F1918" t="n">
        <x:f>Dashboard_Live_Data!AU202</x:f>
        <x:v>5090.147049793061</x:v>
      </x:c>
      <x:c r="G1918" t="n">
        <x:f>Dashboard_Live_Data!AV202</x:f>
        <x:v>533.6000000000001</x:v>
      </x:c>
      <x:c r="H1918" t="n">
        <x:f>Dashboard_Live_Data!AW202</x:f>
        <x:v>5063.28575218447</x:v>
      </x:c>
    </x:row>
    <x:row r="1919">
      <x:c r="A1919" t="n">
        <x:f>Dashboard_Live_Data!AP203</x:f>
        <x:v>40.5</x:v>
      </x:c>
      <x:c r="B1919" t="n">
        <x:f>Dashboard_Live_Data!AQ203</x:f>
        <x:v>2702.227556402274</x:v>
      </x:c>
      <x:c r="C1919" t="n">
        <x:f>Dashboard_Live_Data!AR203</x:f>
        <x:v>270</x:v>
      </x:c>
      <x:c r="D1919" t="n">
        <x:f>Dashboard_Live_Data!AS203</x:f>
        <x:v>2342.397836711693</x:v>
      </x:c>
      <x:c r="E1919" t="n">
        <x:f>Dashboard_Live_Data!AT203</x:f>
        <x:v>540</x:v>
      </x:c>
      <x:c r="F1919" t="n">
        <x:f>Dashboard_Live_Data!AU203</x:f>
        <x:v>5178.508279581122</x:v>
      </x:c>
      <x:c r="G1919" t="n">
        <x:f>Dashboard_Live_Data!AV203</x:f>
        <x:v>540</x:v>
      </x:c>
      <x:c r="H1919" t="n">
        <x:f>Dashboard_Live_Data!AW203</x:f>
        <x:v>5152.028386800917</x:v>
      </x:c>
    </x:row>
    <x:row r="1920">
      <x:c r="A1920" t="n">
        <x:f>Dashboard_Live_Data!AP204</x:f>
        <x:v>40.980000000000004</x:v>
      </x:c>
      <x:c r="B1920" t="n">
        <x:f>Dashboard_Live_Data!AQ204</x:f>
        <x:v>2702.9347012405674</x:v>
      </x:c>
      <x:c r="C1920" t="n">
        <x:f>Dashboard_Live_Data!AR204</x:f>
        <x:v>273.20000000000005</x:v>
      </x:c>
      <x:c r="D1920" t="n">
        <x:f>Dashboard_Live_Data!AS204</x:f>
        <x:v>2377.586319197082</x:v>
      </x:c>
      <x:c r="E1920" t="n">
        <x:f>Dashboard_Live_Data!AT204</x:f>
        <x:v>546.4000000000001</x:v>
      </x:c>
      <x:c r="F1920" t="n">
        <x:f>Dashboard_Live_Data!AU204</x:f>
        <x:v>5267.481291794921</x:v>
      </x:c>
      <x:c r="G1920" t="n">
        <x:f>Dashboard_Live_Data!AV204</x:f>
        <x:v>546.4000000000001</x:v>
      </x:c>
      <x:c r="H1920" t="n">
        <x:f>Dashboard_Live_Data!AW204</x:f>
        <x:v>5241.398522516475</x:v>
      </x:c>
    </x:row>
    <x:row r="1921">
      <x:c r="A1921" t="n">
        <x:f>Dashboard_Live_Data!AP205</x:f>
        <x:v>41.519999999999996</x:v>
      </x:c>
      <x:c r="B1921" t="n">
        <x:f>Dashboard_Live_Data!AQ205</x:f>
        <x:v>2703.810254870827</x:v>
      </x:c>
      <x:c r="C1921" t="n">
        <x:f>Dashboard_Live_Data!AR205</x:f>
        <x:v>276.79999999999995</x:v>
      </x:c>
      <x:c r="D1921" t="n">
        <x:f>Dashboard_Live_Data!AS205</x:f>
        <x:v>2417.6598864735997</x:v>
      </x:c>
      <x:c r="E1921" t="n">
        <x:f>Dashboard_Live_Data!AT205</x:f>
        <x:v>553.5999999999999</x:v>
      </x:c>
      <x:c r="F1921" t="n">
        <x:f>Dashboard_Live_Data!AU205</x:f>
        <x:v>5369.156120221762</x:v>
      </x:c>
      <x:c r="G1921" t="n">
        <x:f>Dashboard_Live_Data!AV205</x:f>
        <x:v>553.5999999999999</x:v>
      </x:c>
      <x:c r="H1921" t="n">
        <x:f>Dashboard_Live_Data!AW205</x:f>
        <x:v>5343.531299949264</x:v>
      </x:c>
    </x:row>
    <x:row r="1922">
      <x:c r="A1922" t="n">
        <x:f>Dashboard_Live_Data!AP206</x:f>
        <x:v>42</x:v>
      </x:c>
      <x:c r="B1922" t="n">
        <x:f>Dashboard_Live_Data!AQ206</x:f>
        <x:v>2704.614349908813</x:v>
      </x:c>
      <x:c r="C1922" t="n">
        <x:f>Dashboard_Live_Data!AR206</x:f>
        <x:v>280</x:v>
      </x:c>
      <x:c r="D1922" t="n">
        <x:f>Dashboard_Live_Data!AS206</x:f>
        <x:v>2453.8264418630224</x:v>
      </x:c>
      <x:c r="E1922" t="n">
        <x:f>Dashboard_Live_Data!AT206</x:f>
        <x:v>560</x:v>
      </x:c>
      <x:c r="F1922" t="n">
        <x:f>Dashboard_Live_Data!AU206</x:f>
        <x:v>5459.8605829957</x:v>
      </x:c>
      <x:c r="G1922" t="n">
        <x:f>Dashboard_Live_Data!AV206</x:f>
        <x:v>560</x:v>
      </x:c>
      <x:c r="H1922" t="n">
        <x:f>Dashboard_Live_Data!AW206</x:f>
        <x:v>5434.662150530807</x:v>
      </x:c>
    </x:row>
    <x:row r="1923">
      <x:c r="A1923" t="n">
        <x:f>Dashboard_Live_Data!AP207</x:f>
        <x:v>42.480000000000004</x:v>
      </x:c>
      <x:c r="B1923" t="n">
        <x:f>Dashboard_Live_Data!AQ207</x:f>
        <x:v>2705.349531148823</x:v>
      </x:c>
      <x:c r="C1923" t="n">
        <x:f>Dashboard_Live_Data!AR207</x:f>
        <x:v>283.19999999999993</x:v>
      </x:c>
      <x:c r="D1923" t="n">
        <x:f>Dashboard_Live_Data!AS207</x:f>
        <x:v>2490.2166397829856</x:v>
      </x:c>
      <x:c r="E1923" t="n">
        <x:f>Dashboard_Live_Data!AT207</x:f>
        <x:v>566.3999999999999</x:v>
      </x:c>
      <x:c r="F1923" t="n">
        <x:f>Dashboard_Live_Data!AU207</x:f>
        <x:v>5551.638851287593</x:v>
      </x:c>
      <x:c r="G1923" t="n">
        <x:f>Dashboard_Live_Data!AV207</x:f>
        <x:v>566.3999999999999</x:v>
      </x:c>
      <x:c r="H1923" t="n">
        <x:f>Dashboard_Live_Data!AW207</x:f>
        <x:v>5526.87837903783</x:v>
      </x:c>
    </x:row>
    <x:row r="1924">
      <x:c r="A1924" t="n">
        <x:f>Dashboard_Live_Data!AP208</x:f>
        <x:v>43.02000000000001</x:v>
      </x:c>
      <x:c r="B1924" t="n">
        <x:f>Dashboard_Live_Data!AQ208</x:f>
        <x:v>2706.4288747660044</x:v>
      </x:c>
      <x:c r="C1924" t="n">
        <x:f>Dashboard_Live_Data!AR208</x:f>
        <x:v>286.80000000000007</x:v>
      </x:c>
      <x:c r="D1924" t="n">
        <x:f>Dashboard_Live_Data!AS208</x:f>
        <x:v>2531.154808755311</x:v>
      </x:c>
      <x:c r="E1924" t="n">
        <x:f>Dashboard_Live_Data!AT208</x:f>
        <x:v>573.6000000000001</x:v>
      </x:c>
      <x:c r="F1924" t="n">
        <x:f>Dashboard_Live_Data!AU208</x:f>
        <x:v>5656.251189079561</x:v>
      </x:c>
      <x:c r="G1924" t="n">
        <x:f>Dashboard_Live_Data!AV208</x:f>
        <x:v>573.6000000000001</x:v>
      </x:c>
      <x:c r="H1924" t="n">
        <x:f>Dashboard_Live_Data!AW208</x:f>
        <x:v>5631.996968936285</x:v>
      </x:c>
    </x:row>
    <x:row r="1925">
      <x:c r="A1925" t="n">
        <x:f>Dashboard_Live_Data!AP209</x:f>
        <x:v>43.5</x:v>
      </x:c>
      <x:c r="B1925" t="n">
        <x:f>Dashboard_Live_Data!AQ209</x:f>
        <x:v>2707.1859976785427</x:v>
      </x:c>
      <x:c r="C1925" t="n">
        <x:f>Dashboard_Live_Data!AR209</x:f>
        <x:v>290</x:v>
      </x:c>
      <x:c r="D1925" t="n">
        <x:f>Dashboard_Live_Data!AS209</x:f>
        <x:v>2567.7411755466196</x:v>
      </x:c>
      <x:c r="E1925" t="n">
        <x:f>Dashboard_Live_Data!AT209</x:f>
        <x:v>580</x:v>
      </x:c>
      <x:c r="F1925" t="n">
        <x:f>Dashboard_Live_Data!AU209</x:f>
        <x:v>5749.3574043712215</x:v>
      </x:c>
      <x:c r="G1925" t="n">
        <x:f>Dashboard_Live_Data!AV209</x:f>
        <x:v>580</x:v>
      </x:c>
      <x:c r="H1925" t="n">
        <x:f>Dashboard_Live_Data!AW209</x:f>
        <x:v>5725.5731708500725</x:v>
      </x:c>
    </x:row>
    <x:row r="1926">
      <x:c r="A1926" t="n">
        <x:f>Dashboard_Live_Data!AP210</x:f>
        <x:v>43.980000000000004</x:v>
      </x:c>
      <x:c r="B1926" t="n">
        <x:f>Dashboard_Live_Data!AQ210</x:f>
        <x:v>2708.0535136916324</x:v>
      </x:c>
      <x:c r="C1926" t="n">
        <x:f>Dashboard_Live_Data!AR210</x:f>
        <x:v>293.20000000000005</x:v>
      </x:c>
      <x:c r="D1926" t="n">
        <x:f>Dashboard_Live_Data!AS210</x:f>
        <x:v>2604.7028372749974</x:v>
      </x:c>
      <x:c r="E1926" t="n">
        <x:f>Dashboard_Live_Data!AT210</x:f>
        <x:v>586.4000000000001</x:v>
      </x:c>
      <x:c r="F1926" t="n">
        <x:f>Dashboard_Live_Data!AU210</x:f>
        <x:v>5844.274620092532</x:v>
      </x:c>
      <x:c r="G1926" t="n">
        <x:f>Dashboard_Live_Data!AV210</x:f>
        <x:v>586.4000000000001</x:v>
      </x:c>
      <x:c r="H1926" t="n">
        <x:f>Dashboard_Live_Data!AW210</x:f>
        <x:v>5820.9670434296495</x:v>
      </x:c>
    </x:row>
    <x:row r="1927">
      <x:c r="A1927" t="n">
        <x:f>Dashboard_Live_Data!AP211</x:f>
        <x:v>44.519999999999996</x:v>
      </x:c>
      <x:c r="B1927" t="n">
        <x:f>Dashboard_Live_Data!AQ211</x:f>
        <x:v>2708.9759331232062</x:v>
      </x:c>
      <x:c r="C1927" t="n">
        <x:f>Dashboard_Live_Data!AR211</x:f>
        <x:v>296.79999999999995</x:v>
      </x:c>
      <x:c r="D1927" t="n">
        <x:f>Dashboard_Live_Data!AS211</x:f>
        <x:v>2646.979433940708</x:v>
      </x:c>
      <x:c r="E1927" t="n">
        <x:f>Dashboard_Live_Data!AT211</x:f>
        <x:v>593.5999999999999</x:v>
      </x:c>
      <x:c r="F1927" t="n">
        <x:f>Dashboard_Live_Data!AU211</x:f>
        <x:v>5951.428965774956</x:v>
      </x:c>
      <x:c r="G1927" t="n">
        <x:f>Dashboard_Live_Data!AV211</x:f>
        <x:v>593.5999999999999</x:v>
      </x:c>
      <x:c r="H1927" t="n">
        <x:f>Dashboard_Live_Data!AW211</x:f>
        <x:v>5928.678003819094</x:v>
      </x:c>
    </x:row>
    <x:row r="1928">
      <x:c r="A1928" t="n">
        <x:f>Dashboard_Live_Data!AP212</x:f>
        <x:v>45</x:v>
      </x:c>
      <x:c r="B1928" t="n">
        <x:f>Dashboard_Live_Data!AQ212</x:f>
        <x:v>2709.9297554985205</x:v>
      </x:c>
      <x:c r="C1928" t="n">
        <x:f>Dashboard_Live_Data!AR212</x:f>
        <x:v>300</x:v>
      </x:c>
      <x:c r="D1928" t="n">
        <x:f>Dashboard_Live_Data!AS212</x:f>
        <x:v>2684.8439175922745</x:v>
      </x:c>
      <x:c r="E1928" t="n">
        <x:f>Dashboard_Live_Data!AT212</x:f>
        <x:v>600</x:v>
      </x:c>
      <x:c r="F1928" t="n">
        <x:f>Dashboard_Live_Data!AU212</x:f>
        <x:v>6047.7020502811065</x:v>
      </x:c>
      <x:c r="G1928" t="n">
        <x:f>Dashboard_Live_Data!AV212</x:f>
        <x:v>600</x:v>
      </x:c>
      <x:c r="H1928" t="n">
        <x:f>Dashboard_Live_Data!AW212</x:f>
        <x:v>6025.4591988659095</x:v>
      </x:c>
    </x:row>
    <x:row r="1929">
      <x:c r="A1929" t="n">
        <x:f>Dashboard_Live_Data!AP213</x:f>
        <x:v>45.480000000000004</x:v>
      </x:c>
      <x:c r="B1929" t="n">
        <x:f>Dashboard_Live_Data!AQ213</x:f>
        <x:v>2710.776759778393</x:v>
      </x:c>
      <x:c r="C1929" t="n">
        <x:f>Dashboard_Live_Data!AR213</x:f>
        <x:v>303.20000000000005</x:v>
      </x:c>
      <x:c r="D1929" t="n">
        <x:f>Dashboard_Live_Data!AS213</x:f>
        <x:v>2722.7356281270404</x:v>
      </x:c>
      <x:c r="E1929" t="n">
        <x:f>Dashboard_Live_Data!AT213</x:f>
        <x:v>606.4000000000001</x:v>
      </x:c>
      <x:c r="F1929" t="n">
        <x:f>Dashboard_Live_Data!AU213</x:f>
        <x:v>6145.111338452737</x:v>
      </x:c>
      <x:c r="G1929" t="n">
        <x:f>Dashboard_Live_Data!AV213</x:f>
        <x:v>606.4000000000001</x:v>
      </x:c>
      <x:c r="H1929" t="n">
        <x:f>Dashboard_Live_Data!AW213</x:f>
        <x:v>6123.388242453002</x:v>
      </x:c>
    </x:row>
    <x:row r="1930">
      <x:c r="A1930" t="n">
        <x:f>Dashboard_Live_Data!AP214</x:f>
        <x:v>46.019999999999996</x:v>
      </x:c>
      <x:c r="B1930" t="n">
        <x:f>Dashboard_Live_Data!AQ214</x:f>
        <x:v>2711.675685734151</x:v>
      </x:c>
      <x:c r="C1930" t="n">
        <x:f>Dashboard_Live_Data!AR214</x:f>
        <x:v>306.79999999999995</x:v>
      </x:c>
      <x:c r="D1930" t="n">
        <x:f>Dashboard_Live_Data!AS214</x:f>
        <x:v>2765.514130169189</x:v>
      </x:c>
      <x:c r="E1930" t="n">
        <x:f>Dashboard_Live_Data!AT214</x:f>
        <x:v>613.5999999999999</x:v>
      </x:c>
      <x:c r="F1930" t="n">
        <x:f>Dashboard_Live_Data!AU214</x:f>
        <x:v>6255.2175947007745</x:v>
      </x:c>
      <x:c r="G1930" t="n">
        <x:f>Dashboard_Live_Data!AV214</x:f>
        <x:v>613.5999999999999</x:v>
      </x:c>
      <x:c r="H1930" t="n">
        <x:f>Dashboard_Live_Data!AW214</x:f>
        <x:v>6234.097857525002</x:v>
      </x:c>
    </x:row>
    <x:row r="1931">
      <x:c r="A1931" t="n">
        <x:f>Dashboard_Live_Data!AP215</x:f>
        <x:v>46.5</x:v>
      </x:c>
      <x:c r="B1931" t="n">
        <x:f>Dashboard_Live_Data!AQ215</x:f>
        <x:v>2712.618819612096</x:v>
      </x:c>
      <x:c r="C1931" t="n">
        <x:f>Dashboard_Live_Data!AR215</x:f>
        <x:v>310</x:v>
      </x:c>
      <x:c r="D1931" t="n">
        <x:f>Dashboard_Live_Data!AS215</x:f>
        <x:v>2803.976331236653</x:v>
      </x:c>
      <x:c r="E1931" t="n">
        <x:f>Dashboard_Live_Data!AT215</x:f>
        <x:v>620</x:v>
      </x:c>
      <x:c r="F1931" t="n">
        <x:f>Dashboard_Live_Data!AU215</x:f>
        <x:v>6354.28082575311</x:v>
      </x:c>
      <x:c r="G1931" t="n">
        <x:f>Dashboard_Live_Data!AV215</x:f>
        <x:v>620</x:v>
      </x:c>
      <x:c r="H1931" t="n">
        <x:f>Dashboard_Live_Data!AW215</x:f>
        <x:v>6333.709831112798</x:v>
      </x:c>
    </x:row>
    <x:row r="1932">
      <x:c r="A1932" t="n">
        <x:f>Dashboard_Live_Data!AP216</x:f>
        <x:v>46.97999999999999</x:v>
      </x:c>
      <x:c r="B1932" t="n">
        <x:f>Dashboard_Live_Data!AQ216</x:f>
        <x:v>2713.403250630905</x:v>
      </x:c>
      <x:c r="C1932" t="n">
        <x:f>Dashboard_Live_Data!AR216</x:f>
        <x:v>313.19999999999993</x:v>
      </x:c>
      <x:c r="D1932" t="n">
        <x:f>Dashboard_Live_Data!AS216</x:f>
        <x:v>2842.8304615876677</x:v>
      </x:c>
      <x:c r="E1932" t="n">
        <x:f>Dashboard_Live_Data!AT216</x:f>
        <x:v>626.3999999999999</x:v>
      </x:c>
      <x:c r="F1932" t="n">
        <x:f>Dashboard_Live_Data!AU216</x:f>
        <x:v>6454.255793929251</x:v>
      </x:c>
      <x:c r="G1932" t="n">
        <x:f>Dashboard_Live_Data!AV216</x:f>
        <x:v>626.3999999999999</x:v>
      </x:c>
      <x:c r="H1932" t="n">
        <x:f>Dashboard_Live_Data!AW216</x:f>
        <x:v>6434.24640902367</x:v>
      </x:c>
    </x:row>
    <x:row r="1933">
      <x:c r="A1933" t="n">
        <x:f>Dashboard_Live_Data!AP217</x:f>
        <x:v>47.519999999999996</x:v>
      </x:c>
      <x:c r="B1933" t="n">
        <x:f>Dashboard_Live_Data!AQ217</x:f>
        <x:v>2714.430532583016</x:v>
      </x:c>
      <x:c r="C1933" t="n">
        <x:f>Dashboard_Live_Data!AR217</x:f>
        <x:v>316.80000000000007</x:v>
      </x:c>
      <x:c r="D1933" t="n">
        <x:f>Dashboard_Live_Data!AS217</x:f>
        <x:v>2886.984046410364</x:v>
      </x:c>
      <x:c r="E1933" t="n">
        <x:f>Dashboard_Live_Data!AT217</x:f>
        <x:v>633.6000000000001</x:v>
      </x:c>
      <x:c r="F1933" t="n">
        <x:f>Dashboard_Live_Data!AU217</x:f>
        <x:v>6567.347290290034</x:v>
      </x:c>
      <x:c r="G1933" t="n">
        <x:f>Dashboard_Live_Data!AV217</x:f>
        <x:v>633.6000000000001</x:v>
      </x:c>
      <x:c r="H1933" t="n">
        <x:f>Dashboard_Live_Data!AW217</x:f>
        <x:v>6547.987188435632</x:v>
      </x:c>
    </x:row>
    <x:row r="1934">
      <x:c r="A1934" t="n">
        <x:f>Dashboard_Live_Data!AP218</x:f>
        <x:v>48</x:v>
      </x:c>
      <x:c r="B1934" t="n">
        <x:f>Dashboard_Live_Data!AQ218</x:f>
        <x:v>2715.124057836022</x:v>
      </x:c>
      <x:c r="C1934" t="n">
        <x:f>Dashboard_Live_Data!AR218</x:f>
        <x:v>320</x:v>
      </x:c>
      <x:c r="D1934" t="n">
        <x:f>Dashboard_Live_Data!AS218</x:f>
        <x:v>2926.6072868304295</x:v>
      </x:c>
      <x:c r="E1934" t="n">
        <x:f>Dashboard_Live_Data!AT218</x:f>
        <x:v>640</x:v>
      </x:c>
      <x:c r="F1934" t="n">
        <x:f>Dashboard_Live_Data!AU218</x:f>
        <x:v>6669.157766597429</x:v>
      </x:c>
      <x:c r="G1934" t="n">
        <x:f>Dashboard_Live_Data!AV218</x:f>
        <x:v>640</x:v>
      </x:c>
      <x:c r="H1934" t="n">
        <x:f>Dashboard_Live_Data!AW218</x:f>
        <x:v>6650.38687135412</x:v>
      </x:c>
    </x:row>
    <x:row r="1935">
      <x:c r="A1935" t="n">
        <x:f>Dashboard_Live_Data!AP219</x:f>
        <x:v>48.480000000000004</x:v>
      </x:c>
      <x:c r="B1935" t="n">
        <x:f>Dashboard_Live_Data!AQ219</x:f>
        <x:v>2716.028847901768</x:v>
      </x:c>
      <x:c r="C1935" t="n">
        <x:f>Dashboard_Live_Data!AR219</x:f>
        <x:v>323.20000000000005</x:v>
      </x:c>
      <x:c r="D1935" t="n">
        <x:f>Dashboard_Live_Data!AS219</x:f>
        <x:v>2966.111877040855</x:v>
      </x:c>
      <x:c r="E1935" t="n">
        <x:f>Dashboard_Live_Data!AT219</x:f>
        <x:v>646.4000000000001</x:v>
      </x:c>
      <x:c r="F1935" t="n">
        <x:f>Dashboard_Live_Data!AU219</x:f>
        <x:v>6771.9546878484725</x:v>
      </x:c>
      <x:c r="G1935" t="n">
        <x:f>Dashboard_Live_Data!AV219</x:f>
        <x:v>646.4000000000001</x:v>
      </x:c>
      <x:c r="H1935" t="n">
        <x:f>Dashboard_Live_Data!AW219</x:f>
        <x:v>6753.785456348162</x:v>
      </x:c>
    </x:row>
    <x:row r="1936">
      <x:c r="A1936" t="n">
        <x:f>Dashboard_Live_Data!AP220</x:f>
        <x:v>49.019999999999996</x:v>
      </x:c>
      <x:c r="B1936" t="n">
        <x:f>Dashboard_Live_Data!AQ220</x:f>
        <x:v>2717.001745421667</x:v>
      </x:c>
      <x:c r="C1936" t="n">
        <x:f>Dashboard_Live_Data!AR220</x:f>
        <x:v>326.79999999999995</x:v>
      </x:c>
      <x:c r="D1936" t="n">
        <x:f>Dashboard_Live_Data!AS220</x:f>
        <x:v>3010.783980478043</x:v>
      </x:c>
      <x:c r="E1936" t="n">
        <x:f>Dashboard_Live_Data!AT220</x:f>
        <x:v>653.5999999999999</x:v>
      </x:c>
      <x:c r="F1936" t="n">
        <x:f>Dashboard_Live_Data!AU220</x:f>
        <x:v>6888.021426206603</x:v>
      </x:c>
      <x:c r="G1936" t="n">
        <x:f>Dashboard_Live_Data!AV220</x:f>
        <x:v>653.5999999999999</x:v>
      </x:c>
      <x:c r="H1936" t="n">
        <x:f>Dashboard_Live_Data!AW220</x:f>
        <x:v>6870.546820843922</x:v>
      </x:c>
    </x:row>
    <x:row r="1937">
      <x:c r="A1937" t="n">
        <x:f>Dashboard_Live_Data!AP221</x:f>
        <x:v>49.5</x:v>
      </x:c>
      <x:c r="B1937" t="n">
        <x:f>Dashboard_Live_Data!AQ221</x:f>
        <x:v>2717.7655816374827</x:v>
      </x:c>
      <x:c r="C1937" t="n">
        <x:f>Dashboard_Live_Data!AR221</x:f>
        <x:v>330</x:v>
      </x:c>
      <x:c r="D1937" t="n">
        <x:f>Dashboard_Live_Data!AS221</x:f>
        <x:v>3051.177959160299</x:v>
      </x:c>
      <x:c r="E1937" t="n">
        <x:f>Dashboard_Live_Data!AT221</x:f>
        <x:v>660</x:v>
      </x:c>
      <x:c r="F1937" t="n">
        <x:f>Dashboard_Live_Data!AU221</x:f>
        <x:v>6992.888996566192</x:v>
      </x:c>
      <x:c r="G1937" t="n">
        <x:f>Dashboard_Live_Data!AV221</x:f>
        <x:v>660</x:v>
      </x:c>
      <x:c r="H1937" t="n">
        <x:f>Dashboard_Live_Data!AW221</x:f>
        <x:v>6976.042519176204</x:v>
      </x:c>
    </x:row>
    <x:row r="1938">
      <x:c r="A1938" t="n">
        <x:f>Dashboard_Live_Data!AP222</x:f>
        <x:v>49.980000000000004</x:v>
      </x:c>
      <x:c r="B1938" t="n">
        <x:f>Dashboard_Live_Data!AQ222</x:f>
        <x:v>2718.562423641157</x:v>
      </x:c>
      <x:c r="C1938" t="n">
        <x:f>Dashboard_Live_Data!AR222</x:f>
        <x:v>333.19999999999993</x:v>
      </x:c>
      <x:c r="D1938" t="n">
        <x:f>Dashboard_Live_Data!AS222</x:f>
        <x:v>3091.992984294787</x:v>
      </x:c>
      <x:c r="E1938" t="n">
        <x:f>Dashboard_Live_Data!AT222</x:f>
        <x:v>666.3999999999999</x:v>
      </x:c>
      <x:c r="F1938" t="n">
        <x:f>Dashboard_Live_Data!AU222</x:f>
        <x:v>7098.013869852497</x:v>
      </x:c>
      <x:c r="G1938" t="n">
        <x:f>Dashboard_Live_Data!AV222</x:f>
        <x:v>666.3999999999999</x:v>
      </x:c>
      <x:c r="H1938" t="n">
        <x:f>Dashboard_Live_Data!AW222</x:f>
        <x:v>7081.81042563662</x:v>
      </x:c>
    </x:row>
    <x:row r="1939">
      <x:c r="A1939" t="n">
        <x:f>Dashboard_Live_Data!AP223</x:f>
        <x:v>50.52000000000001</x:v>
      </x:c>
      <x:c r="B1939" t="n">
        <x:f>Dashboard_Live_Data!AQ223</x:f>
        <x:v>2719.4600228979743</x:v>
      </x:c>
      <x:c r="C1939" t="n">
        <x:f>Dashboard_Live_Data!AR223</x:f>
        <x:v>336.80000000000007</x:v>
      </x:c>
      <x:c r="D1939" t="n">
        <x:f>Dashboard_Live_Data!AS223</x:f>
        <x:v>3137.9971314740387</x:v>
      </x:c>
      <x:c r="E1939" t="n">
        <x:f>Dashboard_Live_Data!AT223</x:f>
        <x:v>673.6000000000001</x:v>
      </x:c>
      <x:c r="F1939" t="n">
        <x:f>Dashboard_Live_Data!AU223</x:f>
        <x:v>7217.546480079484</x:v>
      </x:c>
      <x:c r="G1939" t="n">
        <x:f>Dashboard_Live_Data!AV223</x:f>
        <x:v>673.6000000000001</x:v>
      </x:c>
      <x:c r="H1939" t="n">
        <x:f>Dashboard_Live_Data!AW223</x:f>
        <x:v>7202.080769171895</x:v>
      </x:c>
    </x:row>
    <x:row r="1940">
      <x:c r="A1940" t="n">
        <x:f>Dashboard_Live_Data!AP224</x:f>
        <x:v>51</x:v>
      </x:c>
      <x:c r="B1940" t="n">
        <x:f>Dashboard_Live_Data!AQ224</x:f>
        <x:v>2720.284625130148</x:v>
      </x:c>
      <x:c r="C1940" t="n">
        <x:f>Dashboard_Live_Data!AR224</x:f>
        <x:v>340</x:v>
      </x:c>
      <x:c r="D1940" t="n">
        <x:f>Dashboard_Live_Data!AS224</x:f>
        <x:v>3179.0930306359223</x:v>
      </x:c>
      <x:c r="E1940" t="n">
        <x:f>Dashboard_Live_Data!AT224</x:f>
        <x:v>680</x:v>
      </x:c>
      <x:c r="F1940" t="n">
        <x:f>Dashboard_Live_Data!AU224</x:f>
        <x:v>7325.109272184577</x:v>
      </x:c>
      <x:c r="G1940" t="n">
        <x:f>Dashboard_Live_Data!AV224</x:f>
        <x:v>680</x:v>
      </x:c>
      <x:c r="H1940" t="n">
        <x:f>Dashboard_Live_Data!AW224</x:f>
        <x:v>7310.311593445844</x:v>
      </x:c>
    </x:row>
    <x:row r="1941">
      <x:c r="A1941" t="n">
        <x:f>Dashboard_Live_Data!AP225</x:f>
        <x:v>51.480000000000004</x:v>
      </x:c>
      <x:c r="B1941" t="n">
        <x:f>Dashboard_Live_Data!AQ225</x:f>
        <x:v>2721.136694205718</x:v>
      </x:c>
      <x:c r="C1941" t="n">
        <x:f>Dashboard_Live_Data!AR225</x:f>
        <x:v>343.20000000000005</x:v>
      </x:c>
      <x:c r="D1941" t="n">
        <x:f>Dashboard_Live_Data!AS225</x:f>
        <x:v>3220.474419904112</x:v>
      </x:c>
      <x:c r="E1941" t="n">
        <x:f>Dashboard_Live_Data!AT225</x:f>
        <x:v>686.4000000000001</x:v>
      </x:c>
      <x:c r="F1941" t="n">
        <x:f>Dashboard_Live_Data!AU225</x:f>
        <x:v>7432.782391212268</x:v>
      </x:c>
      <x:c r="G1941" t="n">
        <x:f>Dashboard_Live_Data!AV225</x:f>
        <x:v>686.4000000000001</x:v>
      </x:c>
      <x:c r="H1941" t="n">
        <x:f>Dashboard_Live_Data!AW225</x:f>
        <x:v>7418.6674296546635</x:v>
      </x:c>
    </x:row>
    <x:row r="1942">
      <x:c r="A1942" t="n">
        <x:f>Dashboard_Live_Data!AP226</x:f>
        <x:v>52.019999999999996</x:v>
      </x:c>
      <x:c r="B1942" t="n">
        <x:f>Dashboard_Live_Data!AQ226</x:f>
        <x:v>2722.0161317735797</x:v>
      </x:c>
      <x:c r="C1942" t="n">
        <x:f>Dashboard_Live_Data!AR226</x:f>
        <x:v>346.79999999999995</x:v>
      </x:c>
      <x:c r="D1942" t="n">
        <x:f>Dashboard_Live_Data!AS226</x:f>
        <x:v>3267.386848018475</x:v>
      </x:c>
      <x:c r="E1942" t="n">
        <x:f>Dashboard_Live_Data!AT226</x:f>
        <x:v>693.5999999999999</x:v>
      </x:c>
      <x:c r="F1942" t="n">
        <x:f>Dashboard_Live_Data!AU226</x:f>
        <x:v>7555.73320099179</x:v>
      </x:c>
      <x:c r="G1942" t="n">
        <x:f>Dashboard_Live_Data!AV226</x:f>
        <x:v>693.5999999999999</x:v>
      </x:c>
      <x:c r="H1942" t="n">
        <x:f>Dashboard_Live_Data!AW226</x:f>
        <x:v>7542.399117852137</x:v>
      </x:c>
    </x:row>
    <x:row r="1943">
      <x:c r="A1943" t="n">
        <x:f>Dashboard_Live_Data!AP227</x:f>
        <x:v>52.5</x:v>
      </x:c>
      <x:c r="B1943" t="n">
        <x:f>Dashboard_Live_Data!AQ227</x:f>
        <x:v>2722.8437124522143</x:v>
      </x:c>
      <x:c r="C1943" t="n">
        <x:f>Dashboard_Live_Data!AR227</x:f>
        <x:v>350</x:v>
      </x:c>
      <x:c r="D1943" t="n">
        <x:f>Dashboard_Live_Data!AS227</x:f>
        <x:v>3309.459484632871</x:v>
      </x:c>
      <x:c r="E1943" t="n">
        <x:f>Dashboard_Live_Data!AT227</x:f>
        <x:v>700</x:v>
      </x:c>
      <x:c r="F1943" t="n">
        <x:f>Dashboard_Live_Data!AU227</x:f>
        <x:v>7665.636355141929</x:v>
      </x:c>
      <x:c r="G1943" t="n">
        <x:f>Dashboard_Live_Data!AV227</x:f>
        <x:v>700</x:v>
      </x:c>
      <x:c r="H1943" t="n">
        <x:f>Dashboard_Live_Data!AW227</x:f>
        <x:v>7653.010376100991</x:v>
      </x:c>
    </x:row>
    <x:row r="1944">
      <x:c r="A1944" t="n">
        <x:f>Dashboard_Live_Data!AP228</x:f>
        <x:v>52.980000000000004</x:v>
      </x:c>
      <x:c r="B1944" t="n">
        <x:f>Dashboard_Live_Data!AQ228</x:f>
        <x:v>2723.7535103247137</x:v>
      </x:c>
      <x:c r="C1944" t="n">
        <x:f>Dashboard_Live_Data!AR228</x:f>
        <x:v>353.20000000000005</x:v>
      </x:c>
      <x:c r="D1944" t="n">
        <x:f>Dashboard_Live_Data!AS228</x:f>
        <x:v>3352.0649024359104</x:v>
      </x:c>
      <x:c r="E1944" t="n">
        <x:f>Dashboard_Live_Data!AT228</x:f>
        <x:v>706.4000000000001</x:v>
      </x:c>
      <x:c r="F1944" t="n">
        <x:f>Dashboard_Live_Data!AU228</x:f>
        <x:v>7776.31348402332</x:v>
      </x:c>
      <x:c r="G1944" t="n">
        <x:f>Dashboard_Live_Data!AV228</x:f>
        <x:v>706.4000000000001</x:v>
      </x:c>
      <x:c r="H1944" t="n">
        <x:f>Dashboard_Live_Data!AW228</x:f>
        <x:v>7764.408135091424</x:v>
      </x:c>
    </x:row>
    <x:row r="1945">
      <x:c r="A1945" t="n">
        <x:f>Dashboard_Live_Data!AP229</x:f>
        <x:v>53.519999999999996</x:v>
      </x:c>
      <x:c r="B1945" t="n">
        <x:f>Dashboard_Live_Data!AQ229</x:f>
        <x:v>2724.6194788259563</x:v>
      </x:c>
      <x:c r="C1945" t="n">
        <x:f>Dashboard_Live_Data!AR229</x:f>
        <x:v>356.79999999999995</x:v>
      </x:c>
      <x:c r="D1945" t="n">
        <x:f>Dashboard_Live_Data!AS229</x:f>
        <x:v>3400.2165495983063</x:v>
      </x:c>
      <x:c r="E1945" t="n">
        <x:f>Dashboard_Live_Data!AT229</x:f>
        <x:v>713.5999999999999</x:v>
      </x:c>
      <x:c r="F1945" t="n">
        <x:f>Dashboard_Live_Data!AU229</x:f>
        <x:v>7902.234110027593</x:v>
      </x:c>
      <x:c r="G1945" t="n">
        <x:f>Dashboard_Live_Data!AV229</x:f>
        <x:v>713.5999999999999</x:v>
      </x:c>
      <x:c r="H1945" t="n">
        <x:f>Dashboard_Live_Data!AW229</x:f>
        <x:v>7891.1533948112265</x:v>
      </x:c>
    </x:row>
    <x:row r="1946">
      <x:c r="A1946" t="n">
        <x:f>Dashboard_Live_Data!AP230</x:f>
        <x:v>54</x:v>
      </x:c>
      <x:c r="B1946" t="n">
        <x:f>Dashboard_Live_Data!AQ230</x:f>
        <x:v>2725.542674611314</x:v>
      </x:c>
      <x:c r="C1946" t="n">
        <x:f>Dashboard_Live_Data!AR230</x:f>
        <x:v>360</x:v>
      </x:c>
      <x:c r="D1946" t="n">
        <x:f>Dashboard_Live_Data!AS230</x:f>
        <x:v>3443.039173659275</x:v>
      </x:c>
      <x:c r="E1946" t="n">
        <x:f>Dashboard_Live_Data!AT230</x:f>
        <x:v>720</x:v>
      </x:c>
      <x:c r="F1946" t="n">
        <x:f>Dashboard_Live_Data!AU230</x:f>
        <x:v>8014.969432881394</x:v>
      </x:c>
      <x:c r="G1946" t="n">
        <x:f>Dashboard_Live_Data!AV230</x:f>
        <x:v>720</x:v>
      </x:c>
      <x:c r="H1946" t="n">
        <x:f>Dashboard_Live_Data!AW230</x:f>
        <x:v>8004.634969601828</x:v>
      </x:c>
    </x:row>
    <x:row r="1947">
      <x:c r="A1947" t="n">
        <x:f>Dashboard_Live_Data!AP231</x:f>
        <x:v>54.47999999999999</x:v>
      </x:c>
      <x:c r="B1947" t="n">
        <x:f>Dashboard_Live_Data!AQ231</x:f>
        <x:v>2726.4905339389343</x:v>
      </x:c>
      <x:c r="C1947" t="n">
        <x:f>Dashboard_Live_Data!AR231</x:f>
        <x:v>363.19999999999993</x:v>
      </x:c>
      <x:c r="D1947" t="n">
        <x:f>Dashboard_Live_Data!AS231</x:f>
        <x:v>3486.123112704351</x:v>
      </x:c>
      <x:c r="E1947" t="n">
        <x:f>Dashboard_Live_Data!AT231</x:f>
        <x:v>726.3999999999999</x:v>
      </x:c>
      <x:c r="F1947" t="n">
        <x:f>Dashboard_Live_Data!AU231</x:f>
        <x:v>8128.406130195014</x:v>
      </x:c>
      <x:c r="G1947" t="n">
        <x:f>Dashboard_Live_Data!AV231</x:f>
        <x:v>726.3999999999999</x:v>
      </x:c>
      <x:c r="H1947" t="n">
        <x:f>Dashboard_Live_Data!AW231</x:f>
        <x:v>8118.830347051876</x:v>
      </x:c>
    </x:row>
    <x:row r="1948">
      <x:c r="A1948" t="n">
        <x:f>Dashboard_Live_Data!AP232</x:f>
        <x:v>55.019999999999996</x:v>
      </x:c>
      <x:c r="B1948" t="n">
        <x:f>Dashboard_Live_Data!AQ232</x:f>
        <x:v>2727.3660689754033</x:v>
      </x:c>
      <x:c r="C1948" t="n">
        <x:f>Dashboard_Live_Data!AR232</x:f>
        <x:v>366.80000000000007</x:v>
      </x:c>
      <x:c r="D1948" t="n">
        <x:f>Dashboard_Live_Data!AS232</x:f>
        <x:v>3535.217216361177</x:v>
      </x:c>
      <x:c r="E1948" t="n">
        <x:f>Dashboard_Live_Data!AT232</x:f>
        <x:v>733.6000000000001</x:v>
      </x:c>
      <x:c r="F1948" t="n">
        <x:f>Dashboard_Live_Data!AU232</x:f>
        <x:v>8257.76290026447</x:v>
      </x:c>
      <x:c r="G1948" t="n">
        <x:f>Dashboard_Live_Data!AV232</x:f>
        <x:v>733.6000000000001</x:v>
      </x:c>
      <x:c r="H1948" t="n">
        <x:f>Dashboard_Live_Data!AW232</x:f>
        <x:v>8249.054072142984</x:v>
      </x:c>
    </x:row>
    <x:row r="1949">
      <x:c r="A1949" t="n">
        <x:f>Dashboard_Live_Data!AP233</x:f>
        <x:v>55.5</x:v>
      </x:c>
      <x:c r="B1949" t="n">
        <x:f>Dashboard_Live_Data!AQ233</x:f>
        <x:v>2728.4267562236205</x:v>
      </x:c>
      <x:c r="C1949" t="n">
        <x:f>Dashboard_Live_Data!AR233</x:f>
        <x:v>370</x:v>
      </x:c>
      <x:c r="D1949" t="n">
        <x:f>Dashboard_Live_Data!AS233</x:f>
        <x:v>3579.384617384559</x:v>
      </x:c>
      <x:c r="E1949" t="n">
        <x:f>Dashboard_Live_Data!AT233</x:f>
        <x:v>740</x:v>
      </x:c>
      <x:c r="F1949" t="n">
        <x:f>Dashboard_Live_Data!AU233</x:f>
        <x:v>8373.137731591465</x:v>
      </x:c>
      <x:c r="G1949" t="n">
        <x:f>Dashboard_Live_Data!AV233</x:f>
        <x:v>740</x:v>
      </x:c>
      <x:c r="H1949" t="n">
        <x:f>Dashboard_Live_Data!AW233</x:f>
        <x:v>8365.213114269161</x:v>
      </x:c>
    </x:row>
    <x:row r="1950">
      <x:c r="A1950" t="n">
        <x:f>Dashboard_Live_Data!AP234</x:f>
        <x:v>55.980000000000004</x:v>
      </x:c>
      <x:c r="B1950" t="n">
        <x:f>Dashboard_Live_Data!AQ234</x:f>
        <x:v>2729.345802686525</x:v>
      </x:c>
      <x:c r="C1950" t="n">
        <x:f>Dashboard_Live_Data!AR234</x:f>
        <x:v>373.20000000000005</x:v>
      </x:c>
      <x:c r="D1950" t="n">
        <x:f>Dashboard_Live_Data!AS234</x:f>
        <x:v>3623.801339841583</x:v>
      </x:c>
      <x:c r="E1950" t="n">
        <x:f>Dashboard_Live_Data!AT234</x:f>
        <x:v>746.4000000000001</x:v>
      </x:c>
      <x:c r="F1950" t="n">
        <x:f>Dashboard_Live_Data!AU234</x:f>
        <x:v>8489.606317132935</x:v>
      </x:c>
      <x:c r="G1950" t="n">
        <x:f>Dashboard_Live_Data!AV234</x:f>
        <x:v>746.4000000000001</x:v>
      </x:c>
      <x:c r="H1950" t="n">
        <x:f>Dashboard_Live_Data!AW234</x:f>
        <x:v>8482.477614126423</x:v>
      </x:c>
    </x:row>
    <x:row r="1951">
      <x:c r="A1951" t="n">
        <x:f>Dashboard_Live_Data!AP235</x:f>
        <x:v>56.519999999999996</x:v>
      </x:c>
      <x:c r="B1951" t="n">
        <x:f>Dashboard_Live_Data!AQ235</x:f>
        <x:v>2730.327377287637</x:v>
      </x:c>
      <x:c r="C1951" t="n">
        <x:f>Dashboard_Live_Data!AR235</x:f>
        <x:v>376.79999999999995</x:v>
      </x:c>
      <x:c r="D1951" t="n">
        <x:f>Dashboard_Live_Data!AS235</x:f>
        <x:v>3673.7926080967623</x:v>
      </x:c>
      <x:c r="E1951" t="n">
        <x:f>Dashboard_Live_Data!AT235</x:f>
        <x:v>753.5999999999999</x:v>
      </x:c>
      <x:c r="F1951" t="n">
        <x:f>Dashboard_Live_Data!AU235</x:f>
        <x:v>8622.02423942488</x:v>
      </x:c>
      <x:c r="G1951" t="n">
        <x:f>Dashboard_Live_Data!AV235</x:f>
        <x:v>753.5999999999999</x:v>
      </x:c>
      <x:c r="H1951" t="n">
        <x:f>Dashboard_Live_Data!AW235</x:f>
        <x:v>8615.80489558329</x:v>
      </x:c>
    </x:row>
    <x:row r="1952">
      <x:c r="A1952" t="n">
        <x:f>Dashboard_Live_Data!AP236</x:f>
        <x:v>57</x:v>
      </x:c>
      <x:c r="B1952" t="n">
        <x:f>Dashboard_Live_Data!AQ236</x:f>
        <x:v>2731.2756154062386</x:v>
      </x:c>
      <x:c r="C1952" t="n">
        <x:f>Dashboard_Live_Data!AR236</x:f>
        <x:v>380</x:v>
      </x:c>
      <x:c r="D1952" t="n">
        <x:f>Dashboard_Live_Data!AS236</x:f>
        <x:v>3718.47695762412</x:v>
      </x:c>
      <x:c r="E1952" t="n">
        <x:f>Dashboard_Live_Data!AT236</x:f>
        <x:v>760</x:v>
      </x:c>
      <x:c r="F1952" t="n">
        <x:f>Dashboard_Live_Data!AU236</x:f>
        <x:v>8739.913766874452</x:v>
      </x:c>
      <x:c r="G1952" t="n">
        <x:f>Dashboard_Live_Data!AV236</x:f>
        <x:v>760</x:v>
      </x:c>
      <x:c r="H1952" t="n">
        <x:f>Dashboard_Live_Data!AW236</x:f>
        <x:v>8734.516026047717</x:v>
      </x:c>
    </x:row>
    <x:row r="1953">
      <x:c r="A1953" t="n">
        <x:f>Dashboard_Live_Data!AP237</x:f>
        <x:v>57.480000000000004</x:v>
      </x:c>
      <x:c r="B1953" t="n">
        <x:f>Dashboard_Live_Data!AQ237</x:f>
        <x:v>2732.410990361145</x:v>
      </x:c>
      <x:c r="C1953" t="n">
        <x:f>Dashboard_Live_Data!AR237</x:f>
        <x:v>383.19999999999993</x:v>
      </x:c>
      <x:c r="D1953" t="n">
        <x:f>Dashboard_Live_Data!AS237</x:f>
        <x:v>3763.561788221822</x:v>
      </x:c>
      <x:c r="E1953" t="n">
        <x:f>Dashboard_Live_Data!AT237</x:f>
        <x:v>766.3999999999999</x:v>
      </x:c>
      <x:c r="F1953" t="n">
        <x:f>Dashboard_Live_Data!AU237</x:f>
        <x:v>8859.603644488401</x:v>
      </x:c>
      <x:c r="G1953" t="n">
        <x:f>Dashboard_Live_Data!AV237</x:f>
        <x:v>766.3999999999999</x:v>
      </x:c>
      <x:c r="H1953" t="n">
        <x:f>Dashboard_Live_Data!AW237</x:f>
        <x:v>8855.038605032187</x:v>
      </x:c>
    </x:row>
    <x:row r="1954">
      <x:c r="A1954" t="n">
        <x:f>Dashboard_Live_Data!AP238</x:f>
        <x:v>58.02000000000001</x:v>
      </x:c>
      <x:c r="B1954" t="n">
        <x:f>Dashboard_Live_Data!AQ238</x:f>
        <x:v>2733.3737112683802</x:v>
      </x:c>
      <x:c r="C1954" t="n">
        <x:f>Dashboard_Live_Data!AR238</x:f>
        <x:v>386.80000000000007</x:v>
      </x:c>
      <x:c r="D1954" t="n">
        <x:f>Dashboard_Live_Data!AS238</x:f>
        <x:v>3814.9348272569846</x:v>
      </x:c>
      <x:c r="E1954" t="n">
        <x:f>Dashboard_Live_Data!AT238</x:f>
        <x:v>773.6000000000001</x:v>
      </x:c>
      <x:c r="F1954" t="n">
        <x:f>Dashboard_Live_Data!AU238</x:f>
        <x:v>8994.652022373113</x:v>
      </x:c>
      <x:c r="G1954" t="n">
        <x:f>Dashboard_Live_Data!AV238</x:f>
        <x:v>773.6000000000001</x:v>
      </x:c>
      <x:c r="H1954" t="n">
        <x:f>Dashboard_Live_Data!AW238</x:f>
        <x:v>8991.038286933339</x:v>
      </x:c>
    </x:row>
    <x:row r="1955">
      <x:c r="A1955" t="n">
        <x:f>Dashboard_Live_Data!AP239</x:f>
        <x:v>58.5</x:v>
      </x:c>
      <x:c r="B1955" t="n">
        <x:f>Dashboard_Live_Data!AQ239</x:f>
        <x:v>2734.400824079456</x:v>
      </x:c>
      <x:c r="C1955" t="n">
        <x:f>Dashboard_Live_Data!AR239</x:f>
        <x:v>390</x:v>
      </x:c>
      <x:c r="D1955" t="n">
        <x:f>Dashboard_Live_Data!AS239</x:f>
        <x:v>3861.0175580175683</x:v>
      </x:c>
      <x:c r="E1955" t="n">
        <x:f>Dashboard_Live_Data!AT239</x:f>
        <x:v>780</x:v>
      </x:c>
      <x:c r="F1955" t="n">
        <x:f>Dashboard_Live_Data!AU239</x:f>
        <x:v>9115.781029913565</x:v>
      </x:c>
      <x:c r="G1955" t="n">
        <x:f>Dashboard_Live_Data!AV239</x:f>
        <x:v>780</x:v>
      </x:c>
      <x:c r="H1955" t="n">
        <x:f>Dashboard_Live_Data!AW239</x:f>
        <x:v>9113.025230448315</x:v>
      </x:c>
    </x:row>
    <x:row r="1956">
      <x:c r="A1956" t="n">
        <x:f>Dashboard_Live_Data!AP240</x:f>
        <x:v>58.980000000000004</x:v>
      </x:c>
      <x:c r="B1956" t="n">
        <x:f>Dashboard_Live_Data!AQ240</x:f>
        <x:v>2735.4474657815513</x:v>
      </x:c>
      <x:c r="C1956" t="n">
        <x:f>Dashboard_Live_Data!AR240</x:f>
        <x:v>393.20000000000005</x:v>
      </x:c>
      <x:c r="D1956" t="n">
        <x:f>Dashboard_Live_Data!AS240</x:f>
        <x:v>3907.272108473731</x:v>
      </x:c>
      <x:c r="E1956" t="n">
        <x:f>Dashboard_Live_Data!AT240</x:f>
        <x:v>786.4000000000001</x:v>
      </x:c>
      <x:c r="F1956" t="n">
        <x:f>Dashboard_Live_Data!AU240</x:f>
        <x:v>9238.143445583908</x:v>
      </x:c>
      <x:c r="G1956" t="n">
        <x:f>Dashboard_Live_Data!AV240</x:f>
        <x:v>786.4000000000001</x:v>
      </x:c>
      <x:c r="H1956" t="n">
        <x:f>Dashboard_Live_Data!AW240</x:f>
        <x:v>9236.257132309045</x:v>
      </x:c>
    </x:row>
    <x:row r="1957">
      <x:c r="A1957" t="n">
        <x:f>Dashboard_Live_Data!AP241</x:f>
        <x:v>59.519999999999996</x:v>
      </x:c>
      <x:c r="B1957" t="n">
        <x:f>Dashboard_Live_Data!AQ241</x:f>
        <x:v>2736.577363887402</x:v>
      </x:c>
      <x:c r="C1957" t="n">
        <x:f>Dashboard_Live_Data!AR241</x:f>
        <x:v>396.79999999999995</x:v>
      </x:c>
      <x:c r="D1957" t="n">
        <x:f>Dashboard_Live_Data!AS241</x:f>
        <x:v>3959.1875965265394</x:v>
      </x:c>
      <x:c r="E1957" t="n">
        <x:f>Dashboard_Live_Data!AT241</x:f>
        <x:v>793.5999999999999</x:v>
      </x:c>
      <x:c r="F1957" t="n">
        <x:f>Dashboard_Live_Data!AU241</x:f>
        <x:v>9376.367521334943</x:v>
      </x:c>
      <x:c r="G1957" t="n">
        <x:f>Dashboard_Live_Data!AV241</x:f>
        <x:v>793.5999999999999</x:v>
      </x:c>
      <x:c r="H1957" t="n">
        <x:f>Dashboard_Live_Data!AW241</x:f>
        <x:v>9375.473375519701</x:v>
      </x:c>
    </x:row>
    <x:row r="1958">
      <x:c r="A1958" t="n">
        <x:f>Dashboard_Live_Data!AP242</x:f>
        <x:v>60</x:v>
      </x:c>
      <x:c r="B1958" t="n">
        <x:f>Dashboard_Live_Data!AQ242</x:f>
        <x:v>2737.580395373951</x:v>
      </x:c>
      <x:c r="C1958" t="n">
        <x:f>Dashboard_Live_Data!AR242</x:f>
        <x:v>400</x:v>
      </x:c>
      <x:c r="D1958" t="n">
        <x:f>Dashboard_Live_Data!AS242</x:f>
        <x:v>4005.8185439109393</x:v>
      </x:c>
      <x:c r="E1958" t="n">
        <x:f>Dashboard_Live_Data!AT242</x:f>
        <x:v>800</x:v>
      </x:c>
      <x:c r="F1958" t="n">
        <x:f>Dashboard_Live_Data!AU242</x:f>
        <x:v>9500.459003101661</x:v>
      </x:c>
      <x:c r="G1958" t="n">
        <x:f>Dashboard_Live_Data!AV242</x:f>
        <x:v>800</x:v>
      </x:c>
      <x:c r="H1958" t="n">
        <x:f>Dashboard_Live_Data!AW242</x:f>
        <x:v>9500.459003101661</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36" customHeight="1">
      <x:c r="A1" s="43" t="str">
        <x:v>x_km</x:v>
      </x:c>
      <x:c r="B1" s="41" t="str">
        <x:v>target_y_km</x:v>
      </x:c>
      <x:c r="C1" s="41" t="str">
        <x:v>surface_height_m</x:v>
      </x:c>
      <x:c r="D1" s="41" t="str">
        <x:v>upper_ice_layer_depth_m</x:v>
      </x:c>
      <x:c r="E1" s="41" t="str">
        <x:v>briny_warm_ice_lens_depth_m</x:v>
      </x:c>
      <x:c r="F1" s="41" t="str">
        <x:v>briny_warm_ice_lens_strength_0to1</x:v>
      </x:c>
      <x:c r="G1" s="41" t="str">
        <x:v>ice_ocean_boundary_depth_m</x:v>
      </x:c>
      <x:c r="H1" s="41" t="str">
        <x:v>ice_ocean_boundary_elevation_m</x:v>
      </x:c>
      <x:c r="I1" s="41" t="str">
        <x:v>upper_ice_layer_delay_us</x:v>
      </x:c>
      <x:c r="J1" s="41" t="str">
        <x:v>briny_warm_ice_lens_delay_us</x:v>
      </x:c>
      <x:c r="K1" s="41" t="str">
        <x:v>ice_ocean_boundary_delay_us</x:v>
      </x:c>
      <x:c r="L1" s="41" t="str">
        <x:v>upper_ice_layer_echo_db</x:v>
      </x:c>
      <x:c r="M1" s="41" t="str">
        <x:v>briny_warm_ice_lens_echo_db</x:v>
      </x:c>
      <x:c r="N1" s="41" t="str">
        <x:v>ice_ocean_boundary_echo_db</x:v>
      </x:c>
    </x:row>
    <x:row r="2">
      <x:c r="A2" s="42" t="n">
        <x:v>-60</x:v>
      </x:c>
      <x:c r="B2" s="42" t="n">
        <x:v>25</x:v>
      </x:c>
      <x:c r="C2" s="42" t="n">
        <x:v>119.42638570504096</x:v>
      </x:c>
      <x:c r="D2" s="42" t="n">
        <x:v>946.6774955196126</x:v>
      </x:c>
      <x:c r="E2" s="42" t="n">
        <x:v>5589.043116114486</x:v>
      </x:c>
      <x:c r="F2" s="42" t="n">
        <x:v>0.0014571201453582399</x:v>
      </x:c>
      <x:c r="G2" s="42" t="n">
        <x:v>14538.343476908214</x:v>
      </x:c>
      <x:c r="H2" s="42" t="n">
        <x:v>-14418.917091203173</x:v>
      </x:c>
      <x:c r="I2" s="42" t="n">
        <x:v>11.2416833516533</x:v>
      </x:c>
      <x:c r="J2" s="42" t="n">
        <x:v>66.36922631778673</x:v>
      </x:c>
      <x:c r="K2" s="42" t="n">
        <x:v>172.64111019695247</x:v>
      </x:c>
      <x:c r="L2" s="42" t="n">
        <x:v>-11.704019491935302</x:v>
      </x:c>
      <x:c r="M2" s="42" t="n">
        <x:v>-34.04716352769785</x:v>
      </x:c>
      <x:c r="N2" s="42" t="n">
        <x:v>-32.21139578190302</x:v>
      </x:c>
    </x:row>
    <x:row r="3">
      <x:c r="A3" s="42" t="n">
        <x:v>-59.5</x:v>
      </x:c>
      <x:c r="B3" s="42" t="n">
        <x:v>25</x:v>
      </x:c>
      <x:c r="C3" s="42" t="n">
        <x:v>110.69606493723512</x:v>
      </x:c>
      <x:c r="D3" s="42" t="n">
        <x:v>946.3905767770618</x:v>
      </x:c>
      <x:c r="E3" s="42" t="n">
        <x:v>5595.347969399308</x:v>
      </x:c>
      <x:c r="F3" s="42" t="n">
        <x:v>0.0017423102885695018</x:v>
      </x:c>
      <x:c r="G3" s="42" t="n">
        <x:v>14548.766391190573</x:v>
      </x:c>
      <x:c r="H3" s="42" t="n">
        <x:v>-14438.070326253337</x:v>
      </x:c>
      <x:c r="I3" s="42" t="n">
        <x:v>11.238276225502444</x:v>
      </x:c>
      <x:c r="J3" s="42" t="n">
        <x:v>66.4440957052413</x:v>
      </x:c>
      <x:c r="K3" s="42" t="n">
        <x:v>172.7648810719529</x:v>
      </x:c>
      <x:c r="L3" s="42" t="n">
        <x:v>-11.703503038198711</x:v>
      </x:c>
      <x:c r="M3" s="42" t="n">
        <x:v>-34.05594555232163</x:v>
      </x:c>
      <x:c r="N3" s="42" t="n">
        <x:v>-32.21655696391954</x:v>
      </x:c>
    </x:row>
    <x:row r="4">
      <x:c r="A4" s="42" t="n">
        <x:v>-59</x:v>
      </x:c>
      <x:c r="B4" s="42" t="n">
        <x:v>25</x:v>
      </x:c>
      <x:c r="C4" s="42" t="n">
        <x:v>112.99219424849355</x:v>
      </x:c>
      <x:c r="D4" s="42" t="n">
        <x:v>948.3058623908514</x:v>
      </x:c>
      <x:c r="E4" s="42" t="n">
        <x:v>5600.913069660687</x:v>
      </x:c>
      <x:c r="F4" s="42" t="n">
        <x:v>0.0020781165622737407</x:v>
      </x:c>
      <x:c r="G4" s="42" t="n">
        <x:v>14557.33823698979</x:v>
      </x:c>
      <x:c r="H4" s="42" t="n">
        <x:v>-14444.346042741296</x:v>
      </x:c>
      <x:c r="I4" s="42" t="n">
        <x:v>11.26102001575847</x:v>
      </x:c>
      <x:c r="J4" s="42" t="n">
        <x:v>66.51018061298943</x:v>
      </x:c>
      <x:c r="K4" s="42" t="n">
        <x:v>172.8666707275326</x:v>
      </x:c>
      <x:c r="L4" s="42" t="n">
        <x:v>-11.706950552303532</x:v>
      </x:c>
      <x:c r="M4" s="42" t="n">
        <x:v>-34.06294047632878</x:v>
      </x:c>
      <x:c r="N4" s="42" t="n">
        <x:v>-32.25443477314056</x:v>
      </x:c>
    </x:row>
    <x:row r="5">
      <x:c r="A5" s="42" t="n">
        <x:v>-58.5</x:v>
      </x:c>
      <x:c r="B5" s="42" t="n">
        <x:v>25</x:v>
      </x:c>
      <x:c r="C5" s="42" t="n">
        <x:v>134.3858310571132</x:v>
      </x:c>
      <x:c r="D5" s="42" t="n">
        <x:v>952.7851094276065</x:v>
      </x:c>
      <x:c r="E5" s="42" t="n">
        <x:v>5605.728230978824</x:v>
      </x:c>
      <x:c r="F5" s="42" t="n">
        <x:v>0.0024724559900891306</x:v>
      </x:c>
      <x:c r="G5" s="42" t="n">
        <x:v>14562.907070815563</x:v>
      </x:c>
      <x:c r="H5" s="42" t="n">
        <x:v>-14428.52123975845</x:v>
      </x:c>
      <x:c r="I5" s="42" t="n">
        <x:v>11.31421054482391</x:v>
      </x:c>
      <x:c r="J5" s="42" t="n">
        <x:v>66.56736008443752</x:v>
      </x:c>
      <x:c r="K5" s="42" t="n">
        <x:v>172.93279997091656</x:v>
      </x:c>
      <x:c r="L5" s="42" t="n">
        <x:v>-11.715013196969691</x:v>
      </x:c>
      <x:c r="M5" s="42" t="n">
        <x:v>-34.06805871185108</x:v>
      </x:c>
      <x:c r="N5" s="42" t="n">
        <x:v>-32.22431011584363</x:v>
      </x:c>
    </x:row>
    <x:row r="6">
      <x:c r="A6" s="42" t="n">
        <x:v>-58</x:v>
      </x:c>
      <x:c r="B6" s="42" t="n">
        <x:v>25</x:v>
      </x:c>
      <x:c r="C6" s="42" t="n">
        <x:v>120.06952906780961</x:v>
      </x:c>
      <x:c r="D6" s="42" t="n">
        <x:v>957.6515045223966</x:v>
      </x:c>
      <x:c r="E6" s="42" t="n">
        <x:v>5609.784099285287</x:v>
      </x:c>
      <x:c r="F6" s="42" t="n">
        <x:v>0.002934279637824933</x:v>
      </x:c>
      <x:c r="G6" s="42" t="n">
        <x:v>14573.125618242737</x:v>
      </x:c>
      <x:c r="H6" s="42" t="n">
        <x:v>-14453.056089174926</x:v>
      </x:c>
      <x:c r="I6" s="42" t="n">
        <x:v>11.371998411313378</x:v>
      </x:c>
      <x:c r="J6" s="42" t="n">
        <x:v>66.61552304112874</x:v>
      </x:c>
      <x:c r="K6" s="42" t="n">
        <x:v>173.05414401367008</x:v>
      </x:c>
      <x:c r="L6" s="42" t="n">
        <x:v>-11.723772708140315</x:v>
      </x:c>
      <x:c r="M6" s="42" t="n">
        <x:v>-34.07120286197309</x:v>
      </x:c>
      <x:c r="N6" s="42" t="n">
        <x:v>-32.319063633515114</x:v>
      </x:c>
    </x:row>
    <x:row r="7">
      <x:c r="A7" s="42" t="n">
        <x:v>-57.5</x:v>
      </x:c>
      <x:c r="B7" s="42" t="n">
        <x:v>25</x:v>
      </x:c>
      <x:c r="C7" s="42" t="n">
        <x:v>138.90151425445745</x:v>
      </x:c>
      <x:c r="D7" s="42" t="n">
        <x:v>965.650678394155</x:v>
      </x:c>
      <x:c r="E7" s="42" t="n">
        <x:v>5613.072139305129</x:v>
      </x:c>
      <x:c r="F7" s="42" t="n">
        <x:v>0.003473671086050251</x:v>
      </x:c>
      <x:c r="G7" s="42" t="n">
        <x:v>14578.335140524403</x:v>
      </x:c>
      <x:c r="H7" s="42" t="n">
        <x:v>-14439.433626269945</x:v>
      </x:c>
      <x:c r="I7" s="42" t="n">
        <x:v>11.466987655450598</x:v>
      </x:c>
      <x:c r="J7" s="42" t="n">
        <x:v>66.65456812768204</x:v>
      </x:c>
      <x:c r="K7" s="42" t="n">
        <x:v>173.1160064749423</x:v>
      </x:c>
      <x:c r="L7" s="42" t="n">
        <x:v>-11.738171221109479</x:v>
      </x:c>
      <x:c r="M7" s="42" t="n">
        <x:v>-34.07226681097478</x:v>
      </x:c>
      <x:c r="N7" s="42" t="n">
        <x:v>-32.278281330255496</x:v>
      </x:c>
    </x:row>
    <x:row r="8">
      <x:c r="A8" s="42" t="n">
        <x:v>-57</x:v>
      </x:c>
      <x:c r="B8" s="42" t="n">
        <x:v>25</x:v>
      </x:c>
      <x:c r="C8" s="42" t="n">
        <x:v>137.46604725484156</x:v>
      </x:c>
      <x:c r="D8" s="42" t="n">
        <x:v>974.6127644014157</x:v>
      </x:c>
      <x:c r="E8" s="42" t="n">
        <x:v>5615.584619153291</x:v>
      </x:c>
      <x:c r="F8" s="42" t="n">
        <x:v>0.004101948007251427</x:v>
      </x:c>
      <x:c r="G8" s="42" t="n">
        <x:v>14585.997030216358</x:v>
      </x:c>
      <x:c r="H8" s="42" t="n">
        <x:v>-14448.530982961516</x:v>
      </x:c>
      <x:c r="I8" s="42" t="n">
        <x:v>11.573411367370154</x:v>
      </x:c>
      <x:c r="J8" s="42" t="n">
        <x:v>66.68440352887636</x:v>
      </x:c>
      <x:c r="K8" s="42" t="n">
        <x:v>173.20699050931506</x:v>
      </x:c>
      <x:c r="L8" s="42" t="n">
        <x:v>-11.754302975922549</x:v>
      </x:c>
      <x:c r="M8" s="42" t="n">
        <x:v>-34.07113478241066</x:v>
      </x:c>
      <x:c r="N8" s="42" t="n">
        <x:v>-32.33325534041793</x:v>
      </x:c>
    </x:row>
    <x:row r="9">
      <x:c r="A9" s="42" t="n">
        <x:v>-56.5</x:v>
      </x:c>
      <x:c r="B9" s="42" t="n">
        <x:v>25</x:v>
      </x:c>
      <x:c r="C9" s="42" t="n">
        <x:v>141.45582449409375</x:v>
      </x:c>
      <x:c r="D9" s="42" t="n">
        <x:v>985.5077447582476</x:v>
      </x:c>
      <x:c r="E9" s="42" t="n">
        <x:v>5617.314592830874</x:v>
      </x:c>
      <x:c r="F9" s="42" t="n">
        <x:v>0.004831765769462065</x:v>
      </x:c>
      <x:c r="G9" s="42" t="n">
        <x:v>14592.499316370247</x:v>
      </x:c>
      <x:c r="H9" s="42" t="n">
        <x:v>-14451.043491876153</x:v>
      </x:c>
      <x:c r="I9" s="42" t="n">
        <x:v>11.702787971201602</x:v>
      </x:c>
      <x:c r="J9" s="42" t="n">
        <x:v>66.70494676179582</x:v>
      </x:c>
      <x:c r="K9" s="42" t="n">
        <x:v>173.2842043887511</x:v>
      </x:c>
      <x:c r="L9" s="42" t="n">
        <x:v>-11.773913940564846</x:v>
      </x:c>
      <x:c r="M9" s="42" t="n">
        <x:v>-34.06768037517041</x:v>
      </x:c>
      <x:c r="N9" s="42" t="n">
        <x:v>-32.361169239664356</x:v>
      </x:c>
    </x:row>
    <x:row r="10">
      <x:c r="A10" s="42" t="n">
        <x:v>-56</x:v>
      </x:c>
      <x:c r="B10" s="42" t="n">
        <x:v>25</x:v>
      </x:c>
      <x:c r="C10" s="42" t="n">
        <x:v>167.11523893481203</x:v>
      </x:c>
      <x:c r="D10" s="42" t="n">
        <x:v>998.9036394936348</x:v>
      </x:c>
      <x:c r="E10" s="42" t="n">
        <x:v>5618.255880926359</x:v>
      </x:c>
      <x:c r="F10" s="42" t="n">
        <x:v>0.00567722175025564</x:v>
      </x:c>
      <x:c r="G10" s="42" t="n">
        <x:v>14595.55464426455</x:v>
      </x:c>
      <x:c r="H10" s="42" t="n">
        <x:v>-14428.439405329738</x:v>
      </x:c>
      <x:c r="I10" s="42" t="n">
        <x:v>11.861862637642938</x:v>
      </x:c>
      <x:c r="J10" s="42" t="n">
        <x:v>66.71612444665915</x:v>
      </x:c>
      <x:c r="K10" s="42" t="n">
        <x:v>173.32048604632274</x:v>
      </x:c>
      <x:c r="L10" s="42" t="n">
        <x:v>-11.798026551088542</x:v>
      </x:c>
      <x:c r="M10" s="42" t="n">
        <x:v>-34.06176558991515</x:v>
      </x:c>
      <x:c r="N10" s="42" t="n">
        <x:v>-32.28510521916492</x:v>
      </x:c>
    </x:row>
    <x:row r="11">
      <x:c r="A11" s="42" t="n">
        <x:v>-55.5</x:v>
      </x:c>
      <x:c r="B11" s="42" t="n">
        <x:v>25</x:v>
      </x:c>
      <x:c r="C11" s="42" t="n">
        <x:v>160.57943103446084</x:v>
      </x:c>
      <x:c r="D11" s="42" t="n">
        <x:v>1012.540930285338</x:v>
      </x:c>
      <x:c r="E11" s="42" t="n">
        <x:v>5618.403049889946</x:v>
      </x:c>
      <x:c r="F11" s="42" t="n">
        <x:v>0.006653958791894301</x:v>
      </x:c>
      <x:c r="G11" s="42" t="n">
        <x:v>14602.692839300287</x:v>
      </x:c>
      <x:c r="H11" s="42" t="n">
        <x:v>-14442.113408265826</x:v>
      </x:c>
      <x:c r="I11" s="42" t="n">
        <x:v>12.023803853717373</x:v>
      </x:c>
      <x:c r="J11" s="42" t="n">
        <x:v>66.71787206070476</x:v>
      </x:c>
      <x:c r="K11" s="42" t="n">
        <x:v>173.40525126855934</x:v>
      </x:c>
      <x:c r="L11" s="42" t="n">
        <x:v>-11.822573674513608</x:v>
      </x:c>
      <x:c r="M11" s="42" t="n">
        <x:v>-34.05323986067485</x:v>
      </x:c>
      <x:c r="N11" s="42" t="n">
        <x:v>-32.36628367374324</x:v>
      </x:c>
    </x:row>
    <x:row r="12">
      <x:c r="A12" s="42" t="n">
        <x:v>-55</x:v>
      </x:c>
      <x:c r="B12" s="42" t="n">
        <x:v>25</x:v>
      </x:c>
      <x:c r="C12" s="42" t="n">
        <x:v>176.10976359434375</x:v>
      </x:c>
      <x:c r="D12" s="42" t="n">
        <x:v>1028.4632321594481</x:v>
      </x:c>
      <x:c r="E12" s="42" t="n">
        <x:v>5617.751390315144</x:v>
      </x:c>
      <x:c r="F12" s="42" t="n">
        <x:v>0.00777926596365537</x:v>
      </x:c>
      <x:c r="G12" s="42" t="n">
        <x:v>14606.307966267494</x:v>
      </x:c>
      <x:c r="H12" s="42" t="n">
        <x:v>-14430.19820267315</x:v>
      </x:c>
      <x:c r="I12" s="42" t="n">
        <x:v>12.212879306282066</x:v>
      </x:c>
      <x:c r="J12" s="42" t="n">
        <x:v>66.71013368028729</x:v>
      </x:c>
      <x:c r="K12" s="42" t="n">
        <x:v>173.44818047394736</x:v>
      </x:c>
      <x:c r="L12" s="42" t="n">
        <x:v>-11.851233817887007</x:v>
      </x:c>
      <x:c r="M12" s="42" t="n">
        <x:v>-34.04193910889436</x:v>
      </x:c>
      <x:c r="N12" s="42" t="n">
        <x:v>-32.34021986290472</x:v>
      </x:c>
    </x:row>
    <x:row r="13">
      <x:c r="A13" s="42" t="n">
        <x:v>-54.5</x:v>
      </x:c>
      <x:c r="B13" s="42" t="n">
        <x:v>25</x:v>
      </x:c>
      <x:c r="C13" s="42" t="n">
        <x:v>194.40953580826846</x:v>
      </x:c>
      <x:c r="D13" s="42" t="n">
        <x:v>1045.7515462573372</x:v>
      </x:c>
      <x:c r="E13" s="42" t="n">
        <x:v>5616.29689472948</x:v>
      </x:c>
      <x:c r="F13" s="42" t="n">
        <x:v>0.0090721745252693</x:v>
      </x:c>
      <x:c r="G13" s="42" t="n">
        <x:v>14609.094149774912</x:v>
      </x:c>
      <x:c r="H13" s="42" t="n">
        <x:v>-14414.684613966643</x:v>
      </x:c>
      <x:c r="I13" s="42" t="n">
        <x:v>12.418175992526537</x:v>
      </x:c>
      <x:c r="J13" s="42" t="n">
        <x:v>66.69286171714484</x:v>
      </x:c>
      <x:c r="K13" s="42" t="n">
        <x:v>173.48126607374053</x:v>
      </x:c>
      <x:c r="L13" s="42" t="n">
        <x:v>-11.882352783263206</x:v>
      </x:c>
      <x:c r="M13" s="42" t="n">
        <x:v>-34.027684839785636</x:v>
      </x:c>
      <x:c r="N13" s="42" t="n">
        <x:v>-32.29872620955118</x:v>
      </x:c>
    </x:row>
    <x:row r="14">
      <x:c r="A14" s="42" t="n">
        <x:v>-54</x:v>
      </x:c>
      <x:c r="B14" s="42" t="n">
        <x:v>25</x:v>
      </x:c>
      <x:c r="C14" s="42" t="n">
        <x:v>196.39629745562698</x:v>
      </x:c>
      <x:c r="D14" s="42" t="n">
        <x:v>1063.4771219823376</x:v>
      </x:c>
      <x:c r="E14" s="42" t="n">
        <x:v>5614.036235464312</x:v>
      </x:c>
      <x:c r="F14" s="42" t="n">
        <x:v>0.01055354671133019</x:v>
      </x:c>
      <x:c r="G14" s="42" t="n">
        <x:v>14613.717465260237</x:v>
      </x:c>
      <x:c r="H14" s="42" t="n">
        <x:v>-14417.32116780461</x:v>
      </x:c>
      <x:c r="I14" s="42" t="n">
        <x:v>12.628665108903848</x:v>
      </x:c>
      <x:c r="J14" s="42" t="n">
        <x:v>66.66601665560563</x:v>
      </x:c>
      <x:c r="K14" s="42" t="n">
        <x:v>173.5361673986023</x:v>
      </x:c>
      <x:c r="L14" s="42" t="n">
        <x:v>-11.914258819568207</x:v>
      </x:c>
      <x:c r="M14" s="42" t="n">
        <x:v>-34.010283303433795</x:v>
      </x:c>
      <x:c r="N14" s="42" t="n">
        <x:v>-32.33552945029404</x:v>
      </x:c>
    </x:row>
    <x:row r="15">
      <x:c r="A15" s="42" t="n">
        <x:v>-53.5</x:v>
      </x:c>
      <x:c r="B15" s="42" t="n">
        <x:v>25</x:v>
      </x:c>
      <x:c r="C15" s="42" t="n">
        <x:v>215.04504497494062</x:v>
      </x:c>
      <x:c r="D15" s="42" t="n">
        <x:v>1082.7774674188672</x:v>
      </x:c>
      <x:c r="E15" s="42" t="n">
        <x:v>5610.966743240949</x:v>
      </x:c>
      <x:c r="F15" s="42" t="n">
        <x:v>0.012246154686801397</x:v>
      </x:c>
      <x:c r="G15" s="42" t="n">
        <x:v>14615.557901101563</x:v>
      </x:c>
      <x:c r="H15" s="42" t="n">
        <x:v>-14400.512856126623</x:v>
      </x:c>
      <x:c r="I15" s="42" t="n">
        <x:v>12.857854429450548</x:v>
      </x:c>
      <x:c r="J15" s="42" t="n">
        <x:v>66.62956679830077</x:v>
      </x:c>
      <x:c r="K15" s="42" t="n">
        <x:v>173.55802235665837</x:v>
      </x:c>
      <x:c r="L15" s="42" t="n">
        <x:v>-11.948999441353962</x:v>
      </x:c>
      <x:c r="M15" s="42" t="n">
        <x:v>-33.989524745652496</x:v>
      </x:c>
      <x:c r="N15" s="42" t="n">
        <x:v>-32.324885826603236</x:v>
      </x:c>
    </x:row>
    <x:row r="16">
      <x:c r="A16" s="42" t="n">
        <x:v>-53</x:v>
      </x:c>
      <x:c r="B16" s="42" t="n">
        <x:v>25</x:v>
      </x:c>
      <x:c r="C16" s="42" t="n">
        <x:v>220.27863667842527</x:v>
      </x:c>
      <x:c r="D16" s="42" t="n">
        <x:v>1102.254523465439</x:v>
      </x:c>
      <x:c r="E16" s="42" t="n">
        <x:v>5607.086387174617</x:v>
      </x:c>
      <x:c r="F16" s="42" t="n">
        <x:v>0.014174746765614449</x:v>
      </x:c>
      <x:c r="G16" s="42" t="n">
        <x:v>14618.824704591409</x:v>
      </x:c>
      <x:c r="H16" s="42" t="n">
        <x:v>-14398.546067912983</x:v>
      </x:c>
      <x:c r="I16" s="42" t="n">
        <x:v>13.08914216760237</x:v>
      </x:c>
      <x:c r="J16" s="42" t="n">
        <x:v>66.58348802871365</x:v>
      </x:c>
      <x:c r="K16" s="42" t="n">
        <x:v>173.59681526192836</x:v>
      </x:c>
      <x:c r="L16" s="42" t="n">
        <x:v>-11.98405814223779</x:v>
      </x:c>
      <x:c r="M16" s="42" t="n">
        <x:v>-33.96518277602378</x:v>
      </x:c>
      <x:c r="N16" s="42" t="n">
        <x:v>-32.31980815652911</x:v>
      </x:c>
    </x:row>
    <x:row r="17">
      <x:c r="A17" s="42" t="n">
        <x:v>-52.5</x:v>
      </x:c>
      <x:c r="B17" s="42" t="n">
        <x:v>25</x:v>
      </x:c>
      <x:c r="C17" s="42" t="n">
        <x:v>228.48571186718385</x:v>
      </x:c>
      <x:c r="D17" s="42" t="n">
        <x:v>1122.3581700344503</x:v>
      </x:c>
      <x:c r="E17" s="42" t="n">
        <x:v>5602.393756957393</x:v>
      </x:c>
      <x:c r="F17" s="42" t="n">
        <x:v>0.01636609774605335</x:v>
      </x:c>
      <x:c r="G17" s="42" t="n">
        <x:v>14621.223871899127</x:v>
      </x:c>
      <x:c r="H17" s="42" t="n">
        <x:v>-14392.738160031942</x:v>
      </x:c>
      <x:c r="I17" s="42" t="n">
        <x:v>13.327870594138306</x:v>
      </x:c>
      <x:c r="J17" s="42" t="n">
        <x:v>66.52776359960436</x:v>
      </x:c>
      <x:c r="K17" s="42" t="n">
        <x:v>173.6253050900997</x:v>
      </x:c>
      <x:c r="L17" s="42" t="n">
        <x:v>-12.02024470606201</x:v>
      </x:c>
      <x:c r="M17" s="42" t="n">
        <x:v>-33.93701388280883</x:v>
      </x:c>
      <x:c r="N17" s="42" t="n">
        <x:v>-32.32732348905003</x:v>
      </x:c>
    </x:row>
    <x:row r="18">
      <x:c r="A18" s="42" t="n">
        <x:v>-52</x:v>
      </x:c>
      <x:c r="B18" s="42" t="n">
        <x:v>25</x:v>
      </x:c>
      <x:c r="C18" s="42" t="n">
        <x:v>241.24392327938918</x:v>
      </x:c>
      <x:c r="D18" s="42" t="n">
        <x:v>1142.9381294460443</x:v>
      </x:c>
      <x:c r="E18" s="42" t="n">
        <x:v>5596.888048033917</x:v>
      </x:c>
      <x:c r="F18" s="42" t="n">
        <x:v>0.018849040007151784</x:v>
      </x:c>
      <x:c r="G18" s="42" t="n">
        <x:v>14622.536888707544</x:v>
      </x:c>
      <x:c r="H18" s="42" t="n">
        <x:v>-14381.292965428154</x:v>
      </x:c>
      <x:c r="I18" s="42" t="n">
        <x:v>13.572255179374519</x:v>
      </x:c>
      <x:c r="J18" s="42" t="n">
        <x:v>66.46238395697314</x:v>
      </x:c>
      <x:c r="K18" s="42" t="n">
        <x:v>173.64089700948665</x:v>
      </x:c>
      <x:c r="L18" s="42" t="n">
        <x:v>-12.05728863300288</x:v>
      </x:c>
      <x:c r="M18" s="42" t="n">
        <x:v>-33.90475712639669</x:v>
      </x:c>
      <x:c r="N18" s="42" t="n">
        <x:v>-32.35797666985547</x:v>
      </x:c>
    </x:row>
    <x:row r="19">
      <x:c r="A19" s="42" t="n">
        <x:v>-51.5</x:v>
      </x:c>
      <x:c r="B19" s="42" t="n">
        <x:v>25</x:v>
      </x:c>
      <x:c r="C19" s="42" t="n">
        <x:v>261.3961473371179</x:v>
      </x:c>
      <x:c r="D19" s="42" t="n">
        <x:v>1163.8901229859418</x:v>
      </x:c>
      <x:c r="E19" s="42" t="n">
        <x:v>5590.5690506271</x:v>
      </x:c>
      <x:c r="F19" s="42" t="n">
        <x:v>0.021654471839431727</x:v>
      </x:c>
      <x:c r="G19" s="42" t="n">
        <x:v>14622.37004851927</x:v>
      </x:c>
      <x:c r="H19" s="42" t="n">
        <x:v>-14360.973901182151</x:v>
      </x:c>
      <x:c r="I19" s="42" t="n">
        <x:v>13.82105762590583</x:v>
      </x:c>
      <x:c r="J19" s="42" t="n">
        <x:v>66.38734660974185</x:v>
      </x:c>
      <x:c r="K19" s="42" t="n">
        <x:v>173.63891580197324</x:v>
      </x:c>
      <x:c r="L19" s="42" t="n">
        <x:v>-12.095002221374695</x:v>
      </x:c>
      <x:c r="M19" s="42" t="n">
        <x:v>-33.86813404457389</x:v>
      </x:c>
      <x:c r="N19" s="42" t="n">
        <x:v>-32.42421117975834</x:v>
      </x:c>
    </x:row>
    <x:row r="20">
      <x:c r="A20" s="42" t="n">
        <x:v>-51</x:v>
      </x:c>
      <x:c r="B20" s="42" t="n">
        <x:v>25</x:v>
      </x:c>
      <x:c r="C20" s="42" t="n">
        <x:v>251.96732827517536</x:v>
      </x:c>
      <x:c r="D20" s="42" t="n">
        <x:v>1183.515733819102</x:v>
      </x:c>
      <x:c r="E20" s="42" t="n">
        <x:v>5583.437143502679</x:v>
      </x:c>
      <x:c r="F20" s="42" t="n">
        <x:v>0.02481533936122231</x:v>
      </x:c>
      <x:c r="G20" s="42" t="n">
        <x:v>14625.906076815863</x:v>
      </x:c>
      <x:c r="H20" s="42" t="n">
        <x:v>-14373.938748540688</x:v>
      </x:c>
      <x:c r="I20" s="42" t="n">
        <x:v>14.054109434587588</x:v>
      </x:c>
      <x:c r="J20" s="42" t="n">
        <x:v>66.30265605570884</x:v>
      </x:c>
      <x:c r="K20" s="42" t="n">
        <x:v>173.68090571999807</x:v>
      </x:c>
      <x:c r="L20" s="42" t="n">
        <x:v>-12.130328320874384</x:v>
      </x:c>
      <x:c r="M20" s="42" t="n">
        <x:v>-33.826848804053824</x:v>
      </x:c>
      <x:c r="N20" s="42" t="n">
        <x:v>-32.36292961133974</x:v>
      </x:c>
    </x:row>
    <x:row r="21">
      <x:c r="A21" s="42" t="n">
        <x:v>-50.5</x:v>
      </x:c>
      <x:c r="B21" s="42" t="n">
        <x:v>25</x:v>
      </x:c>
      <x:c r="C21" s="42" t="n">
        <x:v>249.72786812719846</x:v>
      </x:c>
      <x:c r="D21" s="42" t="n">
        <x:v>1203.0681582051066</x:v>
      </x:c>
      <x:c r="E21" s="42" t="n">
        <x:v>5575.493293378915</x:v>
      </x:c>
      <x:c r="F21" s="42" t="n">
        <x:v>0.028366588309059755</x:v>
      </x:c>
      <x:c r="G21" s="42" t="n">
        <x:v>14628.005233442198</x:v>
      </x:c>
      <x:c r="H21" s="42" t="n">
        <x:v>-14378.277365315</x:v>
      </x:c>
      <x:c r="I21" s="42" t="n">
        <x:v>14.286292162860812</x:v>
      </x:c>
      <x:c r="J21" s="42" t="n">
        <x:v>66.20832377453918</x:v>
      </x:c>
      <x:c r="K21" s="42" t="n">
        <x:v>173.70583295679248</x:v>
      </x:c>
      <x:c r="L21" s="42" t="n">
        <x:v>-12.165522684769192</x:v>
      </x:c>
      <x:c r="M21" s="42" t="n">
        <x:v>-33.78058863330051</x:v>
      </x:c>
      <x:c r="N21" s="42" t="n">
        <x:v>-32.336144508782866</x:v>
      </x:c>
    </x:row>
    <x:row r="22">
      <x:c r="A22" s="42" t="n">
        <x:v>-50</x:v>
      </x:c>
      <x:c r="B22" s="42" t="n">
        <x:v>25</x:v>
      </x:c>
      <x:c r="C22" s="42" t="n">
        <x:v>273.71504099052385</x:v>
      </x:c>
      <x:c r="D22" s="42" t="n">
        <x:v>1223.0962491259836</x:v>
      </x:c>
      <x:c r="E22" s="42" t="n">
        <x:v>5566.739060888317</x:v>
      </x:c>
      <x:c r="F22" s="42" t="n">
        <x:v>0.03234508199786936</x:v>
      </x:c>
      <x:c r="G22" s="42" t="n">
        <x:v>14626.012286300014</x:v>
      </x:c>
      <x:c r="H22" s="42" t="n">
        <x:v>-14352.29724530949</x:v>
      </x:c>
      <x:c r="I22" s="42" t="n">
        <x:v>14.524123375006658</x:v>
      </x:c>
      <x:c r="J22" s="42" t="n">
        <x:v>66.10436829855944</x:v>
      </x:c>
      <x:c r="K22" s="42" t="n">
        <x:v>173.6821669450672</x:v>
      </x:c>
      <x:c r="L22" s="42" t="n">
        <x:v>-12.20157324842677</x:v>
      </x:c>
      <x:c r="M22" s="42" t="n">
        <x:v>-33.72902457161815</x:v>
      </x:c>
      <x:c r="N22" s="42" t="n">
        <x:v>-32.430966926254925</x:v>
      </x:c>
    </x:row>
    <x:row r="23">
      <x:c r="A23" s="42" t="n">
        <x:v>-49.5</x:v>
      </x:c>
      <x:c r="B23" s="42" t="n">
        <x:v>25</x:v>
      </x:c>
      <x:c r="C23" s="42" t="n">
        <x:v>258.91748425640003</x:v>
      </x:c>
      <x:c r="D23" s="42" t="n">
        <x:v>1240.79499991252</x:v>
      </x:c>
      <x:c r="E23" s="42" t="n">
        <x:v>5557.17661397957</x:v>
      </x:c>
      <x:c r="F23" s="42" t="n">
        <x:v>0.03678948183408114</x:v>
      </x:c>
      <x:c r="G23" s="42" t="n">
        <x:v>14629.040649051145</x:v>
      </x:c>
      <x:c r="H23" s="42" t="n">
        <x:v>-14370.123164794744</x:v>
      </x:c>
      <x:c r="I23" s="42" t="n">
        <x:v>14.73429394841071</x:v>
      </x:c>
      <x:c r="J23" s="42" t="n">
        <x:v>65.99081537190395</x:v>
      </x:c>
      <x:c r="K23" s="42" t="n">
        <x:v>173.71812839475126</x:v>
      </x:c>
      <x:c r="L23" s="42" t="n">
        <x:v>-12.233430999842536</x:v>
      </x:c>
      <x:c r="M23" s="42" t="n">
        <x:v>-33.67181256865649</x:v>
      </x:c>
      <x:c r="N23" s="42" t="n">
        <x:v>-32.360564437326055</x:v>
      </x:c>
    </x:row>
    <x:row r="24">
      <x:c r="A24" s="42" t="n">
        <x:v>-49</x:v>
      </x:c>
      <x:c r="B24" s="42" t="n">
        <x:v>25</x:v>
      </x:c>
      <x:c r="C24" s="42" t="n">
        <x:v>268.79279662092654</x:v>
      </x:c>
      <x:c r="D24" s="42" t="n">
        <x:v>1258.5092160335146</x:v>
      </x:c>
      <x:c r="E24" s="42" t="n">
        <x:v>5546.808749607553</x:v>
      </x:c>
      <x:c r="F24" s="42" t="n">
        <x:v>0.04174008694223705</x:v>
      </x:c>
      <x:c r="G24" s="42" t="n">
        <x:v>14628.219878746677</x:v>
      </x:c>
      <x:c r="H24" s="42" t="n">
        <x:v>-14359.42708212575</x:v>
      </x:c>
      <x:c r="I24" s="42" t="n">
        <x:v>14.944648170833277</x:v>
      </x:c>
      <x:c r="J24" s="42" t="n">
        <x:v>65.86769820808131</x:v>
      </x:c>
      <x:c r="K24" s="42" t="n">
        <x:v>173.70838184440973</x:v>
      </x:c>
      <x:c r="L24" s="42" t="n">
        <x:v>-12.265316588860326</x:v>
      </x:c>
      <x:c r="M24" s="42" t="n">
        <x:v>-33.60859496681346</x:v>
      </x:c>
      <x:c r="N24" s="42" t="n">
        <x:v>-32.406517589914834</x:v>
      </x:c>
    </x:row>
    <x:row r="25">
      <x:c r="A25" s="42" t="n">
        <x:v>-48.5</x:v>
      </x:c>
      <x:c r="B25" s="42" t="n">
        <x:v>25</x:v>
      </x:c>
      <x:c r="C25" s="42" t="n">
        <x:v>265.4824606971452</x:v>
      </x:c>
      <x:c r="D25" s="42" t="n">
        <x:v>1274.5448931869</x:v>
      </x:c>
      <x:c r="E25" s="42" t="n">
        <x:v>5535.638924495328</x:v>
      </x:c>
      <x:c r="F25" s="42" t="n">
        <x:v>0.0472386297417321</x:v>
      </x:c>
      <x:c r="G25" s="42" t="n">
        <x:v>14628.865542990872</x:v>
      </x:c>
      <x:c r="H25" s="42" t="n">
        <x:v>-14363.383082293727</x:v>
      </x:c>
      <x:c r="I25" s="42" t="n">
        <x:v>15.135069941437166</x:v>
      </x:c>
      <x:c r="J25" s="42" t="n">
        <x:v>65.73505785526922</x:v>
      </x:c>
      <x:c r="K25" s="42" t="n">
        <x:v>173.71604903098498</x:v>
      </x:c>
      <x:c r="L25" s="42" t="n">
        <x:v>-12.29418080773642</x:v>
      </x:c>
      <x:c r="M25" s="42" t="n">
        <x:v>-33.539002396416</x:v>
      </x:c>
      <x:c r="N25" s="42" t="n">
        <x:v>-32.39838865249866</x:v>
      </x:c>
    </x:row>
    <x:row r="26">
      <x:c r="A26" s="42" t="n">
        <x:v>-48</x:v>
      </x:c>
      <x:c r="B26" s="42" t="n">
        <x:v>25</x:v>
      </x:c>
      <x:c r="C26" s="42" t="n">
        <x:v>253.6370227527636</x:v>
      </x:c>
      <x:c r="D26" s="42" t="n">
        <x:v>1288.9247717898286</x:v>
      </x:c>
      <x:c r="E26" s="42" t="n">
        <x:v>5523.6712956624315</x:v>
      </x:c>
      <x:c r="F26" s="42" t="n">
        <x:v>0.053328024692427034</x:v>
      </x:c>
      <x:c r="G26" s="42" t="n">
        <x:v>14630.343646203193</x:v>
      </x:c>
      <x:c r="H26" s="42" t="n">
        <x:v>-14376.70662345043</x:v>
      </x:c>
      <x:c r="I26" s="42" t="n">
        <x:v>15.305829299987893</x:v>
      </x:c>
      <x:c r="J26" s="42" t="n">
        <x:v>65.5929436775833</x:v>
      </x:c>
      <x:c r="K26" s="42" t="n">
        <x:v>173.73360133190332</x:v>
      </x:c>
      <x:c r="L26" s="42" t="n">
        <x:v>-12.320064589221692</x:v>
      </x:c>
      <x:c r="M26" s="42" t="n">
        <x:v>-33.462656109960534</x:v>
      </x:c>
      <x:c r="N26" s="42" t="n">
        <x:v>-32.35553310228006</x:v>
      </x:c>
    </x:row>
    <x:row r="27">
      <x:c r="A27" s="42" t="n">
        <x:v>-47.5</x:v>
      </x:c>
      <x:c r="B27" s="42" t="n">
        <x:v>25</x:v>
      </x:c>
      <x:c r="C27" s="42" t="n">
        <x:v>262.75484348528926</x:v>
      </x:c>
      <x:c r="D27" s="42" t="n">
        <x:v>1302.684157443885</x:v>
      </x:c>
      <x:c r="E27" s="42" t="n">
        <x:v>5510.910771297527</x:v>
      </x:c>
      <x:c r="F27" s="42" t="n">
        <x:v>0.06005206792152438</x:v>
      </x:c>
      <x:c r="G27" s="42" t="n">
        <x:v>14628.543151160482</x:v>
      </x:c>
      <x:c r="H27" s="42" t="n">
        <x:v>-14365.788307675193</x:v>
      </x:c>
      <x:c r="I27" s="42" t="n">
        <x:v>15.469220378119823</x:v>
      </x:c>
      <x:c r="J27" s="42" t="n">
        <x:v>65.44141395918372</x:v>
      </x:c>
      <x:c r="K27" s="42" t="n">
        <x:v>173.71222066610935</x:v>
      </x:c>
      <x:c r="L27" s="42" t="n">
        <x:v>-12.344831483398993</x:v>
      </x:c>
      <x:c r="M27" s="42" t="n">
        <x:v>-33.37917077704183</x:v>
      </x:c>
      <x:c r="N27" s="42" t="n">
        <x:v>-32.40298790567201</x:v>
      </x:c>
    </x:row>
    <x:row r="28">
      <x:c r="A28" s="42" t="n">
        <x:v>-47</x:v>
      </x:c>
      <x:c r="B28" s="42" t="n">
        <x:v>25</x:v>
      </x:c>
      <x:c r="C28" s="42" t="n">
        <x:v>253.9148101975453</x:v>
      </x:c>
      <x:c r="D28" s="42" t="n">
        <x:v>1314.1421850088657</x:v>
      </x:c>
      <x:c r="E28" s="42" t="n">
        <x:v>5497.363072409545</x:v>
      </x:c>
      <x:c r="F28" s="42" t="n">
        <x:v>0.06745508605265516</x:v>
      </x:c>
      <x:c r="G28" s="42" t="n">
        <x:v>14628.93334131051</x:v>
      </x:c>
      <x:c r="H28" s="42" t="n">
        <x:v>-14375.018531112964</x:v>
      </x:c>
      <x:c r="I28" s="42" t="n">
        <x:v>15.605283100989693</x:v>
      </x:c>
      <x:c r="J28" s="42" t="n">
        <x:v>65.28053663637522</x:v>
      </x:c>
      <x:c r="K28" s="42" t="n">
        <x:v>173.7168541280162</x:v>
      </x:c>
      <x:c r="L28" s="42" t="n">
        <x:v>-12.365455933015959</x:v>
      </x:c>
      <x:c r="M28" s="42" t="n">
        <x:v>-33.28815775586328</x:v>
      </x:c>
      <x:c r="N28" s="42" t="n">
        <x:v>-32.386101380900456</x:v>
      </x:c>
    </x:row>
    <x:row r="29">
      <x:c r="A29" s="42" t="n">
        <x:v>-46.5</x:v>
      </x:c>
      <x:c r="B29" s="42" t="n">
        <x:v>25</x:v>
      </x:c>
      <x:c r="C29" s="42" t="n">
        <x:v>253.748238320312</x:v>
      </x:c>
      <x:c r="D29" s="42" t="n">
        <x:v>1324.2623031045134</x:v>
      </x:c>
      <x:c r="E29" s="42" t="n">
        <x:v>5483.034805519655</x:v>
      </x:c>
      <x:c r="F29" s="42" t="n">
        <x:v>0.0755815332823163</x:v>
      </x:c>
      <x:c r="G29" s="42" t="n">
        <x:v>14627.807692098573</x:v>
      </x:c>
      <x:c r="H29" s="42" t="n">
        <x:v>-14374.059453778262</x:v>
      </x:c>
      <x:c r="I29" s="42" t="n">
        <x:v>15.725458307066775</x:v>
      </x:c>
      <x:c r="J29" s="42" t="n">
        <x:v>65.11039016081575</x:v>
      </x:c>
      <x:c r="K29" s="42" t="n">
        <x:v>173.7034871766885</x:v>
      </x:c>
      <x:c r="L29" s="42" t="n">
        <x:v>-12.383672145588124</x:v>
      </x:c>
      <x:c r="M29" s="42" t="n">
        <x:v>-33.18922885039453</x:v>
      </x:c>
      <x:c r="N29" s="42" t="n">
        <x:v>-32.40326372198696</x:v>
      </x:c>
    </x:row>
    <x:row r="30">
      <x:c r="A30" s="42" t="n">
        <x:v>-46</x:v>
      </x:c>
      <x:c r="B30" s="42" t="n">
        <x:v>25</x:v>
      </x:c>
      <x:c r="C30" s="42" t="n">
        <x:v>237.40469511010875</x:v>
      </x:c>
      <x:c r="D30" s="42" t="n">
        <x:v>1331.9721423160381</x:v>
      </x:c>
      <x:c r="E30" s="42" t="n">
        <x:v>5467.933546457481</x:v>
      </x:c>
      <x:c r="F30" s="42" t="n">
        <x:v>0.08447553658641699</x:v>
      </x:c>
      <x:c r="G30" s="42" t="n">
        <x:v>14628.668588877104</x:v>
      </x:c>
      <x:c r="H30" s="42" t="n">
        <x:v>-14391.263893766996</x:v>
      </x:c>
      <x:c r="I30" s="42" t="n">
        <x:v>15.817011736316248</x:v>
      </x:c>
      <x:c r="J30" s="42" t="n">
        <x:v>64.93106449458655</x:v>
      </x:c>
      <x:c r="K30" s="42" t="n">
        <x:v>173.7137102241661</x:v>
      </x:c>
      <x:c r="L30" s="42" t="n">
        <x:v>-12.397549856168869</x:v>
      </x:c>
      <x:c r="M30" s="42" t="n">
        <x:v>-33.08200055434571</x:v>
      </x:c>
      <x:c r="N30" s="42" t="n">
        <x:v>-32.35267809880934</x:v>
      </x:c>
    </x:row>
    <x:row r="31">
      <x:c r="A31" s="42" t="n">
        <x:v>-45.5</x:v>
      </x:c>
      <x:c r="B31" s="42" t="n">
        <x:v>25</x:v>
      </x:c>
      <x:c r="C31" s="42" t="n">
        <x:v>230.03534200748854</x:v>
      </x:c>
      <x:c r="D31" s="42" t="n">
        <x:v>1338.2236916497875</x:v>
      </x:c>
      <x:c r="E31" s="42" t="n">
        <x:v>5452.067935099958</x:v>
      </x:c>
      <x:c r="F31" s="42" t="n">
        <x:v>0.09418038988521</x:v>
      </x:c>
      <x:c r="G31" s="42" t="n">
        <x:v>14628.019588067556</x:v>
      </x:c>
      <x:c r="H31" s="42" t="n">
        <x:v>-14397.984246060068</x:v>
      </x:c>
      <x:c r="I31" s="42" t="n">
        <x:v>15.891248145652963</x:v>
      </x:c>
      <x:c r="J31" s="42" t="n">
        <x:v>64.7426622352049</x:v>
      </x:c>
      <x:c r="K31" s="42" t="n">
        <x:v>173.70600341627176</x:v>
      </x:c>
      <x:c r="L31" s="42" t="n">
        <x:v>-12.408802644969619</x:v>
      </x:c>
      <x:c r="M31" s="42" t="n">
        <x:v>-32.96609877421304</x:v>
      </x:c>
      <x:c r="N31" s="42" t="n">
        <x:v>-32.34659071411098</x:v>
      </x:c>
    </x:row>
    <x:row r="32">
      <x:c r="A32" s="42" t="n">
        <x:v>-45</x:v>
      </x:c>
      <x:c r="B32" s="42" t="n">
        <x:v>25</x:v>
      </x:c>
      <x:c r="C32" s="42" t="n">
        <x:v>208.8220272535724</x:v>
      </x:c>
      <x:c r="D32" s="42" t="n">
        <x:v>1342.0749002532702</x:v>
      </x:c>
      <x:c r="E32" s="42" t="n">
        <x:v>5435.447780642543</x:v>
      </x:c>
      <x:c r="F32" s="42" t="n">
        <x:v>0.10473799903926095</x:v>
      </x:c>
      <x:c r="G32" s="42" t="n">
        <x:v>14629.081269338794</x:v>
      </x:c>
      <x:c r="H32" s="42" t="n">
        <x:v>-14420.259242085222</x:v>
      </x:c>
      <x:c r="I32" s="42" t="n">
        <x:v>15.93698079256431</x:v>
      </x:c>
      <x:c r="J32" s="42" t="n">
        <x:v>64.54529986570726</x:v>
      </x:c>
      <x:c r="K32" s="42" t="n">
        <x:v>173.71861075586534</x:v>
      </x:c>
      <x:c r="L32" s="42" t="n">
        <x:v>-12.415734820455887</x:v>
      </x:c>
      <x:c r="M32" s="42" t="n">
        <x:v>-32.84116401380323</x:v>
      </x:c>
      <x:c r="N32" s="42" t="n">
        <x:v>-32.389565198948695</x:v>
      </x:c>
    </x:row>
    <x:row r="33">
      <x:c r="A33" s="42" t="n">
        <x:v>-44.5</x:v>
      </x:c>
      <x:c r="B33" s="42" t="n">
        <x:v>25</x:v>
      </x:c>
      <x:c r="C33" s="42" t="n">
        <x:v>201.66422960156285</x:v>
      </x:c>
      <x:c r="D33" s="42" t="n">
        <x:v>1344.6371834555257</x:v>
      </x:c>
      <x:c r="E33" s="42" t="n">
        <x:v>5418.084176723001</x:v>
      </x:c>
      <x:c r="F33" s="42" t="n">
        <x:v>0.11618828067955557</x:v>
      </x:c>
      <x:c r="G33" s="42" t="n">
        <x:v>14627.974984883302</x:v>
      </x:c>
      <x:c r="H33" s="42" t="n">
        <x:v>-14426.310755281738</x:v>
      </x:c>
      <x:c r="I33" s="42" t="n">
        <x:v>15.967407602701172</x:v>
      </x:c>
      <x:c r="J33" s="42" t="n">
        <x:v>64.33910912173076</x:v>
      </x:c>
      <x:c r="K33" s="42" t="n">
        <x:v>173.7054737587313</x:v>
      </x:c>
      <x:c r="L33" s="42" t="n">
        <x:v>-12.420346930219946</x:v>
      </x:c>
      <x:c r="M33" s="42" t="n">
        <x:v>-32.706856991985404</x:v>
      </x:c>
      <x:c r="N33" s="42" t="n">
        <x:v>-32.39806207678552</x:v>
      </x:c>
    </x:row>
    <x:row r="34">
      <x:c r="A34" s="42" t="n">
        <x:v>-44</x:v>
      </x:c>
      <x:c r="B34" s="42" t="n">
        <x:v>25</x:v>
      </x:c>
      <x:c r="C34" s="42" t="n">
        <x:v>200.11672258234324</x:v>
      </x:c>
      <x:c r="D34" s="42" t="n">
        <x:v>1345.5925502759046</x:v>
      </x:c>
      <x:c r="E34" s="42" t="n">
        <x:v>5399.989625431864</x:v>
      </x:c>
      <x:c r="F34" s="42" t="n">
        <x:v>0.12856851907478206</x:v>
      </x:c>
      <x:c r="G34" s="42" t="n">
        <x:v>14625.911504274929</x:v>
      </x:c>
      <x:c r="H34" s="42" t="n">
        <x:v>-14425.794781692586</x:v>
      </x:c>
      <x:c r="I34" s="42" t="n">
        <x:v>15.978752470758357</x:v>
      </x:c>
      <x:c r="J34" s="42" t="n">
        <x:v>64.12423846412253</x:v>
      </x:c>
      <x:c r="K34" s="42" t="n">
        <x:v>173.6809701704329</x:v>
      </x:c>
      <x:c r="L34" s="42" t="n">
        <x:v>-12.422066590496629</x:v>
      </x:c>
      <x:c r="M34" s="42" t="n">
        <x:v>-32.56286465410432</x:v>
      </x:c>
      <x:c r="N34" s="42" t="n">
        <x:v>-32.38181184778575</x:v>
      </x:c>
    </x:row>
    <x:row r="35">
      <x:c r="A35" s="42" t="n">
        <x:v>-43.5</x:v>
      </x:c>
      <x:c r="B35" s="42" t="n">
        <x:v>25</x:v>
      </x:c>
      <x:c r="C35" s="42" t="n">
        <x:v>210.8483953416035</x:v>
      </x:c>
      <x:c r="D35" s="42" t="n">
        <x:v>1345.2511794984607</x:v>
      </x:c>
      <x:c r="E35" s="42" t="n">
        <x:v>5381.1781689455565</x:v>
      </x:c>
      <x:c r="F35" s="42" t="n">
        <x:v>0.14191268648789712</x:v>
      </x:c>
      <x:c r="G35" s="42" t="n">
        <x:v>14621.986694083294</x:v>
      </x:c>
      <x:c r="H35" s="42" t="n">
        <x:v>-14411.138298741691</x:v>
      </x:c>
      <x:c r="I35" s="42" t="n">
        <x:v>15.974698733129973</x:v>
      </x:c>
      <x:c r="J35" s="42" t="n">
        <x:v>63.90085464206769</x:v>
      </x:c>
      <x:c r="K35" s="42" t="n">
        <x:v>173.63436351336273</x:v>
      </x:c>
      <x:c r="L35" s="42" t="n">
        <x:v>-12.421452123097229</x:v>
      </x:c>
      <x:c r="M35" s="42" t="n">
        <x:v>-32.40890652571093</x:v>
      </x:c>
      <x:c r="N35" s="42" t="n">
        <x:v>-32.32891382526778</x:v>
      </x:c>
    </x:row>
    <x:row r="36">
      <x:c r="A36" s="42" t="n">
        <x:v>-43</x:v>
      </x:c>
      <x:c r="B36" s="42" t="n">
        <x:v>25</x:v>
      </x:c>
      <x:c r="C36" s="42" t="n">
        <x:v>180.5581841932563</x:v>
      </x:c>
      <x:c r="D36" s="42" t="n">
        <x:v>1341.5468992266901</x:v>
      </x:c>
      <x:c r="E36" s="42" t="n">
        <x:v>5361.6655272140915</x:v>
      </x:c>
      <x:c r="F36" s="42" t="n">
        <x:v>0.15625073374829715</x:v>
      </x:c>
      <x:c r="G36" s="42" t="n">
        <x:v>14623.693198890638</x:v>
      </x:c>
      <x:c r="H36" s="42" t="n">
        <x:v>-14443.135014697382</x:v>
      </x:c>
      <x:c r="I36" s="42" t="n">
        <x:v>15.93071084278917</x:v>
      </x:c>
      <x:c r="J36" s="42" t="n">
        <x:v>63.66914432811438</x:v>
      </x:c>
      <x:c r="K36" s="42" t="n">
        <x:v>173.65462805622238</x:v>
      </x:c>
      <x:c r="L36" s="42" t="n">
        <x:v>-12.414784418608043</x:v>
      </x:c>
      <x:c r="M36" s="42" t="n">
        <x:v>-32.24474134525069</x:v>
      </x:c>
      <x:c r="N36" s="42" t="n">
        <x:v>-32.42896356229874</x:v>
      </x:c>
    </x:row>
    <x:row r="37">
      <x:c r="A37" s="42" t="n">
        <x:v>-42.5</x:v>
      </x:c>
      <x:c r="B37" s="42" t="n">
        <x:v>25</x:v>
      </x:c>
      <x:c r="C37" s="42" t="n">
        <x:v>181.7291755177202</x:v>
      </x:c>
      <x:c r="D37" s="42" t="n">
        <x:v>1337.4658358603704</x:v>
      </x:c>
      <x:c r="E37" s="42" t="n">
        <x:v>5341.4692398315265</x:v>
      </x:c>
      <x:c r="F37" s="42" t="n">
        <x:v>0.17160785903794926</x:v>
      </x:c>
      <x:c r="G37" s="42" t="n">
        <x:v>14620.914775457457</x:v>
      </x:c>
      <x:c r="H37" s="42" t="n">
        <x:v>-14439.185599939738</x:v>
      </x:c>
      <x:c r="I37" s="42" t="n">
        <x:v>15.882248697740483</x:v>
      </x:c>
      <x:c r="J37" s="42" t="n">
        <x:v>63.42931580286864</x:v>
      </x:c>
      <x:c r="K37" s="42" t="n">
        <x:v>173.62163460639343</x:v>
      </x:c>
      <x:c r="L37" s="42" t="n">
        <x:v>-12.407438504548667</x:v>
      </x:c>
      <x:c r="M37" s="42" t="n">
        <x:v>-32.0701739003552</x:v>
      </x:c>
      <x:c r="N37" s="42" t="n">
        <x:v>-32.40575266541106</x:v>
      </x:c>
    </x:row>
    <x:row r="38">
      <x:c r="A38" s="42" t="n">
        <x:v>-42</x:v>
      </x:c>
      <x:c r="B38" s="42" t="n">
        <x:v>25</x:v>
      </x:c>
      <x:c r="C38" s="42" t="n">
        <x:v>170.6281729970239</x:v>
      </x:c>
      <x:c r="D38" s="42" t="n">
        <x:v>1331.3645540494879</x:v>
      </x:c>
      <x:c r="E38" s="42" t="n">
        <x:v>5320.608809921433</x:v>
      </x:c>
      <x:c r="F38" s="42" t="n">
        <x:v>0.18800376412943393</x:v>
      </x:c>
      <x:c r="G38" s="42" t="n">
        <x:v>14619.806259259829</x:v>
      </x:c>
      <x:c r="H38" s="42" t="n">
        <x:v>-14449.178086262806</x:v>
      </x:c>
      <x:c r="I38" s="42" t="n">
        <x:v>15.809796697474546</x:v>
      </x:c>
      <x:c r="J38" s="42" t="n">
        <x:v>63.18160066361744</x:v>
      </x:c>
      <x:c r="K38" s="42" t="n">
        <x:v>173.60847110758536</x:v>
      </x:c>
      <x:c r="L38" s="42" t="n">
        <x:v>-12.396456197289078</x:v>
      </x:c>
      <x:c r="M38" s="42" t="n">
        <x:v>-31.885061980693674</x:v>
      </x:c>
      <x:c r="N38" s="42" t="n">
        <x:v>-32.43918615973353</x:v>
      </x:c>
    </x:row>
    <x:row r="39">
      <x:c r="A39" s="42" t="n">
        <x:v>-41.5</x:v>
      </x:c>
      <x:c r="B39" s="42" t="n">
        <x:v>25</x:v>
      </x:c>
      <x:c r="C39" s="42" t="n">
        <x:v>171.38557913738282</x:v>
      </x:c>
      <x:c r="D39" s="42" t="n">
        <x:v>1324.3311172125034</x:v>
      </x:c>
      <x:c r="E39" s="42" t="n">
        <x:v>5299.105847589162</x:v>
      </x:c>
      <x:c r="F39" s="42" t="n">
        <x:v>0.20545190848839293</x:v>
      </x:c>
      <x:c r="G39" s="42" t="n">
        <x:v>14617.02228465411</x:v>
      </x:c>
      <x:c r="H39" s="42" t="n">
        <x:v>-14445.636705516727</x:v>
      </x:c>
      <x:c r="I39" s="42" t="n">
        <x:v>15.726275466464578</x:v>
      </x:c>
      <x:c r="J39" s="42" t="n">
        <x:v>62.926255527807236</x:v>
      </x:c>
      <x:c r="K39" s="42" t="n">
        <x:v>173.5754117382387</x:v>
      </x:c>
      <x:c r="L39" s="42" t="n">
        <x:v>-12.383796010982506</x:v>
      </x:c>
      <x:c r="M39" s="42" t="n">
        <x:v>-31.689323349264956</x:v>
      </x:c>
      <x:c r="N39" s="42" t="n">
        <x:v>-32.429608392618036</x:v>
      </x:c>
    </x:row>
    <x:row r="40">
      <x:c r="A40" s="42" t="n">
        <x:v>-41</x:v>
      </x:c>
      <x:c r="B40" s="42" t="n">
        <x:v>25</x:v>
      </x:c>
      <x:c r="C40" s="42" t="n">
        <x:v>176.66624192778235</x:v>
      </x:c>
      <x:c r="D40" s="42" t="n">
        <x:v>1316.2095353260072</x:v>
      </x:c>
      <x:c r="E40" s="42" t="n">
        <x:v>5276.984210236083</x:v>
      </x:c>
      <x:c r="F40" s="42" t="n">
        <x:v>0.22395877272807038</x:v>
      </x:c>
      <x:c r="G40" s="42" t="n">
        <x:v>14613.623267805096</x:v>
      </x:c>
      <x:c r="H40" s="42" t="n">
        <x:v>-14436.957025877315</x:v>
      </x:c>
      <x:c r="I40" s="42" t="n">
        <x:v>15.62983264162231</x:v>
      </x:c>
      <x:c r="J40" s="42" t="n">
        <x:v>62.663563699259086</x:v>
      </x:c>
      <x:c r="K40" s="42" t="n">
        <x:v>173.53504881495766</x:v>
      </x:c>
      <x:c r="L40" s="42" t="n">
        <x:v>-12.369177163586812</x:v>
      </x:c>
      <x:c r="M40" s="42" t="n">
        <x:v>-31.48294262387232</x:v>
      </x:c>
      <x:c r="N40" s="42" t="n">
        <x:v>-32.399446020276</x:v>
      </x:c>
    </x:row>
    <x:row r="41">
      <x:c r="A41" s="42" t="n">
        <x:v>-40.5</x:v>
      </x:c>
      <x:c r="B41" s="42" t="n">
        <x:v>25</x:v>
      </x:c>
      <x:c r="C41" s="42" t="n">
        <x:v>191.24651788741608</x:v>
      </x:c>
      <x:c r="D41" s="42" t="n">
        <x:v>1307.3402550301464</x:v>
      </x:c>
      <x:c r="E41" s="42" t="n">
        <x:v>5254.27013680646</x:v>
      </x:c>
      <x:c r="F41" s="42" t="n">
        <x:v>0.24352314384431997</x:v>
      </x:c>
      <x:c r="G41" s="42" t="n">
        <x:v>14608.974517462988</x:v>
      </x:c>
      <x:c r="H41" s="42" t="n">
        <x:v>-14417.727999575573</x:v>
      </x:c>
      <x:c r="I41" s="42" t="n">
        <x:v>15.52451098655498</x:v>
      </x:c>
      <x:c r="J41" s="42" t="n">
        <x:v>62.393836762334416</x:v>
      </x:c>
      <x:c r="K41" s="42" t="n">
        <x:v>173.4798454541783</x:v>
      </x:c>
      <x:c r="L41" s="42" t="n">
        <x:v>-12.353212459054264</x:v>
      </x:c>
      <x:c r="M41" s="42" t="n">
        <x:v>-31.26597795165275</x:v>
      </x:c>
      <x:c r="N41" s="42" t="n">
        <x:v>-32.337987908327015</x:v>
      </x:c>
    </x:row>
    <x:row r="42">
      <x:c r="A42" s="42" t="n">
        <x:v>-40</x:v>
      </x:c>
      <x:c r="B42" s="42" t="n">
        <x:v>25</x:v>
      </x:c>
      <x:c r="C42" s="42" t="n">
        <x:v>197.66557297517377</x:v>
      </x:c>
      <x:c r="D42" s="42" t="n">
        <x:v>1297.1834613829674</x:v>
      </x:c>
      <x:c r="E42" s="42" t="n">
        <x:v>5230.9923728538715</x:v>
      </x:c>
      <x:c r="F42" s="42" t="n">
        <x:v>0.26413543543053436</x:v>
      </x:c>
      <x:c r="G42" s="42" t="n">
        <x:v>14605.554950848265</x:v>
      </x:c>
      <x:c r="H42" s="42" t="n">
        <x:v>-14407.88937787309</x:v>
      </x:c>
      <x:c r="I42" s="42" t="n">
        <x:v>15.403900262638906</x:v>
      </x:c>
      <x:c r="J42" s="42" t="n">
        <x:v>62.11741606708393</x:v>
      </x:c>
      <x:c r="K42" s="42" t="n">
        <x:v>173.43923850485868</x:v>
      </x:c>
      <x:c r="L42" s="42" t="n">
        <x:v>-12.334930230489341</x:v>
      </x:c>
      <x:c r="M42" s="42" t="n">
        <x:v>-31.03856735226216</x:v>
      </x:c>
      <x:c r="N42" s="42" t="n">
        <x:v>-32.32011449279664</x:v>
      </x:c>
    </x:row>
    <x:row r="43">
      <x:c r="A43" s="42" t="n">
        <x:v>-39.5</x:v>
      </x:c>
      <x:c r="B43" s="42" t="n">
        <x:v>25</x:v>
      </x:c>
      <x:c r="C43" s="42" t="n">
        <x:v>200.98178735327417</x:v>
      </x:c>
      <x:c r="D43" s="42" t="n">
        <x:v>1286.1064769535044</x:v>
      </x:c>
      <x:c r="E43" s="42" t="n">
        <x:v>5207.182283178962</x:v>
      </x:c>
      <x:c r="F43" s="42" t="n">
        <x:v>0.2857770566394118</x:v>
      </x:c>
      <x:c r="G43" s="42" t="n">
        <x:v>14602.691093675494</x:v>
      </x:c>
      <x:c r="H43" s="42" t="n">
        <x:v>-14401.70930632222</x:v>
      </x:c>
      <x:c r="I43" s="42" t="n">
        <x:v>15.27236238195984</x:v>
      </x:c>
      <x:c r="J43" s="42" t="n">
        <x:v>61.8346740668076</x:v>
      </x:c>
      <x:c r="K43" s="42" t="n">
        <x:v>173.4052305394713</x:v>
      </x:c>
      <x:c r="L43" s="42" t="n">
        <x:v>-12.314991658516309</x:v>
      </x:c>
      <x:c r="M43" s="42" t="n">
        <x:v>-30.800934599967427</x:v>
      </x:c>
      <x:c r="N43" s="42" t="n">
        <x:v>-32.32093628470638</x:v>
      </x:c>
    </x:row>
    <x:row r="44">
      <x:c r="A44" s="42" t="n">
        <x:v>-39</x:v>
      </x:c>
      <x:c r="B44" s="42" t="n">
        <x:v>25</x:v>
      </x:c>
      <x:c r="C44" s="42" t="n">
        <x:v>184.54420924136062</x:v>
      </x:c>
      <x:c r="D44" s="42" t="n">
        <x:v>1273.6117087392167</x:v>
      </x:c>
      <x:c r="E44" s="42" t="n">
        <x:v>5182.873948711796</x:v>
      </x:c>
      <x:c r="F44" s="42" t="n">
        <x:v>0.3084198439904323</x:v>
      </x:c>
      <x:c r="G44" s="42" t="n">
        <x:v>14602.748972256197</x:v>
      </x:c>
      <x:c r="H44" s="42" t="n">
        <x:v>-14418.204763014835</x:v>
      </x:c>
      <x:c r="I44" s="42" t="n">
        <x:v>15.123988486433543</x:v>
      </x:c>
      <x:c r="J44" s="42" t="n">
        <x:v>61.54601546852122</x:v>
      </x:c>
      <x:c r="K44" s="42" t="n">
        <x:v>173.40591784077523</x:v>
      </x:c>
      <x:c r="L44" s="42" t="n">
        <x:v>-12.29250107573059</x:v>
      </x:c>
      <x:c r="M44" s="42" t="n">
        <x:v>-30.553394511767344</x:v>
      </x:c>
      <x:c r="N44" s="42" t="n">
        <x:v>-32.41307462543307</x:v>
      </x:c>
    </x:row>
    <x:row r="45">
      <x:c r="A45" s="42" t="n">
        <x:v>-38.5</x:v>
      </x:c>
      <x:c r="B45" s="42" t="n">
        <x:v>25</x:v>
      </x:c>
      <x:c r="C45" s="42" t="n">
        <x:v>211.63430992610967</x:v>
      </x:c>
      <x:c r="D45" s="42" t="n">
        <x:v>1262.3994063143111</x:v>
      </x:c>
      <x:c r="E45" s="42" t="n">
        <x:v>5158.104244296719</x:v>
      </x:c>
      <x:c r="F45" s="42" t="n">
        <x:v>0.33202557018976875</x:v>
      </x:c>
      <x:c r="G45" s="42" t="n">
        <x:v>14596.904162667912</x:v>
      </x:c>
      <x:c r="H45" s="42" t="n">
        <x:v>-14385.269852741802</x:v>
      </x:c>
      <x:c r="I45" s="42" t="n">
        <x:v>14.990843720554663</x:v>
      </x:c>
      <x:c r="J45" s="42" t="n">
        <x:v>61.25187815664235</x:v>
      </x:c>
      <x:c r="K45" s="42" t="n">
        <x:v>173.33651141783483</x:v>
      </x:c>
      <x:c r="L45" s="42" t="n">
        <x:v>-12.27231893136576</x:v>
      </x:c>
      <x:c r="M45" s="42" t="n">
        <x:v>-30.296357508026176</x:v>
      </x:c>
      <x:c r="N45" s="42" t="n">
        <x:v>-32.31377721196157</x:v>
      </x:c>
    </x:row>
    <x:row r="46">
      <x:c r="A46" s="42" t="n">
        <x:v>-38</x:v>
      </x:c>
      <x:c r="B46" s="42" t="n">
        <x:v>25</x:v>
      </x:c>
      <x:c r="C46" s="42" t="n">
        <x:v>202.93658014849487</x:v>
      </x:c>
      <x:c r="D46" s="42" t="n">
        <x:v>1249.463625801307</x:v>
      </x:c>
      <x:c r="E46" s="42" t="n">
        <x:v>5132.9128940915125</x:v>
      </x:c>
      <x:c r="F46" s="42" t="n">
        <x:v>0.35654554390882975</x:v>
      </x:c>
      <x:c r="G46" s="42" t="n">
        <x:v>14596.295801636577</x:v>
      </x:c>
      <x:c r="H46" s="42" t="n">
        <x:v>-14393.359221488083</x:v>
      </x:c>
      <x:c r="I46" s="42" t="n">
        <x:v>14.837232856113587</x:v>
      </x:c>
      <x:c r="J46" s="42" t="n">
        <x:v>60.95273385084885</x:v>
      </x:c>
      <x:c r="K46" s="42" t="n">
        <x:v>173.32928720250268</x:v>
      </x:c>
      <x:c r="L46" s="42" t="n">
        <x:v>-12.249034526442353</x:v>
      </x:c>
      <x:c r="M46" s="42" t="n">
        <x:v>-30.030333314185256</x:v>
      </x:c>
      <x:c r="N46" s="42" t="n">
        <x:v>-32.38762130931221</x:v>
      </x:c>
    </x:row>
    <x:row r="47">
      <x:c r="A47" s="42" t="n">
        <x:v>-37.5</x:v>
      </x:c>
      <x:c r="B47" s="42" t="n">
        <x:v>25</x:v>
      </x:c>
      <x:c r="C47" s="42" t="n">
        <x:v>239.1871485288169</x:v>
      </x:c>
      <x:c r="D47" s="42" t="n">
        <x:v>1238.1954185553416</x:v>
      </x:c>
      <x:c r="E47" s="42" t="n">
        <x:v>5107.342501420047</x:v>
      </x:c>
      <x:c r="F47" s="42" t="n">
        <x:v>0.3819203139399223</x:v>
      </x:c>
      <x:c r="G47" s="42" t="n">
        <x:v>14589.655674119578</x:v>
      </x:c>
      <x:c r="H47" s="42" t="n">
        <x:v>-14350.46852559076</x:v>
      </x:c>
      <x:c r="I47" s="42" t="n">
        <x:v>14.703424227093187</x:v>
      </x:c>
      <x:c r="J47" s="42" t="n">
        <x:v>60.649088460575506</x:v>
      </x:c>
      <x:c r="K47" s="42" t="n">
        <x:v>173.25043647317403</x:v>
      </x:c>
      <x:c r="L47" s="42" t="n">
        <x:v>-12.228751753399616</x:v>
      </x:c>
      <x:c r="M47" s="42" t="n">
        <x:v>-29.755933677096785</x:v>
      </x:c>
      <x:c r="N47" s="42" t="n">
        <x:v>-32.27170581722869</x:v>
      </x:c>
    </x:row>
    <x:row r="48">
      <x:c r="A48" s="42" t="n">
        <x:v>-37</x:v>
      </x:c>
      <x:c r="B48" s="42" t="n">
        <x:v>25</x:v>
      </x:c>
      <x:c r="C48" s="42" t="n">
        <x:v>236.18872035541293</x:v>
      </x:c>
      <x:c r="D48" s="42" t="n">
        <x:v>1225.380825883585</x:v>
      </x:c>
      <x:c r="E48" s="42" t="n">
        <x:v>5081.438550121767</x:v>
      </x:c>
      <x:c r="F48" s="42" t="n">
        <x:v>0.4080794903002025</x:v>
      </x:c>
      <x:c r="G48" s="42" t="n">
        <x:v>14588.806016104165</x:v>
      </x:c>
      <x:c r="H48" s="42" t="n">
        <x:v>-14352.617295748752</x:v>
      </x:c>
      <x:c r="I48" s="42" t="n">
        <x:v>14.551252453941196</x:v>
      </x:c>
      <x:c r="J48" s="42" t="n">
        <x:v>60.34148210103901</x:v>
      </x:c>
      <x:c r="K48" s="42" t="n">
        <x:v>173.2403468846799</x:v>
      </x:c>
      <x:c r="L48" s="42" t="n">
        <x:v>-12.205685486590454</x:v>
      </x:c>
      <x:c r="M48" s="42" t="n">
        <x:v>-29.473873977517357</x:v>
      </x:c>
      <x:c r="N48" s="42" t="n">
        <x:v>-32.30735023037133</x:v>
      </x:c>
    </x:row>
    <x:row r="49">
      <x:c r="A49" s="42" t="n">
        <x:v>-36.5</x:v>
      </x:c>
      <x:c r="B49" s="42" t="n">
        <x:v>25</x:v>
      </x:c>
      <x:c r="C49" s="42" t="n">
        <x:v>264.8535608975177</x:v>
      </x:c>
      <x:c r="D49" s="42" t="n">
        <x:v>1214.0001949726325</x:v>
      </x:c>
      <x:c r="E49" s="42" t="n">
        <x:v>5055.24937472324</x:v>
      </x:c>
      <x:c r="F49" s="42" t="n">
        <x:v>0.4349416936830342</x:v>
      </x:c>
      <x:c r="G49" s="42" t="n">
        <x:v>14583.853391519191</x:v>
      </x:c>
      <x:c r="H49" s="42" t="n">
        <x:v>-14318.999830621673</x:v>
      </x:c>
      <x:c r="I49" s="42" t="n">
        <x:v>14.416108807188776</x:v>
      </x:c>
      <x:c r="J49" s="42" t="n">
        <x:v>60.030488739028705</x:v>
      </x:c>
      <x:c r="K49" s="42" t="n">
        <x:v>173.18153505318776</x:v>
      </x:c>
      <x:c r="L49" s="42" t="n">
        <x:v>-12.185200350950739</x:v>
      </x:c>
      <x:c r="M49" s="42" t="n">
        <x:v>-29.184973631354524</x:v>
      </x:c>
      <x:c r="N49" s="42" t="n">
        <x:v>-32.289014876787824</x:v>
      </x:c>
    </x:row>
    <x:row r="50">
      <x:c r="A50" s="42" t="n">
        <x:v>-36</x:v>
      </x:c>
      <x:c r="B50" s="42" t="n">
        <x:v>25</x:v>
      </x:c>
      <x:c r="C50" s="42" t="n">
        <x:v>273.24610443212225</x:v>
      </x:c>
      <x:c r="D50" s="42" t="n">
        <x:v>1202.1077214470538</x:v>
      </x:c>
      <x:c r="E50" s="42" t="n">
        <x:v>5028.826097116104</x:v>
      </x:c>
      <x:c r="F50" s="42" t="n">
        <x:v>0.4624146431619742</x:v>
      </x:c>
      <x:c r="G50" s="42" t="n">
        <x:v>14582.102622173152</x:v>
      </x:c>
      <x:c r="H50" s="42" t="n">
        <x:v>-14308.85651774103</x:v>
      </x:c>
      <x:c r="I50" s="42" t="n">
        <x:v>14.274887089893074</x:v>
      </x:c>
      <x:c r="J50" s="42" t="n">
        <x:v>59.716715440964606</x:v>
      </x:c>
      <x:c r="K50" s="42" t="n">
        <x:v>173.16074487416364</x:v>
      </x:c>
      <x:c r="L50" s="42" t="n">
        <x:v>-12.163793898604697</x:v>
      </x:c>
      <x:c r="M50" s="42" t="n">
        <x:v>-28.89015518635122</x:v>
      </x:c>
      <x:c r="N50" s="42" t="n">
        <x:v>-32.28556786280975</x:v>
      </x:c>
    </x:row>
    <x:row r="51">
      <x:c r="A51" s="42" t="n">
        <x:v>-35.5</x:v>
      </x:c>
      <x:c r="B51" s="42" t="n">
        <x:v>25</x:v>
      </x:c>
      <x:c r="C51" s="42" t="n">
        <x:v>284.9525044866856</x:v>
      </x:c>
      <x:c r="D51" s="42" t="n">
        <x:v>1190.7643485527458</x:v>
      </x:c>
      <x:c r="E51" s="42" t="n">
        <x:v>5002.222527859245</x:v>
      </x:c>
      <x:c r="F51" s="42" t="n">
        <x:v>0.49039539024822354</x:v>
      </x:c>
      <x:c r="G51" s="42" t="n">
        <x:v>14580.284946826378</x:v>
      </x:c>
      <x:c r="H51" s="42" t="n">
        <x:v>-14295.332442339692</x:v>
      </x:c>
      <x:c r="I51" s="42" t="n">
        <x:v>14.140185877684006</x:v>
      </x:c>
      <x:c r="J51" s="42" t="n">
        <x:v>59.400801200872486</x:v>
      </x:c>
      <x:c r="K51" s="42" t="n">
        <x:v>173.13916019428981</x:v>
      </x:c>
      <x:c r="L51" s="42" t="n">
        <x:v>-12.143375827394943</x:v>
      </x:c>
      <x:c r="M51" s="42" t="n">
        <x:v>-28.59044203791263</x:v>
      </x:c>
      <x:c r="N51" s="42" t="n">
        <x:v>-32.29498426799288</x:v>
      </x:c>
    </x:row>
    <x:row r="52">
      <x:c r="A52" s="42" t="n">
        <x:v>-35</x:v>
      </x:c>
      <x:c r="B52" s="42" t="n">
        <x:v>25</x:v>
      </x:c>
      <x:c r="C52" s="42" t="n">
        <x:v>280.71344003936963</x:v>
      </x:c>
      <x:c r="D52" s="42" t="n">
        <x:v>1179.3015074463235</x:v>
      </x:c>
      <x:c r="E52" s="42" t="n">
        <x:v>4975.495030726145</x:v>
      </x:c>
      <x:c r="F52" s="42" t="n">
        <x:v>0.5187707053077272</x:v>
      </x:c>
      <x:c r="G52" s="42" t="n">
        <x:v>14581.129325609469</x:v>
      </x:c>
      <x:c r="H52" s="42" t="n">
        <x:v>-14300.415885570099</x:v>
      </x:c>
      <x:c r="I52" s="42" t="n">
        <x:v>14.004065994578529</x:v>
      </x:c>
      <x:c r="J52" s="42" t="n">
        <x:v>59.08341533189964</x:v>
      </x:c>
      <x:c r="K52" s="42" t="n">
        <x:v>173.14918709252422</x:v>
      </x:c>
      <x:c r="L52" s="42" t="n">
        <x:v>-12.122742713403383</x:v>
      </x:c>
      <x:c r="M52" s="42" t="n">
        <x:v>-28.286954707537518</x:v>
      </x:c>
      <x:c r="N52" s="42" t="n">
        <x:v>-32.254223245341564</x:v>
      </x:c>
    </x:row>
    <x:row r="53">
      <x:c r="A53" s="42" t="n">
        <x:v>-34.5</x:v>
      </x:c>
      <x:c r="B53" s="42" t="n">
        <x:v>25</x:v>
      </x:c>
      <x:c r="C53" s="42" t="n">
        <x:v>316.31487804948046</x:v>
      </x:c>
      <x:c r="D53" s="42" t="n">
        <x:v>1170.0355124387281</x:v>
      </x:c>
      <x:c r="E53" s="42" t="n">
        <x:v>4948.702349684009</x:v>
      </x:c>
      <x:c r="F53" s="42" t="n">
        <x:v>0.5474176199882153</x:v>
      </x:c>
      <x:c r="G53" s="42" t="n">
        <x:v>14576.857632008794</x:v>
      </x:c>
      <x:c r="H53" s="42" t="n">
        <x:v>-14260.542753959313</x:v>
      </x:c>
      <x:c r="I53" s="42" t="n">
        <x:v>13.894033399205368</x:v>
      </x:c>
      <x:c r="J53" s="42" t="n">
        <x:v>58.76525541171243</x:v>
      </x:c>
      <x:c r="K53" s="42" t="n">
        <x:v>173.09846123597714</x:v>
      </x:c>
      <x:c r="L53" s="42" t="n">
        <x:v>-12.10606392238971</x:v>
      </x:c>
      <x:c r="M53" s="42" t="n">
        <x:v>-27.980905649537284</x:v>
      </x:c>
      <x:c r="N53" s="42" t="n">
        <x:v>-32.35263200847161</x:v>
      </x:c>
    </x:row>
    <x:row r="54">
      <x:c r="A54" s="42" t="n">
        <x:v>-34</x:v>
      </x:c>
      <x:c r="B54" s="42" t="n">
        <x:v>25</x:v>
      </x:c>
      <x:c r="C54" s="42" t="n">
        <x:v>319.41525492664545</x:v>
      </x:c>
      <x:c r="D54" s="42" t="n">
        <x:v>1160.139769010444</x:v>
      </x:c>
      <x:c r="E54" s="42" t="n">
        <x:v>4921.90539811054</x:v>
      </x:c>
      <x:c r="F54" s="42" t="n">
        <x:v>0.5762041267270106</x:v>
      </x:c>
      <x:c r="G54" s="42" t="n">
        <x:v>14577.628747923234</x:v>
      </x:c>
      <x:c r="H54" s="42" t="n">
        <x:v>-14258.213492996589</x:v>
      </x:c>
      <x:c r="I54" s="42" t="n">
        <x:v>13.776522615779685</x:v>
      </x:c>
      <x:c r="J54" s="42" t="n">
        <x:v>58.44704477947048</x:v>
      </x:c>
      <x:c r="K54" s="42" t="n">
        <x:v>173.10761814630678</x:v>
      </x:c>
      <x:c r="L54" s="42" t="n">
        <x:v>-12.0882515842188</x:v>
      </x:c>
      <x:c r="M54" s="42" t="n">
        <x:v>-27.673592576055874</x:v>
      </x:c>
      <x:c r="N54" s="42" t="n">
        <x:v>-32.33596634649621</x:v>
      </x:c>
    </x:row>
    <x:row r="55">
      <x:c r="A55" s="42" t="n">
        <x:v>-33.5</x:v>
      </x:c>
      <x:c r="B55" s="42" t="n">
        <x:v>25</x:v>
      </x:c>
      <x:c r="C55" s="42" t="n">
        <x:v>328.4448057508986</x:v>
      </x:c>
      <x:c r="D55" s="42" t="n">
        <x:v>1151.2002362045403</x:v>
      </x:c>
      <x:c r="E55" s="42" t="n">
        <x:v>4895.167010716071</x:v>
      </x:c>
      <x:c r="F55" s="42" t="n">
        <x:v>0.6049900336531705</x:v>
      </x:c>
      <x:c r="G55" s="42" t="n">
        <x:v>14578.092560023488</x:v>
      </x:c>
      <x:c r="H55" s="42" t="n">
        <x:v>-14249.64775427259</x:v>
      </x:c>
      <x:c r="I55" s="42" t="n">
        <x:v>13.670366720460203</x:v>
      </x:c>
      <x:c r="J55" s="42" t="n">
        <x:v>58.12952958993122</x:v>
      </x:c>
      <x:c r="K55" s="42" t="n">
        <x:v>173.11312586016965</x:v>
      </x:c>
      <x:c r="L55" s="42" t="n">
        <x:v>-12.072160425168173</x:v>
      </x:c>
      <x:c r="M55" s="42" t="n">
        <x:v>-27.366390316410396</x:v>
      </x:c>
      <x:c r="N55" s="42" t="n">
        <x:v>-32.346280022611786</x:v>
      </x:c>
    </x:row>
    <x:row r="56">
      <x:c r="A56" s="42" t="n">
        <x:v>-33</x:v>
      </x:c>
      <x:c r="B56" s="42" t="n">
        <x:v>25</x:v>
      </x:c>
      <x:c r="C56" s="42" t="n">
        <x:v>342.0571204684842</x:v>
      </x:c>
      <x:c r="D56" s="42" t="n">
        <x:v>1143.1933519509057</x:v>
      </x:c>
      <x:c r="E56" s="42" t="n">
        <x:v>4868.551659330447</x:v>
      </x:c>
      <x:c r="F56" s="42" t="n">
        <x:v>0.6336279703155745</x:v>
      </x:c>
      <x:c r="G56" s="42" t="n">
        <x:v>14578.466646582594</x:v>
      </x:c>
      <x:c r="H56" s="42" t="n">
        <x:v>-14236.40952611411</x:v>
      </x:c>
      <x:c r="I56" s="42" t="n">
        <x:v>13.575285916449653</x:v>
      </x:c>
      <x:c r="J56" s="42" t="n">
        <x:v>57.813475438452805</x:v>
      </x:c>
      <x:c r="K56" s="42" t="n">
        <x:v>173.1175680938379</x:v>
      </x:c>
      <x:c r="L56" s="42" t="n">
        <x:v>-12.05774803351163</x:v>
      </x:c>
      <x:c r="M56" s="42" t="n">
        <x:v>-27.060741253954635</x:v>
      </x:c>
      <x:c r="N56" s="42" t="n">
        <x:v>-32.38548925127135</x:v>
      </x:c>
    </x:row>
    <x:row r="57">
      <x:c r="A57" s="42" t="n">
        <x:v>-32.5</x:v>
      </x:c>
      <x:c r="B57" s="42" t="n">
        <x:v>25</x:v>
      </x:c>
      <x:c r="C57" s="42" t="n">
        <x:v>350.9183412247295</x:v>
      </x:c>
      <x:c r="D57" s="42" t="n">
        <x:v>1135.757836125959</x:v>
      </x:c>
      <x:c r="E57" s="42" t="n">
        <x:v>4842.125134421267</x:v>
      </x:c>
      <x:c r="F57" s="42" t="n">
        <x:v>0.6619645367212721</x:v>
      </x:c>
      <x:c r="G57" s="42" t="n">
        <x:v>14580.08569704939</x:v>
      </x:c>
      <x:c r="H57" s="42" t="n">
        <x:v>-14229.16735582466</x:v>
      </x:c>
      <x:c r="I57" s="42" t="n">
        <x:v>13.48699004498777</x:v>
      </x:c>
      <x:c r="J57" s="42" t="n">
        <x:v>57.49966357906079</x:v>
      </x:c>
      <x:c r="K57" s="42" t="n">
        <x:v>173.13679412674162</x:v>
      </x:c>
      <x:c r="L57" s="42" t="n">
        <x:v>-12.044364105026727</x:v>
      </x:c>
      <x:c r="M57" s="42" t="n">
        <x:v>-26.758144411466834</x:v>
      </x:c>
      <x:c r="N57" s="42" t="n">
        <x:v>-32.41021524800949</x:v>
      </x:c>
    </x:row>
    <x:row r="58">
      <x:c r="A58" s="42" t="n">
        <x:v>-32</x:v>
      </x:c>
      <x:c r="B58" s="42" t="n">
        <x:v>25</x:v>
      </x:c>
      <x:c r="C58" s="42" t="n">
        <x:v>340.91681406553505</x:v>
      </x:c>
      <x:c r="D58" s="42" t="n">
        <x:v>1128.3236750252931</x:v>
      </x:c>
      <x:c r="E58" s="42" t="n">
        <x:v>4815.954194917552</x:v>
      </x:c>
      <x:c r="F58" s="42" t="n">
        <x:v>0.6898415852200698</x:v>
      </x:c>
      <x:c r="G58" s="42" t="n">
        <x:v>14584.952070760557</x:v>
      </x:c>
      <x:c r="H58" s="42" t="n">
        <x:v>-14244.035256695022</x:v>
      </x:c>
      <x:c r="I58" s="42" t="n">
        <x:v>13.398710260716578</x:v>
      </x:c>
      <x:c r="J58" s="42" t="n">
        <x:v>57.18888676614568</x:v>
      </x:c>
      <x:c r="K58" s="42" t="n">
        <x:v>173.19458173930306</x:v>
      </x:c>
      <x:c r="L58" s="42" t="n">
        <x:v>-12.030982615045527</x:v>
      </x:c>
      <x:c r="M58" s="42" t="n">
        <x:v>-26.46014328387097</x:v>
      </x:c>
      <x:c r="N58" s="42" t="n">
        <x:v>-32.36158331902681</x:v>
      </x:c>
    </x:row>
    <x:row r="59">
      <x:c r="A59" s="42" t="n">
        <x:v>-31.5</x:v>
      </x:c>
      <x:c r="B59" s="42" t="n">
        <x:v>25</x:v>
      </x:c>
      <x:c r="C59" s="42" t="n">
        <x:v>355.15219987006986</x:v>
      </x:c>
      <x:c r="D59" s="42" t="n">
        <x:v>1122.5926316922603</x:v>
      </x:c>
      <x:c r="E59" s="42" t="n">
        <x:v>4790.106189604217</x:v>
      </x:c>
      <x:c r="F59" s="42" t="n">
        <x:v>0.7170976218896598</x:v>
      </x:c>
      <x:c r="G59" s="42" t="n">
        <x:v>14587.057234351585</x:v>
      </x:c>
      <x:c r="H59" s="42" t="n">
        <x:v>-14231.905034481515</x:v>
      </x:c>
      <x:c r="I59" s="42" t="n">
        <x:v>13.330654798608865</x:v>
      </x:c>
      <x:c r="J59" s="42" t="n">
        <x:v>56.88194475856699</x:v>
      </x:c>
      <x:c r="K59" s="42" t="n">
        <x:v>173.21958030809316</x:v>
      </x:c>
      <x:c r="L59" s="42" t="n">
        <x:v>-12.020666737046069</x:v>
      </x:c>
      <x:c r="M59" s="42" t="n">
        <x:v>-26.168312544280653</x:v>
      </x:c>
      <x:c r="N59" s="42" t="n">
        <x:v>-32.425096082512</x:v>
      </x:c>
    </x:row>
    <x:row r="60">
      <x:c r="A60" s="42" t="n">
        <x:v>-31</x:v>
      </x:c>
      <x:c r="B60" s="42" t="n">
        <x:v>25</x:v>
      </x:c>
      <x:c r="C60" s="42" t="n">
        <x:v>353.2610093246909</x:v>
      </x:c>
      <x:c r="D60" s="42" t="n">
        <x:v>1116.9125383628445</x:v>
      </x:c>
      <x:c r="E60" s="42" t="n">
        <x:v>4764.648654011315</x:v>
      </x:c>
      <x:c r="F60" s="42" t="n">
        <x:v>0.7435693113299406</x:v>
      </x:c>
      <x:c r="G60" s="42" t="n">
        <x:v>14592.076103026691</x:v>
      </x:c>
      <x:c r="H60" s="42" t="n">
        <x:v>-14238.815093702</x:v>
      </x:c>
      <x:c r="I60" s="42" t="n">
        <x:v>13.26320436177126</x:v>
      </x:c>
      <x:c r="J60" s="42" t="n">
        <x:v>56.57963953276062</x:v>
      </x:c>
      <x:c r="K60" s="42" t="n">
        <x:v>173.27917878032483</x:v>
      </x:c>
      <x:c r="L60" s="42" t="n">
        <x:v>-12.01044256905312</x:v>
      </x:c>
      <x:c r="M60" s="42" t="n">
        <x:v>-25.8842437752509</x:v>
      </x:c>
      <x:c r="N60" s="42" t="n">
        <x:v>-32.425398478847605</x:v>
      </x:c>
    </x:row>
    <x:row r="61">
      <x:c r="A61" s="42" t="n">
        <x:v>-30.5</x:v>
      </x:c>
      <x:c r="B61" s="42" t="n">
        <x:v>25</x:v>
      </x:c>
      <x:c r="C61" s="42" t="n">
        <x:v>338.6571544092517</x:v>
      </x:c>
      <x:c r="D61" s="42" t="n">
        <x:v>1111.3684862554219</x:v>
      </x:c>
      <x:c r="E61" s="42" t="n">
        <x:v>4739.6488873312355</x:v>
      </x:c>
      <x:c r="F61" s="42" t="n">
        <x:v>0.7690930662347593</x:v>
      </x:c>
      <x:c r="G61" s="42" t="n">
        <x:v>14599.553282966977</x:v>
      </x:c>
      <x:c r="H61" s="42" t="n">
        <x:v>-14260.896128557726</x:v>
      </x:c>
      <x:c r="I61" s="42" t="n">
        <x:v>13.197369398363257</x:v>
      </x:c>
      <x:c r="J61" s="42" t="n">
        <x:v>56.28277025868075</x:v>
      </x:c>
      <x:c r="K61" s="42" t="n">
        <x:v>173.36796940823118</x:v>
      </x:c>
      <x:c r="L61" s="42" t="n">
        <x:v>-12.00046327525976</x:v>
      </x:c>
      <x:c r="M61" s="42" t="n">
        <x:v>-25.60953040108339</x:v>
      </x:c>
      <x:c r="N61" s="42" t="n">
        <x:v>-32.37061870941294</x:v>
      </x:c>
    </x:row>
    <x:row r="62">
      <x:c r="A62" s="42" t="n">
        <x:v>-30</x:v>
      </x:c>
      <x:c r="B62" s="42" t="n">
        <x:v>25</x:v>
      </x:c>
      <x:c r="C62" s="42" t="n">
        <x:v>336.97644838088075</x:v>
      </x:c>
      <x:c r="D62" s="42" t="n">
        <x:v>1106.9224359335371</x:v>
      </x:c>
      <x:c r="E62" s="42" t="n">
        <x:v>4715.173514440928</x:v>
      </x:c>
      <x:c r="F62" s="42" t="n">
        <x:v>0.7935067008411355</x:v>
      </x:c>
      <x:c r="G62" s="42" t="n">
        <x:v>14605.92076461545</x:v>
      </x:c>
      <x:c r="H62" s="42" t="n">
        <x:v>-14268.944316234569</x:v>
      </x:c>
      <x:c r="I62" s="42" t="n">
        <x:v>13.14457307636269</x:v>
      </x:c>
      <x:c r="J62" s="42" t="n">
        <x:v>55.99212809886532</x:v>
      </x:c>
      <x:c r="K62" s="42" t="n">
        <x:v>173.4435825001008</x:v>
      </x:c>
      <x:c r="L62" s="42" t="n">
        <x:v>-11.992460384680367</x:v>
      </x:c>
      <x:c r="M62" s="42" t="n">
        <x:v>-25.345752018423447</x:v>
      </x:c>
      <x:c r="N62" s="42" t="n">
        <x:v>-32.38729059198083</x:v>
      </x:c>
    </x:row>
    <x:row r="63">
      <x:c r="A63" s="42" t="n">
        <x:v>-29.5</x:v>
      </x:c>
      <x:c r="B63" s="42" t="n">
        <x:v>25</x:v>
      </x:c>
      <x:c r="C63" s="42" t="n">
        <x:v>326.24732503276135</x:v>
      </x:c>
      <x:c r="D63" s="42" t="n">
        <x:v>1102.6221001018912</x:v>
      </x:c>
      <x:c r="E63" s="42" t="n">
        <x:v>4691.288038569361</x:v>
      </x:c>
      <x:c r="F63" s="42" t="n">
        <x:v>0.8166511254230964</x:v>
      </x:c>
      <x:c r="G63" s="42" t="n">
        <x:v>14614.27394913712</x:v>
      </x:c>
      <x:c r="H63" s="42" t="n">
        <x:v>-14288.026624104357</x:v>
      </x:c>
      <x:c r="I63" s="42" t="n">
        <x:v>13.09350709670866</x:v>
      </x:c>
      <x:c r="J63" s="42" t="n">
        <x:v>55.708490896415164</x:v>
      </x:c>
      <x:c r="K63" s="42" t="n">
        <x:v>173.54277557885777</x:v>
      </x:c>
      <x:c r="L63" s="42" t="n">
        <x:v>-11.984719780183404</x:v>
      </x:c>
      <x:c r="M63" s="42" t="n">
        <x:v>-25.09445834061698</x:v>
      </x:c>
      <x:c r="N63" s="42" t="n">
        <x:v>-32.367032691520556</x:v>
      </x:c>
    </x:row>
    <x:row r="64">
      <x:c r="A64" s="42" t="n">
        <x:v>-29</x:v>
      </x:c>
      <x:c r="B64" s="42" t="n">
        <x:v>25</x:v>
      </x:c>
      <x:c r="C64" s="42" t="n">
        <x:v>331.8773601234619</x:v>
      </x:c>
      <x:c r="D64" s="42" t="n">
        <x:v>1099.4026390140625</x:v>
      </x:c>
      <x:c r="E64" s="42" t="n">
        <x:v>4668.056390519633</x:v>
      </x:c>
      <x:c r="F64" s="42" t="n">
        <x:v>0.8383720574564479</x:v>
      </x:c>
      <x:c r="G64" s="42" t="n">
        <x:v>14621.073466646045</x:v>
      </x:c>
      <x:c r="H64" s="42" t="n">
        <x:v>-14289.196106522582</x:v>
      </x:c>
      <x:c r="I64" s="42" t="n">
        <x:v>13.055276376866233</x:v>
      </x:c>
      <x:c r="J64" s="42" t="n">
        <x:v>55.43261782205973</x:v>
      </x:c>
      <x:c r="K64" s="42" t="n">
        <x:v>173.62351904549888</x:v>
      </x:c>
      <x:c r="L64" s="42" t="n">
        <x:v>-11.978924750225312</x:v>
      </x:c>
      <x:c r="M64" s="42" t="n">
        <x:v>-24.85715298582731</x:v>
      </x:c>
      <x:c r="N64" s="42" t="n">
        <x:v>-32.42398613192027</x:v>
      </x:c>
    </x:row>
    <x:row r="65">
      <x:c r="A65" s="42" t="n">
        <x:v>-28.5</x:v>
      </x:c>
      <x:c r="B65" s="42" t="n">
        <x:v>25</x:v>
      </x:c>
      <x:c r="C65" s="42" t="n">
        <x:v>310.24247262167495</x:v>
      </x:c>
      <x:c r="D65" s="42" t="n">
        <x:v>1095.432597124873</x:v>
      </x:c>
      <x:c r="E65" s="42" t="n">
        <x:v>4645.540480618124</x:v>
      </x:c>
      <x:c r="F65" s="42" t="n">
        <x:v>0.8585217239812488</x:v>
      </x:c>
      <x:c r="G65" s="42" t="n">
        <x:v>14632.4426235159</x:v>
      </x:c>
      <x:c r="H65" s="42" t="n">
        <x:v>-14322.200150894227</x:v>
      </x:c>
      <x:c r="I65" s="42" t="n">
        <x:v>13.008132598734514</x:v>
      </x:c>
      <x:c r="J65" s="42" t="n">
        <x:v>55.165244053606315</x:v>
      </x:c>
      <x:c r="K65" s="42" t="n">
        <x:v>173.75852643936963</x:v>
      </x:c>
      <x:c r="L65" s="42" t="n">
        <x:v>-11.97177867482477</x:v>
      </x:c>
      <x:c r="M65" s="42" t="n">
        <x:v>-24.635277349281388</x:v>
      </x:c>
      <x:c r="N65" s="42" t="n">
        <x:v>-32.36405041140279</x:v>
      </x:c>
    </x:row>
    <x:row r="66">
      <x:c r="A66" s="42" t="n">
        <x:v>-28</x:v>
      </x:c>
      <x:c r="B66" s="42" t="n">
        <x:v>25</x:v>
      </x:c>
      <x:c r="C66" s="42" t="n">
        <x:v>313.2831784265769</x:v>
      </x:c>
      <x:c r="D66" s="42" t="n">
        <x:v>1092.7002069781606</x:v>
      </x:c>
      <x:c r="E66" s="42" t="n">
        <x:v>4623.799759710701</x:v>
      </x:c>
      <x:c r="F66" s="42" t="n">
        <x:v>0.8769605290700035</x:v>
      </x:c>
      <x:c r="G66" s="42" t="n">
        <x:v>14641.123866777607</x:v>
      </x:c>
      <x:c r="H66" s="42" t="n">
        <x:v>-14327.84068835103</x:v>
      </x:c>
      <x:c r="I66" s="42" t="n">
        <x:v>12.975685788740728</x:v>
      </x:c>
      <x:c r="J66" s="42" t="n">
        <x:v>54.90707556282186</x:v>
      </x:c>
      <x:c r="K66" s="42" t="n">
        <x:v>173.8616151768844</x:v>
      </x:c>
      <x:c r="L66" s="42" t="n">
        <x:v>-11.966860372560689</x:v>
      </x:c>
      <x:c r="M66" s="42" t="n">
        <x:v>-24.430194805849233</x:v>
      </x:c>
      <x:c r="N66" s="42" t="n">
        <x:v>-32.41620795604306</x:v>
      </x:c>
    </x:row>
    <x:row r="67">
      <x:c r="A67" s="42" t="n">
        <x:v>-27.5</x:v>
      </x:c>
      <x:c r="B67" s="42" t="n">
        <x:v>25</x:v>
      </x:c>
      <x:c r="C67" s="42" t="n">
        <x:v>296.84376125916674</x:v>
      </x:c>
      <x:c r="D67" s="42" t="n">
        <x:v>1089.3494444973749</x:v>
      </x:c>
      <x:c r="E67" s="42" t="n">
        <x:v>4602.890795551278</x:v>
      </x:c>
      <x:c r="F67" s="42" t="n">
        <x:v>0.8935586602003637</x:v>
      </x:c>
      <x:c r="G67" s="42" t="n">
        <x:v>14653.311244711216</x:v>
      </x:c>
      <x:c r="H67" s="42" t="n">
        <x:v>-14356.46748345205</x:v>
      </x:c>
      <x:c r="I67" s="42" t="n">
        <x:v>12.935895880378201</x:v>
      </x:c>
      <x:c r="J67" s="42" t="n">
        <x:v>54.658784085097125</x:v>
      </x:c>
      <x:c r="K67" s="42" t="n">
        <x:v>174.00633884916454</x:v>
      </x:c>
      <x:c r="L67" s="42" t="n">
        <x:v>-11.960829000095275</x:v>
      </x:c>
      <x:c r="M67" s="42" t="n">
        <x:v>-24.243175490189028</x:v>
      </x:c>
      <x:c r="N67" s="42" t="n">
        <x:v>-32.381636469420506</x:v>
      </x:c>
    </x:row>
    <x:row r="68">
      <x:c r="A68" s="42" t="n">
        <x:v>-27</x:v>
      </x:c>
      <x:c r="B68" s="42" t="n">
        <x:v>25</x:v>
      </x:c>
      <x:c r="C68" s="42" t="n">
        <x:v>289.342268541003</x:v>
      </x:c>
      <x:c r="D68" s="42" t="n">
        <x:v>1086.4293010320787</x:v>
      </x:c>
      <x:c r="E68" s="42" t="n">
        <x:v>4582.86687082678</x:v>
      </x:c>
      <x:c r="F68" s="42" t="n">
        <x:v>0.9081976077480743</x:v>
      </x:c>
      <x:c r="G68" s="42" t="n">
        <x:v>14665.036556690675</x:v>
      </x:c>
      <x:c r="H68" s="42" t="n">
        <x:v>-14375.694288149673</x:v>
      </x:c>
      <x:c r="I68" s="42" t="n">
        <x:v>12.90121952192073</x:v>
      </x:c>
      <x:c r="J68" s="42" t="n">
        <x:v>54.421002346040794</x:v>
      </x:c>
      <x:c r="K68" s="42" t="n">
        <x:v>174.1455755428604</x:v>
      </x:c>
      <x:c r="L68" s="42" t="n">
        <x:v>-11.955572741857742</x:v>
      </x:c>
      <x:c r="M68" s="42" t="n">
        <x:v>-24.075381897755534</x:v>
      </x:c>
      <x:c r="N68" s="42" t="n">
        <x:v>-32.404924415692285</x:v>
      </x:c>
    </x:row>
    <x:row r="69">
      <x:c r="A69" s="42" t="n">
        <x:v>-26.5</x:v>
      </x:c>
      <x:c r="B69" s="42" t="n">
        <x:v>25</x:v>
      </x:c>
      <x:c r="C69" s="42" t="n">
        <x:v>290.5597784751114</x:v>
      </x:c>
      <x:c r="D69" s="42" t="n">
        <x:v>1083.8477594852482</x:v>
      </x:c>
      <x:c r="E69" s="42" t="n">
        <x:v>4563.7776088342625</x:v>
      </x:c>
      <x:c r="F69" s="42" t="n">
        <x:v>0.9207715727628553</x:v>
      </x:c>
      <x:c r="G69" s="42" t="n">
        <x:v>14676.338809952045</x:v>
      </x:c>
      <x:c r="H69" s="42" t="n">
        <x:v>-14385.779031476934</x:v>
      </x:c>
      <x:c r="I69" s="42" t="n">
        <x:v>12.870564021218586</x:v>
      </x:c>
      <x:c r="J69" s="42" t="n">
        <x:v>54.19431961643937</x:v>
      </x:c>
      <x:c r="K69" s="42" t="n">
        <x:v>174.2797884642891</x:v>
      </x:c>
      <x:c r="L69" s="42" t="n">
        <x:v>-11.950925967073447</x:v>
      </x:c>
      <x:c r="M69" s="42" t="n">
        <x:v>-23.927855541035974</x:v>
      </x:c>
      <x:c r="N69" s="42" t="n">
        <x:v>-32.43325608150432</x:v>
      </x:c>
    </x:row>
    <x:row r="70">
      <x:c r="A70" s="42" t="n">
        <x:v>-26</x:v>
      </x:c>
      <x:c r="B70" s="42" t="n">
        <x:v>25</x:v>
      </x:c>
      <x:c r="C70" s="42" t="n">
        <x:v>271.74352983421755</x:v>
      </x:c>
      <x:c r="D70" s="42" t="n">
        <x:v>1080.37820905989</x:v>
      </x:c>
      <x:c r="E70" s="42" t="n">
        <x:v>4545.668632472401</x:v>
      </x:c>
      <x:c r="F70" s="42" t="n">
        <x:v>0.9311887396574456</x:v>
      </x:c>
      <x:c r="G70" s="42" t="n">
        <x:v>14691.249740602572</x:v>
      </x:c>
      <x:c r="H70" s="42" t="n">
        <x:v>-14419.506210768355</x:v>
      </x:c>
      <x:c r="I70" s="42" t="n">
        <x:v>12.829363520056294</x:v>
      </x:c>
      <x:c r="J70" s="42" t="n">
        <x:v>53.979277662821495</x:v>
      </x:c>
      <x:c r="K70" s="42" t="n">
        <x:v>174.45685400312894</x:v>
      </x:c>
      <x:c r="L70" s="42" t="n">
        <x:v>-11.944680776307802</x:v>
      </x:c>
      <x:c r="M70" s="42" t="n">
        <x:v>-23.80150488153331</x:v>
      </x:c>
      <x:c r="N70" s="42" t="n">
        <x:v>-32.508089539999496</x:v>
      </x:c>
    </x:row>
    <x:row r="71">
      <x:c r="A71" s="42" t="n">
        <x:v>-25.5</x:v>
      </x:c>
      <x:c r="B71" s="42" t="n">
        <x:v>25</x:v>
      </x:c>
      <x:c r="C71" s="42" t="n">
        <x:v>271.7227708541989</x:v>
      </x:c>
      <x:c r="D71" s="42" t="n">
        <x:v>1077.5062061004098</x:v>
      </x:c>
      <x:c r="E71" s="42" t="n">
        <x:v>4528.581261736598</x:v>
      </x:c>
      <x:c r="F71" s="42" t="n">
        <x:v>0.9393723924054478</x:v>
      </x:c>
      <x:c r="G71" s="42" t="n">
        <x:v>14704.337559090227</x:v>
      </x:c>
      <x:c r="H71" s="42" t="n">
        <x:v>-14432.614788236027</x:v>
      </x:c>
      <x:c r="I71" s="42" t="n">
        <x:v>12.795258824414653</x:v>
      </x:c>
      <x:c r="J71" s="42" t="n">
        <x:v>53.77636715524808</x:v>
      </x:c>
      <x:c r="K71" s="42" t="n">
        <x:v>174.6122703005464</x:v>
      </x:c>
      <x:c r="L71" s="42" t="n">
        <x:v>-11.939511170980738</x:v>
      </x:c>
      <x:c r="M71" s="42" t="n">
        <x:v>-23.697094739476846</x:v>
      </x:c>
      <x:c r="N71" s="42" t="n">
        <x:v>-32.53042512157416</x:v>
      </x:c>
    </x:row>
    <x:row r="72">
      <x:c r="A72" s="42" t="n">
        <x:v>-25</x:v>
      </x:c>
      <x:c r="B72" s="42" t="n">
        <x:v>25</x:v>
      </x:c>
      <x:c r="C72" s="42" t="n">
        <x:v>260.2713841318971</x:v>
      </x:c>
      <x:c r="D72" s="42" t="n">
        <x:v>1073.9658997599292</x:v>
      </x:c>
      <x:c r="E72" s="42" t="n">
        <x:v>4512.552254322947</x:v>
      </x:c>
      <x:c r="F72" s="42" t="n">
        <x:v>0.9452618552711984</x:v>
      </x:c>
      <x:c r="G72" s="42" t="n">
        <x:v>14719.836152269878</x:v>
      </x:c>
      <x:c r="H72" s="42" t="n">
        <x:v>-14459.564768137981</x:v>
      </x:c>
      <x:c r="I72" s="42" t="n">
        <x:v>12.753218105124406</x:v>
      </x:c>
      <x:c r="J72" s="42" t="n">
        <x:v>53.5860245870151</x:v>
      </x:c>
      <x:c r="K72" s="42" t="n">
        <x:v>174.79631426245138</x:v>
      </x:c>
      <x:c r="L72" s="42" t="n">
        <x:v>-11.933138619567872</x:v>
      </x:c>
      <x:c r="M72" s="42" t="n">
        <x:v>-23.61523736034052</x:v>
      </x:c>
      <x:c r="N72" s="42" t="n">
        <x:v>-32.608303760763235</x:v>
      </x:c>
    </x:row>
    <x:row r="73">
      <x:c r="A73" s="42" t="n">
        <x:v>-24.5</x:v>
      </x:c>
      <x:c r="B73" s="42" t="n">
        <x:v>25</x:v>
      </x:c>
      <x:c r="C73" s="42" t="n">
        <x:v>276.4936352896954</x:v>
      </x:c>
      <x:c r="D73" s="42" t="n">
        <x:v>1071.2771369281047</x:v>
      </x:c>
      <x:c r="E73" s="42" t="n">
        <x:v>4497.613593262742</x:v>
      </x:c>
      <x:c r="F73" s="42" t="n">
        <x:v>0.9488132419368659</x:v>
      </x:c>
      <x:c r="G73" s="42" t="n">
        <x:v>14732.27105346808</x:v>
      </x:c>
      <x:c r="H73" s="42" t="n">
        <x:v>-14455.777418178384</x:v>
      </x:c>
      <x:c r="I73" s="42" t="n">
        <x:v>12.721289364337688</x:v>
      </x:c>
      <x:c r="J73" s="42" t="n">
        <x:v>53.40862975283842</x:v>
      </x:c>
      <x:c r="K73" s="42" t="n">
        <x:v>174.94397724423862</x:v>
      </x:c>
      <x:c r="L73" s="42" t="n">
        <x:v>-11.928298846470588</x:v>
      </x:c>
      <x:c r="M73" s="42" t="n">
        <x:v>-23.556385290441142</x:v>
      </x:c>
      <x:c r="N73" s="42" t="n">
        <x:v>-32.559896356185945</x:v>
      </x:c>
    </x:row>
    <x:row r="74">
      <x:c r="A74" s="42" t="n">
        <x:v>-24</x:v>
      </x:c>
      <x:c r="B74" s="42" t="n">
        <x:v>25</x:v>
      </x:c>
      <x:c r="C74" s="42" t="n">
        <x:v>268.5791759815676</x:v>
      </x:c>
      <x:c r="D74" s="42" t="n">
        <x:v>1067.3370569913695</x:v>
      </x:c>
      <x:c r="E74" s="42" t="n">
        <x:v>4483.792324740323</x:v>
      </x:c>
      <x:c r="F74" s="42" t="n">
        <x:v>0.9500000000893978</x:v>
      </x:c>
      <x:c r="G74" s="42" t="n">
        <x:v>14748.893722340972</x:v>
      </x:c>
      <x:c r="H74" s="42" t="n">
        <x:v>-14480.314546359405</x:v>
      </x:c>
      <x:c r="I74" s="42" t="n">
        <x:v>12.674501380849533</x:v>
      </x:c>
      <x:c r="J74" s="42" t="n">
        <x:v>53.24450382295991</x:v>
      </x:c>
      <x:c r="K74" s="42" t="n">
        <x:v>175.14136947212282</x:v>
      </x:c>
      <x:c r="L74" s="42" t="n">
        <x:v>-11.921206702584465</x:v>
      </x:c>
      <x:c r="M74" s="42" t="n">
        <x:v>-23.520826183728</x:v>
      </x:c>
      <x:c r="N74" s="42" t="n">
        <x:v>-32.63359447189012</x:v>
      </x:c>
    </x:row>
    <x:row r="75">
      <x:c r="A75" s="42" t="n">
        <x:v>-23.5</x:v>
      </x:c>
      <x:c r="B75" s="42" t="n">
        <x:v>25</x:v>
      </x:c>
      <x:c r="C75" s="42" t="n">
        <x:v>273.93459884711217</x:v>
      </x:c>
      <x:c r="D75" s="42" t="n">
        <x:v>1063.6264391684263</x:v>
      </x:c>
      <x:c r="E75" s="42" t="n">
        <x:v>4471.110448409133</x:v>
      </x:c>
      <x:c r="F75" s="42" t="n">
        <x:v>0.9488132420144012</x:v>
      </x:c>
      <x:c r="G75" s="42" t="n">
        <x:v>14764.46311292151</x:v>
      </x:c>
      <x:c r="H75" s="42" t="n">
        <x:v>-14490.528514074398</x:v>
      </x:c>
      <x:c r="I75" s="42" t="n">
        <x:v>12.630438232837724</x:v>
      </x:c>
      <x:c r="J75" s="42" t="n">
        <x:v>53.09390804066363</x:v>
      </x:c>
      <x:c r="K75" s="42" t="n">
        <x:v>175.32625414479432</x:v>
      </x:c>
      <x:c r="L75" s="42" t="n">
        <x:v>-11.914527590503168</x:v>
      </x:c>
      <x:c r="M75" s="42" t="n">
        <x:v>-23.508679629006828</x:v>
      </x:c>
      <x:c r="N75" s="42" t="n">
        <x:v>-32.6510542263223</x:v>
      </x:c>
    </x:row>
    <x:row r="76">
      <x:c r="A76" s="42" t="n">
        <x:v>-23</x:v>
      </x:c>
      <x:c r="B76" s="42" t="n">
        <x:v>25</x:v>
      </x:c>
      <x:c r="C76" s="42" t="n">
        <x:v>279.55588840773</x:v>
      </x:c>
      <x:c r="D76" s="42" t="n">
        <x:v>1059.6253530699855</x:v>
      </x:c>
      <x:c r="E76" s="42" t="n">
        <x:v>4459.584861632389</x:v>
      </x:c>
      <x:c r="F76" s="42" t="n">
        <x:v>0.9452618554392868</x:v>
      </x:c>
      <x:c r="G76" s="42" t="n">
        <x:v>14780.793521743946</x:v>
      </x:c>
      <x:c r="H76" s="42" t="n">
        <x:v>-14501.237633336215</x:v>
      </x:c>
      <x:c r="I76" s="42" t="n">
        <x:v>12.582925808390911</x:v>
      </x:c>
      <x:c r="J76" s="42" t="n">
        <x:v>52.95704306014031</x:v>
      </x:c>
      <x:c r="K76" s="42" t="n">
        <x:v>175.52017581912767</x:v>
      </x:c>
      <x:c r="L76" s="42" t="n">
        <x:v>-11.907325635525973</x:v>
      </x:c>
      <x:c r="M76" s="42" t="n">
        <x:v>-23.51989605198472</x:v>
      </x:c>
      <x:c r="N76" s="42" t="n">
        <x:v>-32.6751605611387</x:v>
      </x:c>
    </x:row>
    <x:row r="77">
      <x:c r="A77" s="42" t="n">
        <x:v>-22.5</x:v>
      </x:c>
      <x:c r="B77" s="42" t="n">
        <x:v>25</x:v>
      </x:c>
      <x:c r="C77" s="42" t="n">
        <x:v>286.69936407981004</x:v>
      </x:c>
      <x:c r="D77" s="42" t="n">
        <x:v>1055.4003997163388</x:v>
      </x:c>
      <x:c r="E77" s="42" t="n">
        <x:v>4449.227358155205</x:v>
      </x:c>
      <x:c r="F77" s="42" t="n">
        <x:v>0.9393723926920916</x:v>
      </x:c>
      <x:c r="G77" s="42" t="n">
        <x:v>14797.70065261399</x:v>
      </x:c>
      <x:c r="H77" s="42" t="n">
        <x:v>-14511.00128853418</x:v>
      </x:c>
      <x:c r="I77" s="42" t="n">
        <x:v>12.532754986752089</x:v>
      </x:c>
      <x:c r="J77" s="42" t="n">
        <x:v>52.834048930719035</x:v>
      </x:c>
      <x:c r="K77" s="42" t="n">
        <x:v>175.72094599960153</x:v>
      </x:c>
      <x:c r="L77" s="42" t="n">
        <x:v>-11.89972071948941</x:v>
      </x:c>
      <x:c r="M77" s="42" t="n">
        <x:v>-23.554257710450546</x:v>
      </x:c>
      <x:c r="N77" s="42" t="n">
        <x:v>-32.69400319534396</x:v>
      </x:c>
    </x:row>
    <x:row r="78">
      <x:c r="A78" s="42" t="n">
        <x:v>-22</x:v>
      </x:c>
      <x:c r="B78" s="42" t="n">
        <x:v>25</x:v>
      </x:c>
      <x:c r="C78" s="42" t="n">
        <x:v>316.6082081776694</x:v>
      </x:c>
      <x:c r="D78" s="42" t="n">
        <x:v>1051.8338169356318</x:v>
      </x:c>
      <x:c r="E78" s="42" t="n">
        <x:v>4440.044680785027</x:v>
      </x:c>
      <x:c r="F78" s="42" t="n">
        <x:v>0.9311887401098284</x:v>
      </x:c>
      <x:c r="G78" s="42" t="n">
        <x:v>14812.199905041163</x:v>
      </x:c>
      <x:c r="H78" s="42" t="n">
        <x:v>-14495.591696863494</x:v>
      </x:c>
      <x:c r="I78" s="42" t="n">
        <x:v>12.490402237840318</x:v>
      </x:c>
      <x:c r="J78" s="42" t="n">
        <x:v>52.725005722441146</x:v>
      </x:c>
      <x:c r="K78" s="42" t="n">
        <x:v>175.89312290820385</x:v>
      </x:c>
      <x:c r="L78" s="42" t="n">
        <x:v>-11.893300870484138</x:v>
      </x:c>
      <x:c r="M78" s="42" t="n">
        <x:v>-23.611381764424593</x:v>
      </x:c>
      <x:c r="N78" s="42" t="n">
        <x:v>-32.712379485380644</x:v>
      </x:c>
    </x:row>
    <x:row r="79">
      <x:c r="A79" s="42" t="n">
        <x:v>-21.5</x:v>
      </x:c>
      <x:c r="B79" s="42" t="n">
        <x:v>25</x:v>
      </x:c>
      <x:c r="C79" s="42" t="n">
        <x:v>332.44947759769417</x:v>
      </x:c>
      <x:c r="D79" s="42" t="n">
        <x:v>1047.5006423149632</x:v>
      </x:c>
      <x:c r="E79" s="42" t="n">
        <x:v>4432.038626737618</x:v>
      </x:c>
      <x:c r="F79" s="42" t="n">
        <x:v>0.920771573454323</x:v>
      </x:c>
      <x:c r="G79" s="42" t="n">
        <x:v>14829.435200520922</x:v>
      </x:c>
      <x:c r="H79" s="42" t="n">
        <x:v>-14496.985722923228</x:v>
      </x:c>
      <x:c r="I79" s="42" t="n">
        <x:v>12.438946301448548</x:v>
      </x:c>
      <x:c r="J79" s="42" t="n">
        <x:v>52.62993477703138</x:v>
      </x:c>
      <x:c r="K79" s="42" t="n">
        <x:v>176.0977900046254</x:v>
      </x:c>
      <x:c r="L79" s="42" t="n">
        <x:v>-11.885501156166933</x:v>
      </x:c>
      <x:c r="M79" s="42" t="n">
        <x:v>-23.690725367038805</x:v>
      </x:c>
      <x:c r="N79" s="42" t="n">
        <x:v>-32.781314138762085</x:v>
      </x:c>
    </x:row>
    <x:row r="80">
      <x:c r="A80" s="42" t="n">
        <x:v>-21</x:v>
      </x:c>
      <x:c r="B80" s="42" t="n">
        <x:v>25</x:v>
      </x:c>
      <x:c r="C80" s="42" t="n">
        <x:v>317.91812880175183</x:v>
      </x:c>
      <x:c r="D80" s="42" t="n">
        <x:v>1041.8121991926193</x:v>
      </x:c>
      <x:c r="E80" s="42" t="n">
        <x:v>4425.206203416996</x:v>
      </x:c>
      <x:c r="F80" s="42" t="n">
        <x:v>0.9081976087888108</x:v>
      </x:c>
      <x:c r="G80" s="42" t="n">
        <x:v>14851.674432510064</x:v>
      </x:c>
      <x:c r="H80" s="42" t="n">
        <x:v>-14533.756303708313</x:v>
      </x:c>
      <x:c r="I80" s="42" t="n">
        <x:v>12.371396711806955</x:v>
      </x:c>
      <x:c r="J80" s="42" t="n">
        <x:v>52.548800557766214</x:v>
      </x:c>
      <x:c r="K80" s="42" t="n">
        <x:v>176.36187825557582</x:v>
      </x:c>
      <x:c r="L80" s="42" t="n">
        <x:v>-11.875261958546714</x:v>
      </x:c>
      <x:c r="M80" s="42" t="n">
        <x:v>-23.791592687051295</x:v>
      </x:c>
      <x:c r="N80" s="42" t="n">
        <x:v>-32.74116609383862</x:v>
      </x:c>
    </x:row>
    <x:row r="81">
      <x:c r="A81" s="42" t="n">
        <x:v>-20.5</x:v>
      </x:c>
      <x:c r="B81" s="42" t="n">
        <x:v>25</x:v>
      </x:c>
      <x:c r="C81" s="42" t="n">
        <x:v>343.37986587370784</x:v>
      </x:c>
      <x:c r="D81" s="42" t="n">
        <x:v>1037.6607893939624</x:v>
      </x:c>
      <x:c r="E81" s="42" t="n">
        <x:v>4419.5398315595</x:v>
      </x:c>
      <x:c r="F81" s="42" t="n">
        <x:v>0.8935586617531279</x:v>
      </x:c>
      <x:c r="G81" s="42" t="n">
        <x:v>14869.049486702863</x:v>
      </x:c>
      <x:c r="H81" s="42" t="n">
        <x:v>-14525.669620829154</x:v>
      </x:c>
      <x:c r="I81" s="42" t="n">
        <x:v>12.322099211189986</x:v>
      </x:c>
      <x:c r="J81" s="42" t="n">
        <x:v>52.481513061785634</x:v>
      </x:c>
      <x:c r="K81" s="42" t="n">
        <x:v>176.56820497019373</x:v>
      </x:c>
      <x:c r="L81" s="42" t="n">
        <x:v>-11.867789420909132</x:v>
      </x:c>
      <x:c r="M81" s="42" t="n">
        <x:v>-23.91314374102895</x:v>
      </x:c>
      <x:c r="N81" s="42" t="n">
        <x:v>-32.83730429196261</x:v>
      </x:c>
    </x:row>
    <x:row r="82">
      <x:c r="A82" s="42" t="n">
        <x:v>-20</x:v>
      </x:c>
      <x:c r="B82" s="42" t="n">
        <x:v>25</x:v>
      </x:c>
      <x:c r="C82" s="42" t="n">
        <x:v>338.15830709982725</x:v>
      </x:c>
      <x:c r="D82" s="42" t="n">
        <x:v>1032.3098306448724</x:v>
      </x:c>
      <x:c r="E82" s="42" t="n">
        <x:v>4415.027591902696</x:v>
      </x:c>
      <x:c r="F82" s="42" t="n">
        <x:v>0.8769605313729038</x:v>
      </x:c>
      <x:c r="G82" s="42" t="n">
        <x:v>14891.436062206307</x:v>
      </x:c>
      <x:c r="H82" s="42" t="n">
        <x:v>-14553.27775510648</x:v>
      </x:c>
      <x:c r="I82" s="42" t="n">
        <x:v>12.258557208586435</x:v>
      </x:c>
      <x:c r="J82" s="42" t="n">
        <x:v>52.42793074925721</x:v>
      </x:c>
      <x:c r="K82" s="42" t="n">
        <x:v>176.83404290795886</x:v>
      </x:c>
      <x:c r="L82" s="42" t="n">
        <x:v>-11.85815769516077</x:v>
      </x:c>
      <x:c r="M82" s="42" t="n">
        <x:v>-24.05440488306872</x:v>
      </x:c>
      <x:c r="N82" s="42" t="n">
        <x:v>-32.816090547637515</x:v>
      </x:c>
    </x:row>
    <x:row r="83">
      <x:c r="A83" s="42" t="n">
        <x:v>-19.5</x:v>
      </x:c>
      <x:c r="B83" s="42" t="n">
        <x:v>25</x:v>
      </x:c>
      <x:c r="C83" s="42" t="n">
        <x:v>363.814542334925</x:v>
      </x:c>
      <x:c r="D83" s="42" t="n">
        <x:v>1028.3233861410174</x:v>
      </x:c>
      <x:c r="E83" s="42" t="n">
        <x:v>4411.653510855628</x:v>
      </x:c>
      <x:c r="F83" s="42" t="n">
        <x:v>0.8585217273803433</x:v>
      </x:c>
      <x:c r="G83" s="42" t="n">
        <x:v>14910.194563445199</x:v>
      </x:c>
      <x:c r="H83" s="42" t="n">
        <x:v>-14546.380021110273</x:v>
      </x:c>
      <x:c r="I83" s="42" t="n">
        <x:v>12.211218651344529</x:v>
      </x:c>
      <x:c r="J83" s="42" t="n">
        <x:v>52.387863935676585</x:v>
      </x:c>
      <x:c r="K83" s="42" t="n">
        <x:v>177.0567978927105</x:v>
      </x:c>
      <x:c r="L83" s="42" t="n">
        <x:v>-11.850982095053832</x:v>
      </x:c>
      <x:c r="M83" s="42" t="n">
        <x:v>-24.214280773117043</x:v>
      </x:c>
      <x:c r="N83" s="42" t="n">
        <x:v>-32.92910738672525</x:v>
      </x:c>
    </x:row>
    <x:row r="84">
      <x:c r="A84" s="42" t="n">
        <x:v>-19</x:v>
      </x:c>
      <x:c r="B84" s="42" t="n">
        <x:v>25</x:v>
      </x:c>
      <x:c r="C84" s="42" t="n">
        <x:v>371.186419883424</x:v>
      </x:c>
      <x:c r="D84" s="42" t="n">
        <x:v>1023.8458104268632</x:v>
      </x:c>
      <x:c r="E84" s="42" t="n">
        <x:v>4409.397880062132</x:v>
      </x:c>
      <x:c r="F84" s="42" t="n">
        <x:v>0.8383720624520692</x:v>
      </x:c>
      <x:c r="G84" s="42" t="n">
        <x:v>14932.184635308322</x:v>
      </x:c>
      <x:c r="H84" s="42" t="n">
        <x:v>-14560.998215424897</x:v>
      </x:c>
      <x:c r="I84" s="42" t="n">
        <x:v>12.15804796903741</x:v>
      </x:c>
      <x:c r="J84" s="42" t="n">
        <x:v>52.361078586644055</x:v>
      </x:c>
      <x:c r="K84" s="42" t="n">
        <x:v>177.3179273966179</x:v>
      </x:c>
      <x:c r="L84" s="42" t="n">
        <x:v>-11.842922458768355</x:v>
      </x:c>
      <x:c r="M84" s="42" t="n">
        <x:v>-24.391567622043215</x:v>
      </x:c>
      <x:c r="N84" s="42" t="n">
        <x:v>-32.9628355398118</x:v>
      </x:c>
    </x:row>
    <x:row r="85">
      <x:c r="A85" s="42" t="n">
        <x:v>-18.5</x:v>
      </x:c>
      <x:c r="B85" s="42" t="n">
        <x:v>25</x:v>
      </x:c>
      <x:c r="C85" s="42" t="n">
        <x:v>365.6884368087795</x:v>
      </x:c>
      <x:c r="D85" s="42" t="n">
        <x:v>1019.2115825935767</x:v>
      </x:c>
      <x:c r="E85" s="42" t="n">
        <x:v>4408.237604274964</x:v>
      </x:c>
      <x:c r="F85" s="42" t="n">
        <x:v>0.8166511327352994</x:v>
      </x:c>
      <x:c r="G85" s="42" t="n">
        <x:v>14956.623219107312</x:v>
      </x:c>
      <x:c r="H85" s="42" t="n">
        <x:v>-14590.934782298533</x:v>
      </x:c>
      <x:c r="I85" s="42" t="n">
        <x:v>12.103017061333587</x:v>
      </x:c>
      <x:c r="J85" s="42" t="n">
        <x:v>52.34730044882874</x:v>
      </x:c>
      <x:c r="K85" s="42" t="n">
        <x:v>177.6081326903228</x:v>
      </x:c>
      <x:c r="L85" s="42" t="n">
        <x:v>-11.834580848668438</x:v>
      </x:c>
      <x:c r="M85" s="42" t="n">
        <x:v>-24.58496749307724</x:v>
      </x:c>
      <x:c r="N85" s="42" t="n">
        <x:v>-32.941371415905245</x:v>
      </x:c>
    </x:row>
    <x:row r="86">
      <x:c r="A86" s="42" t="n">
        <x:v>-18</x:v>
      </x:c>
      <x:c r="B86" s="42" t="n">
        <x:v>25</x:v>
      </x:c>
      <x:c r="C86" s="42" t="n">
        <x:v>392.0220541536099</x:v>
      </x:c>
      <x:c r="D86" s="42" t="n">
        <x:v>1016.3313604829788</x:v>
      </x:c>
      <x:c r="E86" s="42" t="n">
        <x:v>4408.14657160396</x:v>
      </x:c>
      <x:c r="F86" s="42" t="n">
        <x:v>0.7935067115016943</x:v>
      </x:c>
      <x:c r="G86" s="42" t="n">
        <x:v>14977.225154246555</x:v>
      </x:c>
      <x:c r="H86" s="42" t="n">
        <x:v>-14585.203100092946</x:v>
      </x:c>
      <x:c r="I86" s="42" t="n">
        <x:v>12.068814764244017</x:v>
      </x:c>
      <x:c r="J86" s="42" t="n">
        <x:v>52.34621944662163</x:v>
      </x:c>
      <x:c r="K86" s="42" t="n">
        <x:v>177.8527782347271</x:v>
      </x:c>
      <x:c r="L86" s="42" t="n">
        <x:v>-11.829396448869362</x:v>
      </x:c>
      <x:c r="M86" s="42" t="n">
        <x:v>-24.79310342537188</x:v>
      </x:c>
      <x:c r="N86" s="42" t="n">
        <x:v>-33.061148807164095</x:v>
      </x:c>
    </x:row>
    <x:row r="87">
      <x:c r="A87" s="42" t="n">
        <x:v>-17.5</x:v>
      </x:c>
      <x:c r="B87" s="42" t="n">
        <x:v>25</x:v>
      </x:c>
      <x:c r="C87" s="42" t="n">
        <x:v>397.07097057156574</x:v>
      </x:c>
      <x:c r="D87" s="42" t="n">
        <x:v>1013.2052820771047</x:v>
      </x:c>
      <x:c r="E87" s="42" t="n">
        <x:v>4409.096039971746</x:v>
      </x:c>
      <x:c r="F87" s="42" t="n">
        <x:v>0.7690930817158687</x:v>
      </x:c>
      <x:c r="G87" s="42" t="n">
        <x:v>15001.397890806353</x:v>
      </x:c>
      <x:c r="H87" s="42" t="n">
        <x:v>-14604.326920234787</x:v>
      </x:c>
      <x:c r="I87" s="42" t="n">
        <x:v>12.031692952710948</x:v>
      </x:c>
      <x:c r="J87" s="42" t="n">
        <x:v>52.35749427125153</x:v>
      </x:c>
      <x:c r="K87" s="42" t="n">
        <x:v>178.13982662389265</x:v>
      </x:c>
      <x:c r="L87" s="42" t="n">
        <x:v>-11.823769507738788</x:v>
      </x:c>
      <x:c r="M87" s="42" t="n">
        <x:v>-25.014535136506325</x:v>
      </x:c>
      <x:c r="N87" s="42" t="n">
        <x:v>-33.098818236987384</x:v>
      </x:c>
    </x:row>
    <x:row r="88">
      <x:c r="A88" s="42" t="n">
        <x:v>-17</x:v>
      </x:c>
      <x:c r="B88" s="42" t="n">
        <x:v>25</x:v>
      </x:c>
      <x:c r="C88" s="42" t="n">
        <x:v>381.37310246850825</x:v>
      </x:c>
      <x:c r="D88" s="42" t="n">
        <x:v>1009.9792320080988</x:v>
      </x:c>
      <x:c r="E88" s="42" t="n">
        <x:v>4411.055033508008</x:v>
      </x:c>
      <x:c r="F88" s="42" t="n">
        <x:v>0.7435693337234461</x:v>
      </x:c>
      <x:c r="G88" s="42" t="n">
        <x:v>15029.035468184995</x:v>
      </x:c>
      <x:c r="H88" s="42" t="n">
        <x:v>-14647.662365716487</x:v>
      </x:c>
      <x:c r="I88" s="42" t="n">
        <x:v>11.993383989495932</x:v>
      </x:c>
      <x:c r="J88" s="42" t="n">
        <x:v>52.380757087920166</x:v>
      </x:c>
      <x:c r="K88" s="42" t="n">
        <x:v>178.46801958819984</x:v>
      </x:c>
      <x:c r="L88" s="42" t="n">
        <x:v>-11.817962617614578</x:v>
      </x:c>
      <x:c r="M88" s="42" t="n">
        <x:v>-25.2477750568034</x:v>
      </x:c>
      <x:c r="N88" s="42" t="n">
        <x:v>-33.05602911385848</x:v>
      </x:c>
    </x:row>
    <x:row r="89">
      <x:c r="A89" s="42" t="n">
        <x:v>-16.5</x:v>
      </x:c>
      <x:c r="B89" s="42" t="n">
        <x:v>25</x:v>
      </x:c>
      <x:c r="C89" s="42" t="n">
        <x:v>387.1431058674635</x:v>
      </x:c>
      <x:c r="D89" s="42" t="n">
        <x:v>1008.4630768777303</x:v>
      </x:c>
      <x:c r="E89" s="42" t="n">
        <x:v>4413.9907426368945</x:v>
      </x:c>
      <x:c r="F89" s="42" t="n">
        <x:v>0.7170976541555157</x:v>
      </x:c>
      <x:c r="G89" s="42" t="n">
        <x:v>15054.195422736151</x:v>
      </x:c>
      <x:c r="H89" s="42" t="n">
        <x:v>-14667.052316868687</x:v>
      </x:c>
      <x:c r="I89" s="42" t="n">
        <x:v>11.97537982654894</x:v>
      </x:c>
      <x:c r="J89" s="42" t="n">
        <x:v>52.41561828679274</x:v>
      </x:c>
      <x:c r="K89" s="42" t="n">
        <x:v>178.7667910743128</x:v>
      </x:c>
      <x:c r="L89" s="42" t="n">
        <x:v>-11.815233538379914</x:v>
      </x:c>
      <x:c r="M89" s="42" t="n">
        <x:v>-25.49130444934677</x:v>
      </x:c>
      <x:c r="N89" s="42" t="n">
        <x:v>-33.11175666032832</x:v>
      </x:c>
    </x:row>
    <x:row r="90">
      <x:c r="A90" s="42" t="n">
        <x:v>-16</x:v>
      </x:c>
      <x:c r="B90" s="42" t="n">
        <x:v>25</x:v>
      </x:c>
      <x:c r="C90" s="42" t="n">
        <x:v>413.2956148642764</x:v>
      </x:c>
      <x:c r="D90" s="42" t="n">
        <x:v>1008.728927986176</x:v>
      </x:c>
      <x:c r="E90" s="42" t="n">
        <x:v>4417.868921757957</x:v>
      </x:c>
      <x:c r="F90" s="42" t="n">
        <x:v>0.6898416315292177</x:v>
      </x:c>
      <x:c r="G90" s="42" t="n">
        <x:v>15076.99559977411</x:v>
      </x:c>
      <x:c r="H90" s="42" t="n">
        <x:v>-14663.699984909834</x:v>
      </x:c>
      <x:c r="I90" s="42" t="n">
        <x:v>11.97853677703522</x:v>
      </x:c>
      <x:c r="J90" s="42" t="n">
        <x:v>52.46167120541214</x:v>
      </x:c>
      <x:c r="K90" s="42" t="n">
        <x:v>179.0375404814081</x:v>
      </x:c>
      <x:c r="L90" s="42" t="n">
        <x:v>-11.815712070375117</x:v>
      </x:c>
      <x:c r="M90" s="42" t="n">
        <x:v>-25.74358937540136</x:v>
      </x:c>
      <x:c r="N90" s="42" t="n">
        <x:v>-33.2165617217286</x:v>
      </x:c>
    </x:row>
    <x:row r="91">
      <x:c r="A91" s="42" t="n">
        <x:v>-15.5</x:v>
      </x:c>
      <x:c r="B91" s="42" t="n">
        <x:v>25</x:v>
      </x:c>
      <x:c r="C91" s="42" t="n">
        <x:v>405.1793484681727</x:v>
      </x:c>
      <x:c r="D91" s="42" t="n">
        <x:v>1008.6978894988345</x:v>
      </x:c>
      <x:c r="E91" s="42" t="n">
        <x:v>4422.654278682052</x:v>
      </x:c>
      <x:c r="F91" s="42" t="n">
        <x:v>0.6619646029266818</x:v>
      </x:c>
      <x:c r="G91" s="42" t="n">
        <x:v>15105.051448537502</x:v>
      </x:c>
      <x:c r="H91" s="42" t="n">
        <x:v>-14699.87210006933</x:v>
      </x:c>
      <x:c r="I91" s="42" t="n">
        <x:v>11.978168198667127</x:v>
      </x:c>
      <x:c r="J91" s="42" t="n">
        <x:v>52.51849675320419</x:v>
      </x:c>
      <x:c r="K91" s="42" t="n">
        <x:v>179.37070036896495</x:v>
      </x:c>
      <x:c r="L91" s="42" t="n">
        <x:v>-11.815656201097902</x:v>
      </x:c>
      <x:c r="M91" s="42" t="n">
        <x:v>-26.003096275287557</x:v>
      </x:c>
      <x:c r="N91" s="42" t="n">
        <x:v>-33.19588566106989</x:v>
      </x:c>
    </x:row>
    <x:row r="92">
      <x:c r="A92" s="42" t="n">
        <x:v>-15</x:v>
      </x:c>
      <x:c r="B92" s="42" t="n">
        <x:v>25</x:v>
      </x:c>
      <x:c r="C92" s="42" t="n">
        <x:v>416.63024006091615</x:v>
      </x:c>
      <x:c r="D92" s="42" t="n">
        <x:v>1010.6196695489465</x:v>
      </x:c>
      <x:c r="E92" s="42" t="n">
        <x:v>4428.310850350436</x:v>
      </x:c>
      <x:c r="F92" s="42" t="n">
        <x:v>0.6336280645964288</x:v>
      </x:c>
      <x:c r="G92" s="42" t="n">
        <x:v>15130.78865834882</x:v>
      </x:c>
      <x:c r="H92" s="42" t="n">
        <x:v>-14714.158418287903</x:v>
      </x:c>
      <x:c r="I92" s="42" t="n">
        <x:v>12.00098910958677</x:v>
      </x:c>
      <x:c r="J92" s="42" t="n">
        <x:v>52.58566787309757</x:v>
      </x:c>
      <x:c r="K92" s="42" t="n">
        <x:v>179.67632669305442</x:v>
      </x:c>
      <x:c r="L92" s="42" t="n">
        <x:v>-11.819115405188104</x:v>
      </x:c>
      <x:c r="M92" s="42" t="n">
        <x:v>-26.26830694926293</x:v>
      </x:c>
      <x:c r="N92" s="42" t="n">
        <x:v>-33.26610044680237</x:v>
      </x:c>
    </x:row>
    <x:row r="93">
      <x:c r="A93" s="42" t="n">
        <x:v>-14.5</x:v>
      </x:c>
      <x:c r="B93" s="42" t="n">
        <x:v>25</x:v>
      </x:c>
      <x:c r="C93" s="42" t="n">
        <x:v>425.31373753688456</x:v>
      </x:c>
      <x:c r="D93" s="42" t="n">
        <x:v>1013.6839099277078</x:v>
      </x:c>
      <x:c r="E93" s="42" t="n">
        <x:v>4434.802359825959</x:v>
      </x:c>
      <x:c r="F93" s="42" t="n">
        <x:v>0.6049901673918389</x:v>
      </x:c>
      <x:c r="G93" s="42" t="n">
        <x:v>15157.295315059795</x:v>
      </x:c>
      <x:c r="H93" s="42" t="n">
        <x:v>-14731.98157752291</x:v>
      </x:c>
      <x:c r="I93" s="42" t="n">
        <x:v>12.037376601857808</x:v>
      </x:c>
      <x:c r="J93" s="42" t="n">
        <x:v>52.66275378075193</x:v>
      </x:c>
      <x:c r="K93" s="42" t="n">
        <x:v>179.9910901081203</x:v>
      </x:c>
      <x:c r="L93" s="42" t="n">
        <x:v>-11.824631037869874</x:v>
      </x:c>
      <x:c r="M93" s="42" t="n">
        <x:v>-26.537732741160173</x:v>
      </x:c>
      <x:c r="N93" s="42" t="n">
        <x:v>-33.324964318342886</x:v>
      </x:c>
    </x:row>
    <x:row r="94">
      <x:c r="A94" s="42" t="n">
        <x:v>-14</x:v>
      </x:c>
      <x:c r="B94" s="42" t="n">
        <x:v>25</x:v>
      </x:c>
      <x:c r="C94" s="42" t="n">
        <x:v>420.9575928892744</x:v>
      </x:c>
      <x:c r="D94" s="42" t="n">
        <x:v>1017.5473342998752</x:v>
      </x:c>
      <x:c r="E94" s="42" t="n">
        <x:v>4442.0925500861795</x:v>
      </x:c>
      <x:c r="F94" s="42" t="n">
        <x:v>0.576204315697497</x:v>
      </x:c>
      <x:c r="G94" s="42" t="n">
        <x:v>15185.969392963387</x:v>
      </x:c>
      <x:c r="H94" s="42" t="n">
        <x:v>-14765.011800074113</x:v>
      </x:c>
      <x:c r="I94" s="42" t="n">
        <x:v>12.083254309578248</x:v>
      </x:c>
      <x:c r="J94" s="42" t="n">
        <x:v>52.74932392831177</x:v>
      </x:c>
      <x:c r="K94" s="42" t="n">
        <x:v>180.3315913936356</x:v>
      </x:c>
      <x:c r="L94" s="42" t="n">
        <x:v>-11.831585201739776</x:v>
      </x:c>
      <x:c r="M94" s="42" t="n">
        <x:v>-26.80992774887765</x:v>
      </x:c>
      <x:c r="N94" s="42" t="n">
        <x:v>-33.34313669853154</x:v>
      </x:c>
    </x:row>
    <x:row r="95">
      <x:c r="A95" s="42" t="n">
        <x:v>-13.5</x:v>
      </x:c>
      <x:c r="B95" s="42" t="n">
        <x:v>25</x:v>
      </x:c>
      <x:c r="C95" s="42" t="n">
        <x:v>418.7700178970381</x:v>
      </x:c>
      <x:c r="D95" s="42" t="n">
        <x:v>1022.8685537598411</x:v>
      </x:c>
      <x:c r="E95" s="42" t="n">
        <x:v>4450.145490754214</x:v>
      </x:c>
      <x:c r="F95" s="42" t="n">
        <x:v>0.5474178859593396</x:v>
      </x:c>
      <x:c r="G95" s="42" t="n">
        <x:v>15214.640299238325</x:v>
      </x:c>
      <x:c r="H95" s="42" t="n">
        <x:v>-14795.870281341286</x:v>
      </x:c>
      <x:c r="I95" s="42" t="n">
        <x:v>12.146443161638958</x:v>
      </x:c>
      <x:c r="J95" s="42" t="n">
        <x:v>52.84495164679894</x:v>
      </x:c>
      <x:c r="K95" s="42" t="n">
        <x:v>180.6720550164355</x:v>
      </x:c>
      <x:c r="L95" s="42" t="n">
        <x:v>-11.841163396767714</x:v>
      </x:c>
      <x:c r="M95" s="42" t="n">
        <x:v>-27.08350090972353</x:v>
      </x:c>
      <x:c r="N95" s="42" t="n">
        <x:v>-33.4278240089971</x:v>
      </x:c>
    </x:row>
    <x:row r="96">
      <x:c r="A96" s="42" t="n">
        <x:v>-13</x:v>
      </x:c>
      <x:c r="B96" s="42" t="n">
        <x:v>25</x:v>
      </x:c>
      <x:c r="C96" s="42" t="n">
        <x:v>432.88444582509743</x:v>
      </x:c>
      <x:c r="D96" s="42" t="n">
        <x:v>1030.2442188006164</x:v>
      </x:c>
      <x:c r="E96" s="42" t="n">
        <x:v>4458.92585455797</x:v>
      </x:c>
      <x:c r="F96" s="42" t="n">
        <x:v>0.5187710781958308</x:v>
      </x:c>
      <x:c r="G96" s="42" t="n">
        <x:v>15241.286697126136</x:v>
      </x:c>
      <x:c r="H96" s="42" t="n">
        <x:v>-14808.402251301039</x:v>
      </x:c>
      <x:c r="I96" s="42" t="n">
        <x:v>12.234028312113823</x:v>
      </x:c>
      <x:c r="J96" s="42" t="n">
        <x:v>52.94921742903343</x:v>
      </x:c>
      <x:c r="K96" s="42" t="n">
        <x:v>180.98847784145738</x:v>
      </x:c>
      <x:c r="L96" s="42" t="n">
        <x:v>-11.854439593841109</x:v>
      </x:c>
      <x:c r="M96" s="42" t="n">
        <x:v>-27.35712683444187</x:v>
      </x:c>
      <x:c r="N96" s="42" t="n">
        <x:v>-33.43592119994287</x:v>
      </x:c>
    </x:row>
    <x:row r="97">
      <x:c r="A97" s="42" t="n">
        <x:v>-12.5</x:v>
      </x:c>
      <x:c r="B97" s="42" t="n">
        <x:v>25</x:v>
      </x:c>
      <x:c r="C97" s="42" t="n">
        <x:v>448.8683161255995</x:v>
      </x:c>
      <x:c r="D97" s="42" t="n">
        <x:v>1039.1080488222817</x:v>
      </x:c>
      <x:c r="E97" s="42" t="n">
        <x:v>4468.399160995559</x:v>
      </x:c>
      <x:c r="F97" s="42" t="n">
        <x:v>0.4903959109944138</x:v>
      </x:c>
      <x:c r="G97" s="42" t="n">
        <x:v>15267.885369240817</x:v>
      </x:c>
      <x:c r="H97" s="42" t="n">
        <x:v>-14819.017053115218</x:v>
      </x:c>
      <x:c r="I97" s="42" t="n">
        <x:v>12.33928524581937</x:v>
      </x:c>
      <x:c r="J97" s="42" t="n">
        <x:v>53.06171182313129</x:v>
      </x:c>
      <x:c r="K97" s="42" t="n">
        <x:v>181.30433392856506</x:v>
      </x:c>
      <x:c r="L97" s="42" t="n">
        <x:v>-11.870394487880107</x:v>
      </x:c>
      <x:c r="M97" s="42" t="n">
        <x:v>-27.629555290842283</x:v>
      </x:c>
      <x:c r="N97" s="42" t="n">
        <x:v>-33.53008421784056</x:v>
      </x:c>
    </x:row>
    <x:row r="98">
      <x:c r="A98" s="42" t="n">
        <x:v>-12</x:v>
      </x:c>
      <x:c r="B98" s="42" t="n">
        <x:v>25</x:v>
      </x:c>
      <x:c r="C98" s="42" t="n">
        <x:v>437.9918993100179</x:v>
      </x:c>
      <x:c r="D98" s="42" t="n">
        <x:v>1048.3006086212251</x:v>
      </x:c>
      <x:c r="E98" s="42" t="n">
        <x:v>4478.531985387254</x:v>
      </x:c>
      <x:c r="F98" s="42" t="n">
        <x:v>0.46241536755992085</x:v>
      </x:c>
      <x:c r="G98" s="42" t="n">
        <x:v>15298.413678377055</x:v>
      </x:c>
      <x:c r="H98" s="42" t="n">
        <x:v>-14860.421779067037</x:v>
      </x:c>
      <x:c r="I98" s="42" t="n">
        <x:v>12.448445806770634</x:v>
      </x:c>
      <x:c r="J98" s="42" t="n">
        <x:v>53.182037914971914</x:v>
      </x:c>
      <x:c r="K98" s="42" t="n">
        <x:v>181.66685399077755</x:v>
      </x:c>
      <x:c r="L98" s="42" t="n">
        <x:v>-11.886941095518205</x:v>
      </x:c>
      <x:c r="M98" s="42" t="n">
        <x:v>-27.89961926565777</x:v>
      </x:c>
      <x:c r="N98" s="42" t="n">
        <x:v>-33.564773168705486</x:v>
      </x:c>
    </x:row>
    <x:row r="99">
      <x:c r="A99" s="42" t="n">
        <x:v>-11.5</x:v>
      </x:c>
      <x:c r="B99" s="42" t="n">
        <x:v>25</x:v>
      </x:c>
      <x:c r="C99" s="42" t="n">
        <x:v>458.91089147275255</x:v>
      </x:c>
      <x:c r="D99" s="42" t="n">
        <x:v>1060.1360035426487</x:v>
      </x:c>
      <x:c r="E99" s="42" t="n">
        <x:v>4489.292132196133</x:v>
      </x:c>
      <x:c r="F99" s="42" t="n">
        <x:v>0.4349426974475908</x:v>
      </x:c>
      <x:c r="G99" s="42" t="n">
        <x:v>15324.614103451207</x:v>
      </x:c>
      <x:c r="H99" s="42" t="n">
        <x:v>-14865.703211978454</x:v>
      </x:c>
      <x:c r="I99" s="42" t="n">
        <x:v>12.588989722389313</x:v>
      </x:c>
      <x:c r="J99" s="42" t="n">
        <x:v>53.30981338636022</x:v>
      </x:c>
      <x:c r="K99" s="42" t="n">
        <x:v>181.9779809413561</x:v>
      </x:c>
      <x:c r="L99" s="42" t="n">
        <x:v>-11.908244806376768</x:v>
      </x:c>
      <x:c r="M99" s="42" t="n">
        <x:v>-28.16624156092472</x:v>
      </x:c>
      <x:c r="N99" s="42" t="n">
        <x:v>-33.634569709142696</x:v>
      </x:c>
    </x:row>
    <x:row r="100">
      <x:c r="A100" s="42" t="n">
        <x:v>-11</x:v>
      </x:c>
      <x:c r="B100" s="42" t="n">
        <x:v>25</x:v>
      </x:c>
      <x:c r="C100" s="42" t="n">
        <x:v>462.5412492823468</x:v>
      </x:c>
      <x:c r="D100" s="42" t="n">
        <x:v>1072.596647937675</x:v>
      </x:c>
      <x:c r="E100" s="42" t="n">
        <x:v>4500.648772184944</x:v>
      </x:c>
      <x:c r="F100" s="42" t="n">
        <x:v>0.4080808757475939</x:v>
      </x:c>
      <x:c r="G100" s="42" t="n">
        <x:v>15353.31186441483</x:v>
      </x:c>
      <x:c r="H100" s="42" t="n">
        <x:v>-14890.770615132484</x:v>
      </x:c>
      <x:c r="I100" s="42" t="n">
        <x:v>12.73695840159569</x:v>
      </x:c>
      <x:c r="J100" s="42" t="n">
        <x:v>53.4446721437482</x:v>
      </x:c>
      <x:c r="K100" s="42" t="n">
        <x:v>182.31876346040966</x:v>
      </x:c>
      <x:c r="L100" s="42" t="n">
        <x:v>-11.930673966287815</x:v>
      </x:c>
      <x:c r="M100" s="42" t="n">
        <x:v>-28.428439908204552</x:v>
      </x:c>
      <x:c r="N100" s="42" t="n">
        <x:v>-33.690395890416106</x:v>
      </x:c>
    </x:row>
    <x:row r="101">
      <x:c r="A101" s="42" t="n">
        <x:v>-10.5</x:v>
      </x:c>
      <x:c r="B101" s="42" t="n">
        <x:v>25</x:v>
      </x:c>
      <x:c r="C101" s="42" t="n">
        <x:v>470.10163194835405</x:v>
      </x:c>
      <x:c r="D101" s="42" t="n">
        <x:v>1086.4551303799872</x:v>
      </x:c>
      <x:c r="E101" s="42" t="n">
        <x:v>4512.572543631352</x:v>
      </x:c>
      <x:c r="F101" s="42" t="n">
        <x:v>0.38192221875034676</x:v>
      </x:c>
      <x:c r="G101" s="42" t="n">
        <x:v>15381.489084576646</x:v>
      </x:c>
      <x:c r="H101" s="42" t="n">
        <x:v>-14911.387452628293</x:v>
      </x:c>
      <x:c r="I101" s="42" t="n">
        <x:v>12.90152624237383</x:v>
      </x:c>
      <x:c r="J101" s="42" t="n">
        <x:v>53.586265520154</x:v>
      </x:c>
      <x:c r="K101" s="42" t="n">
        <x:v>182.6533646189754</x:v>
      </x:c>
      <x:c r="L101" s="42" t="n">
        <x:v>-11.955619234683978</x:v>
      </x:c>
      <x:c r="M101" s="42" t="n">
        <x:v>-28.685330609783314</x:v>
      </x:c>
      <x:c r="N101" s="42" t="n">
        <x:v>-33.762800862736924</x:v>
      </x:c>
    </x:row>
    <x:row r="102">
      <x:c r="A102" s="42" t="n">
        <x:v>-10</x:v>
      </x:c>
      <x:c r="B102" s="42" t="n">
        <x:v>25</x:v>
      </x:c>
      <x:c r="C102" s="42" t="n">
        <x:v>471.51448488312155</x:v>
      </x:c>
      <x:c r="D102" s="42" t="n">
        <x:v>1101.2108186217465</x:v>
      </x:c>
      <x:c r="E102" s="42" t="n">
        <x:v>4525.035618434776</x:v>
      </x:c>
      <x:c r="F102" s="42" t="n">
        <x:v>0.35654815256605005</x:v>
      </x:c>
      <x:c r="G102" s="42" t="n">
        <x:v>15410.508745213121</x:v>
      </x:c>
      <x:c r="H102" s="42" t="n">
        <x:v>-14938.994260329999</x:v>
      </x:c>
      <x:c r="I102" s="42" t="n">
        <x:v>13.07674829596086</x:v>
      </x:c>
      <x:c r="J102" s="42" t="n">
        <x:v>53.734263060172786</x:v>
      </x:c>
      <x:c r="K102" s="42" t="n">
        <x:v>182.99796965859198</x:v>
      </x:c>
      <x:c r="L102" s="42" t="n">
        <x:v>-11.982179473519144</x:v>
      </x:c>
      <x:c r="M102" s="42" t="n">
        <x:v>-28.936130740088146</x:v>
      </x:c>
      <x:c r="N102" s="42" t="n">
        <x:v>-33.81315586348416</x:v>
      </x:c>
    </x:row>
    <x:row r="103">
      <x:c r="A103" s="42" t="n">
        <x:v>-9.5</x:v>
      </x:c>
      <x:c r="B103" s="42" t="n">
        <x:v>25</x:v>
      </x:c>
      <x:c r="C103" s="42" t="n">
        <x:v>470.5815738170562</x:v>
      </x:c>
      <x:c r="D103" s="42" t="n">
        <x:v>1116.8978309704696</x:v>
      </x:c>
      <x:c r="E103" s="42" t="n">
        <x:v>4538.011734504316</x:v>
      </x:c>
      <x:c r="F103" s="42" t="n">
        <x:v>0.3320291288441442</x:v>
      </x:c>
      <x:c r="G103" s="42" t="n">
        <x:v>15439.79021897657</x:v>
      </x:c>
      <x:c r="H103" s="42" t="n">
        <x:v>-14969.208645159513</x:v>
      </x:c>
      <x:c r="I103" s="42" t="n">
        <x:v>13.26302971322538</x:v>
      </x:c>
      <x:c r="J103" s="42" t="n">
        <x:v>53.888352904579634</x:v>
      </x:c>
      <x:c r="K103" s="42" t="n">
        <x:v>183.3456836981422</x:v>
      </x:c>
      <x:c r="L103" s="42" t="n">
        <x:v>-12.010416095746844</x:v>
      </x:c>
      <x:c r="M103" s="42" t="n">
        <x:v>-29.180158962510472</x:v>
      </x:c>
      <x:c r="N103" s="42" t="n">
        <x:v>-33.85492049411379</x:v>
      </x:c>
    </x:row>
    <x:row r="104">
      <x:c r="A104" s="42" t="n">
        <x:v>-9</x:v>
      </x:c>
      <x:c r="B104" s="42" t="n">
        <x:v>25</x:v>
      </x:c>
      <x:c r="C104" s="42" t="n">
        <x:v>480.618285675218</x:v>
      </x:c>
      <x:c r="D104" s="42" t="n">
        <x:v>1133.9117338896804</x:v>
      </x:c>
      <x:c r="E104" s="42" t="n">
        <x:v>4551.476196309719</x:v>
      </x:c>
      <x:c r="F104" s="42" t="n">
        <x:v>0.30842467967697906</x:v>
      </x:c>
      <x:c r="G104" s="42" t="n">
        <x:v>15467.420577548042</x:v>
      </x:c>
      <x:c r="H104" s="42" t="n">
        <x:v>-14986.802291872824</x:v>
      </x:c>
      <x:c r="I104" s="42" t="n">
        <x:v>13.465067799161453</x:v>
      </x:c>
      <x:c r="J104" s="42" t="n">
        <x:v>54.04824179687202</x:v>
      </x:c>
      <x:c r="K104" s="42" t="n">
        <x:v>183.67379093996766</x:v>
      </x:c>
      <x:c r="L104" s="42" t="n">
        <x:v>-12.041041121001424</x:v>
      </x:c>
      <x:c r="M104" s="42" t="n">
        <x:v>-29.416835036264683</x:v>
      </x:c>
      <x:c r="N104" s="42" t="n">
        <x:v>-33.94601443164464</x:v>
      </x:c>
    </x:row>
    <x:row r="105">
      <x:c r="A105" s="42" t="n">
        <x:v>-8.5</x:v>
      </x:c>
      <x:c r="B105" s="42" t="n">
        <x:v>25</x:v>
      </x:c>
      <x:c r="C105" s="42" t="n">
        <x:v>460.6206107904381</x:v>
      </x:c>
      <x:c r="D105" s="42" t="n">
        <x:v>1150.4579025882574</x:v>
      </x:c>
      <x:c r="E105" s="42" t="n">
        <x:v>4565.405845898684</x:v>
      </x:c>
      <x:c r="F105" s="42" t="n">
        <x:v>0.28578360200652886</x:v>
      </x:c>
      <x:c r="G105" s="42" t="n">
        <x:v>15499.09132522038</x:v>
      </x:c>
      <x:c r="H105" s="42" t="n">
        <x:v>-15038.470714429943</x:v>
      </x:c>
      <x:c r="I105" s="42" t="n">
        <x:v>13.661551596518805</x:v>
      </x:c>
      <x:c r="J105" s="42" t="n">
        <x:v>54.21365473910393</x:v>
      </x:c>
      <x:c r="K105" s="42" t="n">
        <x:v>184.0498773247476</x:v>
      </x:c>
      <x:c r="L105" s="42" t="n">
        <x:v>-12.070824224658864</x:v>
      </x:c>
      <x:c r="M105" s="42" t="n">
        <x:v>-29.64567810455887</x:v>
      </x:c>
      <x:c r="N105" s="42" t="n">
        <x:v>-33.9120576981331</x:v>
      </x:c>
    </x:row>
    <x:row r="106">
      <x:c r="A106" s="42" t="n">
        <x:v>-8</x:v>
      </x:c>
      <x:c r="B106" s="42" t="n">
        <x:v>25</x:v>
      </x:c>
      <x:c r="C106" s="42" t="n">
        <x:v>475.6659223963138</x:v>
      </x:c>
      <x:c r="D106" s="42" t="n">
        <x:v>1168.969562791454</x:v>
      </x:c>
      <x:c r="E106" s="42" t="n">
        <x:v>4579.779007029312</x:v>
      </x:c>
      <x:c r="F106" s="42" t="n">
        <x:v>0.2641442604041583</x:v>
      </x:c>
      <x:c r="G106" s="42" t="n">
        <x:v>15525.64240190194</x:v>
      </x:c>
      <x:c r="H106" s="42" t="n">
        <x:v>-15049.976479505625</x:v>
      </x:c>
      <x:c r="I106" s="42" t="n">
        <x:v>13.881375373150906</x:v>
      </x:c>
      <x:c r="J106" s="42" t="n">
        <x:v>54.384334328465165</x:v>
      </x:c>
      <x:c r="K106" s="42" t="n">
        <x:v>184.36516822171325</x:v>
      </x:c>
      <x:c r="L106" s="42" t="n">
        <x:v>-12.104145213024617</x:v>
      </x:c>
      <x:c r="M106" s="42" t="n">
        <x:v>-29.86630386901534</x:v>
      </x:c>
      <x:c r="N106" s="42" t="n">
        <x:v>-34.03223964738986</x:v>
      </x:c>
    </x:row>
    <x:row r="107">
      <x:c r="A107" s="42" t="n">
        <x:v>-7.5</x:v>
      </x:c>
      <x:c r="B107" s="42" t="n">
        <x:v>25</x:v>
      </x:c>
      <x:c r="C107" s="42" t="n">
        <x:v>470.2640951439132</x:v>
      </x:c>
      <x:c r="D107" s="42" t="n">
        <x:v>1187.0441427572596</x:v>
      </x:c>
      <x:c r="E107" s="42" t="n">
        <x:v>4594.57540533313</x:v>
      </x:c>
      <x:c r="F107" s="42" t="n">
        <x:v>0.24353499597302528</x:v>
      </x:c>
      <x:c r="G107" s="42" t="n">
        <x:v>15554.793139416372</x:v>
      </x:c>
      <x:c r="H107" s="42" t="n">
        <x:v>-15084.529044272458</x:v>
      </x:c>
      <x:c r="I107" s="42" t="n">
        <x:v>14.096008873631652</x:v>
      </x:c>
      <x:c r="J107" s="42" t="n">
        <x:v>54.56003980922677</x:v>
      </x:c>
      <x:c r="K107" s="42" t="n">
        <x:v>184.71132978376087</x:v>
      </x:c>
      <x:c r="L107" s="42" t="n">
        <x:v>-12.136679456963067</x:v>
      </x:c>
      <x:c r="M107" s="42" t="n">
        <x:v>-30.07842076584241</x:v>
      </x:c>
      <x:c r="N107" s="42" t="n">
        <x:v>-34.06659356143212</x:v>
      </x:c>
    </x:row>
    <x:row r="108">
      <x:c r="A108" s="42" t="n">
        <x:v>-7</x:v>
      </x:c>
      <x:c r="B108" s="42" t="n">
        <x:v>25</x:v>
      </x:c>
      <x:c r="C108" s="42" t="n">
        <x:v>442.95708145426426</x:v>
      </x:c>
      <x:c r="D108" s="42" t="n">
        <x:v>1204.4298221034696</x:v>
      </x:c>
      <x:c r="E108" s="42" t="n">
        <x:v>4609.776067611265</x:v>
      </x:c>
      <x:c r="F108" s="42" t="n">
        <x:v>0.22397462833383863</x:v>
      </x:c>
      <x:c r="G108" s="42" t="n">
        <x:v>15586.69843418237</x:v>
      </x:c>
      <x:c r="H108" s="42" t="n">
        <x:v>-15143.741352728106</x:v>
      </x:c>
      <x:c r="I108" s="42" t="n">
        <x:v>14.302461760690298</x:v>
      </x:c>
      <x:c r="J108" s="42" t="n">
        <x:v>54.74054587689495</x:v>
      </x:c>
      <x:c r="K108" s="42" t="n">
        <x:v>185.09020138755204</x:v>
      </x:c>
      <x:c r="L108" s="42" t="n">
        <x:v>-12.167973679786245</x:v>
      </x:c>
      <x:c r="M108" s="42" t="n">
        <x:v>-30.281825266695726</x:v>
      </x:c>
      <x:c r="N108" s="42" t="n">
        <x:v>-34.104549471394655</x:v>
      </x:c>
    </x:row>
    <x:row r="109">
      <x:c r="A109" s="42" t="n">
        <x:v>-6.5</x:v>
      </x:c>
      <x:c r="B109" s="42" t="n">
        <x:v>25</x:v>
      </x:c>
      <x:c r="C109" s="42" t="n">
        <x:v>455.8100478474453</x:v>
      </x:c>
      <x:c r="D109" s="42" t="n">
        <x:v>1223.4079584474887</x:v>
      </x:c>
      <x:c r="E109" s="42" t="n">
        <x:v>4625.363203475164</x:v>
      </x:c>
      <x:c r="F109" s="42" t="n">
        <x:v>0.20547303719226348</x:v>
      </x:c>
      <x:c r="G109" s="42" t="n">
        <x:v>15612.620101689698</x:v>
      </x:c>
      <x:c r="H109" s="42" t="n">
        <x:v>-15156.810053842251</x:v>
      </x:c>
      <x:c r="I109" s="42" t="n">
        <x:v>14.527824886352077</x:v>
      </x:c>
      <x:c r="J109" s="42" t="n">
        <x:v>54.925641272708674</x:v>
      </x:c>
      <x:c r="K109" s="42" t="n">
        <x:v>185.39801812497672</x:v>
      </x:c>
      <x:c r="L109" s="42" t="n">
        <x:v>-12.20213432520548</x:v>
      </x:c>
      <x:c r="M109" s="42" t="n">
        <x:v>-30.476396431524925</x:v>
      </x:c>
      <x:c r="N109" s="42" t="n">
        <x:v>-34.12166017024916</x:v>
      </x:c>
    </x:row>
    <x:row r="110">
      <x:c r="A110" s="42" t="n">
        <x:v>-6</x:v>
      </x:c>
      <x:c r="B110" s="42" t="n">
        <x:v>25</x:v>
      </x:c>
      <x:c r="C110" s="42" t="n">
        <x:v>447.75344272198197</x:v>
      </x:c>
      <x:c r="D110" s="42" t="n">
        <x:v>1241.3297195139276</x:v>
      </x:c>
      <x:c r="E110" s="42" t="n">
        <x:v>4641.320072576792</x:v>
      </x:c>
      <x:c r="F110" s="42" t="n">
        <x:v>0.188031809837609</x:v>
      </x:c>
      <x:c r="G110" s="42" t="n">
        <x:v>15641.059100480645</x:v>
      </x:c>
      <x:c r="H110" s="42" t="n">
        <x:v>-15193.305657758663</x:v>
      </x:c>
      <x:c r="I110" s="42" t="n">
        <x:v>14.740643680467713</x:v>
      </x:c>
      <x:c r="J110" s="42" t="n">
        <x:v>55.11512720701393</x:v>
      </x:c>
      <x:c r="K110" s="42" t="n">
        <x:v>185.7357278738183</x:v>
      </x:c>
      <x:c r="L110" s="42" t="n">
        <x:v>-12.234393495125069</x:v>
      </x:c>
      <x:c r="M110" s="42" t="n">
        <x:v>-30.662089842099746</x:v>
      </x:c>
      <x:c r="N110" s="42" t="n">
        <x:v>-34.16485226675045</x:v>
      </x:c>
    </x:row>
    <x:row r="111">
      <x:c r="A111" s="42" t="n">
        <x:v>-5.5</x:v>
      </x:c>
      <x:c r="B111" s="42" t="n">
        <x:v>25</x:v>
      </x:c>
      <x:c r="C111" s="42" t="n">
        <x:v>437.23203216912464</x:v>
      </x:c>
      <x:c r="D111" s="42" t="n">
        <x:v>1258.7251117027915</x:v>
      </x:c>
      <x:c r="E111" s="42" t="n">
        <x:v>4657.630840636252</x:v>
      </x:c>
      <x:c r="F111" s="42" t="n">
        <x:v>0.17164494106807282</x:v>
      </x:c>
      <x:c r="G111" s="42" t="n">
        <x:v>15669.38478023053</x:v>
      </x:c>
      <x:c r="H111" s="42" t="n">
        <x:v>-15232.152748061406</x:v>
      </x:c>
      <x:c r="I111" s="42" t="n">
        <x:v>14.94721190638471</x:v>
      </x:c>
      <x:c r="J111" s="42" t="n">
        <x:v>55.3088156496087</x:v>
      </x:c>
      <x:c r="K111" s="42" t="n">
        <x:v>186.0720919724428</x:v>
      </x:c>
      <x:c r="L111" s="42" t="n">
        <x:v>-12.265705201065025</x:v>
      </x:c>
      <x:c r="M111" s="42" t="n">
        <x:v>-30.838931043532597</x:v>
      </x:c>
      <x:c r="N111" s="42" t="n">
        <x:v>-34.255256433064524</x:v>
      </x:c>
    </x:row>
    <x:row r="112">
      <x:c r="A112" s="42" t="n">
        <x:v>-5</x:v>
      </x:c>
      <x:c r="B112" s="42" t="n">
        <x:v>25</x:v>
      </x:c>
      <x:c r="C112" s="42" t="n">
        <x:v>426.4950993655156</x:v>
      </x:c>
      <x:c r="D112" s="42" t="n">
        <x:v>1275.4777201178747</x:v>
      </x:c>
      <x:c r="E112" s="42" t="n">
        <x:v>4674.280427373219</x:v>
      </x:c>
      <x:c r="F112" s="42" t="n">
        <x:v>0.15629957245233433</x:v>
      </x:c>
      <x:c r="G112" s="42" t="n">
        <x:v>15697.234366267417</x:v>
      </x:c>
      <x:c r="H112" s="42" t="n">
        <x:v>-15270.739266901903</x:v>
      </x:c>
      <x:c r="I112" s="42" t="n">
        <x:v>15.146147150972137</x:v>
      </x:c>
      <x:c r="J112" s="42" t="n">
        <x:v>55.50652752394678</x:v>
      </x:c>
      <x:c r="K112" s="42" t="n">
        <x:v>186.4028025145049</x:v>
      </x:c>
      <x:c r="L112" s="42" t="n">
        <x:v>-12.295859896212175</x:v>
      </x:c>
      <x:c r="M112" s="42" t="n">
        <x:v>-31.007008617200782</x:v>
      </x:c>
      <x:c r="N112" s="42" t="n">
        <x:v>-34.34865959105157</x:v>
      </x:c>
    </x:row>
    <x:row r="113">
      <x:c r="A113" s="42" t="n">
        <x:v>-4.5</x:v>
      </x:c>
      <x:c r="B113" s="42" t="n">
        <x:v>25</x:v>
      </x:c>
      <x:c r="C113" s="42" t="n">
        <x:v>423.30568039506915</x:v>
      </x:c>
      <x:c r="D113" s="42" t="n">
        <x:v>1291.6962207555832</x:v>
      </x:c>
      <x:c r="E113" s="42" t="n">
        <x:v>4691.25434928991</x:v>
      </x:c>
      <x:c r="F113" s="42" t="n">
        <x:v>0.14197675849033212</x:v>
      </x:c>
      <x:c r="G113" s="42" t="n">
        <x:v>15723.473778049673</x:v>
      </x:c>
      <x:c r="H113" s="42" t="n">
        <x:v>-15300.168097654603</x:v>
      </x:c>
      <x:c r="I113" s="42" t="n">
        <x:v>15.338739928840626</x:v>
      </x:c>
      <x:c r="J113" s="42" t="n">
        <x:v>55.70809084020413</x:v>
      </x:c>
      <x:c r="K113" s="42" t="n">
        <x:v>186.71439242763347</x:v>
      </x:c>
      <x:c r="L113" s="42" t="n">
        <x:v>-12.32505319736005</x:v>
      </x:c>
      <x:c r="M113" s="42" t="n">
        <x:v>-31.16646700230885</x:v>
      </x:c>
      <x:c r="N113" s="42" t="n">
        <x:v>-34.41093649774531</x:v>
      </x:c>
    </x:row>
    <x:row r="114">
      <x:c r="A114" s="42" t="n">
        <x:v>-4</x:v>
      </x:c>
      <x:c r="B114" s="42" t="n">
        <x:v>25</x:v>
      </x:c>
      <x:c r="C114" s="42" t="n">
        <x:v>426.01474675634427</x:v>
      </x:c>
      <x:c r="D114" s="42" t="n">
        <x:v>1307.1204466457566</x:v>
      </x:c>
      <x:c r="E114" s="42" t="n">
        <x:v>4708.538560045645</x:v>
      </x:c>
      <x:c r="F114" s="42" t="n">
        <x:v>0.1286522480932888</x:v>
      </x:c>
      <x:c r="G114" s="42" t="n">
        <x:v>15748.287353885482</x:v>
      </x:c>
      <x:c r="H114" s="42" t="n">
        <x:v>-15322.272607129138</x:v>
      </x:c>
      <x:c r="I114" s="42" t="n">
        <x:v>15.521900787974104</x:v>
      </x:c>
      <x:c r="J114" s="42" t="n">
        <x:v>55.91333879974558</x:v>
      </x:c>
      <x:c r="K114" s="42" t="n">
        <x:v>187.00905070744747</x:v>
      </x:c>
      <x:c r="L114" s="42" t="n">
        <x:v>-12.352816803962362</x:v>
      </x:c>
      <x:c r="M114" s="42" t="n">
        <x:v>-31.31749917524256</x:v>
      </x:c>
      <x:c r="N114" s="42" t="n">
        <x:v>-34.450741080923734</x:v>
      </x:c>
    </x:row>
    <x:row r="115">
      <x:c r="A115" s="42" t="n">
        <x:v>-3.5</x:v>
      </x:c>
      <x:c r="B115" s="42" t="n">
        <x:v>25</x:v>
      </x:c>
      <x:c r="C115" s="42" t="n">
        <x:v>404.9650488224043</x:v>
      </x:c>
      <x:c r="D115" s="42" t="n">
        <x:v>1320.3805424870961</x:v>
      </x:c>
      <x:c r="E115" s="42" t="n">
        <x:v>4726.1192909153915</x:v>
      </x:c>
      <x:c r="F115" s="42" t="n">
        <x:v>0.11629727082714168</x:v>
      </x:c>
      <x:c r="G115" s="42" t="n">
        <x:v>15775.78142161981</x:v>
      </x:c>
      <x:c r="H115" s="42" t="n">
        <x:v>-15370.816372797404</x:v>
      </x:c>
      <x:c r="I115" s="42" t="n">
        <x:v>15.679362858601541</x:v>
      </x:c>
      <x:c r="J115" s="42" t="n">
        <x:v>56.12210790058899</x:v>
      </x:c>
      <x:c r="K115" s="42" t="n">
        <x:v>187.33553951169284</x:v>
      </x:c>
      <x:c r="L115" s="42" t="n">
        <x:v>-12.376684976476774</x:v>
      </x:c>
      <x:c r="M115" s="42" t="n">
        <x:v>-31.46033928620343</x:v>
      </x:c>
      <x:c r="N115" s="42" t="n">
        <x:v>-34.60024596244927</x:v>
      </x:c>
    </x:row>
    <x:row r="116">
      <x:c r="A116" s="42" t="n">
        <x:v>-3</x:v>
      </x:c>
      <x:c r="B116" s="42" t="n">
        <x:v>25</x:v>
      </x:c>
      <x:c r="C116" s="42" t="n">
        <x:v>420.1474189559781</x:v>
      </x:c>
      <x:c r="D116" s="42" t="n">
        <x:v>1333.7060672736177</x:v>
      </x:c>
      <x:c r="E116" s="42" t="n">
        <x:v>4743.982893546545</x:v>
      </x:c>
      <x:c r="F116" s="42" t="n">
        <x:v>0.10487931851518159</x:v>
      </x:c>
      <x:c r="G116" s="42" t="n">
        <x:v>15797.512523197043</x:v>
      </x:c>
      <x:c r="H116" s="42" t="n">
        <x:v>-15377.365104241066</x:v>
      </x:c>
      <x:c r="I116" s="42" t="n">
        <x:v>15.837601890218595</x:v>
      </x:c>
      <x:c r="J116" s="42" t="n">
        <x:v>56.33423607016057</x:v>
      </x:c>
      <x:c r="K116" s="42" t="n">
        <x:v>187.59359377406844</x:v>
      </x:c>
      <x:c r="L116" s="42" t="n">
        <x:v>-12.400670921092512</x:v>
      </x:c>
      <x:c r="M116" s="42" t="n">
        <x:v>-31.595255341747148</x:v>
      </x:c>
      <x:c r="N116" s="42" t="n">
        <x:v>-34.57953786085016</x:v>
      </x:c>
    </x:row>
    <x:row r="117">
      <x:c r="A117" s="42" t="n">
        <x:v>-2.5</x:v>
      </x:c>
      <x:c r="B117" s="42" t="n">
        <x:v>25</x:v>
      </x:c>
      <x:c r="C117" s="42" t="n">
        <x:v>420.97624209783453</x:v>
      </x:c>
      <x:c r="D117" s="42" t="n">
        <x:v>1344.9196633073145</x:v>
      </x:c>
      <x:c r="E117" s="42" t="n">
        <x:v>4762.1156869290735</x:v>
      </x:c>
      <x:c r="F117" s="42" t="n">
        <x:v>0.09436291403447819</x:v>
      </x:c>
      <x:c r="G117" s="42" t="n">
        <x:v>15820.518953735622</x:v>
      </x:c>
      <x:c r="H117" s="42" t="n">
        <x:v>-15399.542711637787</x:v>
      </x:c>
      <x:c r="I117" s="42" t="n">
        <x:v>15.970762017548953</x:v>
      </x:c>
      <x:c r="J117" s="42" t="n">
        <x:v>56.549560848083445</x:v>
      </x:c>
      <x:c r="K117" s="42" t="n">
        <x:v>187.86679241710215</x:v>
      </x:c>
      <x:c r="L117" s="42" t="n">
        <x:v>-12.420855393953167</x:v>
      </x:c>
      <x:c r="M117" s="42" t="n">
        <x:v>-31.72254201016203</x:v>
      </x:c>
      <x:c r="N117" s="42" t="n">
        <x:v>-34.63901954357903</x:v>
      </x:c>
    </x:row>
    <x:row r="118">
      <x:c r="A118" s="42" t="n">
        <x:v>-2</x:v>
      </x:c>
      <x:c r="B118" s="42" t="n">
        <x:v>25</x:v>
      </x:c>
      <x:c r="C118" s="42" t="n">
        <x:v>435.98300826713626</x:v>
      </x:c>
      <x:c r="D118" s="42" t="n">
        <x:v>1355.0272017032964</x:v>
      </x:c>
      <x:c r="E118" s="42" t="n">
        <x:v>4780.50381018409</x:v>
      </x:c>
      <x:c r="F118" s="42" t="n">
        <x:v>0.08471036042594875</x:v>
      </x:c>
      <x:c r="G118" s="42" t="n">
        <x:v>15840.763766829245</x:v>
      </x:c>
      <x:c r="H118" s="42" t="n">
        <x:v>-15404.780758562109</x:v>
      </x:c>
      <x:c r="I118" s="42" t="n">
        <x:v>16.090787841179562</x:v>
      </x:c>
      <x:c r="J118" s="42" t="n">
        <x:v>56.76791763805932</x:v>
      </x:c>
      <x:c r="K118" s="42" t="n">
        <x:v>188.10719717943041</x:v>
      </x:c>
      <x:c r="L118" s="42" t="n">
        <x:v>-12.439048963065934</x:v>
      </x:c>
      <x:c r="M118" s="42" t="n">
        <x:v>-31.842513614497825</x:v>
      </x:c>
      <x:c r="N118" s="42" t="n">
        <x:v>-34.630103895599575</x:v>
      </x:c>
    </x:row>
    <x:row r="119">
      <x:c r="A119" s="42" t="n">
        <x:v>-1.5</x:v>
      </x:c>
      <x:c r="B119" s="42" t="n">
        <x:v>25</x:v>
      </x:c>
      <x:c r="C119" s="42" t="n">
        <x:v>431.10580672292525</x:v>
      </x:c>
      <x:c r="D119" s="42" t="n">
        <x:v>1362.5514766017754</x:v>
      </x:c>
      <x:c r="E119" s="42" t="n">
        <x:v>4799.133082464253</x:v>
      </x:c>
      <x:c r="F119" s="42" t="n">
        <x:v>0.0758824647296312</x:v>
      </x:c>
      <x:c r="G119" s="42" t="n">
        <x:v>15862.974345451357</x:v>
      </x:c>
      <x:c r="H119" s="42" t="n">
        <x:v>-15431.868538728431</x:v>
      </x:c>
      <x:c r="I119" s="42" t="n">
        <x:v>16.18013771614735</x:v>
      </x:c>
      <x:c r="J119" s="42" t="n">
        <x:v>56.98913804420237</x:v>
      </x:c>
      <x:c r="K119" s="42" t="n">
        <x:v>188.3709451750345</x:v>
      </x:c>
      <x:c r="L119" s="42" t="n">
        <x:v>-12.452592657883196</x:v>
      </x:c>
      <x:c r="M119" s="42" t="n">
        <x:v>-31.955497365868972</x:v>
      </x:c>
      <x:c r="N119" s="42" t="n">
        <x:v>-34.72157797316708</x:v>
      </x:c>
    </x:row>
    <x:row r="120">
      <x:c r="A120" s="42" t="n">
        <x:v>-1</x:v>
      </x:c>
      <x:c r="B120" s="42" t="n">
        <x:v>25</x:v>
      </x:c>
      <x:c r="C120" s="42" t="n">
        <x:v>440.9944102420088</x:v>
      </x:c>
      <x:c r="D120" s="42" t="n">
        <x:v>1368.786196916389</x:v>
      </x:c>
      <x:c r="E120" s="42" t="n">
        <x:v>4817.988870955649</x:v>
      </x:c>
      <x:c r="F120" s="42" t="n">
        <x:v>0.06783923221605759</x:v>
      </x:c>
      <x:c r="G120" s="42" t="n">
        <x:v>15882.259787427232</x:v>
      </x:c>
      <x:c r="H120" s="42" t="n">
        <x:v>-15441.265377185224</x:v>
      </x:c>
      <x:c r="I120" s="42" t="n">
        <x:v>16.2541742828712</x:v>
      </x:c>
      <x:c r="J120" s="42" t="n">
        <x:v>57.213048303577104</x:v>
      </x:c>
      <x:c r="K120" s="42" t="n">
        <x:v>188.5999575187477</x:v>
      </x:c>
      <x:c r="L120" s="42" t="n">
        <x:v>-12.463815154449499</x:v>
      </x:c>
      <x:c r="M120" s="42" t="n">
        <x:v>-32.06182687777565</x:v>
      </x:c>
      <x:c r="N120" s="42" t="n">
        <x:v>-34.739751212216554</x:v>
      </x:c>
    </x:row>
    <x:row r="121">
      <x:c r="A121" s="42" t="n">
        <x:v>-0.5</x:v>
      </x:c>
      <x:c r="B121" s="42" t="n">
        <x:v>25</x:v>
      </x:c>
      <x:c r="C121" s="42" t="n">
        <x:v>474.23278667183286</x:v>
      </x:c>
      <x:c r="D121" s="42" t="n">
        <x:v>1374.0063177418226</x:v>
      </x:c>
      <x:c r="E121" s="42" t="n">
        <x:v>4837.0559676836865</x:v>
      </x:c>
      <x:c r="F121" s="42" t="n">
        <x:v>0.06054052787473558</x:v>
      </x:c>
      <x:c r="G121" s="42" t="n">
        <x:v>15897.379848026414</x:v>
      </x:c>
      <x:c r="H121" s="42" t="n">
        <x:v>-15423.14706135458</x:v>
      </x:c>
      <x:c r="I121" s="42" t="n">
        <x:v>16.316162600597806</x:v>
      </x:c>
      <x:c r="J121" s="42" t="n">
        <x:v>57.43946782328302</x:v>
      </x:c>
      <x:c r="K121" s="42" t="n">
        <x:v>188.77950645100628</x:v>
      </x:c>
      <x:c r="L121" s="42" t="n">
        <x:v>-12.473211371935282</x:v>
      </x:c>
      <x:c r="M121" s="42" t="n">
        <x:v>-32.16183599095802</x:v>
      </x:c>
      <x:c r="N121" s="42" t="n">
        <x:v>-34.653753183879964</x:v>
      </x:c>
    </x:row>
    <x:row r="122">
      <x:c r="A122" s="42" t="n">
        <x:v>0</x:v>
      </x:c>
      <x:c r="B122" s="42" t="n">
        <x:v>25</x:v>
      </x:c>
      <x:c r="C122" s="42" t="n">
        <x:v>480.44802858922253</x:v>
      </x:c>
      <x:c r="D122" s="42" t="n">
        <x:v>1376.1534460093067</x:v>
      </x:c>
      <x:c r="E122" s="42" t="n">
        <x:v>4856.318475563433</x:v>
      </x:c>
      <x:c r="F122" s="42" t="n">
        <x:v>0.05394670310728157</x:v>
      </x:c>
      <x:c r="G122" s="42" t="n">
        <x:v>15915.349780721908</x:v>
      </x:c>
      <x:c r="H122" s="42" t="n">
        <x:v>-15434.901752132686</x:v>
      </x:c>
      <x:c r="I122" s="42" t="n">
        <x:v>16.34165949496012</x:v>
      </x:c>
      <x:c r="J122" s="42" t="n">
        <x:v>57.66820782731573</x:v>
      </x:c>
      <x:c r="K122" s="42" t="n">
        <x:v>188.99289727752256</x:v>
      </x:c>
      <x:c r="L122" s="42" t="n">
        <x:v>-12.477076202816752</x:v>
      </x:c>
      <x:c r="M122" s="42" t="n">
        <x:v>-32.25585292804865</x:v>
      </x:c>
      <x:c r="N122" s="42" t="n">
        <x:v>-34.69655356110656</x:v>
      </x:c>
    </x:row>
    <x:row r="123">
      <x:c r="A123" s="42" t="n">
        <x:v>0.5</x:v>
      </x:c>
      <x:c r="B123" s="42" t="n">
        <x:v>25</x:v>
      </x:c>
      <x:c r="C123" s="42" t="n">
        <x:v>482.7451811280071</x:v>
      </x:c>
      <x:c r="D123" s="42" t="n">
        <x:v>1376.133881324049</x:v>
      </x:c>
      <x:c r="E123" s="42" t="n">
        <x:v>4875.759703905036</x:v>
      </x:c>
      <x:c r="F123" s="42" t="n">
        <x:v>0.04801918652444669</x:v>
      </x:c>
      <x:c r="G123" s="42" t="n">
        <x:v>15932.899548678191</x:v>
      </x:c>
      <x:c r="H123" s="42" t="n">
        <x:v>-15450.154367550183</x:v>
      </x:c>
      <x:c r="I123" s="42" t="n">
        <x:v>16.341427166635444</x:v>
      </x:c>
      <x:c r="J123" s="42" t="n">
        <x:v>57.89907011570627</x:v>
      </x:c>
      <x:c r="K123" s="42" t="n">
        <x:v>189.20129869742874</x:v>
      </x:c>
      <x:c r="L123" s="42" t="n">
        <x:v>-12.477040986383289</x:v>
      </x:c>
      <x:c r="M123" s="42" t="n">
        <x:v>-32.34419478830904</x:v>
      </x:c>
      <x:c r="N123" s="42" t="n">
        <x:v>-34.75752684154203</x:v>
      </x:c>
    </x:row>
    <x:row r="124">
      <x:c r="A124" s="42" t="n">
        <x:v>1</x:v>
      </x:c>
      <x:c r="B124" s="42" t="n">
        <x:v>25</x:v>
      </x:c>
      <x:c r="C124" s="42" t="n">
        <x:v>497.58165314697214</x:v>
      </x:c>
      <x:c r="D124" s="42" t="n">
        <x:v>1374.6138282324846</x:v>
      </x:c>
      <x:c r="E124" s="42" t="n">
        <x:v>4895.362073394291</x:v>
      </x:c>
      <x:c r="F124" s="42" t="n">
        <x:v>0.04272103853545682</x:v>
      </x:c>
      <x:c r="G124" s="42" t="n">
        <x:v>15947.69149082374</x:v>
      </x:c>
      <x:c r="H124" s="42" t="n">
        <x:v>-15450.109837676768</x:v>
      </x:c>
      <x:c r="I124" s="42" t="n">
        <x:v>16.32337671586003</x:v>
      </x:c>
      <x:c r="J124" s="42" t="n">
        <x:v>58.13184593617653</x:v>
      </x:c>
      <x:c r="K124" s="42" t="n">
        <x:v>189.37695126183766</x:v>
      </x:c>
      <x:c r="L124" s="42" t="n">
        <x:v>-12.474304890818473</x:v>
      </x:c>
      <x:c r="M124" s="42" t="n">
        <x:v>-32.427162385290615</x:v>
      </x:c>
      <x:c r="N124" s="42" t="n">
        <x:v>-34.75659913805286</x:v>
      </x:c>
    </x:row>
    <x:row r="125">
      <x:c r="A125" s="42" t="n">
        <x:v>1.5</x:v>
      </x:c>
      <x:c r="B125" s="42" t="n">
        <x:v>25</x:v>
      </x:c>
      <x:c r="C125" s="42" t="n">
        <x:v>516.864115303311</x:v>
      </x:c>
      <x:c r="D125" s="42" t="n">
        <x:v>1371.303092215229</x:v>
      </x:c>
      <x:c r="E125" s="42" t="n">
        <x:v>4915.107030422499</x:v>
      </x:c>
      <x:c r="F125" s="42" t="n">
        <x:v>0.03801747002116902</x:v>
      </x:c>
      <x:c r="G125" s="42" t="n">
        <x:v>15960.826835798127</x:v>
      </x:c>
      <x:c r="H125" s="42" t="n">
        <x:v>-15443.962720494816</x:v>
      </x:c>
      <x:c r="I125" s="42" t="n">
        <x:v>16.284062117020355</x:v>
      </x:c>
      <x:c r="J125" s="42" t="n">
        <x:v>58.36631496681647</x:v>
      </x:c>
      <x:c r="K125" s="42" t="n">
        <x:v>189.53293193066696</x:v>
      </x:c>
      <x:c r="L125" s="42" t="n">
        <x:v>-12.468345565987413</x:v>
      </x:c>
      <x:c r="M125" s="42" t="n">
        <x:v>-32.505035424569975</x:v>
      </x:c>
      <x:c r="N125" s="42" t="n">
        <x:v>-34.733214673793206</x:v>
      </x:c>
    </x:row>
    <x:row r="126">
      <x:c r="A126" s="42" t="n">
        <x:v>2</x:v>
      </x:c>
      <x:c r="B126" s="42" t="n">
        <x:v>25</x:v>
      </x:c>
      <x:c r="C126" s="42" t="n">
        <x:v>534.5064840723982</x:v>
      </x:c>
      <x:c r="D126" s="42" t="n">
        <x:v>1366.016806901526</x:v>
      </x:c>
      <x:c r="E126" s="42" t="n">
        <x:v>4934.974970543156</x:v>
      </x:c>
      <x:c r="F126" s="42" t="n">
        <x:v>0.03387632578059738</x:v>
      </x:c>
      <x:c r="G126" s="42" t="n">
        <x:v>15973.127659706997</x:v>
      </x:c>
      <x:c r="H126" s="42" t="n">
        <x:v>-15438.621175634598</x:v>
      </x:c>
      <x:c r="I126" s="42" t="n">
        <x:v>16.221288103816917</x:v>
      </x:c>
      <x:c r="J126" s="42" t="n">
        <x:v>58.60224440714128</x:v>
      </x:c>
      <x:c r="K126" s="42" t="n">
        <x:v>189.67900276049275</x:v>
      </x:c>
      <x:c r="L126" s="42" t="n">
        <x:v>-12.458830252422747</x:v>
      </x:c>
      <x:c r="M126" s="42" t="n">
        <x:v>-32.57806801495231</x:v>
      </x:c>
      <x:c r="N126" s="42" t="n">
        <x:v>-34.804236106267616</x:v>
      </x:c>
    </x:row>
    <x:row r="127">
      <x:c r="A127" s="42" t="n">
        <x:v>2.5</x:v>
      </x:c>
      <x:c r="B127" s="42" t="n">
        <x:v>25</x:v>
      </x:c>
      <x:c r="C127" s="42" t="n">
        <x:v>549.7308148692482</x:v>
      </x:c>
      <x:c r="D127" s="42" t="n">
        <x:v>1358.8064762795666</x:v>
      </x:c>
      <x:c r="E127" s="42" t="n">
        <x:v>4954.945170789036</x:v>
      </x:c>
      <x:c r="F127" s="42" t="n">
        <x:v>0.030268533619586264</x:v>
      </x:c>
      <x:c r="G127" s="42" t="n">
        <x:v>15984.674832252707</x:v>
      </x:c>
      <x:c r="H127" s="42" t="n">
        <x:v>-15434.94401738346</x:v>
      </x:c>
      <x:c r="I127" s="42" t="n">
        <x:v>16.13566628002115</x:v>
      </x:c>
      <x:c r="J127" s="42" t="n">
        <x:v>58.83938817436484</x:v>
      </x:c>
      <x:c r="K127" s="42" t="n">
        <x:v>189.81612406947087</x:v>
      </x:c>
      <x:c r="L127" s="42" t="n">
        <x:v>-12.44585165730322</x:v>
      </x:c>
      <x:c r="M127" s="42" t="n">
        <x:v>-32.64648450484399</x:v>
      </x:c>
      <x:c r="N127" s="42" t="n">
        <x:v>-34.869480637961885</x:v>
      </x:c>
    </x:row>
    <x:row r="128">
      <x:c r="A128" s="42" t="n">
        <x:v>3</x:v>
      </x:c>
      <x:c r="B128" s="42" t="n">
        <x:v>25</x:v>
      </x:c>
      <x:c r="C128" s="42" t="n">
        <x:v>536.8431041026677</x:v>
      </x:c>
      <x:c r="D128" s="42" t="n">
        <x:v>1348.7496298570475</x:v>
      </x:c>
      <x:c r="E128" s="42" t="n">
        <x:v>4974.995730593702</x:v>
      </x:c>
      <x:c r="F128" s="42" t="n">
        <x:v>0.02716851990277489</x:v>
      </x:c>
      <x:c r="G128" s="42" t="n">
        <x:v>15999.039471084721</x:v>
      </x:c>
      <x:c r="H128" s="42" t="n">
        <x:v>-15462.196366982054</x:v>
      </x:c>
      <x:c r="I128" s="42" t="n">
        <x:v>16.016242417583065</x:v>
      </x:c>
      <x:c r="J128" s="42" t="n">
        <x:v>59.07748620184962</x:v>
      </x:c>
      <x:c r="K128" s="42" t="n">
        <x:v>189.98670245754352</x:v>
      </x:c>
      <x:c r="L128" s="42" t="n">
        <x:v>-12.427749333742685</x:v>
      </x:c>
      <x:c r="M128" s="42" t="n">
        <x:v>-32.710475635943695</x:v>
      </x:c>
      <x:c r="N128" s="42" t="n">
        <x:v>-34.80771823124738</x:v>
      </x:c>
    </x:row>
    <x:row r="129">
      <x:c r="A129" s="42" t="n">
        <x:v>3.5</x:v>
      </x:c>
      <x:c r="B129" s="42" t="n">
        <x:v>25</x:v>
      </x:c>
      <x:c r="C129" s="42" t="n">
        <x:v>562.9190196746022</x:v>
      </x:c>
      <x:c r="D129" s="42" t="n">
        <x:v>1338.6555162950121</x:v>
      </x:c>
      <x:c r="E129" s="42" t="n">
        <x:v>4995.103521127066</x:v>
      </x:c>
      <x:c r="F129" s="42" t="n">
        <x:v>0.024554592113773612</x:v>
      </x:c>
      <x:c r="G129" s="42" t="n">
        <x:v>16006.807001469824</x:v>
      </x:c>
      <x:c r="H129" s="42" t="n">
        <x:v>-15443.887981795222</x:v>
      </x:c>
      <x:c r="I129" s="42" t="n">
        <x:v>15.896376012268606</x:v>
      </x:c>
      <x:c r="J129" s="42" t="n">
        <x:v>59.316263837472384</x:v>
      </x:c>
      <x:c r="K129" s="42" t="n">
        <x:v>190.0789409626595</x:v>
      </x:c>
      <x:c r="L129" s="42" t="n">
        <x:v>-12.409579929331022</x:v>
      </x:c>
      <x:c r="M129" s="42" t="n">
        <x:v>-32.77019500900475</x:v>
      </x:c>
      <x:c r="N129" s="42" t="n">
        <x:v>-34.92280341588608</x:v>
      </x:c>
    </x:row>
    <x:row r="130">
      <x:c r="A130" s="42" t="n">
        <x:v>4</x:v>
      </x:c>
      <x:c r="B130" s="42" t="n">
        <x:v>25</x:v>
      </x:c>
      <x:c r="C130" s="42" t="n">
        <x:v>561.6697690574489</x:v>
      </x:c>
      <x:c r="D130" s="42" t="n">
        <x:v>1326.0176749484262</x:v>
      </x:c>
      <x:c r="E130" s="42" t="n">
        <x:v>5015.244142973658</x:v>
      </x:c>
      <x:c r="F130" s="42" t="n">
        <x:v>0.022409288468860672</x:v>
      </x:c>
      <x:c r="G130" s="42" t="n">
        <x:v>16017.23599184729</x:v>
      </x:c>
      <x:c r="H130" s="42" t="n">
        <x:v>-15455.566222789841</x:v>
      </x:c>
      <x:c r="I130" s="42" t="n">
        <x:v>15.746303140209076</x:v>
      </x:c>
      <x:c r="J130" s="42" t="n">
        <x:v>59.5554313410587</x:v>
      </x:c>
      <x:c r="K130" s="42" t="n">
        <x:v>190.20278399057108</x:v>
      </x:c>
      <x:c r="L130" s="42" t="n">
        <x:v>-12.386831814907168</x:v>
      </x:c>
      <x:c r="M130" s="42" t="n">
        <x:v>-32.82575586113284</x:v>
      </x:c>
      <x:c r="N130" s="42" t="n">
        <x:v>-34.92877395816056</x:v>
      </x:c>
    </x:row>
    <x:row r="131">
      <x:c r="A131" s="42" t="n">
        <x:v>4.5</x:v>
      </x:c>
      <x:c r="B131" s="42" t="n">
        <x:v>25</x:v>
      </x:c>
      <x:c r="C131" s="42" t="n">
        <x:v>568.643638224831</x:v>
      </x:c>
      <x:c r="D131" s="42" t="n">
        <x:v>1312.4196434665605</x:v>
      </x:c>
      <x:c r="E131" s="42" t="n">
        <x:v>5035.391892252217</x:v>
      </x:c>
      <x:c r="F131" s="42" t="n">
        <x:v>0.020719693919225655</x:v>
      </x:c>
      <x:c r="G131" s="42" t="n">
        <x:v>16025.329990466244</x:v>
      </x:c>
      <x:c r="H131" s="42" t="n">
        <x:v>-15456.686352241413</x:v>
      </x:c>
      <x:c r="I131" s="42" t="n">
        <x:v>15.584828123798081</x:v>
      </x:c>
      <x:c r="J131" s="42" t="n">
        <x:v>59.79468348205709</x:v>
      </x:c>
      <x:c r="K131" s="42" t="n">
        <x:v>190.29889926737192</x:v>
      </x:c>
      <x:c r="L131" s="42" t="n">
        <x:v>-12.362355358239808</x:v>
      </x:c>
      <x:c r="M131" s="42" t="n">
        <x:v>-32.87722816078096</x:v>
      </x:c>
      <x:c r="N131" s="42" t="n">
        <x:v>-34.97453917079148</x:v>
      </x:c>
    </x:row>
    <x:row r="132">
      <x:c r="A132" s="42" t="n">
        <x:v>5</x:v>
      </x:c>
      <x:c r="B132" s="42" t="n">
        <x:v>25</x:v>
      </x:c>
      <x:c r="C132" s="42" t="n">
        <x:v>548.8146920903409</x:v>
      </x:c>
      <x:c r="D132" s="42" t="n">
        <x:v>1296.6359029784055</x:v>
      </x:c>
      <x:c r="E132" s="42" t="n">
        <x:v>5055.519735490639</x:v>
      </x:c>
      <x:c r="F132" s="42" t="n">
        <x:v>0.019477720976596405</x:v>
      </x:c>
      <x:c r="G132" s="42" t="n">
        <x:v>16035.975154282107</x:v>
      </x:c>
      <x:c r="H132" s="42" t="n">
        <x:v>-15487.160462191765</x:v>
      </x:c>
      <x:c r="I132" s="42" t="n">
        <x:v>15.397398071312132</x:v>
      </x:c>
      <x:c r="J132" s="42" t="n">
        <x:v>60.033699241181964</x:v>
      </x:c>
      <x:c r="K132" s="42" t="n">
        <x:v>190.4253093293104</x:v>
      </x:c>
      <x:c r="L132" s="42" t="n">
        <x:v>-12.33394462536113</x:v>
      </x:c>
      <x:c r="M132" s="42" t="n">
        <x:v>-32.92463603509378</x:v>
      </x:c>
      <x:c r="N132" s="42" t="n">
        <x:v>-34.90296378965436</x:v>
      </x:c>
    </x:row>
    <x:row r="133">
      <x:c r="A133" s="42" t="n">
        <x:v>5.5</x:v>
      </x:c>
      <x:c r="B133" s="42" t="n">
        <x:v>25</x:v>
      </x:c>
      <x:c r="C133" s="42" t="n">
        <x:v>539.5212853164131</x:v>
      </x:c>
      <x:c r="D133" s="42" t="n">
        <x:v>1280.3466130240581</x:v>
      </x:c>
      <x:c r="E133" s="42" t="n">
        <x:v>5075.599293824479</x:v>
      </x:c>
      <x:c r="F133" s="42" t="n">
        <x:v>0.018680352736261237</x:v>
      </x:c>
      <x:c r="G133" s="42" t="n">
        <x:v>16043.928899152816</x:v>
      </x:c>
      <x:c r="H133" s="42" t="n">
        <x:v>-15504.407613836402</x:v>
      </x:c>
      <x:c r="I133" s="42" t="n">
        <x:v>15.20396467867663</x:v>
      </x:c>
      <x:c r="J133" s="42" t="n">
        <x:v>60.27214162277272</x:v>
      </x:c>
      <x:c r="K133" s="42" t="n">
        <x:v>190.5197591094304</x:v>
      </x:c>
      <x:c r="L133" s="42" t="n">
        <x:v>-12.304623903443305</x:v>
      </x:c>
      <x:c r="M133" s="42" t="n">
        <x:v>-32.96795555425771</x:v>
      </x:c>
      <x:c r="N133" s="42" t="n">
        <x:v>-34.87946522445894</x:v>
      </x:c>
    </x:row>
    <x:row r="134">
      <x:c r="A134" s="42" t="n">
        <x:v>6</x:v>
      </x:c>
      <x:c r="B134" s="42" t="n">
        <x:v>25</x:v>
      </x:c>
      <x:c r="C134" s="42" t="n">
        <x:v>533.6920620973987</x:v>
      </x:c>
      <x:c r="D134" s="42" t="n">
        <x:v>1263.4636930421118</x:v>
      </x:c>
      <x:c r="E134" s="42" t="n">
        <x:v>5095.600837370856</x:v>
      </x:c>
      <x:c r="F134" s="42" t="n">
        <x:v>0.018329844288099802</x:v>
      </x:c>
      <x:c r="G134" s="42" t="n">
        <x:v>16050.16829622489</x:v>
      </x:c>
      <x:c r="H134" s="42" t="n">
        <x:v>-15516.476234127493</x:v>
      </x:c>
      <x:c r="I134" s="42" t="n">
        <x:v>15.003481999636955</x:v>
      </x:c>
      <x:c r="J134" s="42" t="n">
        <x:v>60.50965758798458</x:v>
      </x:c>
      <x:c r="K134" s="42" t="n">
        <x:v>190.5938512120962</x:v>
      </x:c>
      <x:c r="L134" s="42" t="n">
        <x:v>-12.2742346474758</x:v>
      </x:c>
      <x:c r="M134" s="42" t="n">
        <x:v>-33.00711290867464</x:v>
      </x:c>
      <x:c r="N134" s="42" t="n">
        <x:v>-34.90018701282928</x:v>
      </x:c>
    </x:row>
    <x:row r="135">
      <x:c r="A135" s="42" t="n">
        <x:v>6.5</x:v>
      </x:c>
      <x:c r="B135" s="42" t="n">
        <x:v>25</x:v>
      </x:c>
      <x:c r="C135" s="42" t="n">
        <x:v>524.4263848132822</x:v>
      </x:c>
      <x:c r="D135" s="42" t="n">
        <x:v>1245.9109802235196</x:v>
      </x:c>
      <x:c r="E135" s="42" t="n">
        <x:v>5115.493290931494</x:v>
      </x:c>
      <x:c r="F135" s="42" t="n">
        <x:v>0.018433877447186543</x:v>
      </x:c>
      <x:c r="G135" s="42" t="n">
        <x:v>16055.64884283196</x:v>
      </x:c>
      <x:c r="H135" s="42" t="n">
        <x:v>-15531.22245801868</x:v>
      </x:c>
      <x:c r="I135" s="42" t="n">
        <x:v>14.795045609838956</x:v>
      </x:c>
      <x:c r="J135" s="42" t="n">
        <x:v>60.74587812251141</x:v>
      </x:c>
      <x:c r="K135" s="42" t="n">
        <x:v>190.65893205519458</x:v>
      </x:c>
      <x:c r="L135" s="42" t="n">
        <x:v>-12.242639764402336</x:v>
      </x:c>
      <x:c r="M135" s="42" t="n">
        <x:v>-33.04198302665201</x:v>
      </x:c>
      <x:c r="N135" s="42" t="n">
        <x:v>-34.92679263499196</x:v>
      </x:c>
    </x:row>
    <x:row r="136">
      <x:c r="A136" s="42" t="n">
        <x:v>7</x:v>
      </x:c>
      <x:c r="B136" s="42" t="n">
        <x:v>25</x:v>
      </x:c>
      <x:c r="C136" s="42" t="n">
        <x:v>534.4078318791427</x:v>
      </x:c>
      <x:c r="D136" s="42" t="n">
        <x:v>1228.797663151835</x:v>
      </x:c>
      <x:c r="E136" s="42" t="n">
        <x:v>5135.244252485441</x:v>
      </x:c>
      <x:c r="F136" s="42" t="n">
        <x:v>0.019005662456400754</x:v>
      </x:c>
      <x:c r="G136" s="42" t="n">
        <x:v>16057.186598182137</x:v>
      </x:c>
      <x:c r="H136" s="42" t="n">
        <x:v>-15522.778766302994</x:v>
      </x:c>
      <x:c r="I136" s="42" t="n">
        <x:v>14.5918269925941</x:v>
      </x:c>
      <x:c r="J136" s="42" t="n">
        <x:v>60.98041845618468</x:v>
      </x:c>
      <x:c r="K136" s="42" t="n">
        <x:v>190.67719271819843</x:v>
      </x:c>
      <x:c r="L136" s="42" t="n">
        <x:v>-12.211835793673302</x:v>
      </x:c>
      <x:c r="M136" s="42" t="n">
        <x:v>-33.07238869236619</x:v>
      </x:c>
      <x:c r="N136" s="42" t="n">
        <x:v>-34.94965623643872</x:v>
      </x:c>
    </x:row>
    <x:row r="137">
      <x:c r="A137" s="42" t="n">
        <x:v>7.5</x:v>
      </x:c>
      <x:c r="B137" s="42" t="n">
        <x:v>25</x:v>
      </x:c>
      <x:c r="C137" s="42" t="n">
        <x:v>503.48380224840304</x:v>
      </x:c>
      <x:c r="D137" s="42" t="n">
        <x:v>1209.9183671428161</x:v>
      </x:c>
      <x:c r="E137" s="42" t="n">
        <x:v>5154.820026228476</x:v>
      </x:c>
      <x:c r="F137" s="42" t="n">
        <x:v>0.020063979077884698</x:v>
      </x:c>
      <x:c r="G137" s="42" t="n">
        <x:v>16063.19705852591</x:v>
      </x:c>
      <x:c r="H137" s="42" t="n">
        <x:v>-15559.713256277506</x:v>
      </x:c>
      <x:c r="I137" s="42" t="n">
        <x:v>14.367637584226438</x:v>
      </x:c>
      <x:c r="J137" s="42" t="n">
        <x:v>61.212878455312506</x:v>
      </x:c>
      <x:c r="K137" s="42" t="n">
        <x:v>190.74856622427853</x:v>
      </x:c>
      <x:c r="L137" s="42" t="n">
        <x:v>-12.17785306085707</x:v>
      </x:c>
      <x:c r="M137" s="42" t="n">
        <x:v>-33.098100235510294</x:v>
      </x:c>
      <x:c r="N137" s="42" t="n">
        <x:v>-34.980746756287324</x:v>
      </x:c>
    </x:row>
    <x:row r="138">
      <x:c r="A138" s="42" t="n">
        <x:v>8</x:v>
      </x:c>
      <x:c r="B138" s="42" t="n">
        <x:v>25</x:v>
      </x:c>
      <x:c r="C138" s="42" t="n">
        <x:v>497.2264534493298</x:v>
      </x:c>
      <x:c r="D138" s="42" t="n">
        <x:v>1192.0925543866394</x:v>
      </x:c>
      <x:c r="E138" s="42" t="n">
        <x:v>5174.185672185306</x:v>
      </x:c>
      <x:c r="F138" s="42" t="n">
        <x:v>0.02163314836878428</x:v>
      </x:c>
      <x:c r="G138" s="42" t="n">
        <x:v>16064.496639991332</x:v>
      </x:c>
      <x:c r="H138" s="42" t="n">
        <x:v>-15567.270186542002</x:v>
      </x:c>
      <x:c r="I138" s="42" t="n">
        <x:v>14.155958164953022</x:v>
      </x:c>
      <x:c r="J138" s="42" t="n">
        <x:v>61.442843211818534</x:v>
      </x:c>
      <x:c r="K138" s="42" t="n">
        <x:v>190.76399860055568</x:v>
      </x:c>
      <x:c r="L138" s="42" t="n">
        <x:v>-12.145766597895951</x:v>
      </x:c>
      <x:c r="M138" s="42" t="n">
        <x:v>-33.1188358746145</x:v>
      </x:c>
      <x:c r="N138" s="42" t="n">
        <x:v>-34.97409675387438</x:v>
      </x:c>
    </x:row>
    <x:row r="139">
      <x:c r="A139" s="42" t="n">
        <x:v>8.5</x:v>
      </x:c>
      <x:c r="B139" s="42" t="n">
        <x:v>25</x:v>
      </x:c>
      <x:c r="C139" s="42" t="n">
        <x:v>479.6019721372586</x:v>
      </x:c>
      <x:c r="D139" s="42" t="n">
        <x:v>1174.0683715077432</x:v>
      </x:c>
      <x:c r="E139" s="42" t="n">
        <x:v>5193.305074644272</x:v>
      </x:c>
      <x:c r="F139" s="42" t="n">
        <x:v>0.023742925505647647</x:v>
      </x:c>
      <x:c r="G139" s="42" t="n">
        <x:v>16066.128989193123</x:v>
      </x:c>
      <x:c r="H139" s="42" t="n">
        <x:v>-15586.527017055865</x:v>
      </x:c>
      <x:c r="I139" s="42" t="n">
        <x:v>13.941923123921837</x:v>
      </x:c>
      <x:c r="J139" s="42" t="n">
        <x:v>61.6698838558961</x:v>
      </x:c>
      <x:c r="K139" s="42" t="n">
        <x:v>190.7833825543654</x:v>
      </x:c>
      <x:c r="L139" s="42" t="n">
        <x:v>-12.113323068713937</x:v>
      </x:c>
      <x:c r="M139" s="42" t="n">
        <x:v>-33.13426280480886</x:v>
      </x:c>
      <x:c r="N139" s="42" t="n">
        <x:v>-35.023128005728964</x:v>
      </x:c>
    </x:row>
    <x:row r="140">
      <x:c r="A140" s="42" t="n">
        <x:v>9</x:v>
      </x:c>
      <x:c r="B140" s="42" t="n">
        <x:v>25</x:v>
      </x:c>
      <x:c r="C140" s="42" t="n">
        <x:v>481.22587957439987</x:v>
      </x:c>
      <x:c r="D140" s="42" t="n">
        <x:v>1157.2501029632047</x:v>
      </x:c>
      <x:c r="E140" s="42" t="n">
        <x:v>5212.141031823048</x:v>
      </x:c>
      <x:c r="F140" s="42" t="n">
        <x:v>0.026428303360761397</x:v>
      </x:c>
      <x:c r="G140" s="42" t="n">
        <x:v>16063.809243256452</x:v>
      </x:c>
      <x:c r="H140" s="42" t="n">
        <x:v>-15582.583363682052</x:v>
      </x:c>
      <x:c r="I140" s="42" t="n">
        <x:v>13.742208173058872</x:v>
      </x:c>
      <x:c r="J140" s="42" t="n">
        <x:v>61.89355862077775</x:v>
      </x:c>
      <x:c r="K140" s="42" t="n">
        <x:v>190.75583584558677</x:v>
      </x:c>
      <x:c r="L140" s="42" t="n">
        <x:v>-12.083050185333768</x:v>
      </x:c>
      <x:c r="M140" s="42" t="n">
        <x:v>-33.14399912703463</x:v>
      </x:c>
      <x:c r="N140" s="42" t="n">
        <x:v>-34.9738695094552</x:v>
      </x:c>
    </x:row>
    <x:row r="141">
      <x:c r="A141" s="42" t="n">
        <x:v>9.5</x:v>
      </x:c>
      <x:c r="B141" s="42" t="n">
        <x:v>25</x:v>
      </x:c>
      <x:c r="C141" s="42" t="n">
        <x:v>478.27937371872196</x:v>
      </x:c>
      <x:c r="D141" s="42" t="n">
        <x:v>1140.8522774257187</x:v>
      </x:c>
      <x:c r="E141" s="42" t="n">
        <x:v>5230.6553692487305</x:v>
      </x:c>
      <x:c r="F141" s="42" t="n">
        <x:v>0.029729216223055854</x:v>
      </x:c>
      <x:c r="G141" s="42" t="n">
        <x:v>16060.87573901286</x:v>
      </x:c>
      <x:c r="H141" s="42" t="n">
        <x:v>-15582.596365294137</x:v>
      </x:c>
      <x:c r="I141" s="42" t="n">
        <x:v>13.547485933203692</x:v>
      </x:c>
      <x:c r="J141" s="42" t="n">
        <x:v>62.11341418911039</x:v>
      </x:c>
      <x:c r="K141" s="42" t="n">
        <x:v>190.72100082946645</x:v>
      </x:c>
      <x:c r="L141" s="42" t="n">
        <x:v>-12.053534099366294</x:v>
      </x:c>
      <x:c r="M141" s="42" t="n">
        <x:v>-33.147616718640215</x:v>
      </x:c>
      <x:c r="N141" s="42" t="n">
        <x:v>-34.944190828191125</x:v>
      </x:c>
    </x:row>
    <x:row r="142">
      <x:c r="A142" s="42" t="n">
        <x:v>10</x:v>
      </x:c>
      <x:c r="B142" s="42" t="n">
        <x:v>25</x:v>
      </x:c>
      <x:c r="C142" s="42" t="n">
        <x:v>454.2022007690483</x:v>
      </x:c>
      <x:c r="D142" s="42" t="n">
        <x:v>1124.3650898453716</x:v>
      </x:c>
      <x:c r="E142" s="42" t="n">
        <x:v>5248.80907930769</x:v>
      </x:c>
      <x:c r="F142" s="42" t="n">
        <x:v>0.03369013317421013</x:v>
      </x:c>
      <x:c r="G142" s="42" t="n">
        <x:v>16059.653002376923</x:v>
      </x:c>
      <x:c r="H142" s="42" t="n">
        <x:v>-15605.450801607874</x:v>
      </x:c>
      <x:c r="I142" s="42" t="n">
        <x:v>13.351702529653107</x:v>
      </x:c>
      <x:c r="J142" s="42" t="n">
        <x:v>62.3289873500933</x:v>
      </x:c>
      <x:c r="K142" s="42" t="n">
        <x:v>190.70648097645554</x:v>
      </x:c>
      <x:c r="L142" s="42" t="n">
        <x:v>-12.023857161721669</x:v>
      </x:c>
      <x:c r="M142" s="42" t="n">
        <x:v>-33.14464514418595</x:v>
      </x:c>
      <x:c r="N142" s="42" t="n">
        <x:v>-35.01732105932787</x:v>
      </x:c>
    </x:row>
    <x:row r="143">
      <x:c r="A143" s="42" t="n">
        <x:v>10.5</x:v>
      </x:c>
      <x:c r="B143" s="42" t="n">
        <x:v>25</x:v>
      </x:c>
      <x:c r="C143" s="42" t="n">
        <x:v>437.9381023255097</x:v>
      </x:c>
      <x:c r="D143" s="42" t="n">
        <x:v>1109.0822191427294</x:v>
      </x:c>
      <x:c r="E143" s="42" t="n">
        <x:v>5266.562489272529</x:v>
      </x:c>
      <x:c r="F143" s="42" t="n">
        <x:v>0.03835953124954955</x:v>
      </x:c>
      <x:c r="G143" s="42" t="n">
        <x:v>16056.097371463013</x:v>
      </x:c>
      <x:c r="H143" s="42" t="n">
        <x:v>-15618.159269137503</x:v>
      </x:c>
      <x:c r="I143" s="42" t="n">
        <x:v>13.170220246661831</x:v>
      </x:c>
      <x:c r="J143" s="42" t="n">
        <x:v>62.53980699477838</x:v>
      </x:c>
      <x:c r="K143" s="42" t="n">
        <x:v>190.66425827966734</x:v>
      </x:c>
      <x:c r="L143" s="42" t="n">
        <x:v>-11.996347994456913</x:v>
      </x:c>
      <x:c r="M143" s="42" t="n">
        <x:v>-33.13457669944461</x:v>
      </x:c>
      <x:c r="N143" s="42" t="n">
        <x:v>-35.05288525987684</x:v>
      </x:c>
    </x:row>
    <x:row r="144">
      <x:c r="A144" s="42" t="n">
        <x:v>11</x:v>
      </x:c>
      <x:c r="B144" s="42" t="n">
        <x:v>25</x:v>
      </x:c>
      <x:c r="C144" s="42" t="n">
        <x:v>444.9386077034492</x:v>
      </x:c>
      <x:c r="D144" s="42" t="n">
        <x:v>1095.739304862707</x:v>
      </x:c>
      <x:c r="E144" s="42" t="n">
        <x:v>5283.87545983024</x:v>
      </x:c>
      <x:c r="F144" s="42" t="n">
        <x:v>0.043789239695664</x:v>
      </x:c>
      <x:c r="G144" s="42" t="n">
        <x:v>16048.056445742717</x:v>
      </x:c>
      <x:c r="H144" s="42" t="n">
        <x:v>-15603.117838039268</x:v>
      </x:c>
      <x:c r="I144" s="42" t="n">
        <x:v>13.011774716865084</x:v>
      </x:c>
      <x:c r="J144" s="42" t="n">
        <x:v>62.74539647356857</x:v>
      </x:c>
      <x:c r="K144" s="42" t="n">
        <x:v>190.56877323726425</x:v>
      </x:c>
      <x:c r="L144" s="42" t="n">
        <x:v>-11.972330748752873</x:v>
      </x:c>
      <x:c r="M144" s="42" t="n">
        <x:v>-33.11687267043346</x:v>
      </x:c>
      <x:c r="N144" s="42" t="n">
        <x:v>-34.97231278340458</x:v>
      </x:c>
    </x:row>
    <x:row r="145">
      <x:c r="A145" s="42" t="n">
        <x:v>11.5</x:v>
      </x:c>
      <x:c r="B145" s="42" t="n">
        <x:v>25</x:v>
      </x:c>
      <x:c r="C145" s="42" t="n">
        <x:v>434.44467895572086</x:v>
      </x:c>
      <x:c r="D145" s="42" t="n">
        <x:v>1082.8038895011498</x:v>
      </x:c>
      <x:c r="E145" s="42" t="n">
        <x:v>5300.707615705744</x:v>
      </x:c>
      <x:c r="F145" s="42" t="n">
        <x:v>0.05003364843063708</x:v>
      </x:c>
      <x:c r="G145" s="42" t="n">
        <x:v>16041.249630235392</x:v>
      </x:c>
      <x:c r="H145" s="42" t="n">
        <x:v>-15606.804951279672</x:v>
      </x:c>
      <x:c r="I145" s="42" t="n">
        <x:v>12.858168188554275</x:v>
      </x:c>
      <x:c r="J145" s="42" t="n">
        <x:v>62.945276334845104</x:v>
      </x:c>
      <x:c r="K145" s="42" t="n">
        <x:v>190.4879431077549</x:v>
      </x:c>
      <x:c r="L145" s="42" t="n">
        <x:v>-11.94904700110207</x:v>
      </x:c>
      <x:c r="M145" s="42" t="n">
        <x:v>-33.09097087239461</x:v>
      </x:c>
      <x:c r="N145" s="42" t="n">
        <x:v>-34.96994929237553</x:v>
      </x:c>
    </x:row>
    <x:row r="146">
      <x:c r="A146" s="42" t="n">
        <x:v>12</x:v>
      </x:c>
      <x:c r="B146" s="42" t="n">
        <x:v>25</x:v>
      </x:c>
      <x:c r="C146" s="42" t="n">
        <x:v>422.8387186345762</x:v>
      </x:c>
      <x:c r="D146" s="42" t="n">
        <x:v>1071.0085467117642</x:v>
      </x:c>
      <x:c r="E146" s="42" t="n">
        <x:v>5317.018609391271</x:v>
      </x:c>
      <x:c r="F146" s="42" t="n">
        <x:v>0.057148776248117615</x:v>
      </x:c>
      <x:c r="G146" s="42" t="n">
        <x:v>16033.398823391759</x:v>
      </x:c>
      <x:c r="H146" s="42" t="n">
        <x:v>-15610.560104757184</x:v>
      </x:c>
      <x:c r="I146" s="42" t="n">
        <x:v>12.718099887268947</x:v>
      </x:c>
      <x:c r="J146" s="42" t="n">
        <x:v>63.13896745672275</x:v>
      </x:c>
      <x:c r="K146" s="42" t="n">
        <x:v>190.39471570453804</x:v>
      </x:c>
      <x:c r="L146" s="42" t="n">
        <x:v>-11.927815384081176</x:v>
      </x:c>
      <x:c r="M146" s="42" t="n">
        <x:v>-33.05629451067123</x:v>
      </x:c>
      <x:c r="N146" s="42" t="n">
        <x:v>-34.980223588116786</x:v>
      </x:c>
    </x:row>
    <x:row r="147">
      <x:c r="A147" s="42" t="n">
        <x:v>12.5</x:v>
      </x:c>
      <x:c r="B147" s="42" t="n">
        <x:v>25</x:v>
      </x:c>
      <x:c r="C147" s="42" t="n">
        <x:v>434.12423495839124</x:v>
      </x:c>
      <x:c r="D147" s="42" t="n">
        <x:v>1061.3695000412065</x:v>
      </x:c>
      <x:c r="E147" s="42" t="n">
        <x:v>5332.768418252719</x:v>
      </x:c>
      <x:c r="F147" s="42" t="n">
        <x:v>0.065191197390238</x:v>
      </x:c>
      <x:c r="G147" s="42" t="n">
        <x:v>16021.161227495551</x:v>
      </x:c>
      <x:c r="H147" s="42" t="n">
        <x:v>-15587.03699253716</x:v>
      </x:c>
      <x:c r="I147" s="42" t="n">
        <x:v>12.603637347496898</x:v>
      </x:c>
      <x:c r="J147" s="42" t="n">
        <x:v>63.325994575152656</x:v>
      </x:c>
      <x:c r="K147" s="42" t="n">
        <x:v>190.2493956998884</x:v>
      </x:c>
      <x:c r="L147" s="42" t="n">
        <x:v>-11.910465100074171</x:v>
      </x:c>
      <x:c r="M147" s="42" t="n">
        <x:v>-33.012262376342754</x:v>
      </x:c>
      <x:c r="N147" s="42" t="n">
        <x:v>-34.88137011833491</x:v>
      </x:c>
    </x:row>
    <x:row r="148">
      <x:c r="A148" s="42" t="n">
        <x:v>13</x:v>
      </x:c>
      <x:c r="B148" s="42" t="n">
        <x:v>25</x:v>
      </x:c>
      <x:c r="C148" s="42" t="n">
        <x:v>428.8351991704085</x:v>
      </x:c>
      <x:c r="D148" s="42" t="n">
        <x:v>1052.3428192874935</x:v>
      </x:c>
      <x:c r="E148" s="42" t="n">
        <x:v>5347.917674393985</x:v>
      </x:c>
      <x:c r="F148" s="42" t="n">
        <x:v>0.07421682882713554</x:v>
      </x:c>
      <x:c r="G148" s="42" t="n">
        <x:v>16010.081996804991</x:v>
      </x:c>
      <x:c r="H148" s="42" t="n">
        <x:v>-15581.246797634583</x:v>
      </x:c>
      <x:c r="I148" s="42" t="n">
        <x:v>12.496446580599025</x:v>
      </x:c>
      <x:c r="J148" s="42" t="n">
        <x:v>63.5058902010223</x:v>
      </x:c>
      <x:c r="K148" s="42" t="n">
        <x:v>190.1178311451243</x:v>
      </x:c>
      <x:c r="L148" s="42" t="n">
        <x:v>-11.894217074717488</x:v>
      </x:c>
      <x:c r="M148" s="42" t="n">
        <x:v>-32.95830035446495</x:v>
      </x:c>
      <x:c r="N148" s="42" t="n">
        <x:v>-34.86391951975243</x:v>
      </x:c>
    </x:row>
    <x:row r="149">
      <x:c r="A149" s="42" t="n">
        <x:v>13.5</x:v>
      </x:c>
      <x:c r="B149" s="42" t="n">
        <x:v>25</x:v>
      </x:c>
      <x:c r="C149" s="42" t="n">
        <x:v>408.84619240872695</x:v>
      </x:c>
      <x:c r="D149" s="42" t="n">
        <x:v>1044.0170368416855</x:v>
      </x:c>
      <x:c r="E149" s="42" t="n">
        <x:v>5362.428025631009</x:v>
      </x:c>
      <x:c r="F149" s="42" t="n">
        <x:v>0.08427958487344142</x:v>
      </x:c>
      <x:c r="G149" s="42" t="n">
        <x:v>15999.920769914777</x:v>
      </x:c>
      <x:c r="H149" s="42" t="n">
        <x:v>-15591.07457750605</x:v>
      </x:c>
      <x:c r="I149" s="42" t="n">
        <x:v>12.397578898253673</x:v>
      </x:c>
      <x:c r="J149" s="42" t="n">
        <x:v>63.67819890667962</x:v>
      </x:c>
      <x:c r="K149" s="42" t="n">
        <x:v>189.99716777697125</x:v>
      </x:c>
      <x:c r="L149" s="42" t="n">
        <x:v>-11.879230666315033</x:v>
      </x:c>
      <x:c r="M149" s="42" t="n">
        <x:v>-32.89385418227484</x:v>
      </x:c>
      <x:c r="N149" s="42" t="n">
        <x:v>-34.91721851790698</x:v>
      </x:c>
    </x:row>
    <x:row r="150">
      <x:c r="A150" s="42" t="n">
        <x:v>14</x:v>
      </x:c>
      <x:c r="B150" s="42" t="n">
        <x:v>25</x:v>
      </x:c>
      <x:c r="C150" s="42" t="n">
        <x:v>412.55100068044544</x:v>
      </x:c>
      <x:c r="D150" s="42" t="n">
        <x:v>1037.9208816428923</x:v>
      </x:c>
      <x:c r="E150" s="42" t="n">
        <x:v>5376.262524778427</x:v>
      </x:c>
      <x:c r="F150" s="42" t="n">
        <x:v>0.09542991056356534</x:v>
      </x:c>
      <x:c r="G150" s="42" t="n">
        <x:v>15985.326614254289</x:v>
      </x:c>
      <x:c r="H150" s="42" t="n">
        <x:v>-15572.775613573844</x:v>
      </x:c>
      <x:c r="I150" s="42" t="n">
        <x:v>12.325187775900275</x:v>
      </x:c>
      <x:c r="J150" s="42" t="n">
        <x:v>63.84248194866597</x:v>
      </x:c>
      <x:c r="K150" s="42" t="n">
        <x:v>189.8238639036919</x:v>
      </x:c>
      <x:c r="L150" s="42" t="n">
        <x:v>-11.868257586957206</x:v>
      </x:c>
      <x:c r="M150" s="42" t="n">
        <x:v>-32.81840334952908</x:v>
      </x:c>
      <x:c r="N150" s="42" t="n">
        <x:v>-34.856466307689885</x:v>
      </x:c>
    </x:row>
    <x:row r="151">
      <x:c r="A151" s="42" t="n">
        <x:v>14.5</x:v>
      </x:c>
      <x:c r="B151" s="42" t="n">
        <x:v>25</x:v>
      </x:c>
      <x:c r="C151" s="42" t="n">
        <x:v>415.5675277705944</x:v>
      </x:c>
      <x:c r="D151" s="42" t="n">
        <x:v>1033.0524298344535</x:v>
      </x:c>
      <x:c r="E151" s="42" t="n">
        <x:v>5389.386043210486</x:v>
      </x:c>
      <x:c r="F151" s="42" t="n">
        <x:v>0.10771321038402228</x:v>
      </x:c>
      <x:c r="G151" s="42" t="n">
        <x:v>15969.73928107725</x:v>
      </x:c>
      <x:c r="H151" s="42" t="n">
        <x:v>-15554.171753306657</x:v>
      </x:c>
      <x:c r="I151" s="42" t="n">
        <x:v>12.267375486179356</x:v>
      </x:c>
      <x:c r="J151" s="42" t="n">
        <x:v>63.99832217870314</x:v>
      </x:c>
      <x:c r="K151" s="42" t="n">
        <x:v>189.63876616480795</x:v>
      </x:c>
      <x:c r="L151" s="42" t="n">
        <x:v>-11.859494373702017</x:v>
      </x:c>
      <x:c r="M151" s="42" t="n">
        <x:v>-32.73147598432267</x:v>
      </x:c>
      <x:c r="N151" s="42" t="n">
        <x:v>-34.80253323288886</x:v>
      </x:c>
    </x:row>
    <x:row r="152">
      <x:c r="A152" s="42" t="n">
        <x:v>15</x:v>
      </x:c>
      <x:c r="B152" s="42" t="n">
        <x:v>25</x:v>
      </x:c>
      <x:c r="C152" s="42" t="n">
        <x:v>399.34593170493116</x:v>
      </x:c>
      <x:c r="D152" s="42" t="n">
        <x:v>1028.6247259678746</x:v>
      </x:c>
      <x:c r="E152" s="42" t="n">
        <x:v>5401.765703359558</x:v>
      </x:c>
      <x:c r="F152" s="42" t="n">
        <x:v>0.12116819437605508</x:v>
      </x:c>
      <x:c r="G152" s="42" t="n">
        <x:v>15955.784004300433</x:v>
      </x:c>
      <x:c r="H152" s="42" t="n">
        <x:v>-15556.438072595502</x:v>
      </x:c>
      <x:c r="I152" s="42" t="n">
        <x:v>12.214797026166794</x:v>
      </x:c>
      <x:c r="J152" s="42" t="n">
        <x:v>64.14532917956203</x:v>
      </x:c>
      <x:c r="K152" s="42" t="n">
        <x:v>189.47304890274972</x:v>
      </x:c>
      <x:c r="L152" s="42" t="n">
        <x:v>-11.851524506742175</x:v>
      </x:c>
      <x:c r="M152" s="42" t="n">
        <x:v>-32.63266451666271</x:v>
      </x:c>
      <x:c r="N152" s="42" t="n">
        <x:v>-34.847640626698144</x:v>
      </x:c>
    </x:row>
    <x:row r="153">
      <x:c r="A153" s="42" t="n">
        <x:v>15.5</x:v>
      </x:c>
      <x:c r="B153" s="42" t="n">
        <x:v>25</x:v>
      </x:c>
      <x:c r="C153" s="42" t="n">
        <x:v>395.616361037493</x:v>
      </x:c>
      <x:c r="D153" s="42" t="n">
        <x:v>1025.845301196982</x:v>
      </x:c>
      <x:c r="E153" s="42" t="n">
        <x:v>5413.371323502418</x:v>
      </x:c>
      <x:c r="F153" s="42" t="n">
        <x:v>0.13582516909864947</x:v>
      </x:c>
      <x:c r="G153" s="42" t="n">
        <x:v>15939.048750669783</x:v>
      </x:c>
      <x:c r="H153" s="42" t="n">
        <x:v>-15543.43238963229</x:v>
      </x:c>
      <x:c r="I153" s="42" t="n">
        <x:v>12.181791685570875</x:v>
      </x:c>
      <x:c r="J153" s="42" t="n">
        <x:v>64.28314454684717</x:v>
      </x:c>
      <x:c r="K153" s="42" t="n">
        <x:v>189.27431974417593</x:v>
      </x:c>
      <x:c r="L153" s="42" t="n">
        <x:v>-11.846521542154568</x:v>
      </x:c>
      <x:c r="M153" s="42" t="n">
        <x:v>-32.52164186041651</x:v>
      </x:c>
      <x:c r="N153" s="42" t="n">
        <x:v>-34.83077890153841</x:v>
      </x:c>
    </x:row>
    <x:row r="154">
      <x:c r="A154" s="42" t="n">
        <x:v>16</x:v>
      </x:c>
      <x:c r="B154" s="42" t="n">
        <x:v>25</x:v>
      </x:c>
      <x:c r="C154" s="42" t="n">
        <x:v>400.30891755789503</x:v>
      </x:c>
      <x:c r="D154" s="42" t="n">
        <x:v>1024.4748592454584</x:v>
      </x:c>
      <x:c r="E154" s="42" t="n">
        <x:v>5424.1758669053825</x:v>
      </x:c>
      <x:c r="F154" s="42" t="n">
        <x:v>0.15170430627742848</x:v>
      </x:c>
      <x:c r="G154" s="42" t="n">
        <x:v>15920.135353699008</x:v>
      </x:c>
      <x:c r="H154" s="42" t="n">
        <x:v>-15519.826436141113</x:v>
      </x:c>
      <x:c r="I154" s="42" t="n">
        <x:v>12.165517849397773</x:v>
      </x:c>
      <x:c r="J154" s="42" t="n">
        <x:v>64.41144722254207</x:v>
      </x:c>
      <x:c r="K154" s="42" t="n">
        <x:v>189.0497253909185</x:v>
      </x:c>
      <x:c r="L154" s="42" t="n">
        <x:v>-11.844054746641826</x:v>
      </x:c>
      <x:c r="M154" s="42" t="n">
        <x:v>-32.39817780393283</x:v>
      </x:c>
      <x:c r="N154" s="42" t="n">
        <x:v>-34.774951057614075</x:v>
      </x:c>
    </x:row>
    <x:row r="155">
      <x:c r="A155" s="42" t="n">
        <x:v>16.5</x:v>
      </x:c>
      <x:c r="B155" s="42" t="n">
        <x:v>25</x:v>
      </x:c>
      <x:c r="C155" s="42" t="n">
        <x:v>406.20178346502695</x:v>
      </x:c>
      <x:c r="D155" s="42" t="n">
        <x:v>1024.1353283794197</x:v>
      </x:c>
      <x:c r="E155" s="42" t="n">
        <x:v>5434.155886208084</x:v>
      </x:c>
      <x:c r="F155" s="42" t="n">
        <x:v>0.16881392693469272</x:v>
      </x:c>
      <x:c r="G155" s="42" t="n">
        <x:v>15900.088700233617</x:v>
      </x:c>
      <x:c r="H155" s="42" t="n">
        <x:v>-15493.88691676859</x:v>
      </x:c>
      <x:c r="I155" s="42" t="n">
        <x:v>12.161485960499826</x:v>
      </x:c>
      <x:c r="J155" s="42" t="n">
        <x:v>64.52995877201414</x:v>
      </x:c>
      <x:c r="K155" s="42" t="n">
        <x:v>188.81167375075086</x:v>
      </x:c>
      <x:c r="L155" s="42" t="n">
        <x:v>-11.843443591082956</x:v>
      </x:c>
      <x:c r="M155" s="42" t="n">
        <x:v>-32.26215525276231</x:v>
      </x:c>
      <x:c r="N155" s="42" t="n">
        <x:v>-34.71538019781406</x:v>
      </x:c>
    </x:row>
    <x:row r="156">
      <x:c r="A156" s="42" t="n">
        <x:v>17</x:v>
      </x:c>
      <x:c r="B156" s="42" t="n">
        <x:v>25</x:v>
      </x:c>
      <x:c r="C156" s="42" t="n">
        <x:v>402.89735855020393</x:v>
      </x:c>
      <x:c r="D156" s="42" t="n">
        <x:v>1024.3112296619922</x:v>
      </x:c>
      <x:c r="E156" s="42" t="n">
        <x:v>5443.291952879227</x:v>
      </x:c>
      <x:c r="F156" s="42" t="n">
        <x:v>0.18714884316247493</x:v>
      </x:c>
      <x:c r="G156" s="42" t="n">
        <x:v>15880.399991454986</x:v>
      </x:c>
      <x:c r="H156" s="42" t="n">
        <x:v>-15477.502632904781</x:v>
      </x:c>
      <x:c r="I156" s="42" t="n">
        <x:v>12.16357476743692</x:v>
      </x:c>
      <x:c r="J156" s="42" t="n">
        <x:v>64.63844848375088</x:v>
      </x:c>
      <x:c r="K156" s="42" t="n">
        <x:v>188.5778726614255</x:v>
      </x:c>
      <x:c r="L156" s="42" t="n">
        <x:v>-11.843760213391587</x:v>
      </x:c>
      <x:c r="M156" s="42" t="n">
        <x:v>-32.11358592672033</x:v>
      </x:c>
      <x:c r="N156" s="42" t="n">
        <x:v>-34.69515212493966</x:v>
      </x:c>
    </x:row>
    <x:row r="157">
      <x:c r="A157" s="42" t="n">
        <x:v>17.5</x:v>
      </x:c>
      <x:c r="B157" s="42" t="n">
        <x:v>25</x:v>
      </x:c>
      <x:c r="C157" s="42" t="n">
        <x:v>412.59673853511725</x:v>
      </x:c>
      <x:c r="D157" s="42" t="n">
        <x:v>1025.7831277694747</x:v>
      </x:c>
      <x:c r="E157" s="42" t="n">
        <x:v>5451.56906073414</x:v>
      </x:c>
      <x:c r="F157" s="42" t="n">
        <x:v>0.20668880322195862</x:v>
      </x:c>
      <x:c r="G157" s="42" t="n">
        <x:v>15857.99823216511</x:v>
      </x:c>
      <x:c r="H157" s="42" t="n">
        <x:v>-15445.401493629992</x:v>
      </x:c>
      <x:c r="I157" s="42" t="n">
        <x:v>12.181053383468807</x:v>
      </x:c>
      <x:c r="J157" s="42" t="n">
        <x:v>64.73673816108322</x:v>
      </x:c>
      <x:c r="K157" s="42" t="n">
        <x:v>188.31185441799136</x:v>
      </x:c>
      <x:c r="L157" s="42" t="n">
        <x:v>-11.846409629985054</x:v>
      </x:c>
      <x:c r="M157" s="42" t="n">
        <x:v>-31.952625080323823</x:v>
      </x:c>
      <x:c r="N157" s="42" t="n">
        <x:v>-34.6128629461849</x:v>
      </x:c>
    </x:row>
    <x:row r="158">
      <x:c r="A158" s="42" t="n">
        <x:v>18</x:v>
      </x:c>
      <x:c r="B158" s="42" t="n">
        <x:v>25</x:v>
      </x:c>
      <x:c r="C158" s="42" t="n">
        <x:v>417.3671248555892</x:v>
      </x:c>
      <x:c r="D158" s="42" t="n">
        <x:v>1027.7208984886204</x:v>
      </x:c>
      <x:c r="E158" s="42" t="n">
        <x:v>5458.976991919846</x:v>
      </x:c>
      <x:c r="F158" s="42" t="n">
        <x:v>0.22739708809306522</x:v>
      </x:c>
      <x:c r="G158" s="42" t="n">
        <x:v>15835.432705922178</x:v>
      </x:c>
      <x:c r="H158" s="42" t="n">
        <x:v>-15418.065581066588</x:v>
      </x:c>
      <x:c r="I158" s="42" t="n">
        <x:v>12.204064181692951</x:v>
      </x:c>
      <x:c r="J158" s="42" t="n">
        <x:v>64.82470646821493</x:v>
      </x:c>
      <x:c r="K158" s="42" t="n">
        <x:v>188.04389146134875</x:v>
      </x:c>
      <x:c r="L158" s="42" t="n">
        <x:v>-11.849897617279517</x:v>
      </x:c>
      <x:c r="M158" s="42" t="n">
        <x:v>-31.779584792618138</x:v>
      </x:c>
      <x:c r="N158" s="42" t="n">
        <x:v>-34.55902464881547</x:v>
      </x:c>
    </x:row>
    <x:row r="159">
      <x:c r="A159" s="42" t="n">
        <x:v>18.5</x:v>
      </x:c>
      <x:c r="B159" s="42" t="n">
        <x:v>25</x:v>
      </x:c>
      <x:c r="C159" s="42" t="n">
        <x:v>414.0307836021328</x:v>
      </x:c>
      <x:c r="D159" s="42" t="n">
        <x:v>1029.8819065267064</x:v>
      </x:c>
      <x:c r="E159" s="42" t="n">
        <x:v>5465.510633501357</x:v>
      </x:c>
      <x:c r="F159" s="42" t="n">
        <x:v>0.24921930873889886</x:v>
      </x:c>
      <x:c r="G159" s="42" t="n">
        <x:v>15813.188429767819</x:v>
      </x:c>
      <x:c r="H159" s="42" t="n">
        <x:v>-15399.157646165686</x:v>
      </x:c>
      <x:c r="I159" s="42" t="n">
        <x:v>12.22972589669042</x:v>
      </x:c>
      <x:c r="J159" s="42" t="n">
        <x:v>64.90229268964742</x:v>
      </x:c>
      <x:c r="K159" s="42" t="n">
        <x:v>187.77974331153266</x:v>
      </x:c>
      <x:c r="L159" s="42" t="n">
        <x:v>-11.85378743174807</x:v>
      </x:c>
      <x:c r="M159" s="42" t="n">
        <x:v>-31.594945361652353</x:v>
      </x:c>
      <x:c r="N159" s="42" t="n">
        <x:v>-34.54025966789819</x:v>
      </x:c>
    </x:row>
    <x:row r="160">
      <x:c r="A160" s="42" t="n">
        <x:v>19</x:v>
      </x:c>
      <x:c r="B160" s="42" t="n">
        <x:v>25</x:v>
      </x:c>
      <x:c r="C160" s="42" t="n">
        <x:v>429.33926339108206</x:v>
      </x:c>
      <x:c r="D160" s="42" t="n">
        <x:v>1033.2205903331885</x:v>
      </x:c>
      <x:c r="E160" s="42" t="n">
        <x:v>5471.170232868209</x:v>
      </x:c>
      <x:c r="F160" s="42" t="n">
        <x:v>0.272082453001691</x:v>
      </x:c>
      <x:c r="G160" s="42" t="n">
        <x:v>15787.56166940682</x:v>
      </x:c>
      <x:c r="H160" s="42" t="n">
        <x:v>-15358.222406015737</x:v>
      </x:c>
      <x:c r="I160" s="42" t="n">
        <x:v>12.269372372223422</x:v>
      </x:c>
      <x:c r="J160" s="42" t="n">
        <x:v>64.96949976310219</x:v>
      </x:c>
      <x:c r="K160" s="42" t="n">
        <x:v>187.47542856160936</x:v>
      </x:c>
      <x:c r="L160" s="42" t="n">
        <x:v>-11.859797062599739</x:v>
      </x:c>
      <x:c r="M160" s="42" t="n">
        <x:v>-31.399364342147557</x:v>
      </x:c>
      <x:c r="N160" s="42" t="n">
        <x:v>-34.42834216614027</x:v>
      </x:c>
    </x:row>
    <x:row r="161">
      <x:c r="A161" s="42" t="n">
        <x:v>19.5</x:v>
      </x:c>
      <x:c r="B161" s="42" t="n">
        <x:v>25</x:v>
      </x:c>
      <x:c r="C161" s="42" t="n">
        <x:v>436.66425250955575</x:v>
      </x:c>
      <x:c r="D161" s="42" t="n">
        <x:v>1036.5586578182406</x:v>
      </x:c>
      <x:c r="E161" s="42" t="n">
        <x:v>5475.961580658604</x:v>
      </x:c>
      <x:c r="F161" s="42" t="n">
        <x:v>0.2958942290614169</x:v>
      </x:c>
      <x:c r="G161" s="42" t="n">
        <x:v>15762.323121828636</x:v>
      </x:c>
      <x:c r="H161" s="42" t="n">
        <x:v>-15325.65886931908</x:v>
      </x:c>
      <x:c r="I161" s="42" t="n">
        <x:v>12.309011529012302</x:v>
      </x:c>
      <x:c r="J161" s="42" t="n">
        <x:v>65.02639645172337</x:v>
      </x:c>
      <x:c r="K161" s="42" t="n">
        <x:v>187.17572379259104</x:v>
      </x:c>
      <x:c r="L161" s="42" t="n">
        <x:v>-11.865805584072833</x:v>
      </x:c>
      <x:c r="M161" s="42" t="n">
        <x:v>-31.193682783632738</x:v>
      </x:c>
      <x:c r="N161" s="42" t="n">
        <x:v>-34.38839374586833</x:v>
      </x:c>
    </x:row>
    <x:row r="162">
      <x:c r="A162" s="42" t="n">
        <x:v>20</x:v>
      </x:c>
      <x:c r="B162" s="42" t="n">
        <x:v>25</x:v>
      </x:c>
      <x:c r="C162" s="42" t="n">
        <x:v>439.01130208847866</x:v>
      </x:c>
      <x:c r="D162" s="42" t="n">
        <x:v>1039.9080920443155</x:v>
      </x:c>
      <x:c r="E162" s="42" t="n">
        <x:v>5479.896110793198</x:v>
      </x:c>
      <x:c r="F162" s="42" t="n">
        <x:v>0.320542748668716</x:v>
      </x:c>
      <x:c r="G162" s="42" t="n">
        <x:v>15737.095893870179</x:v>
      </x:c>
      <x:c r="H162" s="42" t="n">
        <x:v>-15298.0845917817</x:v>
      </x:c>
      <x:c r="I162" s="42" t="n">
        <x:v>12.348785664507155</x:v>
      </x:c>
      <x:c r="J162" s="42" t="n">
        <x:v>65.07311853196717</x:v>
      </x:c>
      <x:c r="K162" s="42" t="n">
        <x:v>186.87615344271885</x:v>
      </x:c>
      <x:c r="L162" s="42" t="n">
        <x:v>-11.871834565679768</x:v>
      </x:c>
      <x:c r="M162" s="42" t="n">
        <x:v>-30.978928261409315</x:v>
      </x:c>
      <x:c r="N162" s="42" t="n">
        <x:v>-34.3435825241331</x:v>
      </x:c>
    </x:row>
    <x:row r="163">
      <x:c r="A163" s="42" t="n">
        <x:v>20.5</x:v>
      </x:c>
      <x:c r="B163" s="42" t="n">
        <x:v>25</x:v>
      </x:c>
      <x:c r="C163" s="42" t="n">
        <x:v>441.7637232897853</x:v>
      </x:c>
      <x:c r="D163" s="42" t="n">
        <x:v>1043.3832114945849</x:v>
      </x:c>
      <x:c r="E163" s="42" t="n">
        <x:v>5482.990908529776</x:v>
      </x:c>
      <x:c r="F163" s="42" t="n">
        <x:v>0.34589658787488875</x:v>
      </x:c>
      <x:c r="G163" s="42" t="n">
        <x:v>15711.171253853849</x:v>
      </x:c>
      <x:c r="H163" s="42" t="n">
        <x:v>-15269.407530564064</x:v>
      </x:c>
      <x:c r="I163" s="42" t="n">
        <x:v>12.390052297181947</x:v>
      </x:c>
      <x:c r="J163" s="42" t="n">
        <x:v>65.10986888925005</x:v>
      </x:c>
      <x:c r="K163" s="42" t="n">
        <x:v>186.56830140710113</x:v>
      </x:c>
      <x:c r="L163" s="42" t="n">
        <x:v>-11.878089780690253</x:v>
      </x:c>
      <x:c r="M163" s="42" t="n">
        <x:v>-30.7563143444796</x:v>
      </x:c>
      <x:c r="N163" s="42" t="n">
        <x:v>-34.3075953975742</x:v>
      </x:c>
    </x:row>
    <x:row r="164">
      <x:c r="A164" s="42" t="n">
        <x:v>21</x:v>
      </x:c>
      <x:c r="B164" s="42" t="n">
        <x:v>25</x:v>
      </x:c>
      <x:c r="C164" s="42" t="n">
        <x:v>441.2537143317768</x:v>
      </x:c>
      <x:c r="D164" s="42" t="n">
        <x:v>1046.7456226138204</x:v>
      </x:c>
      <x:c r="E164" s="42" t="n">
        <x:v>5485.268619186063</x:v>
      </x:c>
      <x:c r="F164" s="42" t="n">
        <x:v>0.371805255757265</x:v>
      </x:c>
      <x:c r="G164" s="42" t="n">
        <x:v>15685.108568743879</x:v>
      </x:c>
      <x:c r="H164" s="42" t="n">
        <x:v>-15243.854854412102</x:v>
      </x:c>
      <x:c r="I164" s="42" t="n">
        <x:v>12.42998053174907</x:v>
      </x:c>
      <x:c r="J164" s="42" t="n">
        <x:v>65.13691643404312</x:v>
      </x:c>
      <x:c r="K164" s="42" t="n">
        <x:v>186.25881010231487</x:v>
      </x:c>
      <x:c r="L164" s="42" t="n">
        <x:v>-11.884142120704876</x:v>
      </x:c>
      <x:c r="M164" s="42" t="n">
        <x:v>-30.52723621271953</x:v>
      </x:c>
      <x:c r="N164" s="42" t="n">
        <x:v>-34.257192916576706</x:v>
      </x:c>
    </x:row>
    <x:row r="165">
      <x:c r="A165" s="42" t="n">
        <x:v>21.5</x:v>
      </x:c>
      <x:c r="B165" s="42" t="n">
        <x:v>25</x:v>
      </x:c>
      <x:c r="C165" s="42" t="n">
        <x:v>444.1394266764314</x:v>
      </x:c>
      <x:c r="D165" s="42" t="n">
        <x:v>1050.1811724741333</x:v>
      </x:c>
      <x:c r="E165" s="42" t="n">
        <x:v>5486.757252304532</x:v>
      </x:c>
      <x:c r="F165" s="42" t="n">
        <x:v>0.39810009278565606</x:v>
      </x:c>
      <x:c r="G165" s="42" t="n">
        <x:v>15658.02240777977</x:v>
      </x:c>
      <x:c r="H165" s="42" t="n">
        <x:v>-15213.88298110334</x:v>
      </x:c>
      <x:c r="I165" s="42" t="n">
        <x:v>12.470777280220688</x:v>
      </x:c>
      <x:c r="J165" s="42" t="n">
        <x:v>65.15459377635221</x:v>
      </x:c>
      <x:c r="K165" s="42" t="n">
        <x:v>185.93716514274678</x:v>
      </x:c>
      <x:c r="L165" s="42" t="n">
        <x:v>-11.89032611045344</x:v>
      </x:c>
      <x:c r="M165" s="42" t="n">
        <x:v>-30.293262219077253</x:v>
      </x:c>
      <x:c r="N165" s="42" t="n">
        <x:v>-34.227272634368305</x:v>
      </x:c>
    </x:row>
    <x:row r="166">
      <x:c r="A166" s="42" t="n">
        <x:v>22</x:v>
      </x:c>
      <x:c r="B166" s="42" t="n">
        <x:v>25</x:v>
      </x:c>
      <x:c r="C166" s="42" t="n">
        <x:v>447.7794532624074</x:v>
      </x:c>
      <x:c r="D166" s="42" t="n">
        <x:v>1053.5165251391243</x:v>
      </x:c>
      <x:c r="E166" s="42" t="n">
        <x:v>5487.489878506643</x:v>
      </x:c>
      <x:c r="F166" s="42" t="n">
        <x:v>0.42459561017803377</x:v>
      </x:c>
      <x:c r="G166" s="42" t="n">
        <x:v>15630.330005252259</x:v>
      </x:c>
      <x:c r="H166" s="42" t="n">
        <x:v>-15182.550551989852</x:v>
      </x:c>
      <x:c r="I166" s="42" t="n">
        <x:v>12.51038419884226</x:v>
      </x:c>
      <x:c r="J166" s="42" t="n">
        <x:v>65.16329362589786</x:v>
      </x:c>
      <x:c r="K166" s="42" t="n">
        <x:v>185.6083211362777</x:v>
      </x:c>
      <x:c r="L166" s="42" t="n">
        <x:v>-11.896329745250423</x:v>
      </x:c>
      <x:c r="M166" s="42" t="n">
        <x:v>-30.05612128970965</x:v>
      </x:c>
      <x:c r="N166" s="42" t="n">
        <x:v>-34.203078116059736</x:v>
      </x:c>
    </x:row>
    <x:row r="167">
      <x:c r="A167" s="42" t="n">
        <x:v>22.5</x:v>
      </x:c>
      <x:c r="B167" s="42" t="n">
        <x:v>25</x:v>
      </x:c>
      <x:c r="C167" s="42" t="n">
        <x:v>442.50927153418206</x:v>
      </x:c>
      <x:c r="D167" s="42" t="n">
        <x:v>1056.3115127442754</x:v>
      </x:c>
      <x:c r="E167" s="42" t="n">
        <x:v>5487.504219042654</x:v>
      </x:c>
      <x:c r="F167" s="42" t="n">
        <x:v>0.45109127010795935</x:v>
      </x:c>
      <x:c r="G167" s="42" t="n">
        <x:v>15603.43244811026</x:v>
      </x:c>
      <x:c r="H167" s="42" t="n">
        <x:v>-15160.923176576078</x:v>
      </x:c>
      <x:c r="I167" s="42" t="n">
        <x:v>12.543574346255303</x:v>
      </x:c>
      <x:c r="J167" s="42" t="n">
        <x:v>65.16346391806778</x:v>
      </x:c>
      <x:c r="K167" s="42" t="n">
        <x:v>185.28891582480213</x:v>
      </x:c>
      <x:c r="L167" s="42" t="n">
        <x:v>-11.901360722939696</x:v>
      </x:c>
      <x:c r="M167" s="42" t="n">
        <x:v>-29.81768616330514</x:v>
      </x:c>
      <x:c r="N167" s="42" t="n">
        <x:v>-34.14203027894942</x:v>
      </x:c>
    </x:row>
    <x:row r="168">
      <x:c r="A168" s="42" t="n">
        <x:v>23</x:v>
      </x:c>
      <x:c r="B168" s="42" t="n">
        <x:v>25</x:v>
      </x:c>
      <x:c r="C168" s="42" t="n">
        <x:v>438.1289491107309</x:v>
      </x:c>
      <x:c r="D168" s="42" t="n">
        <x:v>1058.9196093320863</x:v>
      </x:c>
      <x:c r="E168" s="42" t="n">
        <x:v>5486.842131008926</x:v>
      </x:c>
      <x:c r="F168" s="42" t="n">
        <x:v>0.47737369427794657</x:v>
      </x:c>
      <x:c r="G168" s="42" t="n">
        <x:v>15576.006285577792</x:v>
      </x:c>
      <x:c r="H168" s="42" t="n">
        <x:v>-15137.877336467061</x:v>
      </x:c>
      <x:c r="I168" s="42" t="n">
        <x:v>12.574545184929994</x:v>
      </x:c>
      <x:c r="J168" s="42" t="n">
        <x:v>65.1556017009333</x:v>
      </x:c>
      <x:c r="K168" s="42" t="n">
        <x:v>184.9632333868017</x:v>
      </x:c>
      <x:c r="L168" s="42" t="n">
        <x:v>-11.906055296797755</x:v>
      </x:c>
      <x:c r="M168" s="42" t="n">
        <x:v>-29.579952587314544</x:v>
      </x:c>
      <x:c r="N168" s="42" t="n">
        <x:v>-34.093206529268144</x:v>
      </x:c>
    </x:row>
    <x:row r="169">
      <x:c r="A169" s="42" t="n">
        <x:v>23.5</x:v>
      </x:c>
      <x:c r="B169" s="42" t="n">
        <x:v>25</x:v>
      </x:c>
      <x:c r="C169" s="42" t="n">
        <x:v>431.2131008039683</x:v>
      </x:c>
      <x:c r="D169" s="42" t="n">
        <x:v>1061.180949185305</x:v>
      </x:c>
      <x:c r="E169" s="42" t="n">
        <x:v>5485.548994285324</x:v>
      </x:c>
      <x:c r="F169" s="42" t="n">
        <x:v>0.5032192755463412</x:v>
      </x:c>
      <x:c r="G169" s="42" t="n">
        <x:v>15548.580022641643</x:v>
      </x:c>
      <x:c r="H169" s="42" t="n">
        <x:v>-15117.366921837674</x:v>
      </x:c>
      <x:c r="I169" s="42" t="n">
        <x:v>12.601398328371843</x:v>
      </x:c>
      <x:c r="J169" s="42" t="n">
        <x:v>65.14024585520345</x:v>
      </x:c>
      <x:c r="K169" s="42" t="n">
        <x:v>184.63754975651938</x:v>
      </x:c>
      <x:c r="L169" s="42" t="n">
        <x:v>-11.910125708533549</x:v>
      </x:c>
      <x:c r="M169" s="42" t="n">
        <x:v>-29.345014709796516</x:v>
      </x:c>
      <x:c r="N169" s="42" t="n">
        <x:v>-34.039406259507565</x:v>
      </x:c>
    </x:row>
    <x:row r="170">
      <x:c r="A170" s="42" t="n">
        <x:v>24</x:v>
      </x:c>
      <x:c r="B170" s="42" t="n">
        <x:v>25</x:v>
      </x:c>
      <x:c r="C170" s="42" t="n">
        <x:v>441.2625072507224</x:v>
      </x:c>
      <x:c r="D170" s="42" t="n">
        <x:v>1063.8686550645732</x:v>
      </x:c>
      <x:c r="E170" s="42" t="n">
        <x:v>5483.67300933723</x:v>
      </x:c>
      <x:c r="F170" s="42" t="n">
        <x:v>0.5283971544213956</x:v>
      </x:c>
      <x:c r="G170" s="42" t="n">
        <x:v>15518.47278025502</x:v>
      </x:c>
      <x:c r="H170" s="42" t="n">
        <x:v>-15077.210273004299</x:v>
      </x:c>
      <x:c r="I170" s="42" t="n">
        <x:v>12.633314517971899</x:v>
      </x:c>
      <x:c r="J170" s="42" t="n">
        <x:v>65.1179687557068</x:v>
      </x:c>
      <x:c r="K170" s="42" t="n">
        <x:v>184.28002981218384</x:v>
      </x:c>
      <x:c r="L170" s="42" t="n">
        <x:v>-11.914963579116232</x:v>
      </x:c>
      <x:c r="M170" s="42" t="n">
        <x:v>-29.115037027014452</x:v>
      </x:c>
      <x:c r="N170" s="42" t="n">
        <x:v>-34.06678057757224</x:v>
      </x:c>
    </x:row>
    <x:row r="171">
      <x:c r="A171" s="42" t="n">
        <x:v>24.5</x:v>
      </x:c>
      <x:c r="B171" s="42" t="n">
        <x:v>25</x:v>
      </x:c>
      <x:c r="C171" s="42" t="n">
        <x:v>415.4369773441946</x:v>
      </x:c>
      <x:c r="D171" s="42" t="n">
        <x:v>1064.8780556364568</x:v>
      </x:c>
      <x:c r="E171" s="42" t="n">
        <x:v>5481.264418019424</x:v>
      </x:c>
      <x:c r="F171" s="42" t="n">
        <x:v>0.5526725097764887</x:v>
      </x:c>
      <x:c r="G171" s="42" t="n">
        <x:v>15493.131581035042</x:v>
      </x:c>
      <x:c r="H171" s="42" t="n">
        <x:v>-15077.694603690848</x:v>
      </x:c>
      <x:c r="I171" s="42" t="n">
        <x:v>12.645301030440821</x:v>
      </x:c>
      <x:c r="J171" s="42" t="n">
        <x:v>65.08936701852969</x:v>
      </x:c>
      <x:c r="K171" s="42" t="n">
        <x:v>183.97910606705375</x:v>
      </x:c>
      <x:c r="L171" s="42" t="n">
        <x:v>-11.916780500145622</x:v>
      </x:c>
      <x:c r="M171" s="42" t="n">
        <x:v>-28.892223364446565</x:v>
      </x:c>
      <x:c r="N171" s="42" t="n">
        <x:v>-33.94023690299483</x:v>
      </x:c>
    </x:row>
    <x:row r="172">
      <x:c r="A172" s="42" t="n">
        <x:v>25</x:v>
      </x:c>
      <x:c r="B172" s="42" t="n">
        <x:v>25</x:v>
      </x:c>
      <x:c r="C172" s="42" t="n">
        <x:v>418.8320748478185</x:v>
      </x:c>
      <x:c r="D172" s="42" t="n">
        <x:v>1066.8372999779408</x:v>
      </x:c>
      <x:c r="E172" s="42" t="n">
        <x:v>5478.374662298559</x:v>
      </x:c>
      <x:c r="F172" s="42" t="n">
        <x:v>0.5758101015686332</x:v>
      </x:c>
      <x:c r="G172" s="42" t="n">
        <x:v>15463.49249388501</x:v>
      </x:c>
      <x:c r="H172" s="42" t="n">
        <x:v>-15044.660419037193</x:v>
      </x:c>
      <x:c r="I172" s="42" t="n">
        <x:v>12.668566825391816</x:v>
      </x:c>
      <x:c r="J172" s="42" t="n">
        <x:v>65.05505151094519</x:v>
      </x:c>
      <x:c r="K172" s="42" t="n">
        <x:v>183.62714541081164</x:v>
      </x:c>
      <x:c r="L172" s="42" t="n">
        <x:v>-11.920307139960293</x:v>
      </x:c>
      <x:c r="M172" s="42" t="n">
        <x:v>-28.678783478019703</x:v>
      </x:c>
      <x:c r="N172" s="42" t="n">
        <x:v>-33.9470425339489</x:v>
      </x:c>
    </x:row>
    <x:row r="173">
      <x:c r="A173" s="42" t="n">
        <x:v>25.5</x:v>
      </x:c>
      <x:c r="B173" s="42" t="n">
        <x:v>25</x:v>
      </x:c>
      <x:c r="C173" s="42" t="n">
        <x:v>390.1569109362468</x:v>
      </x:c>
      <x:c r="D173" s="42" t="n">
        <x:v>1067.3336673059048</x:v>
      </x:c>
      <x:c r="E173" s="42" t="n">
        <x:v>5475.055498265701</x:v>
      </x:c>
      <x:c r="F173" s="42" t="n">
        <x:v>0.597577993124349</x:v>
      </x:c>
      <x:c r="G173" s="42" t="n">
        <x:v>15438.185629581803</x:v>
      </x:c>
      <x:c r="H173" s="42" t="n">
        <x:v>-15048.028718645557</x:v>
      </x:c>
      <x:c r="I173" s="42" t="n">
        <x:v>12.674461128735338</x:v>
      </x:c>
      <x:c r="J173" s="42" t="n">
        <x:v>65.01563683041651</x:v>
      </x:c>
      <x:c r="K173" s="42" t="n">
        <x:v>183.32662938875941</x:v>
      </x:c>
      <x:c r="L173" s="42" t="n">
        <x:v>-11.921200601150629</x:v>
      </x:c>
      <x:c r="M173" s="42" t="n">
        <x:v>-28.47689795875912</x:v>
      </x:c>
      <x:c r="N173" s="42" t="n">
        <x:v>-33.820748027624866</x:v>
      </x:c>
    </x:row>
    <x:row r="174">
      <x:c r="A174" s="42" t="n">
        <x:v>26</x:v>
      </x:c>
      <x:c r="B174" s="42" t="n">
        <x:v>25</x:v>
      </x:c>
      <x:c r="C174" s="42" t="n">
        <x:v>387.37494101799217</x:v>
      </x:c>
      <x:c r="D174" s="42" t="n">
        <x:v>1068.738066355703</x:v>
      </x:c>
      <x:c r="E174" s="42" t="n">
        <x:v>5471.358084835286</x:v>
      </x:c>
      <x:c r="F174" s="42" t="n">
        <x:v>0.6177513721297303</x:v>
      </x:c>
      <x:c r="G174" s="42" t="n">
        <x:v>15409.145316242726</x:v>
      </x:c>
      <x:c r="H174" s="42" t="n">
        <x:v>-15021.770375224734</x:v>
      </x:c>
      <x:c r="I174" s="42" t="n">
        <x:v>12.69113820143635</x:v>
      </x:c>
      <x:c r="J174" s="42" t="n">
        <x:v>64.97173048300509</x:v>
      </x:c>
      <x:c r="K174" s="42" t="n">
        <x:v>182.98177910074077</x:v>
      </x:c>
      <x:c r="L174" s="42" t="n">
        <x:v>-11.923728519440266</x:v>
      </x:c>
      <x:c r="M174" s="42" t="n">
        <x:v>-28.288682203535945</x:v>
      </x:c>
      <x:c r="N174" s="42" t="n">
        <x:v>-33.80794644245313</x:v>
      </x:c>
    </x:row>
    <x:row r="175">
      <x:c r="A175" s="42" t="n">
        <x:v>26.5</x:v>
      </x:c>
      <x:c r="B175" s="42" t="n">
        <x:v>25</x:v>
      </x:c>
      <x:c r="C175" s="42" t="n">
        <x:v>383.48713922986474</x:v>
      </x:c>
      <x:c r="D175" s="42" t="n">
        <x:v>1070.0349227200632</x:v>
      </x:c>
      <x:c r="E175" s="42" t="n">
        <x:v>5467.332068028932</x:v>
      </x:c>
      <x:c r="F175" s="42" t="n">
        <x:v>0.636116383212785</x:v>
      </x:c>
      <x:c r="G175" s="42" t="n">
        <x:v>15380.200342679758</x:v>
      </x:c>
      <x:c r="H175" s="42" t="n">
        <x:v>-14996.713203449894</x:v>
      </x:c>
      <x:c r="I175" s="42" t="n">
        <x:v>12.70653821746051</x:v>
      </x:c>
      <x:c r="J175" s="42" t="n">
        <x:v>64.92392200934886</x:v>
      </x:c>
      <x:c r="K175" s="42" t="n">
        <x:v>182.6380609612932</x:v>
      </x:c>
      <x:c r="L175" s="42" t="n">
        <x:v>-11.926062860896113</x:v>
      </x:c>
      <x:c r="M175" s="42" t="n">
        <x:v>-28.116150273537016</x:v>
      </x:c>
      <x:c r="N175" s="42" t="n">
        <x:v>-33.79616554301608</x:v>
      </x:c>
    </x:row>
    <x:row r="176">
      <x:c r="A176" s="42" t="n">
        <x:v>27</x:v>
      </x:c>
      <x:c r="B176" s="42" t="n">
        <x:v>25</x:v>
      </x:c>
      <x:c r="C176" s="42" t="n">
        <x:v>346.2287328646241</x:v>
      </x:c>
      <x:c r="D176" s="42" t="n">
        <x:v>1070.008330851856</x:v>
      </x:c>
      <x:c r="E176" s="42" t="n">
        <x:v>5463.024682645259</x:v>
      </x:c>
      <x:c r="F176" s="42" t="n">
        <x:v>0.652473881254838</x:v>
      </x:c>
      <x:c r="G176" s="42" t="n">
        <x:v>15355.916304404951</x:v>
      </x:c>
      <x:c r="H176" s="42" t="n">
        <x:v>-15009.687571540328</x:v>
      </x:c>
      <x:c r="I176" s="42" t="n">
        <x:v>12.706222442169</x:v>
      </x:c>
      <x:c r="J176" s="42" t="n">
        <x:v>64.87277231709785</x:v>
      </x:c>
      <x:c r="K176" s="42" t="n">
        <x:v>182.34969087741902</x:v>
      </x:c>
      <x:c r="L176" s="42" t="n">
        <x:v>-11.926014995533341</x:v>
      </x:c>
      <x:c r="M176" s="42" t="n">
        <x:v>-27.961179497467924</x:v>
      </x:c>
      <x:c r="N176" s="42" t="n">
        <x:v>-33.64202327740425</x:v>
      </x:c>
    </x:row>
    <x:row r="177">
      <x:c r="A177" s="42" t="n">
        <x:v>27.5</x:v>
      </x:c>
      <x:c r="B177" s="42" t="n">
        <x:v>25</x:v>
      </x:c>
      <x:c r="C177" s="42" t="n">
        <x:v>337.03514018583576</x:v>
      </x:c>
      <x:c r="D177" s="42" t="n">
        <x:v>1071.198731357044</x:v>
      </x:c>
      <x:c r="E177" s="42" t="n">
        <x:v>5458.4798933641805</x:v>
      </x:c>
      <x:c r="F177" s="42" t="n">
        <x:v>0.6666430135473501</x:v>
      </x:c>
      <x:c r="G177" s="42" t="n">
        <x:v>15327.740262481064</x:v>
      </x:c>
      <x:c r="H177" s="42" t="n">
        <x:v>-14990.705122295229</x:v>
      </x:c>
      <x:c r="I177" s="42" t="n">
        <x:v>12.720358307449738</x:v>
      </x:c>
      <x:c r="J177" s="42" t="n">
        <x:v>64.81880348162889</x:v>
      </x:c>
      <x:c r="K177" s="42" t="n">
        <x:v>182.01510371028942</x:v>
      </x:c>
      <x:c r="L177" s="42" t="n">
        <x:v>-11.92815771644268</x:v>
      </x:c>
      <x:c r="M177" s="42" t="n">
        <x:v>-27.825476686129374</x:v>
      </x:c>
      <x:c r="N177" s="42" t="n">
        <x:v>-33.608325519946156</x:v>
      </x:c>
    </x:row>
    <x:row r="178">
      <x:c r="A178" s="42" t="n">
        <x:v>28</x:v>
      </x:c>
      <x:c r="B178" s="42" t="n">
        <x:v>25</x:v>
      </x:c>
      <x:c r="C178" s="42" t="n">
        <x:v>312.18369818898617</x:v>
      </x:c>
      <x:c r="D178" s="42" t="n">
        <x:v>1071.9464167372869</x:v>
      </x:c>
      <x:c r="E178" s="42" t="n">
        <x:v>5453.737596893806</x:v>
      </x:c>
      <x:c r="F178" s="42" t="n">
        <x:v>0.6784645407551045</x:v>
      </x:c>
      <x:c r="G178" s="42" t="n">
        <x:v>15301.840793373181</x:v>
      </x:c>
      <x:c r="H178" s="42" t="n">
        <x:v>-14989.657095184195</x:v>
      </x:c>
      <x:c r="I178" s="42" t="n">
        <x:v>12.729236982955527</x:v>
      </x:c>
      <x:c r="J178" s="42" t="n">
        <x:v>64.76248927163454</x:v>
      </x:c>
      <x:c r="K178" s="42" t="n">
        <x:v>181.70755057623407</x:v>
      </x:c>
      <x:c r="L178" s="42" t="n">
        <x:v>-11.929503550127116</x:v>
      </x:c>
      <x:c r="M178" s="42" t="n">
        <x:v>-27.710546807612907</x:v>
      </x:c>
      <x:c r="N178" s="42" t="n">
        <x:v>-33.580018774142694</x:v>
      </x:c>
    </x:row>
    <x:row r="179">
      <x:c r="A179" s="42" t="n">
        <x:v>28.5</x:v>
      </x:c>
      <x:c r="B179" s="42" t="n">
        <x:v>25</x:v>
      </x:c>
      <x:c r="C179" s="42" t="n">
        <x:v>310.4659866511931</x:v>
      </x:c>
      <x:c r="D179" s="42" t="n">
        <x:v>1073.896101584677</x:v>
      </x:c>
      <x:c r="E179" s="42" t="n">
        <x:v>5448.8329056340945</x:v>
      </x:c>
      <x:c r="F179" s="42" t="n">
        <x:v>0.6878038113820307</x:v>
      </x:c>
      <x:c r="G179" s="42" t="n">
        <x:v>15272.833757183123</x:v>
      </x:c>
      <x:c r="H179" s="42" t="n">
        <x:v>-14962.36777053193</x:v>
      </x:c>
      <x:c r="I179" s="42" t="n">
        <x:v>12.752389260044193</x:v>
      </x:c>
      <x:c r="J179" s="42" t="n">
        <x:v>64.70424664271367</x:v>
      </x:c>
      <x:c r="K179" s="42" t="n">
        <x:v>181.36309545042633</x:v>
      </x:c>
      <x:c r="L179" s="42" t="n">
        <x:v>-11.933012982852418</x:v>
      </x:c>
      <x:c r="M179" s="42" t="n">
        <x:v>-27.617664927703093</x:v>
      </x:c>
      <x:c r="N179" s="42" t="n">
        <x:v>-33.50595871962811</x:v>
      </x:c>
    </x:row>
    <x:row r="180">
      <x:c r="A180" s="42" t="n">
        <x:v>29</x:v>
      </x:c>
      <x:c r="B180" s="42" t="n">
        <x:v>25</x:v>
      </x:c>
      <x:c r="C180" s="42" t="n">
        <x:v>283.98171018669603</x:v>
      </x:c>
      <x:c r="D180" s="42" t="n">
        <x:v>1075.2262426635273</x:v>
      </x:c>
      <x:c r="E180" s="42" t="n">
        <x:v>5443.795531524469</x:v>
      </x:c>
      <x:c r="F180" s="42" t="n">
        <x:v>0.6945533119745639</x:v>
      </x:c>
      <x:c r="G180" s="42" t="n">
        <x:v>15247.471049891155</x:v>
      </x:c>
      <x:c r="H180" s="42" t="n">
        <x:v>-14963.48933970446</x:v>
      </x:c>
      <x:c r="I180" s="42" t="n">
        <x:v>12.768184528118308</x:v>
      </x:c>
      <x:c r="J180" s="42" t="n">
        <x:v>64.64442842063463</x:v>
      </x:c>
      <x:c r="K180" s="42" t="n">
        <x:v>181.0619162994838</x:v>
      </x:c>
      <x:c r="L180" s="42" t="n">
        <x:v>-11.93540723679435</x:v>
      </x:c>
      <x:c r="M180" s="42" t="n">
        <x:v>-27.54785214897297</x:v>
      </x:c>
      <x:c r="N180" s="42" t="n">
        <x:v>-33.498427286350584</x:v>
      </x:c>
    </x:row>
    <x:row r="181">
      <x:c r="A181" s="42" t="n">
        <x:v>29.5</x:v>
      </x:c>
      <x:c r="B181" s="42" t="n">
        <x:v>25</x:v>
      </x:c>
      <x:c r="C181" s="42" t="n">
        <x:v>263.5246591496981</x:v>
      </x:c>
      <x:c r="D181" s="42" t="n">
        <x:v>1077.2619790009558</x:v>
      </x:c>
      <x:c r="E181" s="42" t="n">
        <x:v>5438.649286310954</x:v>
      </x:c>
      <x:c r="F181" s="42" t="n">
        <x:v>0.6986347254395479</x:v>
      </x:c>
      <x:c r="G181" s="42" t="n">
        <x:v>15221.486466946375</x:v>
      </x:c>
      <x:c r="H181" s="42" t="n">
        <x:v>-14957.961807796677</x:v>
      </x:c>
      <x:c r="I181" s="42" t="n">
        <x:v>12.792358656478951</x:v>
      </x:c>
      <x:c r="J181" s="42" t="n">
        <x:v>64.58331736706664</x:v>
      </x:c>
      <x:c r="K181" s="42" t="n">
        <x:v>180.75335244867665</x:v>
      </x:c>
      <x:c r="L181" s="42" t="n">
        <x:v>-11.93907156220172</x:v>
      </x:c>
      <x:c r="M181" s="42" t="n">
        <x:v>-27.50185618640379</x:v>
      </x:c>
      <x:c r="N181" s="42" t="n">
        <x:v>-33.49118804900827</x:v>
      </x:c>
    </x:row>
    <x:row r="182">
      <x:c r="A182" s="42" t="n">
        <x:v>30</x:v>
      </x:c>
      <x:c r="B182" s="42" t="n">
        <x:v>25</x:v>
      </x:c>
      <x:c r="C182" s="42" t="n">
        <x:v>258.3810354027646</x:v>
      </x:c>
      <x:c r="D182" s="42" t="n">
        <x:v>1080.4645540968556</x:v>
      </x:c>
      <x:c r="E182" s="42" t="n">
        <x:v>5433.411711485315</x:v>
      </x:c>
      <x:c r="F182" s="42" t="n">
        <x:v>0.700000442292993</x:v>
      </x:c>
      <x:c r="G182" s="42" t="n">
        <x:v>15193.623838416177</x:v>
      </x:c>
      <x:c r="H182" s="42" t="n">
        <x:v>-14935.242803013412</x:v>
      </x:c>
      <x:c r="I182" s="42" t="n">
        <x:v>12.830388857163332</x:v>
      </x:c>
      <x:c r="J182" s="42" t="n">
        <x:v>64.52112178515085</x:v>
      </x:c>
      <x:c r="K182" s="42" t="n">
        <x:v>180.42248702854823</x:v>
      </x:c>
      <x:c r="L182" s="42" t="n">
        <x:v>-11.94483619737434</x:v>
      </x:c>
      <x:c r="M182" s="42" t="n">
        <x:v>-27.48013710003663</x:v>
      </x:c>
      <x:c r="N182" s="42" t="n">
        <x:v>-33.42305254345993</x:v>
      </x:c>
    </x:row>
    <x:row r="183">
      <x:c r="A183" s="42" t="n">
        <x:v>30.5</x:v>
      </x:c>
      <x:c r="B183" s="42" t="n">
        <x:v>25</x:v>
      </x:c>
      <x:c r="C183" s="42" t="n">
        <x:v>239.98613946244137</x:v>
      </x:c>
      <x:c r="D183" s="42" t="n">
        <x:v>1083.775111198367</x:v>
      </x:c>
      <x:c r="E183" s="42" t="n">
        <x:v>5428.09384771076</x:v>
      </x:c>
      <x:c r="F183" s="42" t="n">
        <x:v>0.698634483990851</x:v>
      </x:c>
      <x:c r="G183" s="42" t="n">
        <x:v>15167.924996429248</x:v>
      </x:c>
      <x:c r="H183" s="42" t="n">
        <x:v>-14927.938856966806</x:v>
      </x:c>
      <x:c r="I183" s="42" t="n">
        <x:v>12.869701331399694</x:v>
      </x:c>
      <x:c r="J183" s="42" t="n">
        <x:v>64.45797278145771</x:v>
      </x:c>
      <x:c r="K183" s="42" t="n">
        <x:v>180.11731631783786</x:v>
      </x:c>
      <x:c r="L183" s="42" t="n">
        <x:v>-11.95079520015706</x:v>
      </x:c>
      <x:c r="M183" s="42" t="n">
        <x:v>-27.482858569961707</x:v>
      </x:c>
      <x:c r="N183" s="42" t="n">
        <x:v>-33.421536090372705</x:v>
      </x:c>
    </x:row>
    <x:row r="184">
      <x:c r="A184" s="42" t="n">
        <x:v>31</x:v>
      </x:c>
      <x:c r="B184" s="42" t="n">
        <x:v>25</x:v>
      </x:c>
      <x:c r="C184" s="42" t="n">
        <x:v>239.5805230601625</x:v>
      </x:c>
      <x:c r="D184" s="42" t="n">
        <x:v>1088.5185563240755</x:v>
      </x:c>
      <x:c r="E184" s="42" t="n">
        <x:v>5422.700149771261</x:v>
      </x:c>
      <x:c r="F184" s="42" t="n">
        <x:v>0.6945528132421283</x:v>
      </x:c>
      <x:c r="G184" s="42" t="n">
        <x:v>15140.057820585258</x:v>
      </x:c>
      <x:c r="H184" s="42" t="n">
        <x:v>-14900.477297525096</x:v>
      </x:c>
      <x:c r="I184" s="42" t="n">
        <x:v>12.926029181540345</x:v>
      </x:c>
      <x:c r="J184" s="42" t="n">
        <x:v>64.3939232560203</x:v>
      </x:c>
      <x:c r="K184" s="42" t="n">
        <x:v>179.7863968988957</x:v>
      </x:c>
      <x:c r="L184" s="42" t="n">
        <x:v>-11.959333401383336</x:v>
      </x:c>
      <x:c r="M184" s="42" t="n">
        <x:v>-27.509884950409116</x:v>
      </x:c>
      <x:c r="N184" s="42" t="n">
        <x:v>-33.33335779104226</x:v>
      </x:c>
    </x:row>
    <x:row r="185">
      <x:c r="A185" s="42" t="n">
        <x:v>31.5</x:v>
      </x:c>
      <x:c r="B185" s="42" t="n">
        <x:v>25</x:v>
      </x:c>
      <x:c r="C185" s="42" t="n">
        <x:v>216.56157473379682</x:v>
      </x:c>
      <x:c r="D185" s="42" t="n">
        <x:v>1093.1353767391538</x:v>
      </x:c>
      <x:c r="E185" s="42" t="n">
        <x:v>5417.228549094605</x:v>
      </x:c>
      <x:c r="F185" s="42" t="n">
        <x:v>0.6878030228270172</x:v>
      </x:c>
      <x:c r="G185" s="42" t="n">
        <x:v>15115.74692609539</x:v>
      </x:c>
      <x:c r="H185" s="42" t="n">
        <x:v>-14899.185351361593</x:v>
      </x:c>
      <x:c r="I185" s="42" t="n">
        <x:v>12.980853378210695</x:v>
      </x:c>
      <x:c r="J185" s="42" t="n">
        <x:v>64.3289486447881</x:v>
      </x:c>
      <x:c r="K185" s="42" t="n">
        <x:v>179.49770790064235</x:v>
      </x:c>
      <x:c r="L185" s="42" t="n">
        <x:v>-11.967643678130477</x:v>
      </x:c>
      <x:c r="M185" s="42" t="n">
        <x:v>-27.560784182927136</x:v>
      </x:c>
      <x:c r="N185" s="42" t="n">
        <x:v>-33.36492658021603</x:v>
      </x:c>
    </x:row>
    <x:row r="186">
      <x:c r="A186" s="42" t="n">
        <x:v>32</x:v>
      </x:c>
      <x:c r="B186" s="42" t="n">
        <x:v>25</x:v>
      </x:c>
      <x:c r="C186" s="42" t="n">
        <x:v>222.437703421877</x:v>
      </x:c>
      <x:c r="D186" s="42" t="n">
        <x:v>1099.737748011359</x:v>
      </x:c>
      <x:c r="E186" s="42" t="n">
        <x:v>5411.670661841409</x:v>
      </x:c>
      <x:c r="F186" s="42" t="n">
        <x:v>0.6784634113599887</x:v>
      </x:c>
      <x:c r="G186" s="42" t="n">
        <x:v>15087.819991779352</x:v>
      </x:c>
      <x:c r="H186" s="42" t="n">
        <x:v>-14865.382288357474</x:v>
      </x:c>
      <x:c r="I186" s="42" t="n">
        <x:v>13.059255756595578</x:v>
      </x:c>
      <x:c r="J186" s="42" t="n">
        <x:v>64.2629493906595</x:v>
      </x:c>
      <x:c r="K186" s="42" t="n">
        <x:v>179.1660788569087</x:v>
      </x:c>
      <x:c r="L186" s="42" t="n">
        <x:v>-11.979527946420445</x:v>
      </x:c>
      <x:c r="M186" s="42" t="n">
        <x:v>-27.63483648907464</x:v>
      </x:c>
      <x:c r="N186" s="42" t="n">
        <x:v>-33.263231662295034</x:v>
      </x:c>
    </x:row>
    <x:row r="187">
      <x:c r="A187" s="42" t="n">
        <x:v>32.5</x:v>
      </x:c>
      <x:c r="B187" s="42" t="n">
        <x:v>25</x:v>
      </x:c>
      <x:c r="C187" s="42" t="n">
        <x:v>227.97180197682223</x:v>
      </x:c>
      <x:c r="D187" s="42" t="n">
        <x:v>1107.1934400968603</x:v>
      </x:c>
      <x:c r="E187" s="42" t="n">
        <x:v>5406.012136565577</x:v>
      </x:c>
      <x:c r="F187" s="42" t="n">
        <x:v>0.6666414710590522</x:v>
      </x:c>
      <x:c r="G187" s="42" t="n">
        <x:v>15060.407592662792</x:v>
      </x:c>
      <x:c r="H187" s="42" t="n">
        <x:v>-14832.43579068597</x:v>
      </x:c>
      <x:c r="I187" s="42" t="n">
        <x:v>13.147791218766493</x:v>
      </x:c>
      <x:c r="J187" s="42" t="n">
        <x:v>64.19575507190862</x:v>
      </x:c>
      <x:c r="K187" s="42" t="n">
        <x:v>178.8405598578452</x:v>
      </x:c>
      <x:c r="L187" s="42" t="n">
        <x:v>-11.99294819217435</x:v>
      </x:c>
      <x:c r="M187" s="42" t="n">
        <x:v>-27.731048606286567</x:v>
      </x:c>
      <x:c r="N187" s="42" t="n">
        <x:v>-33.17678845135379</x:v>
      </x:c>
    </x:row>
    <x:row r="188">
      <x:c r="A188" s="42" t="n">
        <x:v>33</x:v>
      </x:c>
      <x:c r="B188" s="42" t="n">
        <x:v>25</x:v>
      </x:c>
      <x:c r="C188" s="42" t="n">
        <x:v>226.08418221808537</x:v>
      </x:c>
      <x:c r="D188" s="42" t="n">
        <x:v>1115.240369103333</x:v>
      </x:c>
      <x:c r="E188" s="42" t="n">
        <x:v>5400.233131674641</x:v>
      </x:c>
      <x:c r="F188" s="42" t="n">
        <x:v>0.6524718283293716</x:v>
      </x:c>
      <x:c r="G188" s="42" t="n">
        <x:v>15034.536710550707</x:v>
      </x:c>
      <x:c r="H188" s="42" t="n">
        <x:v>-14808.452528332622</x:v>
      </x:c>
      <x:c r="I188" s="42" t="n">
        <x:v>13.24334754948327</x:v>
      </x:c>
      <x:c r="J188" s="42" t="n">
        <x:v>64.1271300719704</x:v>
      </x:c>
      <x:c r="K188" s="42" t="n">
        <x:v>178.5333461909856</x:v>
      </x:c>
      <x:c r="L188" s="42" t="n">
        <x:v>-12.007432664386</x:v>
      </x:c>
      <x:c r="M188" s="42" t="n">
        <x:v>-27.84817318205001</x:v>
      </x:c>
      <x:c r="N188" s="42" t="n">
        <x:v>-33.128294326633316</x:v>
      </x:c>
    </x:row>
    <x:row r="189">
      <x:c r="A189" s="42" t="n">
        <x:v>33.5</x:v>
      </x:c>
      <x:c r="B189" s="42" t="n">
        <x:v>25</x:v>
      </x:c>
      <x:c r="C189" s="42" t="n">
        <x:v>226.23942491258683</x:v>
      </x:c>
      <x:c r="D189" s="42" t="n">
        <x:v>1124.2608065053946</x:v>
      </x:c>
      <x:c r="E189" s="42" t="n">
        <x:v>5394.308909481113</x:v>
      </x:c>
      <x:c r="F189" s="42" t="n">
        <x:v>0.6361136923009646</x:v>
      </x:c>
      <x:c r="G189" s="42" t="n">
        <x:v>15008.916500694744</x:v>
      </x:c>
      <x:c r="H189" s="42" t="n">
        <x:v>-14782.677075782158</x:v>
      </x:c>
      <x:c r="I189" s="42" t="n">
        <x:v>13.350464177318313</x:v>
      </x:c>
      <x:c r="J189" s="42" t="n">
        <x:v>64.05678063373017</x:v>
      </x:c>
      <x:c r="K189" s="42" t="n">
        <x:v>178.2291092275353</x:v>
      </x:c>
      <x:c r="L189" s="42" t="n">
        <x:v>-12.02366945170971</x:v>
      </x:c>
      <x:c r="M189" s="42" t="n">
        <x:v>-27.98473280635732</x:v>
      </x:c>
      <x:c r="N189" s="42" t="n">
        <x:v>-33.07903661922914</x:v>
      </x:c>
    </x:row>
    <x:row r="190">
      <x:c r="A190" s="42" t="n">
        <x:v>34</x:v>
      </x:c>
      <x:c r="B190" s="42" t="n">
        <x:v>25</x:v>
      </x:c>
      <x:c r="C190" s="42" t="n">
        <x:v>243.2704274883201</x:v>
      </x:c>
      <x:c r="D190" s="42" t="n">
        <x:v>1134.8334055598464</x:v>
      </x:c>
      <x:c r="E190" s="42" t="n">
        <x:v>5388.210530653798</x:v>
      </x:c>
      <x:c r="F190" s="42" t="n">
        <x:v>0.6177478788950673</x:v>
      </x:c>
      <x:c r="G190" s="42" t="n">
        <x:v>14981.50285514281</x:v>
      </x:c>
      <x:c r="H190" s="42" t="n">
        <x:v>-14738.23242765449</x:v>
      </x:c>
      <x:c r="I190" s="42" t="n">
        <x:v>13.476012541292993</x:v>
      </x:c>
      <x:c r="J190" s="42" t="n">
        <x:v>63.984363106050914</x:v>
      </x:c>
      <x:c r="K190" s="42" t="n">
        <x:v>177.90357542719906</x:v>
      </x:c>
      <x:c r="L190" s="42" t="n">
        <x:v>-12.042700130007724</x:v>
      </x:c>
      <x:c r="M190" s="42" t="n">
        <x:v>-28.13904804512123</x:v>
      </x:c>
      <x:c r="N190" s="42" t="n">
        <x:v>-32.97778916933369</x:v>
      </x:c>
    </x:row>
    <x:row r="191">
      <x:c r="A191" s="42" t="n">
        <x:v>34.5</x:v>
      </x:c>
      <x:c r="B191" s="42" t="n">
        <x:v>25</x:v>
      </x:c>
      <x:c r="C191" s="42" t="n">
        <x:v>248.8414359782273</x:v>
      </x:c>
      <x:c r="D191" s="42" t="n">
        <x:v>1145.7911386545013</x:v>
      </x:c>
      <x:c r="E191" s="42" t="n">
        <x:v>5381.905630447441</x:v>
      </x:c>
      <x:c r="F191" s="42" t="n">
        <x:v>0.5975734881302166</x:v>
      </x:c>
      <x:c r="G191" s="42" t="n">
        <x:v>14956.29351283138</x:v>
      </x:c>
      <x:c r="H191" s="42" t="n">
        <x:v>-14707.452076853153</x:v>
      </x:c>
      <x:c r="I191" s="42" t="n">
        <x:v>13.606134326468027</x:v>
      </x:c>
      <x:c r="J191" s="42" t="n">
        <x:v>63.909493161408655</x:v>
      </x:c>
      <x:c r="K191" s="42" t="n">
        <x:v>177.604217467271</x:v>
      </x:c>
      <x:c r="L191" s="42" t="n">
        <x:v>-12.062424049578102</x:v>
      </x:c>
      <x:c r="M191" s="42" t="n">
        <x:v>-28.309268741633442</x:v>
      </x:c>
      <x:c r="N191" s="42" t="n">
        <x:v>-32.94503133466003</x:v>
      </x:c>
    </x:row>
    <x:row r="192">
      <x:c r="A192" s="42" t="n">
        <x:v>35</x:v>
      </x:c>
      <x:c r="B192" s="42" t="n">
        <x:v>25</x:v>
      </x:c>
      <x:c r="C192" s="42" t="n">
        <x:v>242.00890812042311</x:v>
      </x:c>
      <x:c r="D192" s="42" t="n">
        <x:v>1157.0435151381953</x:v>
      </x:c>
      <x:c r="E192" s="42" t="n">
        <x:v>5375.359256283574</x:v>
      </x:c>
      <x:c r="F192" s="42" t="n">
        <x:v>0.5758043199108684</x:v>
      </x:c>
      <x:c r="G192" s="42" t="n">
        <x:v>14933.44947800909</x:v>
      </x:c>
      <x:c r="H192" s="42" t="n">
        <x:v>-14691.440569888668</x:v>
      </x:c>
      <x:c r="I192" s="42" t="n">
        <x:v>13.739754967057829</x:v>
      </x:c>
      <x:c r="J192" s="42" t="n">
        <x:v>63.831755742065816</x:v>
      </x:c>
      <x:c r="K192" s="42" t="n">
        <x:v>177.33294725417127</x:v>
      </x:c>
      <x:c r="L192" s="42" t="n">
        <x:v>-12.082678327248752</x:v>
      </x:c>
      <x:c r="M192" s="42" t="n">
        <x:v>-28.49340778211262</x:v>
      </x:c>
      <x:c r="N192" s="42" t="n">
        <x:v>-32.90323416204733</x:v>
      </x:c>
    </x:row>
    <x:row r="193">
      <x:c r="A193" s="42" t="n">
        <x:v>35.5</x:v>
      </x:c>
      <x:c r="B193" s="42" t="n">
        <x:v>25</x:v>
      </x:c>
      <x:c r="C193" s="42" t="n">
        <x:v>242.63788270086079</x:v>
      </x:c>
      <x:c r="D193" s="42" t="n">
        <x:v>1169.3133953839153</x:v>
      </x:c>
      <x:c r="E193" s="42" t="n">
        <x:v>5368.534745122956</x:v>
      </x:c>
      <x:c r="F193" s="42" t="n">
        <x:v>0.55266511826856</x:v>
      </x:c>
      <x:c r="G193" s="42" t="n">
        <x:v>14910.216672625642</x:v>
      </x:c>
      <x:c r="H193" s="42" t="n">
        <x:v>-14667.57878992478</x:v>
      </x:c>
      <x:c r="I193" s="42" t="n">
        <x:v>13.885458344541604</x:v>
      </x:c>
      <x:c r="J193" s="42" t="n">
        <x:v>63.75071547876539</x:v>
      </x:c>
      <x:c r="K193" s="42" t="n">
        <x:v>177.05706043661473</x:v>
      </x:c>
      <x:c r="L193" s="42" t="n">
        <x:v>-12.104764111691047</x:v>
      </x:c>
      <x:c r="M193" s="42" t="n">
        <x:v>-28.68937647680428</x:v>
      </x:c>
      <x:c r="N193" s="42" t="n">
        <x:v>-32.873269541393036</x:v>
      </x:c>
    </x:row>
    <x:row r="194">
      <x:c r="A194" s="42" t="n">
        <x:v>36</x:v>
      </x:c>
      <x:c r="B194" s="42" t="n">
        <x:v>25</x:v>
      </x:c>
      <x:c r="C194" s="42" t="n">
        <x:v>251.8480330414438</x:v>
      </x:c>
      <x:c r="D194" s="42" t="n">
        <x:v>1182.555369838259</x:v>
      </x:c>
      <x:c r="E194" s="42" t="n">
        <x:v>5361.3946186316325</x:v>
      </x:c>
      <x:c r="F194" s="42" t="n">
        <x:v>0.5283877358607858</x:v>
      </x:c>
      <x:c r="G194" s="42" t="n">
        <x:v>14886.46343791321</x:v>
      </x:c>
      <x:c r="H194" s="42" t="n">
        <x:v>-14634.615404871765</x:v>
      </x:c>
      <x:c r="I194" s="42" t="n">
        <x:v>14.04270522584061</x:v>
      </x:c>
      <x:c r="J194" s="42" t="n">
        <x:v>63.66592732072202</x:v>
      </x:c>
      <x:c r="K194" s="42" t="n">
        <x:v>176.77499358229696</x:v>
      </x:c>
      <x:c r="L194" s="42" t="n">
        <x:v>-12.128599665708865</x:v>
      </x:c>
      <x:c r="M194" s="42" t="n">
        <x:v>-28.89502069078987</x:v>
      </x:c>
      <x:c r="N194" s="42" t="n">
        <x:v>-32.811086921204485</x:v>
      </x:c>
    </x:row>
    <x:row r="195">
      <x:c r="A195" s="42" t="n">
        <x:v>36.5</x:v>
      </x:c>
      <x:c r="B195" s="42" t="n">
        <x:v>25</x:v>
      </x:c>
      <x:c r="C195" s="42" t="n">
        <x:v>274.3131350022337</x:v>
      </x:c>
      <x:c r="D195" s="42" t="n">
        <x:v>1196.8486467414461</x:v>
      </x:c>
      <x:c r="E195" s="42" t="n">
        <x:v>5353.901474392038</x:v>
      </x:c>
      <x:c r="F195" s="42" t="n">
        <x:v>0.5032073095015475</x:v>
      </x:c>
      <x:c r="G195" s="42" t="n">
        <x:v>14861.558563029474</x:v>
      </x:c>
      <x:c r="H195" s="42" t="n">
        <x:v>-14587.24542802724</x:v>
      </x:c>
      <x:c r="I195" s="42" t="n">
        <x:v>14.212436199444177</x:v>
      </x:c>
      <x:c r="J195" s="42" t="n">
        <x:v>63.57694711864851</x:v>
      </x:c>
      <x:c r="K195" s="42" t="n">
        <x:v>176.4792511370814</x:v>
      </x:c>
      <x:c r="L195" s="42" t="n">
        <x:v>-12.154327564134602</x:v>
      </x:c>
      <x:c r="M195" s="42" t="n">
        <x:v>-29.108156868391738</x:v>
      </x:c>
      <x:c r="N195" s="42" t="n">
        <x:v>-32.817808360674846</x:v>
      </x:c>
    </x:row>
    <x:row r="196">
      <x:c r="A196" s="42" t="n">
        <x:v>37</x:v>
      </x:c>
      <x:c r="B196" s="42" t="n">
        <x:v>25</x:v>
      </x:c>
      <x:c r="C196" s="42" t="n">
        <x:v>277.26991348245565</x:v>
      </x:c>
      <x:c r="D196" s="42" t="n">
        <x:v>1210.758674457129</x:v>
      </x:c>
      <x:c r="E196" s="42" t="n">
        <x:v>5346.0188523157785</x:v>
      </x:c>
      <x:c r="F196" s="42" t="n">
        <x:v>0.477358533734111</x:v>
      </x:c>
      <x:c r="G196" s="42" t="n">
        <x:v>14840.110005912009</x:v>
      </x:c>
      <x:c r="H196" s="42" t="n">
        <x:v>-14562.840092429553</x:v>
      </x:c>
      <x:c r="I196" s="42" t="n">
        <x:v>14.377616134250378</x:v>
      </x:c>
      <x:c r="J196" s="42" t="n">
        <x:v>63.48334191330515</x:v>
      </x:c>
      <x:c r="K196" s="42" t="n">
        <x:v>176.22455205676573</x:v>
      </x:c>
      <x:c r="L196" s="42" t="n">
        <x:v>-12.179365614022831</x:v>
      </x:c>
      <x:c r="M196" s="42" t="n">
        <x:v>-29.326607130561403</x:v>
      </x:c>
      <x:c r="N196" s="42" t="n">
        <x:v>-32.78056075251645</x:v>
      </x:c>
    </x:row>
    <x:row r="197">
      <x:c r="A197" s="42" t="n">
        <x:v>37.5</x:v>
      </x:c>
      <x:c r="B197" s="42" t="n">
        <x:v>25</x:v>
      </x:c>
      <x:c r="C197" s="42" t="n">
        <x:v>280.6842863692354</x:v>
      </x:c>
      <x:c r="D197" s="42" t="n">
        <x:v>1224.9453996711713</x:v>
      </x:c>
      <x:c r="E197" s="42" t="n">
        <x:v>5337.7120569194685</x:v>
      </x:c>
      <x:c r="F197" s="42" t="n">
        <x:v>0.4510721131942753</x:v>
      </x:c>
      <x:c r="G197" s="42" t="n">
        <x:v>14819.341583785392</x:v>
      </x:c>
      <x:c r="H197" s="42" t="n">
        <x:v>-14538.657297416157</x:v>
      </x:c>
      <x:c r="I197" s="42" t="n">
        <x:v>14.546081819140927</x:v>
      </x:c>
      <x:c r="J197" s="42" t="n">
        <x:v>63.3846996999281</x:v>
      </x:c>
      <x:c r="K197" s="42" t="n">
        <x:v>175.977929499067</x:v>
      </x:c>
      <x:c r="L197" s="42" t="n">
        <x:v>-12.20490171940811</x:v>
      </x:c>
      <x:c r="M197" s="42" t="n">
        <x:v>-29.548232683706566</x:v>
      </x:c>
      <x:c r="N197" s="42" t="n">
        <x:v>-32.74798785393595</x:v>
      </x:c>
    </x:row>
    <x:row r="198">
      <x:c r="A198" s="42" t="n">
        <x:v>38</x:v>
      </x:c>
      <x:c r="B198" s="42" t="n">
        <x:v>25</x:v>
      </x:c>
      <x:c r="C198" s="42" t="n">
        <x:v>282.3717678695042</x:v>
      </x:c>
      <x:c r="D198" s="42" t="n">
        <x:v>1239.1700058995218</x:v>
      </x:c>
      <x:c r="E198" s="42" t="n">
        <x:v>5328.948918152922</x:v>
      </x:c>
      <x:c r="F198" s="42" t="n">
        <x:v>0.4245714660703753</x:v>
      </x:c>
      <x:c r="G198" s="42" t="n">
        <x:v>14799.576086730554</x:v>
      </x:c>
      <x:c r="H198" s="42" t="n">
        <x:v>-14517.20431886105</x:v>
      </x:c>
      <x:c r="I198" s="42" t="n">
        <x:v>14.714997336598433</x:v>
      </x:c>
      <x:c r="J198" s="42" t="n">
        <x:v>63.28063846297428</x:v>
      </x:c>
      <x:c r="K198" s="42" t="n">
        <x:v>175.74321655803888</x:v>
      </x:c>
      <x:c r="L198" s="42" t="n">
        <x:v>-12.23050601061914</x:v>
      </x:c>
      <x:c r="M198" s="42" t="n">
        <x:v>-29.77096485804188</x:v>
      </x:c>
      <x:c r="N198" s="42" t="n">
        <x:v>-32.70877445739749</x:v>
      </x:c>
    </x:row>
    <x:row r="199">
      <x:c r="A199" s="42" t="n">
        <x:v>38.5</x:v>
      </x:c>
      <x:c r="B199" s="42" t="n">
        <x:v>25</x:v>
      </x:c>
      <x:c r="C199" s="42" t="n">
        <x:v>311.18191933727104</x:v>
      </x:c>
      <x:c r="D199" s="42" t="n">
        <x:v>1254.4244957169296</x:v>
      </x:c>
      <x:c r="E199" s="42" t="n">
        <x:v>5319.7004759269485</x:v>
      </x:c>
      <x:c r="F199" s="42" t="n">
        <x:v>0.3980697407320988</x:v>
      </x:c>
      <x:c r="G199" s="42" t="n">
        <x:v>14776.789430047362</x:v>
      </x:c>
      <x:c r="H199" s="42" t="n">
        <x:v>-14465.607510710091</x:v>
      </x:c>
      <x:c r="I199" s="42" t="n">
        <x:v>14.896142599932482</x:v>
      </x:c>
      <x:c r="J199" s="42" t="n">
        <x:v>63.170814304807955</x:v>
      </x:c>
      <x:c r="K199" s="42" t="n">
        <x:v>175.4726277035582</x:v>
      </x:c>
      <x:c r="L199" s="42" t="n">
        <x:v>-12.257964092290473</x:v>
      </x:c>
      <x:c r="M199" s="42" t="n">
        <x:v>-29.992833190079622</x:v>
      </x:c>
      <x:c r="N199" s="42" t="n">
        <x:v>-32.79531377997209</x:v>
      </x:c>
    </x:row>
    <x:row r="200">
      <x:c r="A200" s="42" t="n">
        <x:v>39</x:v>
      </x:c>
      <x:c r="B200" s="42" t="n">
        <x:v>25</x:v>
      </x:c>
      <x:c r="C200" s="42" t="n">
        <x:v>302.8435496777789</x:v>
      </x:c>
      <x:c r="D200" s="42" t="n">
        <x:v>1267.967947179111</x:v>
      </x:c>
      <x:c r="E200" s="42" t="n">
        <x:v>5309.941576271012</x:v>
      </x:c>
      <x:c r="F200" s="42" t="n">
        <x:v>0.37176719601112795</x:v>
      </x:c>
      <x:c r="G200" s="42" t="n">
        <x:v>14759.992307171666</x:v>
      </x:c>
      <x:c r="H200" s="42" t="n">
        <x:v>-14457.148757493887</x:v>
      </x:c>
      <x:c r="I200" s="42" t="n">
        <x:v>15.05696948506168</x:v>
      </x:c>
      <x:c r="J200" s="42" t="n">
        <x:v>63.05492852500246</x:v>
      </x:c>
      <x:c r="K200" s="42" t="n">
        <x:v>175.27316385501308</x:v>
      </x:c>
      <x:c r="L200" s="42" t="n">
        <x:v>-12.2823423049224</x:v>
      </x:c>
      <x:c r="M200" s="42" t="n">
        <x:v>-30.21199007318767</x:v>
      </x:c>
      <x:c r="N200" s="42" t="n">
        <x:v>-32.7279861902578</x:v>
      </x:c>
    </x:row>
    <x:row r="201">
      <x:c r="A201" s="42" t="n">
        <x:v>39.5</x:v>
      </x:c>
      <x:c r="B201" s="42" t="n">
        <x:v>25</x:v>
      </x:c>
      <x:c r="C201" s="42" t="n">
        <x:v>298.92940490778824</x:v>
      </x:c>
      <x:c r="D201" s="42" t="n">
        <x:v>1281.2877515942896</x:v>
      </x:c>
      <x:c r="E201" s="42" t="n">
        <x:v>5299.6513700473615</x:v>
      </x:c>
      <x:c r="F201" s="42" t="n">
        <x:v>0.3458489831386417</x:v>
      </x:c>
      <x:c r="G201" s="42" t="n">
        <x:v>14743.375119644179</x:v>
      </x:c>
      <x:c r="H201" s="42" t="n">
        <x:v>-14444.44571473639</x:v>
      </x:c>
      <x:c r="I201" s="42" t="n">
        <x:v>15.215140587945248</x:v>
      </x:c>
      <x:c r="J201" s="42" t="n">
        <x:v>62.932733542511635</x:v>
      </x:c>
      <x:c r="K201" s="42" t="n">
        <x:v>175.07583671745766</x:v>
      </x:c>
      <x:c r="L201" s="42" t="n">
        <x:v>-12.30631795286972</x:v>
      </x:c>
      <x:c r="M201" s="42" t="n">
        <x:v>-30.426731617837476</x:v>
      </x:c>
      <x:c r="N201" s="42" t="n">
        <x:v>-32.68509843667253</x:v>
      </x:c>
    </x:row>
    <x:row r="202">
      <x:c r="A202" s="42" t="n">
        <x:v>40</x:v>
      </x:c>
      <x:c r="B202" s="42" t="n">
        <x:v>25</x:v>
      </x:c>
      <x:c r="C202" s="42" t="n">
        <x:v>304.8211728122678</x:v>
      </x:c>
      <x:c r="D202" s="42" t="n">
        <x:v>1294.4210192104322</x:v>
      </x:c>
      <x:c r="E202" s="42" t="n">
        <x:v>5288.8137082440735</x:v>
      </x:c>
      <x:c r="F202" s="42" t="n">
        <x:v>0.3204833544517672</x:v>
      </x:c>
      <x:c r="G202" s="42" t="n">
        <x:v>14726.192868523873</x:v>
      </x:c>
      <x:c r="H202" s="42" t="n">
        <x:v>-14421.371695711605</x:v>
      </x:c>
      <x:c r="I202" s="42" t="n">
        <x:v>15.371096588390953</x:v>
      </x:c>
      <x:c r="J202" s="42" t="n">
        <x:v>62.80403758972783</x:v>
      </x:c>
      <x:c r="K202" s="42" t="n">
        <x:v>174.87179951653417</x:v>
      </x:c>
      <x:c r="L202" s="42" t="n">
        <x:v>-12.329957834578778</x:v>
      </x:c>
      <x:c r="M202" s="42" t="n">
        <x:v>-30.635514484773427</x:v>
      </x:c>
      <x:c r="N202" s="42" t="n">
        <x:v>-32.69040486526727</x:v>
      </x:c>
    </x:row>
    <x:row r="203">
      <x:c r="A203" s="42" t="n">
        <x:v>40.5</x:v>
      </x:c>
      <x:c r="B203" s="42" t="n">
        <x:v>25</x:v>
      </x:c>
      <x:c r="C203" s="42" t="n">
        <x:v>300.6975060151263</x:v>
      </x:c>
      <x:c r="D203" s="42" t="n">
        <x:v>1306.3970112850168</x:v>
      </x:c>
      <x:c r="E203" s="42" t="n">
        <x:v>5277.417430953986</x:v>
      </x:c>
      <x:c r="F203" s="42" t="n">
        <x:v>0.29582031113496227</x:v>
      </x:c>
      <x:c r="G203" s="42" t="n">
        <x:v>14711.226828791272</x:v>
      </x:c>
      <x:c r="H203" s="42" t="n">
        <x:v>-14410.529322776145</x:v>
      </x:c>
      <x:c r="I203" s="42" t="n">
        <x:v>15.513310078583295</x:v>
      </x:c>
      <x:c r="J203" s="42" t="n">
        <x:v>62.66870814407275</x:v>
      </x:c>
      <x:c r="K203" s="42" t="n">
        <x:v>174.69407956385925</x:v>
      </x:c>
      <x:c r="L203" s="42" t="n">
        <x:v>-12.35151462031303</x:v>
      </x:c>
      <x:c r="M203" s="42" t="n">
        <x:v>-30.836968575502514</x:v>
      </x:c>
      <x:c r="N203" s="42" t="n">
        <x:v>-32.6644125312641</x:v>
      </x:c>
    </x:row>
    <x:row r="204">
      <x:c r="A204" s="42" t="n">
        <x:v>41</x:v>
      </x:c>
      <x:c r="B204" s="42" t="n">
        <x:v>25</x:v>
      </x:c>
      <x:c r="C204" s="42" t="n">
        <x:v>276.5571077382654</x:v>
      </x:c>
      <x:c r="D204" s="42" t="n">
        <x:v>1316.6410283585294</x:v>
      </x:c>
      <x:c r="E204" s="42" t="n">
        <x:v>5265.456550116174</x:v>
      </x:c>
      <x:c r="F204" s="42" t="n">
        <x:v>0.27199068989435554</x:v>
      </x:c>
      <x:c r="G204" s="42" t="n">
        <x:v>14699.88132053898</x:v>
      </x:c>
      <x:c r="H204" s="42" t="n">
        <x:v>-14423.324212800715</x:v>
      </x:c>
      <x:c r="I204" s="42" t="n">
        <x:v>15.634956570376314</x:v>
      </x:c>
      <x:c r="J204" s="42" t="n">
        <x:v>62.526674098030774</x:v>
      </x:c>
      <x:c r="K204" s="42" t="n">
        <x:v>174.5593529945265</x:v>
      </x:c>
      <x:c r="L204" s="42" t="n">
        <x:v>-12.369953851045352</x:v>
      </x:c>
      <x:c r="M204" s="42" t="n">
        <x:v>-31.029905581159916</x:v>
      </x:c>
      <x:c r="N204" s="42" t="n">
        <x:v>-32.563259119638666</x:v>
      </x:c>
    </x:row>
    <x:row r="205">
      <x:c r="A205" s="42" t="n">
        <x:v>41.5</x:v>
      </x:c>
      <x:c r="B205" s="42" t="n">
        <x:v>25</x:v>
      </x:c>
      <x:c r="C205" s="42" t="n">
        <x:v>269.21554101681534</x:v>
      </x:c>
      <x:c r="D205" s="42" t="n">
        <x:v>1326.4572478837013</x:v>
      </x:c>
      <x:c r="E205" s="42" t="n">
        <x:v>5252.93032885912</x:v>
      </x:c>
      <x:c r="F205" s="42" t="n">
        <x:v>0.24910567695823424</x:v>
      </x:c>
      <x:c r="G205" s="42" t="n">
        <x:v>14687.004164423177</x:v>
      </x:c>
      <x:c r="H205" s="42" t="n">
        <x:v>-14417.78862340636</x:v>
      </x:c>
      <x:c r="I205" s="42" t="n">
        <x:v>15.751523016853133</x:v>
      </x:c>
      <x:c r="J205" s="42" t="n">
        <x:v>62.37792670133972</x:v>
      </x:c>
      <x:c r="K205" s="42" t="n">
        <x:v>174.40643828787216</x:v>
      </x:c>
      <x:c r="L205" s="42" t="n">
        <x:v>-12.387623046190662</x:v>
      </x:c>
      <x:c r="M205" s="42" t="n">
        <x:v>-31.213323499322307</x:v>
      </x:c>
      <x:c r="N205" s="42" t="n">
        <x:v>-32.535700294842506</x:v>
      </x:c>
    </x:row>
    <x:row r="206">
      <x:c r="A206" s="42" t="n">
        <x:v>42</x:v>
      </x:c>
      <x:c r="B206" s="42" t="n">
        <x:v>25</x:v>
      </x:c>
      <x:c r="C206" s="42" t="n">
        <x:v>271.1262021129023</x:v>
      </x:c>
      <x:c r="D206" s="42" t="n">
        <x:v>1335.384475214123</x:v>
      </x:c>
      <x:c r="E206" s="42" t="n">
        <x:v>5239.843262761747</x:v>
      </x:c>
      <x:c r="F206" s="42" t="n">
        <x:v>0.22725672748105447</x:v>
      </x:c>
      <x:c r="G206" s="42" t="n">
        <x:v>14673.651759639273</x:v>
      </x:c>
      <x:c r="H206" s="42" t="n">
        <x:v>-14402.52555752637</x:v>
      </x:c>
      <x:c r="I206" s="42" t="n">
        <x:v>15.857532786105907</x:v>
      </x:c>
      <x:c r="J206" s="42" t="n">
        <x:v>62.222519338467876</x:v>
      </x:c>
      <x:c r="K206" s="42" t="n">
        <x:v>174.2478800594637</x:v>
      </x:c>
      <x:c r="L206" s="42" t="n">
        <x:v>-12.403692055385422</x:v>
      </x:c>
      <x:c r="M206" s="42" t="n">
        <x:v>-31.386407325641656</x:v>
      </x:c>
      <x:c r="N206" s="42" t="n">
        <x:v>-32.55607457427063</x:v>
      </x:c>
    </x:row>
    <x:row r="207">
      <x:c r="A207" s="42" t="n">
        <x:v>42.5</x:v>
      </x:c>
      <x:c r="B207" s="42" t="n">
        <x:v>25</x:v>
      </x:c>
      <x:c r="C207" s="42" t="n">
        <x:v>259.7768551367322</x:v>
      </x:c>
      <x:c r="D207" s="42" t="n">
        <x:v>1342.3748108491102</x:v>
      </x:c>
      <x:c r="E207" s="42" t="n">
        <x:v>5226.204970478212</x:v>
      </x:c>
      <x:c r="F207" s="42" t="n">
        <x:v>0.20651585955920898</x:v>
      </x:c>
      <x:c r="G207" s="42" t="n">
        <x:v>14662.973588793413</x:v>
      </x:c>
      <x:c r="H207" s="42" t="n">
        <x:v>-14403.196733656681</x:v>
      </x:c>
      <x:c r="I207" s="42" t="n">
        <x:v>15.940542195437192</x:v>
      </x:c>
      <x:c r="J207" s="42" t="n">
        <x:v>62.060566229796336</x:v>
      </x:c>
      <x:c r="K207" s="42" t="n">
        <x:v>174.12107804294578</x:v>
      </x:c>
      <x:c r="L207" s="42" t="n">
        <x:v>-12.416274659528398</x:v>
      </x:c>
      <x:c r="M207" s="42" t="n">
        <x:v>-31.5485262108279</x:v>
      </x:c>
      <x:c r="N207" s="42" t="n">
        <x:v>-32.52704086057548</x:v>
      </x:c>
    </x:row>
    <x:row r="208">
      <x:c r="A208" s="42" t="n">
        <x:v>43</x:v>
      </x:c>
      <x:c r="B208" s="42" t="n">
        <x:v>25</x:v>
      </x:c>
      <x:c r="C208" s="42" t="n">
        <x:v>247.2629698422237</x:v>
      </x:c>
      <x:c r="D208" s="42" t="n">
        <x:v>1347.7792322525459</x:v>
      </x:c>
      <x:c r="E208" s="42" t="n">
        <x:v>5212.0300029107175</x:v>
      </x:c>
      <x:c r="F208" s="42" t="n">
        <x:v>0.18693628482825844</x:v>
      </x:c>
      <x:c r="G208" s="42" t="n">
        <x:v>14653.271975733256</x:v>
      </x:c>
      <x:c r="H208" s="42" t="n">
        <x:v>-14406.009005891032</x:v>
      </x:c>
      <x:c r="I208" s="42" t="n">
        <x:v>16.004719060741227</x:v>
      </x:c>
      <x:c r="J208" s="42" t="n">
        <x:v>61.892240165568666</x:v>
      </x:c>
      <x:c r="K208" s="42" t="n">
        <x:v>174.0058725346933</x:v>
      </x:c>
      <x:c r="L208" s="42" t="n">
        <x:v>-12.426002618054582</x:v>
      </x:c>
      <x:c r="M208" s="42" t="n">
        <x:v>-31.699227441784966</x:v>
      </x:c>
      <x:c r="N208" s="42" t="n">
        <x:v>-32.50374523157684</x:v>
      </x:c>
    </x:row>
    <x:row r="209">
      <x:c r="A209" s="42" t="n">
        <x:v>43.5</x:v>
      </x:c>
      <x:c r="B209" s="42" t="n">
        <x:v>25</x:v>
      </x:c>
      <x:c r="C209" s="42" t="n">
        <x:v>225.35528260314678</x:v>
      </x:c>
      <x:c r="D209" s="42" t="n">
        <x:v>1351.1527382591605</x:v>
      </x:c>
      <x:c r="E209" s="42" t="n">
        <x:v>5197.337581435408</x:v>
      </x:c>
      <x:c r="F209" s="42" t="n">
        <x:v>0.16855333211189957</x:v>
      </x:c>
      <x:c r="G209" s="42" t="n">
        <x:v>14645.692657462256</x:v>
      </x:c>
      <x:c r="H209" s="42" t="n">
        <x:v>-14420.33737485911</x:v>
      </x:c>
      <x:c r="I209" s="42" t="n">
        <x:v>16.04477904578444</x:v>
      </x:c>
      <x:c r="J209" s="42" t="n">
        <x:v>61.71776939735439</x:v>
      </x:c>
      <x:c r="K209" s="42" t="n">
        <x:v>173.91586902618354</x:v>
      </x:c>
      <x:c r="L209" s="42" t="n">
        <x:v>-12.43207492886649</x:v>
      </x:c>
      <x:c r="M209" s="42" t="n">
        <x:v>-31.83822765757664</x:v>
      </x:c>
      <x:c r="N209" s="42" t="n">
        <x:v>-32.44213854340947</x:v>
      </x:c>
    </x:row>
    <x:row r="210">
      <x:c r="A210" s="42" t="n">
        <x:v>44</x:v>
      </x:c>
      <x:c r="B210" s="42" t="n">
        <x:v>25</x:v>
      </x:c>
      <x:c r="C210" s="42" t="n">
        <x:v>208.84015984832814</x:v>
      </x:c>
      <x:c r="D210" s="42" t="n">
        <x:v>1352.990153932563</x:v>
      </x:c>
      <x:c r="E210" s="42" t="n">
        <x:v>5182.151276581459</x:v>
      </x:c>
      <x:c r="F210" s="42" t="n">
        <x:v>0.15138561686738508</x:v>
      </x:c>
      <x:c r="G210" s="42" t="n">
        <x:v>14638.157168949725</x:v>
      </x:c>
      <x:c r="H210" s="42" t="n">
        <x:v>-14429.317009101396</x:v>
      </x:c>
      <x:c r="I210" s="42" t="n">
        <x:v>16.066598139703448</x:v>
      </x:c>
      <x:c r="J210" s="42" t="n">
        <x:v>61.53743382240121</x:v>
      </x:c>
      <x:c r="K210" s="42" t="n">
        <x:v>173.82638599087446</x:v>
      </x:c>
      <x:c r="L210" s="42" t="n">
        <x:v>-12.435382277078613</x:v>
      </x:c>
      <x:c r="M210" s="42" t="n">
        <x:v>-31.965401746040158</x:v>
      </x:c>
      <x:c r="N210" s="42" t="n">
        <x:v>-32.39943149925128</x:v>
      </x:c>
    </x:row>
    <x:row r="211">
      <x:c r="A211" s="42" t="n">
        <x:v>44.5</x:v>
      </x:c>
      <x:c r="B211" s="42" t="n">
        <x:v>25</x:v>
      </x:c>
      <x:c r="C211" s="42" t="n">
        <x:v>178.96296340227542</x:v>
      </x:c>
      <x:c r="D211" s="42" t="n">
        <x:v>1352.4657628689497</x:v>
      </x:c>
      <x:c r="E211" s="42" t="n">
        <x:v>5166.498639040892</x:v>
      </x:c>
      <x:c r="F211" s="42" t="n">
        <x:v>0.13543640718639832</x:v>
      </x:c>
      <x:c r="G211" s="42" t="n">
        <x:v>14633.280812812143</x:v>
      </x:c>
      <x:c r="H211" s="42" t="n">
        <x:v>-14454.317849409868</x:v>
      </x:c>
      <x:c r="I211" s="42" t="n">
        <x:v>16.060371057811803</x:v>
      </x:c>
      <x:c r="J211" s="42" t="n">
        <x:v>61.35156060192007</x:v>
      </x:c>
      <x:c r="K211" s="42" t="n">
        <x:v>173.76847983817936</x:v>
      </x:c>
      <x:c r="L211" s="42" t="n">
        <x:v>-12.43443837316411</x:v>
      </x:c>
      <x:c r="M211" s="42" t="n">
        <x:v>-32.08076988559602</x:v>
      </x:c>
      <x:c r="N211" s="42" t="n">
        <x:v>-32.37486360975635</x:v>
      </x:c>
    </x:row>
    <x:row r="212">
      <x:c r="A212" s="42" t="n">
        <x:v>45</x:v>
      </x:c>
      <x:c r="B212" s="42" t="n">
        <x:v>25</x:v>
      </x:c>
      <x:c r="C212" s="42" t="n">
        <x:v>165.26573251393552</x:v>
      </x:c>
      <x:c r="D212" s="42" t="n">
        <x:v>1350.7083836412469</x:v>
      </x:c>
      <x:c r="E212" s="42" t="n">
        <x:v>5150.410794969204</x:v>
      </x:c>
      <x:c r="F212" s="42" t="n">
        <x:v>0.12069513676921262</x:v>
      </x:c>
      <x:c r="G212" s="42" t="n">
        <x:v>14626.915429680796</x:v>
      </x:c>
      <x:c r="H212" s="42" t="n">
        <x:v>-14461.64969716686</x:v>
      </x:c>
      <x:c r="I212" s="42" t="n">
        <x:v>16.039502387224292</x:v>
      </x:c>
      <x:c r="J212" s="42" t="n">
        <x:v>61.160519355328034</x:v>
      </x:c>
      <x:c r="K212" s="42" t="n">
        <x:v>173.69289166595254</x:v>
      </x:c>
      <x:c r="L212" s="42" t="n">
        <x:v>-12.431275090554244</x:v>
      </x:c>
      <x:c r="M212" s="42" t="n">
        <x:v>-32.18448320002165</x:v>
      </x:c>
      <x:c r="N212" s="42" t="n">
        <x:v>-32.37526111178964</x:v>
      </x:c>
    </x:row>
    <x:row r="213">
      <x:c r="A213" s="42" t="n">
        <x:v>45.5</x:v>
      </x:c>
      <x:c r="B213" s="42" t="n">
        <x:v>25</x:v>
      </x:c>
      <x:c r="C213" s="42" t="n">
        <x:v>168.78187987738474</x:v>
      </x:c>
      <x:c r="D213" s="42" t="n">
        <x:v>1347.7303681384112</x:v>
      </x:c>
      <x:c r="E213" s="42" t="n">
        <x:v>5133.922017260061</x:v>
      </x:c>
      <x:c r="F213" s="42" t="n">
        <x:v>0.10713901644628038</x:v>
      </x:c>
      <x:c r="G213" s="42" t="n">
        <x:v>14618.902191505122</x:v>
      </x:c>
      <x:c r="H213" s="42" t="n">
        <x:v>-14450.120311627737</x:v>
      </x:c>
      <x:c r="I213" s="42" t="n">
        <x:v>16.004138805162153</x:v>
      </x:c>
      <x:c r="J213" s="42" t="n">
        <x:v>60.964717069185966</x:v>
      </x:c>
      <x:c r="K213" s="42" t="n">
        <x:v>173.5977354098689</x:v>
      </x:c>
      <x:c r="L213" s="42" t="n">
        <x:v>-12.42591466264914</x:v>
      </x:c>
      <x:c r="M213" s="42" t="n">
        <x:v>-32.27680848305159</x:v>
      </x:c>
      <x:c r="N213" s="42" t="n">
        <x:v>-32.32560337890904</x:v>
      </x:c>
    </x:row>
    <x:row r="214">
      <x:c r="A214" s="42" t="n">
        <x:v>46</x:v>
      </x:c>
      <x:c r="B214" s="42" t="n">
        <x:v>25</x:v>
      </x:c>
      <x:c r="C214" s="42" t="n">
        <x:v>147.2236511039814</x:v>
      </x:c>
      <x:c r="D214" s="42" t="n">
        <x:v>1341.8359279664185</x:v>
      </x:c>
      <x:c r="E214" s="42" t="n">
        <x:v>5117.069283886007</x:v>
      </x:c>
      <x:c r="F214" s="42" t="n">
        <x:v>0.09473469828738136</x:v>
      </x:c>
      <x:c r="G214" s="42" t="n">
        <x:v>14615.145412726704</x:v>
      </x:c>
      <x:c r="H214" s="42" t="n">
        <x:v>-14467.921761622723</x:v>
      </x:c>
      <x:c r="I214" s="42" t="n">
        <x:v>15.934143024907087</x:v>
      </x:c>
      <x:c r="J214" s="42" t="n">
        <x:v>60.76459285254663</x:v>
      </x:c>
      <x:c r="K214" s="42" t="n">
        <x:v>173.55312410596756</x:v>
      </x:c>
      <x:c r="L214" s="42" t="n">
        <x:v>-12.415304670339554</x:v>
      </x:c>
      <x:c r="M214" s="42" t="n">
        <x:v>-32.35811242640838</x:v>
      </x:c>
      <x:c r="N214" s="42" t="n">
        <x:v>-32.3535252223684</x:v>
      </x:c>
    </x:row>
    <x:row r="215">
      <x:c r="A215" s="42" t="n">
        <x:v>46.5</x:v>
      </x:c>
      <x:c r="B215" s="42" t="n">
        <x:v>25</x:v>
      </x:c>
      <x:c r="C215" s="42" t="n">
        <x:v>125.26409736726505</x:v>
      </x:c>
      <x:c r="D215" s="42" t="n">
        <x:v>1334.0328418641786</x:v>
      </x:c>
      <x:c r="E215" s="42" t="n">
        <x:v>5099.891833543499</x:v>
      </x:c>
      <x:c r="F215" s="42" t="n">
        <x:v>0.08343994989716268</x:v>
      </x:c>
      <x:c r="G215" s="42" t="n">
        <x:v>14612.173134210097</x:v>
      </x:c>
      <x:c r="H215" s="42" t="n">
        <x:v>-14486.909036842833</x:v>
      </x:c>
      <x:c r="I215" s="42" t="n">
        <x:v>15.841482299853174</x:v>
      </x:c>
      <x:c r="J215" s="42" t="n">
        <x:v>60.560612660291994</x:v>
      </x:c>
      <x:c r="K215" s="42" t="n">
        <x:v>173.5178286499387</x:v>
      </x:c>
      <x:c r="L215" s="42" t="n">
        <x:v>-12.401259115355522</x:v>
      </x:c>
      <x:c r="M215" s="42" t="n">
        <x:v>-32.42884575130383</x:v>
      </x:c>
      <x:c r="N215" s="42" t="n">
        <x:v>-32.41325064966696</x:v>
      </x:c>
    </x:row>
    <x:row r="216">
      <x:c r="A216" s="42" t="n">
        <x:v>47</x:v>
      </x:c>
      <x:c r="B216" s="42" t="n">
        <x:v>25</x:v>
      </x:c>
      <x:c r="C216" s="42" t="n">
        <x:v>119.07484471646131</x:v>
      </x:c>
      <x:c r="D216" s="42" t="n">
        <x:v>1325.01398554116</x:v>
      </x:c>
      <x:c r="E216" s="42" t="n">
        <x:v>5082.430727780868</x:v>
      </x:c>
      <x:c r="F216" s="42" t="n">
        <x:v>0.0732053009130491</x:v>
      </x:c>
      <x:c r="G216" s="42" t="n">
        <x:v>14607.701900076449</x:v>
      </x:c>
      <x:c r="H216" s="42" t="n">
        <x:v>-14488.627055359988</x:v>
      </x:c>
      <x:c r="I216" s="42" t="n">
        <x:v>15.734384447144867</x:v>
      </x:c>
      <x:c r="J216" s="42" t="n">
        <x:v>60.353264093454584</x:v>
      </x:c>
      <x:c r="K216" s="42" t="n">
        <x:v>173.46473327315044</x:v>
      </x:c>
      <x:c r="L216" s="42" t="n">
        <x:v>-12.385025173974089</x:v>
      </x:c>
      <x:c r="M216" s="42" t="n">
        <x:v>-32.48952760178812</x:v>
      </x:c>
      <x:c r="N216" s="42" t="n">
        <x:v>-32.40151305308877</x:v>
      </x:c>
    </x:row>
    <x:row r="217">
      <x:c r="A217" s="42" t="n">
        <x:v>47.5</x:v>
      </x:c>
      <x:c r="B217" s="42" t="n">
        <x:v>25</x:v>
      </x:c>
      <x:c r="C217" s="42" t="n">
        <x:v>107.7527102272833</x:v>
      </x:c>
      <x:c r="D217" s="42" t="n">
        <x:v>1314.0140033089394</x:v>
      </x:c>
      <x:c r="E217" s="42" t="n">
        <x:v>5064.728427579559</x:v>
      </x:c>
      <x:c r="F217" s="42" t="n">
        <x:v>0.06397562875675993</x:v>
      </x:c>
      <x:c r="G217" s="42" t="n">
        <x:v>14604.637100240307</x:v>
      </x:c>
      <x:c r="H217" s="42" t="n">
        <x:v>-14496.884390013023</x:v>
      </x:c>
      <x:c r="I217" s="42" t="n">
        <x:v>15.603760958455545</x:v>
      </x:c>
      <x:c r="J217" s="42" t="n">
        <x:v>60.14305137116968</x:v>
      </x:c>
      <x:c r="K217" s="42" t="n">
        <x:v>173.42833913738914</x:v>
      </x:c>
      <x:c r="L217" s="42" t="n">
        <x:v>-12.36522520595609</x:v>
      </x:c>
      <x:c r="M217" s="42" t="n">
        <x:v>-32.54073051083237</x:v>
      </x:c>
      <x:c r="N217" s="42" t="n">
        <x:v>-32.42518841106448</x:v>
      </x:c>
    </x:row>
    <x:row r="218">
      <x:c r="A218" s="42" t="n">
        <x:v>48</x:v>
      </x:c>
      <x:c r="B218" s="42" t="n">
        <x:v>25</x:v>
      </x:c>
      <x:c r="C218" s="42" t="n">
        <x:v>124.99715373473305</x:v>
      </x:c>
      <x:c r="D218" s="42" t="n">
        <x:v>1302.4756057822747</x:v>
      </x:c>
      <x:c r="E218" s="42" t="n">
        <x:v>5046.828391059098</x:v>
      </x:c>
      <x:c r="F218" s="42" t="n">
        <x:v>0.055691656108017254</x:v>
      </x:c>
      <x:c r="G218" s="42" t="n">
        <x:v>14598.238200038542</x:v>
      </x:c>
      <x:c r="H218" s="42" t="n">
        <x:v>-14473.241046303809</x:v>
      </x:c>
      <x:c r="I218" s="42" t="n">
        <x:v>15.466743851791287</x:v>
      </x:c>
      <x:c r="J218" s="42" t="n">
        <x:v>59.93049055346946</x:v>
      </x:c>
      <x:c r="K218" s="42" t="n">
        <x:v>173.35235295391323</x:v>
      </x:c>
      <x:c r="L218" s="42" t="n">
        <x:v>-12.344456090408094</x:v>
      </x:c>
      <x:c r="M218" s="42" t="n">
        <x:v>-32.58306619893422</x:v>
      </x:c>
      <x:c r="N218" s="42" t="n">
        <x:v>-32.320523714315485</x:v>
      </x:c>
    </x:row>
    <x:row r="219">
      <x:c r="A219" s="42" t="n">
        <x:v>48.5</x:v>
      </x:c>
      <x:c r="B219" s="42" t="n">
        <x:v>25</x:v>
      </x:c>
      <x:c r="C219" s="42" t="n">
        <x:v>114.26484888006172</x:v>
      </x:c>
      <x:c r="D219" s="42" t="n">
        <x:v>1288.254557011614</x:v>
      </x:c>
      <x:c r="E219" s="42" t="n">
        <x:v>5028.774697637856</x:v>
      </x:c>
      <x:c r="F219" s="42" t="n">
        <x:v>0.0482913381457313</x:v>
      </x:c>
      <x:c r="G219" s="42" t="n">
        <x:v>14596.39717703159</x:v>
      </x:c>
      <x:c r="H219" s="42" t="n">
        <x:v>-14482.132328151527</x:v>
      </x:c>
      <x:c r="I219" s="42" t="n">
        <x:v>15.297870578723318</x:v>
      </x:c>
      <x:c r="J219" s="42" t="n">
        <x:v>59.716105078236374</x:v>
      </x:c>
      <x:c r="K219" s="42" t="n">
        <x:v>173.33049102333473</x:v>
      </x:c>
      <x:c r="L219" s="42" t="n">
        <x:v>-12.318858202620905</x:v>
      </x:c>
      <x:c r="M219" s="42" t="n">
        <x:v>-32.61717241243656</x:v>
      </x:c>
      <x:c r="N219" s="42" t="n">
        <x:v>-32.35534909921482</x:v>
      </x:c>
    </x:row>
    <x:row r="220">
      <x:c r="A220" s="42" t="n">
        <x:v>49</x:v>
      </x:c>
      <x:c r="B220" s="42" t="n">
        <x:v>25</x:v>
      </x:c>
      <x:c r="C220" s="42" t="n">
        <x:v>109.54402369059221</x:v>
      </x:c>
      <x:c r="D220" s="42" t="n">
        <x:v>1272.8490761476717</x:v>
      </x:c>
      <x:c r="E220" s="42" t="n">
        <x:v>5010.61170265356</x:v>
      </x:c>
      <x:c r="F220" s="42" t="n">
        <x:v>0.04171112313593678</x:v>
      </x:c>
      <x:c r="G220" s="42" t="n">
        <x:v>14594.33019373929</x:v>
      </x:c>
      <x:c r="H220" s="42" t="n">
        <x:v>-14484.786170048697</x:v>
      </x:c>
      <x:c r="I220" s="42" t="n">
        <x:v>15.114932314560464</x:v>
      </x:c>
      <x:c r="J220" s="42" t="n">
        <x:v>59.50042165986269</x:v>
      </x:c>
      <x:c r="K220" s="42" t="n">
        <x:v>173.30594584107877</x:v>
      </x:c>
      <x:c r="L220" s="42" t="n">
        <x:v>-12.291128337065809</x:v>
      </x:c>
      <x:c r="M220" s="42" t="n">
        <x:v>-32.643700956552976</x:v>
      </x:c>
      <x:c r="N220" s="42" t="n">
        <x:v>-32.37565051689154</x:v>
      </x:c>
    </x:row>
    <x:row r="221">
      <x:c r="A221" s="42" t="n">
        <x:v>49.5</x:v>
      </x:c>
      <x:c r="B221" s="42" t="n">
        <x:v>25</x:v>
      </x:c>
      <x:c r="C221" s="42" t="n">
        <x:v>115.81874031490976</x:v>
      </x:c>
      <x:c r="D221" s="42" t="n">
        <x:v>1256.6164862562375</x:v>
      </x:c>
      <x:c r="E221" s="42" t="n">
        <x:v>4992.383725171678</x:v>
      </x:c>
      <x:c r="F221" s="42" t="n">
        <x:v>0.035887075261226004</x:v>
      </x:c>
      <x:c r="G221" s="42" t="n">
        <x:v>14591.31268234764</x:v>
      </x:c>
      <x:c r="H221" s="42" t="n">
        <x:v>-14475.49394203273</x:v>
      </x:c>
      <x:c r="I221" s="42" t="n">
        <x:v>14.92217222846949</x:v>
      </x:c>
      <x:c r="J221" s="42" t="n">
        <x:v>59.28396658201179</x:v>
      </x:c>
      <x:c r="K221" s="42" t="n">
        <x:v>173.27011325000578</x:v>
      </x:c>
      <x:c r="L221" s="42" t="n">
        <x:v>-12.261909675261228</x:v>
      </x:c>
      <x:c r="M221" s="42" t="n">
        <x:v>-32.663307027957984</x:v>
      </x:c>
      <x:c r="N221" s="42" t="n">
        <x:v>-32.34716816042772</x:v>
      </x:c>
    </x:row>
    <x:row r="222">
      <x:c r="A222" s="42" t="n">
        <x:v>50</x:v>
      </x:c>
      <x:c r="B222" s="42" t="n">
        <x:v>25</x:v>
      </x:c>
      <x:c r="C222" s="42" t="n">
        <x:v>115.23525161719914</x:v>
      </x:c>
      <x:c r="D222" s="42" t="n">
        <x:v>1239.0176279041154</x:v>
      </x:c>
      <x:c r="E222" s="42" t="n">
        <x:v>4974.134770521343</x:v>
      </x:c>
      <x:c r="F222" s="42" t="n">
        <x:v>0.030755853537606265</x:v>
      </x:c>
      <x:c r="G222" s="42" t="n">
        <x:v>14589.816141882691</x:v>
      </x:c>
      <x:c r="H222" s="42" t="n">
        <x:v>-14474.580890265492</x:v>
      </x:c>
      <x:c r="I222" s="42" t="n">
        <x:v>14.71318786591573</x:v>
      </x:c>
      <x:c r="J222" s="42" t="n">
        <x:v>59.06726240276526</x:v>
      </x:c>
      <x:c r="K222" s="42" t="n">
        <x:v>173.25234200889196</x:v>
      </x:c>
      <x:c r="L222" s="42" t="n">
        <x:v>-12.230231730227407</x:v>
      </x:c>
      <x:c r="M222" s="42" t="n">
        <x:v>-32.67663990509996</x:v>
      </x:c>
      <x:c r="N222" s="42" t="n">
        <x:v>-32.35194200907362</x:v>
      </x:c>
    </x:row>
    <x:row r="223">
      <x:c r="A223" s="42" t="n">
        <x:v>50.5</x:v>
      </x:c>
      <x:c r="B223" s="42" t="n">
        <x:v>25</x:v>
      </x:c>
      <x:c r="C223" s="42" t="n">
        <x:v>136.98620076238512</x:v>
      </x:c>
      <x:c r="D223" s="42" t="n">
        <x:v>1221.4097059761266</x:v>
      </x:c>
      <x:c r="E223" s="42" t="n">
        <x:v>4955.908288024652</x:v>
      </x:c>
      <x:c r="F223" s="42" t="n">
        <x:v>0.026255545137847985</x:v>
      </x:c>
      <x:c r="G223" s="42" t="n">
        <x:v>14585.724440359641</x:v>
      </x:c>
      <x:c r="H223" s="42" t="n">
        <x:v>-14448.738239597256</x:v>
      </x:c>
      <x:c r="I223" s="42" t="n">
        <x:v>14.504095874469968</x:v>
      </x:c>
      <x:c r="J223" s="42" t="n">
        <x:v>58.85082507768679</x:v>
      </x:c>
      <x:c r="K223" s="42" t="n">
        <x:v>173.20375353698964</x:v>
      </x:c>
      <x:c r="L223" s="42" t="n">
        <x:v>-12.198537470757028</x:v>
      </x:c>
      <x:c r="M223" s="42" t="n">
        <x:v>-32.684335012203746</x:v>
      </x:c>
      <x:c r="N223" s="42" t="n">
        <x:v>-32.2547276335079</x:v>
      </x:c>
    </x:row>
    <x:row r="224">
      <x:c r="A224" s="42" t="n">
        <x:v>51</x:v>
      </x:c>
      <x:c r="B224" s="42" t="n">
        <x:v>25</x:v>
      </x:c>
      <x:c r="C224" s="42" t="n">
        <x:v>137.08289632779307</x:v>
      </x:c>
      <x:c r="D224" s="42" t="n">
        <x:v>1202.2344218587632</x:v>
      </x:c>
      <x:c r="E224" s="42" t="n">
        <x:v>4937.746963445518</x:v>
      </x:c>
      <x:c r="F224" s="42" t="n">
        <x:v>0.022326355354089656</x:v>
      </x:c>
      <x:c r="G224" s="42" t="n">
        <x:v>14585.16578911104</x:v>
      </x:c>
      <x:c r="H224" s="42" t="n">
        <x:v>-14448.082892783248</x:v>
      </x:c>
      <x:c r="I224" s="42" t="n">
        <x:v>14.276391642304748</x:v>
      </x:c>
      <x:c r="J224" s="42" t="n">
        <x:v>58.63516149517693</x:v>
      </x:c>
      <x:c r="K224" s="42" t="n">
        <x:v>173.1971196194512</x:v>
      </x:c>
      <x:c r="L224" s="42" t="n">
        <x:v>-12.164021959345774</x:v>
      </x:c>
      <x:c r="M224" s="42" t="n">
        <x:v>-32.68700733601513</x:v>
      </x:c>
      <x:c r="N224" s="42" t="n">
        <x:v>-32.27172390264479</x:v>
      </x:c>
    </x:row>
    <x:row r="225">
      <x:c r="A225" s="42" t="n">
        <x:v>51.5</x:v>
      </x:c>
      <x:c r="B225" s="42" t="n">
        <x:v>25</x:v>
      </x:c>
      <x:c r="C225" s="42" t="n">
        <x:v>159.61831316527434</x:v>
      </x:c>
      <x:c r="D225" s="42" t="n">
        <x:v>1183.4655440782508</x:v>
      </x:c>
      <x:c r="E225" s="42" t="n">
        <x:v>4919.692544890799</x:v>
      </x:c>
      <x:c r="F225" s="42" t="n">
        <x:v>0.018911159736583496</x:v>
      </x:c>
      <x:c r="G225" s="42" t="n">
        <x:v>14581.93601801468</x:v>
      </x:c>
      <x:c r="H225" s="42" t="n">
        <x:v>-14422.317704849405</x:v>
      </x:c>
      <x:c r="I225" s="42" t="n">
        <x:v>14.053513437347956</x:v>
      </x:c>
      <x:c r="J225" s="42" t="n">
        <x:v>58.42076740906952</x:v>
      </x:c>
      <x:c r="K225" s="42" t="n">
        <x:v>173.15876646947623</x:v>
      </x:c>
      <x:c r="L225" s="42" t="n">
        <x:v>-12.130237979340851</x:v>
      </x:c>
      <x:c r="M225" s="42" t="n">
        <x:v>-32.68524614317418</x:v>
      </x:c>
      <x:c r="N225" s="42" t="n">
        <x:v>-32.313274423895976</x:v>
      </x:c>
    </x:row>
    <x:row r="226">
      <x:c r="A226" s="42" t="n">
        <x:v>52</x:v>
      </x:c>
      <x:c r="B226" s="42" t="n">
        <x:v>25</x:v>
      </x:c>
      <x:c r="C226" s="42" t="n">
        <x:v>166.9931224443313</x:v>
      </x:c>
      <x:c r="D226" s="42" t="n">
        <x:v>1163.8148600008299</x:v>
      </x:c>
      <x:c r="E226" s="42" t="n">
        <x:v>4901.785700254288</x:v>
      </x:c>
      <x:c r="F226" s="42" t="n">
        <x:v>0.0159559266188011</x:v>
      </x:c>
      <x:c r="G226" s="42" t="n">
        <x:v>14581.267028886517</x:v>
      </x:c>
      <x:c r="H226" s="42" t="n">
        <x:v>-14414.273906442186</x:v>
      </x:c>
      <x:c r="I226" s="42" t="n">
        <x:v>13.820163886854536</x:v>
      </x:c>
      <x:c r="J226" s="42" t="n">
        <x:v>58.208125745796</x:v>
      </x:c>
      <x:c r="K226" s="42" t="n">
        <x:v>173.15082230266114</x:v>
      </x:c>
      <x:c r="L226" s="42" t="n">
        <x:v>-12.094866748001493</x:v>
      </x:c>
      <x:c r="M226" s="42" t="n">
        <x:v>-32.67961092088851</x:v>
      </x:c>
      <x:c r="N226" s="42" t="n">
        <x:v>-32.32291292944281</x:v>
      </x:c>
    </x:row>
    <x:row r="227">
      <x:c r="A227" s="42" t="n">
        <x:v>52.5</x:v>
      </x:c>
      <x:c r="B227" s="42" t="n">
        <x:v>25</x:v>
      </x:c>
      <x:c r="C227" s="42" t="n">
        <x:v>164.06842387185546</x:v>
      </x:c>
      <x:c r="D227" s="42" t="n">
        <x:v>1143.6951084622933</x:v>
      </x:c>
      <x:c r="E227" s="42" t="n">
        <x:v>4884.065903802221</x:v>
      </x:c>
      <x:c r="F227" s="42" t="n">
        <x:v>0.013410020286176487</x:v>
      </x:c>
      <x:c r="G227" s="42" t="n">
        <x:v>14582.445512559116</x:v>
      </x:c>
      <x:c r="H227" s="42" t="n">
        <x:v>-14418.37708868726</x:v>
      </x:c>
      <x:c r="I227" s="42" t="n">
        <x:v>13.581244215709269</x:v>
      </x:c>
      <x:c r="J227" s="42" t="n">
        <x:v>57.99770525760161</x:v>
      </x:c>
      <x:c r="K227" s="42" t="n">
        <x:v>173.16481665696358</x:v>
      </x:c>
      <x:c r="L227" s="42" t="n">
        <x:v>-12.058651195232128</x:v>
      </x:c>
      <x:c r="M227" s="42" t="n">
        <x:v>-32.67062844426841</x:v>
      </x:c>
      <x:c r="N227" s="42" t="n">
        <x:v>-32.29265633202061</x:v>
      </x:c>
    </x:row>
    <x:row r="228">
      <x:c r="A228" s="42" t="n">
        <x:v>53</x:v>
      </x:c>
      <x:c r="B228" s="42" t="n">
        <x:v>25</x:v>
      </x:c>
      <x:c r="C228" s="42" t="n">
        <x:v>183.5232809151917</x:v>
      </x:c>
      <x:c r="D228" s="42" t="n">
        <x:v>1124.6310718230975</x:v>
      </x:c>
      <x:c r="E228" s="42" t="n">
        <x:v>4866.571349150891</x:v>
      </x:c>
      <x:c r="F228" s="42" t="n">
        <x:v>0.011226396492872168</x:v>
      </x:c>
      <x:c r="G228" s="42" t="n">
        <x:v>14580.862995264828</x:v>
      </x:c>
      <x:c r="H228" s="42" t="n">
        <x:v>-14397.339714349637</x:v>
      </x:c>
      <x:c r="I228" s="42" t="n">
        <x:v>13.35486103419662</x:v>
      </x:c>
      <x:c r="J228" s="42" t="n">
        <x:v>57.789959489164914</x:v>
      </x:c>
      <x:c r="K228" s="42" t="n">
        <x:v>173.14602445116478</x:v>
      </x:c>
      <x:c r="L228" s="42" t="n">
        <x:v>-12.024335929281575</x:v>
      </x:c>
      <x:c r="M228" s="42" t="n">
        <x:v>-32.65879086003576</x:v>
      </x:c>
      <x:c r="N228" s="42" t="n">
        <x:v>-32.353728842014654</x:v>
      </x:c>
    </x:row>
    <x:row r="229">
      <x:c r="A229" s="42" t="n">
        <x:v>53.5</x:v>
      </x:c>
      <x:c r="B229" s="42" t="n">
        <x:v>25</x:v>
      </x:c>
      <x:c r="C229" s="42" t="n">
        <x:v>181.04186719105834</x:v>
      </x:c>
      <x:c r="D229" s="42" t="n">
        <x:v>1105.0638747666944</x:v>
      </x:c>
      <x:c r="E229" s="42" t="n">
        <x:v>4849.338885672342</x:v>
      </x:c>
      <x:c r="F229" s="42" t="n">
        <x:v>0.009361702922003404</x:v>
      </x:c>
      <x:c r="G229" s="42" t="n">
        <x:v>14582.689740911543</x:v>
      </x:c>
      <x:c r="H229" s="42" t="n">
        <x:v>-14401.647873720485</x:v>
      </x:c>
      <x:c r="I229" s="42" t="n">
        <x:v>13.122502882208705</x:v>
      </x:c>
      <x:c r="J229" s="42" t="n">
        <x:v>57.58532602242295</x:v>
      </x:c>
      <x:c r="K229" s="42" t="n">
        <x:v>173.1677168397782</x:v>
      </x:c>
      <x:c r="L229" s="42" t="n">
        <x:v>-11.98911497458005</x:v>
      </x:c>
      <x:c r="M229" s="42" t="n">
        <x:v>-32.64455466791219</x:v>
      </x:c>
      <x:c r="N229" s="42" t="n">
        <x:v>-32.325631532131986</x:v>
      </x:c>
    </x:row>
    <x:row r="230">
      <x:c r="A230" s="42" t="n">
        <x:v>54</x:v>
      </x:c>
      <x:c r="B230" s="42" t="n">
        <x:v>25</x:v>
      </x:c>
      <x:c r="C230" s="42" t="n">
        <x:v>181.54184215615243</x:v>
      </x:c>
      <x:c r="D230" s="42" t="n">
        <x:v>1086.1970090879151</x:v>
      </x:c>
      <x:c r="E230" s="42" t="n">
        <x:v>4832.403975269064</x:v>
      </x:c>
      <x:c r="F230" s="42" t="n">
        <x:v>0.0077762975768280234</x:v>
      </x:c>
      <x:c r="G230" s="42" t="n">
        <x:v>14584.40288243893</x:v>
      </x:c>
      <x:c r="H230" s="42" t="n">
        <x:v>-14402.861040282778</x:v>
      </x:c>
      <x:c r="I230" s="42" t="n">
        <x:v>12.898461082543237</x:v>
      </x:c>
      <x:c r="J230" s="42" t="n">
        <x:v>57.384225963275796</x:v>
      </x:c>
      <x:c r="K230" s="42" t="n">
        <x:v>173.1880601929038</x:v>
      </x:c>
      <x:c r="L230" s="42" t="n">
        <x:v>-11.955154616358246</x:v>
      </x:c>
      <x:c r="M230" s="42" t="n">
        <x:v>-32.628340477292866</x:v>
      </x:c>
      <x:c r="N230" s="42" t="n">
        <x:v>-32.30823300251532</x:v>
      </x:c>
    </x:row>
    <x:row r="231">
      <x:c r="A231" s="42" t="n">
        <x:v>54.5</x:v>
      </x:c>
      <x:c r="B231" s="42" t="n">
        <x:v>25</x:v>
      </x:c>
      <x:c r="C231" s="42" t="n">
        <x:v>176.6795228662295</x:v>
      </x:c>
      <x:c r="D231" s="42" t="n">
        <x:v>1067.8935602052688</x:v>
      </x:c>
      <x:c r="E231" s="42" t="n">
        <x:v>4815.800666467486</x:v>
      </x:c>
      <x:c r="F231" s="42" t="n">
        <x:v>0.0064341980494993355</x:v>
      </x:c>
      <x:c r="G231" s="42" t="n">
        <x:v>14587.13580263194</x:v>
      </x:c>
      <x:c r="H231" s="42" t="n">
        <x:v>-14410.456279765709</x:v>
      </x:c>
      <x:c r="I231" s="42" t="n">
        <x:v>12.681109790729817</x:v>
      </x:c>
      <x:c r="J231" s="42" t="n">
        <x:v>57.18706363394989</x:v>
      </x:c>
      <x:c r="K231" s="42" t="n">
        <x:v>173.22051329713472</x:v>
      </x:c>
      <x:c r="L231" s="42" t="n">
        <x:v>-11.922208408369483</x:v>
      </x:c>
      <x:c r="M231" s="42" t="n">
        <x:v>-32.61053341719598</x:v>
      </x:c>
      <x:c r="N231" s="42" t="n">
        <x:v>-32.26971226262507</x:v>
      </x:c>
    </x:row>
    <x:row r="232">
      <x:c r="A232" s="42" t="n">
        <x:v>55</x:v>
      </x:c>
      <x:c r="B232" s="42" t="n">
        <x:v>25</x:v>
      </x:c>
      <x:c r="C232" s="42" t="n">
        <x:v>188.5060598638298</x:v>
      </x:c>
      <x:c r="D232" s="42" t="n">
        <x:v>1051.2196543632924</x:v>
      </x:c>
      <x:c r="E232" s="42" t="n">
        <x:v>4799.561582875675</x:v>
      </x:c>
      <x:c r="F232" s="42" t="n">
        <x:v>0.005302974211008596</x:v>
      </x:c>
      <x:c r="G232" s="42" t="n">
        <x:v>14587.76637498494</x:v>
      </x:c>
      <x:c r="H232" s="42" t="n">
        <x:v>-14399.26031512111</x:v>
      </x:c>
      <x:c r="I232" s="42" t="n">
        <x:v>12.483109129894526</x:v>
      </x:c>
      <x:c r="J232" s="42" t="n">
        <x:v>56.99422643593457</x:v>
      </x:c>
      <x:c r="K232" s="42" t="n">
        <x:v>173.22800126928604</x:v>
      </x:c>
      <x:c r="L232" s="42" t="n">
        <x:v>-11.892195377853927</x:v>
      </x:c>
      <x:c r="M232" s="42" t="n">
        <x:v>-32.59148408127714</x:v>
      </x:c>
      <x:c r="N232" s="42" t="n">
        <x:v>-32.307886040730516</x:v>
      </x:c>
    </x:row>
    <x:row r="233">
      <x:c r="A233" s="42" t="n">
        <x:v>55.5</x:v>
      </x:c>
      <x:c r="B233" s="42" t="n">
        <x:v>25</x:v>
      </x:c>
      <x:c r="C233" s="42" t="n">
        <x:v>182.552269274569</x:v>
      </x:c>
      <x:c r="D233" s="42" t="n">
        <x:v>1034.965279916319</x:v>
      </x:c>
      <x:c r="E233" s="42" t="n">
        <x:v>4783.717923215783</x:v>
      </x:c>
      <x:c r="F233" s="42" t="n">
        <x:v>0.00435359617319023</x:v>
      </x:c>
      <x:c r="G233" s="42" t="n">
        <x:v>14591.085193045694</x:v>
      </x:c>
      <x:c r="H233" s="42" t="n">
        <x:v>-14408.532923771125</x:v>
      </x:c>
      <x:c r="I233" s="42" t="n">
        <x:v>12.290090354781693</x:v>
      </x:c>
      <x:c r="J233" s="42" t="n">
        <x:v>56.80608485036735</x:v>
      </x:c>
      <x:c r="K233" s="42" t="n">
        <x:v>173.26741184143688</x:v>
      </x:c>
      <x:c r="L233" s="42" t="n">
        <x:v>-11.862937503849375</x:v>
      </x:c>
      <x:c r="M233" s="42" t="n">
        <x:v>-32.5715098962297</x:v>
      </x:c>
      <x:c r="N233" s="42" t="n">
        <x:v>-32.276487219382865</x:v>
      </x:c>
    </x:row>
    <x:row r="234">
      <x:c r="A234" s="42" t="n">
        <x:v>56</x:v>
      </x:c>
      <x:c r="B234" s="42" t="n">
        <x:v>25</x:v>
      </x:c>
      <x:c r="C234" s="42" t="n">
        <x:v>186.90390563134164</x:v>
      </x:c>
      <x:c r="D234" s="42" t="n">
        <x:v>1020.4049971928663</x:v>
      </x:c>
      <x:c r="E234" s="42" t="n">
        <x:v>4768.299470359376</x:v>
      </x:c>
      <x:c r="F234" s="42" t="n">
        <x:v>0.003560248461720921</x:v>
      </x:c>
      <x:c r="G234" s="42" t="n">
        <x:v>14593.12513812609</x:v>
      </x:c>
      <x:c r="H234" s="42" t="n">
        <x:v>-14406.221232494749</x:v>
      </x:c>
      <x:c r="I234" s="42" t="n">
        <x:v>12.117188718625483</x:v>
      </x:c>
      <x:c r="J234" s="42" t="n">
        <x:v>56.622992545327406</x:v>
      </x:c>
      <x:c r="K234" s="42" t="n">
        <x:v>173.29163594812275</x:v>
      </x:c>
      <x:c r="L234" s="42" t="n">
        <x:v>-11.83672899494716</x:v>
      </x:c>
      <x:c r="M234" s="42" t="n">
        <x:v>-32.550896810491395</x:v>
      </x:c>
      <x:c r="N234" s="42" t="n">
        <x:v>-32.293046359008</x:v>
      </x:c>
    </x:row>
    <x:row r="235">
      <x:c r="A235" s="42" t="n">
        <x:v>56.5</x:v>
      </x:c>
      <x:c r="B235" s="42" t="n">
        <x:v>25</x:v>
      </x:c>
      <x:c r="C235" s="42" t="n">
        <x:v>190.07062484954076</x:v>
      </x:c>
      <x:c r="D235" s="42" t="n">
        <x:v>1007.2107050698628</x:v>
      </x:c>
      <x:c r="E235" s="42" t="n">
        <x:v>4753.334607048062</x:v>
      </x:c>
      <x:c r="F235" s="42" t="n">
        <x:v>0.0029001202743499403</x:v>
      </x:c>
      <x:c r="G235" s="42" t="n">
        <x:v>14595.459830179932</x:v>
      </x:c>
      <x:c r="H235" s="42" t="n">
        <x:v>-14405.389205330392</x:v>
      </x:c>
      <x:c r="I235" s="42" t="n">
        <x:v>11.960508059374567</x:v>
      </x:c>
      <x:c r="J235" s="42" t="n">
        <x:v>56.445286562516195</x:v>
      </x:c>
      <x:c r="K235" s="42" t="n">
        <x:v>173.31936014027596</x:v>
      </x:c>
      <x:c r="L235" s="42" t="n">
        <x:v>-11.812979269125753</x:v>
      </x:c>
      <x:c r="M235" s="42" t="n">
        <x:v>-32.52990121021736</x:v>
      </x:c>
      <x:c r="N235" s="42" t="n">
        <x:v>-32.30611004518602</x:v>
      </x:c>
    </x:row>
    <x:row r="236">
      <x:c r="A236" s="42" t="n">
        <x:v>57</x:v>
      </x:c>
      <x:c r="B236" s="42" t="n">
        <x:v>25</x:v>
      </x:c>
      <x:c r="C236" s="42" t="n">
        <x:v>200.68454527158707</x:v>
      </x:c>
      <x:c r="D236" s="42" t="n">
        <x:v>995.8379330752531</x:v>
      </x:c>
      <x:c r="E236" s="42" t="n">
        <x:v>4738.85033625806</x:v>
      </x:c>
      <x:c r="F236" s="42" t="n">
        <x:v>0.002353180541557958</x:v>
      </x:c>
      <x:c r="G236" s="42" t="n">
        <x:v>14596.84593445949</x:v>
      </x:c>
      <x:c r="H236" s="42" t="n">
        <x:v>-14396.161389187902</x:v>
      </x:c>
      <x:c r="I236" s="42" t="n">
        <x:v>11.82545773632471</x:v>
      </x:c>
      <x:c r="J236" s="42" t="n">
        <x:v>56.273287559084274</x:v>
      </x:c>
      <x:c r="K236" s="42" t="n">
        <x:v>173.33581996474305</x:v>
      </x:c>
      <x:c r="L236" s="42" t="n">
        <x:v>-11.792508279535456</x:v>
      </x:c>
      <x:c r="M236" s="42" t="n">
        <x:v>-32.508751980390485</x:v>
      </x:c>
      <x:c r="N236" s="42" t="n">
        <x:v>-32.35008397463695</x:v>
      </x:c>
    </x:row>
    <x:row r="237">
      <x:c r="A237" s="42" t="n">
        <x:v>57.5</x:v>
      </x:c>
      <x:c r="B237" s="42" t="n">
        <x:v>25</x:v>
      </x:c>
      <x:c r="C237" s="42" t="n">
        <x:v>178.2777126906697</x:v>
      </x:c>
      <x:c r="D237" s="42" t="n">
        <x:v>984.7556575269784</x:v>
      </x:c>
      <x:c r="E237" s="42" t="n">
        <x:v>4724.872304453064</x:v>
      </x:c>
      <x:c r="F237" s="42" t="n">
        <x:v>0.0019019453105300916</x:v>
      </x:c>
      <x:c r="G237" s="42" t="n">
        <x:v>14602.914420845136</x:v>
      </x:c>
      <x:c r="H237" s="42" t="n">
        <x:v>-14424.636708154467</x:v>
      </x:c>
      <x:c r="I237" s="42" t="n">
        <x:v>11.693857024235223</x:v>
      </x:c>
      <x:c r="J237" s="42" t="n">
        <x:v>56.10730008375631</x:v>
      </x:c>
      <x:c r="K237" s="42" t="n">
        <x:v>173.40788252321107</x:v>
      </x:c>
      <x:c r="L237" s="42" t="n">
        <x:v>-11.772560183548562</x:v>
      </x:c>
      <x:c r="M237" s="42" t="n">
        <x:v>-32.487652640220745</x:v>
      </x:c>
      <x:c r="N237" s="42" t="n">
        <x:v>-32.313868293167474</x:v>
      </x:c>
    </x:row>
    <x:row r="238">
      <x:c r="A238" s="42" t="n">
        <x:v>58</x:v>
      </x:c>
      <x:c r="B238" s="42" t="n">
        <x:v>25</x:v>
      </x:c>
      <x:c r="C238" s="42" t="n">
        <x:v>194.52778179385766</x:v>
      </x:c>
      <x:c r="D238" s="42" t="n">
        <x:v>976.8952337829762</x:v>
      </x:c>
      <x:c r="E238" s="42" t="n">
        <x:v>4711.424826253924</x:v>
      </x:c>
      <x:c r="F238" s="42" t="n">
        <x:v>0.0015312437827304003</x:v>
      </x:c>
      <x:c r="G238" s="42" t="n">
        <x:v>14603.596271830193</x:v>
      </x:c>
      <x:c r="H238" s="42" t="n">
        <x:v>-14409.068490036336</x:v>
      </x:c>
      <x:c r="I238" s="42" t="n">
        <x:v>11.600515421463323</x:v>
      </x:c>
      <x:c r="J238" s="42" t="n">
        <x:v>55.947612869780635</x:v>
      </x:c>
      <x:c r="K238" s="42" t="n">
        <x:v>173.41597942305634</x:v>
      </x:c>
      <x:c r="L238" s="42" t="n">
        <x:v>-11.758411420809358</x:v>
      </x:c>
      <x:c r="M238" s="42" t="n">
        <x:v>-32.46678349321249</x:v>
      </x:c>
      <x:c r="N238" s="42" t="n">
        <x:v>-32.328627789172955</x:v>
      </x:c>
    </x:row>
    <x:row r="239">
      <x:c r="A239" s="42" t="n">
        <x:v>58.5</x:v>
      </x:c>
      <x:c r="B239" s="42" t="n">
        <x:v>25</x:v>
      </x:c>
      <x:c r="C239" s="42" t="n">
        <x:v>188.33221875951745</x:v>
      </x:c>
      <x:c r="D239" s="42" t="n">
        <x:v>969.8528693334895</x:v>
      </x:c>
      <x:c r="E239" s="42" t="n">
        <x:v>4698.530909327688</x:v>
      </x:c>
      <x:c r="F239" s="42" t="n">
        <x:v>0.0012279881870894578</x:v>
      </x:c>
      <x:c r="G239" s="42" t="n">
        <x:v>14607.412196224737</x:v>
      </x:c>
      <x:c r="H239" s="42" t="n">
        <x:v>-14419.07997746522</x:v>
      </x:c>
      <x:c r="I239" s="42" t="n">
        <x:v>11.51688817611023</x:v>
      </x:c>
      <x:c r="J239" s="42" t="n">
        <x:v>55.7944991304837</x:v>
      </x:c>
      <x:c r="K239" s="42" t="n">
        <x:v>173.46129307415754</x:v>
      </x:c>
      <x:c r="L239" s="42" t="n">
        <x:v>-11.745735164800282</x:v>
      </x:c>
      <x:c r="M239" s="42" t="n">
        <x:v>-32.446303743106036</x:v>
      </x:c>
      <x:c r="N239" s="42" t="n">
        <x:v>-32.30366901546408</x:v>
      </x:c>
    </x:row>
    <x:row r="240">
      <x:c r="A240" s="42" t="n">
        <x:v>59</x:v>
      </x:c>
      <x:c r="B240" s="42" t="n">
        <x:v>25</x:v>
      </x:c>
      <x:c r="C240" s="42" t="n">
        <x:v>193.74067782731254</x:v>
      </x:c>
      <x:c r="D240" s="42" t="n">
        <x:v>965.0068291446295</x:v>
      </x:c>
      <x:c r="E240" s="42" t="n">
        <x:v>4686.212278555445</x:v>
      </x:c>
      <x:c r="F240" s="42" t="n">
        <x:v>0.0009809515932208178</x:v>
      </x:c>
      <x:c r="G240" s="42" t="n">
        <x:v>14609.562196914057</x:v>
      </x:c>
      <x:c r="H240" s="42" t="n">
        <x:v>-14415.821519086745</x:v>
      </x:c>
      <x:c r="I240" s="42" t="n">
        <x:v>11.459342021722511</x:v>
      </x:c>
      <x:c r="J240" s="42" t="n">
        <x:v>55.648216846260304</x:v>
      </x:c>
      <x:c r="K240" s="42" t="n">
        <x:v>173.48682407818958</x:v>
      </x:c>
      <x:c r="L240" s="42" t="n">
        <x:v>-11.737012292460333</x:v>
      </x:c>
      <x:c r="M240" s="42" t="n">
        <x:v>-32.42635353706081</x:v>
      </x:c>
      <x:c r="N240" s="42" t="n">
        <x:v>-32.327004247142774</x:v>
      </x:c>
    </x:row>
    <x:row r="241">
      <x:c r="A241" s="42" t="n">
        <x:v>59.5</x:v>
      </x:c>
      <x:c r="B241" s="42" t="n">
        <x:v>25</x:v>
      </x:c>
      <x:c r="C241" s="42" t="n">
        <x:v>168.97901642333537</x:v>
      </x:c>
      <x:c r="D241" s="42" t="n">
        <x:v>960.6787098103339</x:v>
      </x:c>
      <x:c r="E241" s="42" t="n">
        <x:v>4674.489398773456</x:v>
      </x:c>
      <x:c r="F241" s="42" t="n">
        <x:v>0.0007805567827152858</x:v>
      </x:c>
      <x:c r="G241" s="42" t="n">
        <x:v>14615.862307364549</x:v>
      </x:c>
      <x:c r="H241" s="42" t="n">
        <x:v>-14446.883290941214</x:v>
      </x:c>
      <x:c r="I241" s="42" t="n">
        <x:v>11.407946116258831</x:v>
      </x:c>
      <x:c r="J241" s="42" t="n">
        <x:v>55.5090090346219</x:v>
      </x:c>
      <x:c r="K241" s="42" t="n">
        <x:v>173.56163714504717</x:v>
      </x:c>
      <x:c r="L241" s="42" t="n">
        <x:v>-11.7292216776586</x:v>
      </x:c>
      <x:c r="M241" s="42" t="n">
        <x:v>-32.407055906747786</x:v>
      </x:c>
      <x:c r="N241" s="42" t="n">
        <x:v>-32.3939412064303</x:v>
      </x:c>
    </x:row>
    <x:row r="242">
      <x:c r="A242" s="42" t="n">
        <x:v>60</x:v>
      </x:c>
      <x:c r="B242" s="42" t="n">
        <x:v>25</x:v>
      </x:c>
      <x:c r="C242" s="42" t="n">
        <x:v>179.34901119414707</x:v>
      </x:c>
      <x:c r="D242" s="42" t="n">
        <x:v>959.4501357167396</x:v>
      </x:c>
      <x:c r="E242" s="42" t="n">
        <x:v>4663.381495591821</x:v>
      </x:c>
      <x:c r="F242" s="42" t="n">
        <x:v>0.0006186784148549876</x:v>
      </x:c>
      <x:c r="G242" s="42" t="n">
        <x:v>14617.138727886957</x:v>
      </x:c>
      <x:c r="H242" s="42" t="n">
        <x:v>-14437.78971669281</x:v>
      </x:c>
      <x:c r="I242" s="42" t="n">
        <x:v>11.393356944128305</x:v>
      </x:c>
      <x:c r="J242" s="42" t="n">
        <x:v>55.377103997415716</x:v>
      </x:c>
      <x:c r="K242" s="42" t="n">
        <x:v>173.57679448786388</x:v>
      </x:c>
      <x:c r="L242" s="42" t="n">
        <x:v>-11.727010244290131</x:v>
      </x:c>
      <x:c r="M242" s="42" t="n">
        <x:v>-32.388518586331585</x:v>
      </x:c>
      <x:c r="N242" s="42" t="n">
        <x:v>-32.352980515101336</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8.75" hidden="0" customWidth="1"/>
    <x:col min="2" max="2" width="51.25" hidden="0" customWidth="1"/>
    <x:col min="3" max="3" width="53.75" hidden="0" customWidth="1"/>
  </x:cols>
  <x:sheetData>
    <x:row r="1">
      <x:c r="A1" s="45" t="str">
        <x:v>Europa Ice Subsurface Simulation Assumptions</x:v>
      </x:c>
      <x:c r="B1" s="45"/>
      <x:c r="C1" s="45"/>
    </x:row>
    <x:row r="3">
      <x:c r="A3" s="50" t="str">
        <x:v>Item</x:v>
      </x:c>
      <x:c r="B3" s="50" t="str">
        <x:v>Value</x:v>
      </x:c>
      <x:c r="C3" s="50" t="str">
        <x:v>Why it matters</x:v>
      </x:c>
    </x:row>
    <x:row r="4">
      <x:c r="A4" s="51" t="str">
        <x:v>Surface material</x:v>
      </x:c>
      <x:c r="B4" s="51" t="str">
        <x:v>Generated topography is treated as icy surface terrain, not rock.</x:v>
      </x:c>
      <x:c r="C4" s="51" t="str">
        <x:v>Keeps the generated topography as icy terrain, not rock.</x:v>
      </x:c>
    </x:row>
    <x:row r="5">
      <x:c r="A5" s="51" t="str">
        <x:v>Upper internal ice layer</x:v>
      </x:c>
      <x:c r="B5" s="51" t="str">
        <x:v>1150 m mean depth</x:v>
      </x:c>
      <x:c r="C5" s="51" t="str">
        <x:v>Represents shallow ice structure, fractures, impurities, or layer boundaries.</x:v>
      </x:c>
    </x:row>
    <x:row r="6">
      <x:c r="A6" s="51" t="str">
        <x:v>Possible briny/warm-ice lens</x:v>
      </x:c>
      <x:c r="B6" s="51" t="str">
        <x:v>approximately 4.4 to 5.7 km where lens strength is high</x:v>
      </x:c>
      <x:c r="C6" s="51" t="str">
        <x:v>A localized material contrast inside ice; treated as possible, not proven.</x:v>
      </x:c>
    </x:row>
    <x:row r="7">
      <x:c r="A7" s="51" t="str">
        <x:v>Possible ice-ocean boundary</x:v>
      </x:c>
      <x:c r="B7" s="51" t="str">
        <x:v>15000 m nominal depth</x:v>
      </x:c>
      <x:c r="C7" s="51" t="str">
        <x:v>Deep reflector where ice may meet liquid water or warmer basal ice.</x:v>
      </x:c>
    </x:row>
    <x:row r="8">
      <x:c r="A8" s="51" t="str">
        <x:v>Ice refractive index</x:v>
      </x:c>
      <x:c r="B8" s="51" t="n">
        <x:v>1.78</x:v>
      </x:c>
      <x:c r="C8" s="51" t="str">
        <x:v>Converts depth into radar two-way delay.</x:v>
      </x:c>
    </x:row>
    <x:row r="9">
      <x:c r="A9" s="51" t="str">
        <x:v>One-way ice attenuation</x:v>
      </x:c>
      <x:c r="B9" s="51" t="str">
        <x:v>0.9 dB/km</x:v>
      </x:c>
      <x:c r="C9" s="51" t="str">
        <x:v>Weakens deeper radar returns as the signal travels through ice.</x:v>
      </x:c>
    </x:row>
    <x:row r="10">
      <x:c r="A10" s="51" t="str">
        <x:v>Model warning</x:v>
      </x:c>
      <x:c r="B10" s="51" t="str">
        <x:v>Synthetic data for model testing; not a real Europa DEM or measured radar product.</x:v>
      </x:c>
      <x:c r="C10" s="51" t="str">
        <x:v>Prevents this from being mistaken for measured mission data.</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75" hidden="0" customWidth="1"/>
    <x:col min="2" max="2" width="47.5" hidden="0" customWidth="1"/>
    <x:col min="3" max="3" width="52.5" hidden="0" customWidth="1"/>
    <x:col min="4" max="4" width="21.25" hidden="0" customWidth="1"/>
  </x:cols>
  <x:sheetData>
    <x:row r="1">
      <x:c r="A1" s="52" t="str">
        <x:v>Europa Ice Subsurface Simulation</x:v>
      </x:c>
    </x:row>
    <x:row r="2">
      <x:c r="A2" s="54" t="str">
        <x:v>Python-generated previews added after checking that the outputs are coherent. Existing dashboard graphs are unchanged.</x:v>
      </x:c>
    </x:row>
    <x:row r="4">
      <x:c r="A4" s="41" t="str">
        <x:v>Graph</x:v>
      </x:c>
      <x:c r="B4" s="41" t="str">
        <x:v>What it shows</x:v>
      </x:c>
      <x:c r="C4" s="41" t="str">
        <x:v>Interpretation</x:v>
      </x:c>
      <x:c r="D4" s="41" t="str">
        <x:v>Source</x:v>
      </x:c>
    </x:row>
    <x:row r="5">
      <x:c r="A5" s="49" t="str">
        <x:v>Subsurface truth model</x:v>
      </x:c>
      <x:c r="B5" s="49" t="str">
        <x:v>Synthetic icy layers below the generated surface topography.</x:v>
      </x:c>
      <x:c r="C5" s="49" t="str">
        <x:v>Topography is ice; deeper features are internal ice, possible warm/briny ice, and possible ocean boundary.</x:v>
      </x:c>
      <x:c r="D5" s="49" t="str">
        <x:v>Subsurface_Model</x:v>
      </x:c>
    </x:row>
    <x:row r="6">
      <x:c r="A6" s="49" t="str">
        <x:v>Simulated radargram</x:v>
      </x:c>
      <x:c r="B6" s="49" t="str">
        <x:v>Radar two-way delay after surface return.</x:v>
      </x:c>
      <x:c r="C6" s="49" t="str">
        <x:v>Brighter bands are stronger reflectors; deeper returns are weaker because of ice attenuation.</x:v>
      </x:c>
      <x:c r="D6" s="49" t="str">
        <x:v>Python preview</x:v>
      </x:c>
    </x:row>
    <x:row r="7">
      <x:c r="A7" s="49" t="str">
        <x:v>Delay and echo strength</x:v>
      </x:c>
      <x:c r="B7" s="49" t="str">
        <x:v>Layer return timing and relative signal strength.</x:v>
      </x:c>
      <x:c r="C7" s="49" t="str">
        <x:v>Ocean boundary appears late in time; lens strength is localized and hypothetical.</x:v>
      </x:c>
      <x:c r="D7" s="49" t="str">
        <x:v>Subsurface_Model</x:v>
      </x:c>
    </x:row>
    <x:row r="9">
      <x:c r="A9" s="48" t="str">
        <x:v>Embedded preview image</x:v>
      </x:c>
      <x:c r="B9" s="48" t="str">
        <x:v>File used</x:v>
      </x:c>
      <x:c r="C9" s="48" t="str">
        <x:v>Workbook section</x:v>
      </x:c>
      <x:c r="D9" s="48" t="str">
        <x:v>Purpose</x:v>
      </x:c>
    </x:row>
    <x:row r="10">
      <x:c r="A10" s="49" t="str">
        <x:v>Subsurface truth model</x:v>
      </x:c>
      <x:c r="B10" s="49" t="str">
        <x:v>01_europa_ice_subsurface_truth.png</x:v>
      </x:c>
      <x:c r="C10" s="49" t="str">
        <x:v>Left</x:v>
      </x:c>
      <x:c r="D10" s="49" t="str">
        <x:v>Shows the hidden icy layers.</x:v>
      </x:c>
    </x:row>
    <x:row r="11">
      <x:c r="A11" s="49" t="str">
        <x:v>Radargram + response charts</x:v>
      </x:c>
      <x:c r="B11" s="49" t="str">
        <x:v>02_simulated_ice_radargram.png and 03_layer_delays_and_echo_strength.png</x:v>
      </x:c>
      <x:c r="C11" s="49" t="str">
        <x:v>Right / below</x:v>
      </x:c>
      <x:c r="D11" s="49" t="str">
        <x:v>Shows simulated radar return timing and strength.</x:v>
      </x:c>
    </x:row>
  </x:sheetData>
  <x:pageMargins left="0.7" right="0.7" top="0.75" bottom="0.75" header="0.3" footer="0.3"/>
  <x:drawing xmlns:r="http://schemas.openxmlformats.org/officeDocument/2006/relationships" r:id="Re744d187d8084141"/>
</x:worksheet>
</file>