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TMathis\Desktop\Estimation\"/>
    </mc:Choice>
  </mc:AlternateContent>
  <xr:revisionPtr revIDLastSave="0" documentId="13_ncr:1_{2194CABE-0931-4B06-B0E5-BD428460B6A6}" xr6:coauthVersionLast="47" xr6:coauthVersionMax="47" xr10:uidLastSave="{00000000-0000-0000-0000-000000000000}"/>
  <bookViews>
    <workbookView xWindow="-120" yWindow="-120" windowWidth="29040" windowHeight="15840" xr2:uid="{D258413E-EFAE-4F40-BEF6-0C58D46BF747}"/>
  </bookViews>
  <sheets>
    <sheet name="Itemized" sheetId="7" r:id="rId1"/>
    <sheet name="Buttons" sheetId="14" r:id="rId2"/>
    <sheet name="Unit Quote" sheetId="10" r:id="rId3"/>
    <sheet name="Freight Rates" sheetId="11" r:id="rId4"/>
    <sheet name="Info" sheetId="12" r:id="rId5"/>
    <sheet name="Calculations" sheetId="8" r:id="rId6"/>
    <sheet name="Version Control" sheetId="13" r:id="rId7"/>
  </sheets>
  <functionGroups builtInGroupCount="19"/>
  <definedNames>
    <definedName name="BootTable">Info!$B$33:$C$45</definedName>
    <definedName name="BoxLookups">Info!$AS$1:$AT$5</definedName>
    <definedName name="ColA">Itemized!$A:$P</definedName>
    <definedName name="DeleteColumns">Itemized!$K:$W,Itemized!$C:$D</definedName>
    <definedName name="DeleteColumnsA">Itemized!$K:$W</definedName>
    <definedName name="DeleteColumnsB">Itemized!$C:$D</definedName>
    <definedName name="DoubleHeadwallLookups">Info!$AU$13:$AW$23</definedName>
    <definedName name="EndwallNames">Info!$K$2:$K$15</definedName>
    <definedName name="FWaffleBases">Info!$AX$25:$AY$26</definedName>
    <definedName name="GreaseTrapLookups">Info!$K$31:$L$33</definedName>
    <definedName name="GreaseTrapNames">Info!$K$31:$K$33</definedName>
    <definedName name="HeadwallLookups">Info!$AU$13:$AV$23</definedName>
    <definedName name="HeadwallNames">Info!$AU$13:$AU$23</definedName>
    <definedName name="JW">Itemized!$W$86:$W$120</definedName>
    <definedName name="LETH4">Info!$G$2</definedName>
    <definedName name="LETH5">Info!$G$3</definedName>
    <definedName name="LETH6">Info!$G$4</definedName>
    <definedName name="LETH7">Info!$G$5</definedName>
    <definedName name="LETH8">Info!$G$6</definedName>
    <definedName name="LETH9">Info!$G$7</definedName>
    <definedName name="Lids">Info!$AX$28:$AY$31</definedName>
    <definedName name="ManifoldVaultNames">Info!$K$26:$K$29</definedName>
    <definedName name="NPSewerLookups">Info!$G$17:$I$19</definedName>
    <definedName name="NPStormLookups">Info!$G$13:$I$15</definedName>
    <definedName name="_xlnm.Print_Area" localSheetId="0">Itemized!$A$1:$J$181</definedName>
    <definedName name="_xlnm.Print_Titles" localSheetId="2">'Unit Quote'!$14:$15</definedName>
    <definedName name="Risers">Info!$AX$33:$AY$36</definedName>
    <definedName name="Sewer">Itemized!$E$86:$J$121</definedName>
    <definedName name="SewerLookups">Info!$B$23:$D$24</definedName>
    <definedName name="SewerTable">Info!$B$23:$D$26</definedName>
    <definedName name="SPLookups">Info!$K$2:$L$29</definedName>
    <definedName name="Storm">Itemized!$E$17:$J$78</definedName>
    <definedName name="StormDescriptions">Itemized!$J$17:$J$78</definedName>
    <definedName name="StormLookups">Info!$B$13:$D$21</definedName>
    <definedName name="TFLookps">Info!$AS$109:$AS$116</definedName>
    <definedName name="TFLookups">Info!$AS$110:$AS$116</definedName>
    <definedName name="TFPriceLookups">Info!$Q$2:$R$8</definedName>
    <definedName name="TFWaffleBases">Info!$AX$42:$AY$49</definedName>
    <definedName name="TotalStormWeight">Itemized!$Q$81</definedName>
    <definedName name="TSWaffleBases">Info!$AX$13:$AY$17</definedName>
    <definedName name="TWaffleBases">Info!$AX$19:$AY$23</definedName>
    <definedName name="TypeLookups">Info!$AS$8:$AT$82</definedName>
    <definedName name="VaultNames">Info!$K$17:$K$24</definedName>
    <definedName name="WaffleBases">Info!$N$14:$O$32</definedName>
    <definedName name="WaffleBoxNames">Info!$AS$86:$AS$108</definedName>
    <definedName name="WaffleRiserLookup">Info!$AX$38:$AY$40</definedName>
    <definedName name="WaffleStructures">Info!$N$14:$O$25</definedName>
    <definedName name="WeightInfoLookups">Info!$BE$1:$BI$113</definedName>
    <definedName name="WeightPerCY">Info!$BP$2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7" i="7" l="1"/>
  <c r="E17" i="7" s="1"/>
  <c r="C47" i="12"/>
  <c r="C46" i="12"/>
  <c r="M79" i="7"/>
  <c r="O79" i="7" s="1"/>
  <c r="N79" i="7"/>
  <c r="M80" i="7"/>
  <c r="N80" i="7"/>
  <c r="O80" i="7"/>
  <c r="M81" i="7"/>
  <c r="N81" i="7"/>
  <c r="O81" i="7"/>
  <c r="M82" i="7"/>
  <c r="N82" i="7"/>
  <c r="O82" i="7"/>
  <c r="N85" i="7"/>
  <c r="M121" i="7"/>
  <c r="O121" i="7" s="1"/>
  <c r="N121" i="7"/>
  <c r="H18" i="7"/>
  <c r="E18" i="7" s="1"/>
  <c r="H19" i="7"/>
  <c r="E19" i="7" s="1"/>
  <c r="H20" i="7"/>
  <c r="E20" i="7" s="1"/>
  <c r="H21" i="7"/>
  <c r="E21" i="7" s="1"/>
  <c r="H22" i="7"/>
  <c r="U22" i="7" s="1"/>
  <c r="H25" i="7"/>
  <c r="U25" i="7" s="1"/>
  <c r="U19" i="7" l="1"/>
  <c r="U18" i="7"/>
  <c r="E22" i="7"/>
  <c r="U17" i="7"/>
  <c r="U20" i="7"/>
  <c r="U21" i="7"/>
  <c r="H9" i="8"/>
  <c r="H75" i="7"/>
  <c r="H86" i="7"/>
  <c r="E86" i="7" s="1"/>
  <c r="H23" i="7"/>
  <c r="H24" i="7"/>
  <c r="E75" i="7" l="1"/>
  <c r="U75" i="7"/>
  <c r="E23" i="7"/>
  <c r="U23" i="7"/>
  <c r="E24" i="7"/>
  <c r="U24" i="7"/>
  <c r="H2" i="8"/>
  <c r="Q86" i="7"/>
  <c r="R86" i="7" l="1"/>
  <c r="N86" i="7" s="1"/>
  <c r="BJ3" i="12"/>
  <c r="BJ4" i="12"/>
  <c r="BJ5" i="12"/>
  <c r="BJ6" i="12"/>
  <c r="BJ7" i="12"/>
  <c r="BJ8" i="12"/>
  <c r="BJ9" i="12"/>
  <c r="BJ10" i="12"/>
  <c r="BJ11" i="12"/>
  <c r="BJ12" i="12"/>
  <c r="BJ13" i="12"/>
  <c r="BJ14" i="12"/>
  <c r="BJ15" i="12"/>
  <c r="BJ16" i="12"/>
  <c r="BJ17" i="12"/>
  <c r="BJ18" i="12"/>
  <c r="BJ19" i="12"/>
  <c r="BJ20" i="12"/>
  <c r="BJ21" i="12"/>
  <c r="BJ22" i="12"/>
  <c r="BJ23" i="12"/>
  <c r="BJ24" i="12"/>
  <c r="BJ2" i="12"/>
  <c r="L86" i="7"/>
  <c r="K86" i="7" l="1"/>
  <c r="M86" i="7" s="1"/>
  <c r="O86" i="7" s="1"/>
  <c r="W86" i="7"/>
  <c r="H87" i="7"/>
  <c r="E87" i="7" s="1"/>
  <c r="Q87" i="7"/>
  <c r="L87" i="7"/>
  <c r="I86" i="7" l="1"/>
  <c r="R87" i="7"/>
  <c r="N87" i="7" s="1"/>
  <c r="K87" i="7"/>
  <c r="M87" i="7" s="1"/>
  <c r="O87" i="7" s="1"/>
  <c r="W87" i="7"/>
  <c r="H88" i="7"/>
  <c r="E88" i="7" s="1"/>
  <c r="L88" i="7"/>
  <c r="Q88" i="7"/>
  <c r="I87" i="7" l="1"/>
  <c r="R88" i="7"/>
  <c r="N88" i="7" s="1"/>
  <c r="K88" i="7"/>
  <c r="M88" i="7" s="1"/>
  <c r="O88" i="7" s="1"/>
  <c r="W88" i="7"/>
  <c r="H89" i="7"/>
  <c r="E89" i="7" s="1"/>
  <c r="L89" i="7"/>
  <c r="Q89" i="7"/>
  <c r="I88" i="7" l="1"/>
  <c r="R89" i="7"/>
  <c r="N89" i="7" s="1"/>
  <c r="K89" i="7"/>
  <c r="M89" i="7" s="1"/>
  <c r="O89" i="7" s="1"/>
  <c r="W89" i="7"/>
  <c r="H90" i="7"/>
  <c r="E90" i="7" s="1"/>
  <c r="L90" i="7"/>
  <c r="Q90" i="7"/>
  <c r="I89" i="7" l="1"/>
  <c r="R90" i="7"/>
  <c r="N90" i="7" s="1"/>
  <c r="K90" i="7"/>
  <c r="M90" i="7" s="1"/>
  <c r="O90" i="7" s="1"/>
  <c r="W90" i="7"/>
  <c r="H91" i="7"/>
  <c r="E91" i="7" s="1"/>
  <c r="L91" i="7"/>
  <c r="Q91" i="7"/>
  <c r="I90" i="7" l="1"/>
  <c r="R91" i="7"/>
  <c r="N91" i="7" s="1"/>
  <c r="K91" i="7"/>
  <c r="M91" i="7" s="1"/>
  <c r="W91" i="7"/>
  <c r="H92" i="7"/>
  <c r="E92" i="7" s="1"/>
  <c r="L92" i="7"/>
  <c r="Q92" i="7"/>
  <c r="O91" i="7" l="1"/>
  <c r="I91" i="7"/>
  <c r="R92" i="7"/>
  <c r="N92" i="7" s="1"/>
  <c r="K92" i="7"/>
  <c r="M92" i="7" s="1"/>
  <c r="O92" i="7" s="1"/>
  <c r="W92" i="7"/>
  <c r="H93" i="7"/>
  <c r="E93" i="7" s="1"/>
  <c r="Q93" i="7"/>
  <c r="L93" i="7"/>
  <c r="I92" i="7" l="1"/>
  <c r="R93" i="7"/>
  <c r="N93" i="7" s="1"/>
  <c r="K93" i="7"/>
  <c r="M93" i="7" s="1"/>
  <c r="O93" i="7" s="1"/>
  <c r="W93" i="7"/>
  <c r="H94" i="7"/>
  <c r="E94" i="7" s="1"/>
  <c r="Q94" i="7"/>
  <c r="L94" i="7"/>
  <c r="I93" i="7" l="1"/>
  <c r="R94" i="7"/>
  <c r="N94" i="7" s="1"/>
  <c r="K94" i="7"/>
  <c r="M94" i="7" s="1"/>
  <c r="O94" i="7" s="1"/>
  <c r="W94" i="7"/>
  <c r="H95" i="7"/>
  <c r="E95" i="7" s="1"/>
  <c r="L95" i="7"/>
  <c r="Q95" i="7"/>
  <c r="I94" i="7" l="1"/>
  <c r="R95" i="7"/>
  <c r="N95" i="7" s="1"/>
  <c r="K95" i="7"/>
  <c r="M95" i="7" s="1"/>
  <c r="O95" i="7" s="1"/>
  <c r="W95" i="7"/>
  <c r="H96" i="7"/>
  <c r="E96" i="7" s="1"/>
  <c r="L96" i="7"/>
  <c r="Q96" i="7"/>
  <c r="I95" i="7" l="1"/>
  <c r="R96" i="7"/>
  <c r="N96" i="7" s="1"/>
  <c r="K96" i="7"/>
  <c r="M96" i="7" s="1"/>
  <c r="O96" i="7" s="1"/>
  <c r="W96" i="7"/>
  <c r="H97" i="7"/>
  <c r="E97" i="7" s="1"/>
  <c r="Q97" i="7"/>
  <c r="L97" i="7"/>
  <c r="I96" i="7" l="1"/>
  <c r="R97" i="7"/>
  <c r="N97" i="7" s="1"/>
  <c r="K97" i="7"/>
  <c r="M97" i="7" s="1"/>
  <c r="W97" i="7"/>
  <c r="H98" i="7"/>
  <c r="E98" i="7" s="1"/>
  <c r="L98" i="7"/>
  <c r="Q98" i="7"/>
  <c r="O97" i="7" l="1"/>
  <c r="I97" i="7"/>
  <c r="R98" i="7"/>
  <c r="N98" i="7" s="1"/>
  <c r="K98" i="7"/>
  <c r="M98" i="7" s="1"/>
  <c r="O98" i="7" s="1"/>
  <c r="W98" i="7"/>
  <c r="H99" i="7"/>
  <c r="E99" i="7" s="1"/>
  <c r="Q99" i="7"/>
  <c r="L99" i="7"/>
  <c r="I98" i="7" l="1"/>
  <c r="R99" i="7"/>
  <c r="N99" i="7" s="1"/>
  <c r="K99" i="7"/>
  <c r="M99" i="7" s="1"/>
  <c r="O99" i="7" s="1"/>
  <c r="W99" i="7"/>
  <c r="H100" i="7"/>
  <c r="E100" i="7" s="1"/>
  <c r="Q100" i="7"/>
  <c r="L100" i="7"/>
  <c r="I99" i="7" l="1"/>
  <c r="R100" i="7"/>
  <c r="N100" i="7" s="1"/>
  <c r="K100" i="7"/>
  <c r="M100" i="7" s="1"/>
  <c r="O100" i="7" s="1"/>
  <c r="W100" i="7"/>
  <c r="H101" i="7"/>
  <c r="E101" i="7" s="1"/>
  <c r="L101" i="7"/>
  <c r="Q101" i="7"/>
  <c r="I100" i="7" l="1"/>
  <c r="R101" i="7"/>
  <c r="N101" i="7" s="1"/>
  <c r="K101" i="7"/>
  <c r="M101" i="7" s="1"/>
  <c r="O101" i="7" s="1"/>
  <c r="W101" i="7"/>
  <c r="H102" i="7"/>
  <c r="E102" i="7" s="1"/>
  <c r="Q102" i="7"/>
  <c r="L102" i="7"/>
  <c r="I101" i="7" l="1"/>
  <c r="R102" i="7"/>
  <c r="N102" i="7" s="1"/>
  <c r="K102" i="7"/>
  <c r="M102" i="7" s="1"/>
  <c r="W102" i="7"/>
  <c r="H103" i="7"/>
  <c r="E103" i="7" s="1"/>
  <c r="Q103" i="7"/>
  <c r="L103" i="7"/>
  <c r="O102" i="7" l="1"/>
  <c r="I102" i="7"/>
  <c r="R103" i="7"/>
  <c r="N103" i="7" s="1"/>
  <c r="K103" i="7"/>
  <c r="M103" i="7" s="1"/>
  <c r="O103" i="7" s="1"/>
  <c r="W103" i="7"/>
  <c r="H104" i="7"/>
  <c r="E104" i="7" s="1"/>
  <c r="L104" i="7"/>
  <c r="Q104" i="7"/>
  <c r="I103" i="7" l="1"/>
  <c r="R104" i="7"/>
  <c r="N104" i="7" s="1"/>
  <c r="K104" i="7"/>
  <c r="M104" i="7" s="1"/>
  <c r="O104" i="7" s="1"/>
  <c r="W104" i="7"/>
  <c r="H105" i="7"/>
  <c r="E105" i="7" s="1"/>
  <c r="L105" i="7"/>
  <c r="Q105" i="7"/>
  <c r="I104" i="7" l="1"/>
  <c r="R105" i="7"/>
  <c r="N105" i="7" s="1"/>
  <c r="K105" i="7"/>
  <c r="M105" i="7" s="1"/>
  <c r="O105" i="7" s="1"/>
  <c r="W105" i="7"/>
  <c r="H106" i="7"/>
  <c r="E106" i="7" s="1"/>
  <c r="L106" i="7"/>
  <c r="Q106" i="7"/>
  <c r="I105" i="7" l="1"/>
  <c r="R106" i="7"/>
  <c r="N106" i="7" s="1"/>
  <c r="K106" i="7"/>
  <c r="M106" i="7" s="1"/>
  <c r="O106" i="7" s="1"/>
  <c r="W106" i="7"/>
  <c r="H107" i="7"/>
  <c r="E107" i="7" s="1"/>
  <c r="Q107" i="7"/>
  <c r="L107" i="7"/>
  <c r="I106" i="7" l="1"/>
  <c r="R107" i="7"/>
  <c r="N107" i="7" s="1"/>
  <c r="K107" i="7"/>
  <c r="M107" i="7" s="1"/>
  <c r="O107" i="7" s="1"/>
  <c r="W107" i="7"/>
  <c r="H108" i="7"/>
  <c r="E108" i="7" s="1"/>
  <c r="L108" i="7"/>
  <c r="Q108" i="7"/>
  <c r="I107" i="7" l="1"/>
  <c r="R108" i="7"/>
  <c r="N108" i="7" s="1"/>
  <c r="K108" i="7"/>
  <c r="M108" i="7" s="1"/>
  <c r="O108" i="7" s="1"/>
  <c r="W108" i="7"/>
  <c r="H109" i="7"/>
  <c r="E109" i="7" s="1"/>
  <c r="Q109" i="7"/>
  <c r="L109" i="7"/>
  <c r="I108" i="7" l="1"/>
  <c r="R109" i="7"/>
  <c r="N109" i="7" s="1"/>
  <c r="K109" i="7"/>
  <c r="M109" i="7" s="1"/>
  <c r="O109" i="7" s="1"/>
  <c r="W109" i="7"/>
  <c r="H110" i="7"/>
  <c r="E110" i="7" s="1"/>
  <c r="L110" i="7"/>
  <c r="Q110" i="7"/>
  <c r="I109" i="7" l="1"/>
  <c r="R110" i="7"/>
  <c r="N110" i="7" s="1"/>
  <c r="K110" i="7"/>
  <c r="M110" i="7" s="1"/>
  <c r="O110" i="7" s="1"/>
  <c r="W110" i="7"/>
  <c r="H111" i="7"/>
  <c r="E111" i="7" s="1"/>
  <c r="L111" i="7"/>
  <c r="Q111" i="7"/>
  <c r="I110" i="7" l="1"/>
  <c r="R111" i="7"/>
  <c r="N111" i="7" s="1"/>
  <c r="K111" i="7"/>
  <c r="M111" i="7" s="1"/>
  <c r="O111" i="7" s="1"/>
  <c r="W111" i="7"/>
  <c r="H112" i="7"/>
  <c r="E112" i="7" s="1"/>
  <c r="Q112" i="7"/>
  <c r="L112" i="7"/>
  <c r="I111" i="7" l="1"/>
  <c r="R112" i="7"/>
  <c r="N112" i="7" s="1"/>
  <c r="K112" i="7"/>
  <c r="M112" i="7" s="1"/>
  <c r="O112" i="7" s="1"/>
  <c r="W112" i="7"/>
  <c r="H113" i="7"/>
  <c r="E113" i="7" s="1"/>
  <c r="Q113" i="7"/>
  <c r="L113" i="7"/>
  <c r="I112" i="7" l="1"/>
  <c r="R113" i="7"/>
  <c r="N113" i="7" s="1"/>
  <c r="K113" i="7"/>
  <c r="M113" i="7" s="1"/>
  <c r="O113" i="7" s="1"/>
  <c r="W113" i="7"/>
  <c r="H114" i="7"/>
  <c r="E114" i="7" s="1"/>
  <c r="Q114" i="7"/>
  <c r="L114" i="7"/>
  <c r="I113" i="7" l="1"/>
  <c r="R114" i="7"/>
  <c r="N114" i="7" s="1"/>
  <c r="K114" i="7"/>
  <c r="M114" i="7" s="1"/>
  <c r="O114" i="7" s="1"/>
  <c r="W114" i="7"/>
  <c r="H115" i="7"/>
  <c r="E115" i="7" s="1"/>
  <c r="Q115" i="7"/>
  <c r="L115" i="7"/>
  <c r="I114" i="7" l="1"/>
  <c r="R115" i="7"/>
  <c r="N115" i="7" s="1"/>
  <c r="K115" i="7"/>
  <c r="M115" i="7" s="1"/>
  <c r="O115" i="7" s="1"/>
  <c r="W115" i="7"/>
  <c r="H116" i="7"/>
  <c r="E116" i="7" s="1"/>
  <c r="Q116" i="7"/>
  <c r="L116" i="7"/>
  <c r="I115" i="7" l="1"/>
  <c r="R116" i="7"/>
  <c r="N116" i="7" s="1"/>
  <c r="K116" i="7"/>
  <c r="M116" i="7" s="1"/>
  <c r="O116" i="7" s="1"/>
  <c r="W116" i="7"/>
  <c r="H117" i="7"/>
  <c r="E117" i="7" s="1"/>
  <c r="L117" i="7"/>
  <c r="Q117" i="7"/>
  <c r="I116" i="7" l="1"/>
  <c r="R117" i="7"/>
  <c r="N117" i="7" s="1"/>
  <c r="K117" i="7"/>
  <c r="M117" i="7" s="1"/>
  <c r="O117" i="7" s="1"/>
  <c r="W117" i="7"/>
  <c r="H118" i="7"/>
  <c r="E118" i="7" s="1"/>
  <c r="L118" i="7"/>
  <c r="Q118" i="7"/>
  <c r="I117" i="7" l="1"/>
  <c r="R118" i="7"/>
  <c r="N118" i="7" s="1"/>
  <c r="K118" i="7"/>
  <c r="M118" i="7" s="1"/>
  <c r="O118" i="7" s="1"/>
  <c r="W118" i="7"/>
  <c r="H119" i="7"/>
  <c r="E119" i="7" s="1"/>
  <c r="Q119" i="7"/>
  <c r="L119" i="7"/>
  <c r="I118" i="7" l="1"/>
  <c r="R119" i="7"/>
  <c r="N119" i="7" s="1"/>
  <c r="K119" i="7"/>
  <c r="M119" i="7" s="1"/>
  <c r="O119" i="7" s="1"/>
  <c r="W119" i="7"/>
  <c r="H120" i="7"/>
  <c r="E120" i="7" s="1"/>
  <c r="L120" i="7"/>
  <c r="Q120" i="7"/>
  <c r="I119" i="7" l="1"/>
  <c r="R120" i="7"/>
  <c r="N120" i="7" s="1"/>
  <c r="H128" i="7"/>
  <c r="I128" i="7" s="1"/>
  <c r="K120" i="7"/>
  <c r="M120" i="7" s="1"/>
  <c r="O120" i="7" s="1"/>
  <c r="W120" i="7"/>
  <c r="I120" i="7" l="1"/>
  <c r="BP2" i="12"/>
  <c r="J50" i="8"/>
  <c r="J51" i="8"/>
  <c r="W17" i="7"/>
  <c r="J49" i="8"/>
  <c r="K85" i="7"/>
  <c r="M85" i="7" s="1"/>
  <c r="O85" i="7" s="1"/>
  <c r="E4" i="8"/>
  <c r="E11" i="8"/>
  <c r="E18" i="8"/>
  <c r="E25" i="8"/>
  <c r="E32" i="8"/>
  <c r="F34" i="8"/>
  <c r="F6" i="8"/>
  <c r="F13" i="8"/>
  <c r="F20" i="8"/>
  <c r="F27" i="8"/>
  <c r="AT1" i="12"/>
  <c r="F32" i="8"/>
  <c r="F33" i="8"/>
  <c r="F25" i="8"/>
  <c r="F26" i="8"/>
  <c r="F24" i="8"/>
  <c r="F18" i="8"/>
  <c r="F19" i="8"/>
  <c r="F11" i="8"/>
  <c r="F12" i="8"/>
  <c r="F10" i="8"/>
  <c r="F5" i="8"/>
  <c r="F4" i="8"/>
  <c r="H29" i="8" l="1"/>
  <c r="H22" i="8"/>
  <c r="H15" i="8"/>
  <c r="F28" i="8"/>
  <c r="F14" i="8"/>
  <c r="G14" i="8" s="1"/>
  <c r="H14" i="8" s="1"/>
  <c r="AY29" i="12"/>
  <c r="G28" i="8" l="1"/>
  <c r="H28" i="8" s="1"/>
  <c r="AY43" i="12"/>
  <c r="AY45" i="12"/>
  <c r="AY46" i="12"/>
  <c r="AY47" i="12"/>
  <c r="AY48" i="12"/>
  <c r="AY49" i="12"/>
  <c r="AY42" i="12"/>
  <c r="T19" i="7"/>
  <c r="S19" i="7" s="1"/>
  <c r="T17" i="7"/>
  <c r="S17" i="7" s="1"/>
  <c r="T18" i="7"/>
  <c r="S18" i="7" s="1"/>
  <c r="V18" i="7"/>
  <c r="W18" i="7"/>
  <c r="V19" i="7"/>
  <c r="W19" i="7"/>
  <c r="T20" i="7"/>
  <c r="S20" i="7" s="1"/>
  <c r="V20" i="7"/>
  <c r="W20" i="7"/>
  <c r="T21" i="7"/>
  <c r="S21" i="7" s="1"/>
  <c r="V21" i="7"/>
  <c r="W21" i="7"/>
  <c r="T22" i="7"/>
  <c r="S22" i="7" s="1"/>
  <c r="V22" i="7"/>
  <c r="W22" i="7"/>
  <c r="T23" i="7"/>
  <c r="S23" i="7" s="1"/>
  <c r="V23" i="7"/>
  <c r="W23" i="7"/>
  <c r="T24" i="7"/>
  <c r="S24" i="7" s="1"/>
  <c r="V24" i="7"/>
  <c r="W24" i="7"/>
  <c r="E25" i="7"/>
  <c r="T25" i="7" s="1"/>
  <c r="S25" i="7" s="1"/>
  <c r="V25" i="7"/>
  <c r="W25" i="7"/>
  <c r="H26" i="7"/>
  <c r="V26" i="7"/>
  <c r="W26" i="7"/>
  <c r="H27" i="7"/>
  <c r="V27" i="7"/>
  <c r="W27" i="7"/>
  <c r="H28" i="7"/>
  <c r="V28" i="7"/>
  <c r="W28" i="7"/>
  <c r="H29" i="7"/>
  <c r="V29" i="7"/>
  <c r="W29" i="7"/>
  <c r="H30" i="7"/>
  <c r="V30" i="7"/>
  <c r="W30" i="7"/>
  <c r="H31" i="7"/>
  <c r="V31" i="7"/>
  <c r="W31" i="7"/>
  <c r="H32" i="7"/>
  <c r="V32" i="7"/>
  <c r="W32" i="7"/>
  <c r="H33" i="7"/>
  <c r="V33" i="7"/>
  <c r="W33" i="7"/>
  <c r="H34" i="7"/>
  <c r="V34" i="7"/>
  <c r="W34" i="7"/>
  <c r="H35" i="7"/>
  <c r="V35" i="7"/>
  <c r="W35" i="7"/>
  <c r="H36" i="7"/>
  <c r="V36" i="7"/>
  <c r="W36" i="7"/>
  <c r="H37" i="7"/>
  <c r="V37" i="7"/>
  <c r="W37" i="7"/>
  <c r="H38" i="7"/>
  <c r="V38" i="7"/>
  <c r="W38" i="7"/>
  <c r="H39" i="7"/>
  <c r="V39" i="7"/>
  <c r="W39" i="7"/>
  <c r="H40" i="7"/>
  <c r="V40" i="7"/>
  <c r="W40" i="7"/>
  <c r="H41" i="7"/>
  <c r="V41" i="7"/>
  <c r="W41" i="7"/>
  <c r="H42" i="7"/>
  <c r="V42" i="7"/>
  <c r="W42" i="7"/>
  <c r="H43" i="7"/>
  <c r="V43" i="7"/>
  <c r="W43" i="7"/>
  <c r="H44" i="7"/>
  <c r="V44" i="7"/>
  <c r="W44" i="7"/>
  <c r="H45" i="7"/>
  <c r="V45" i="7"/>
  <c r="W45" i="7"/>
  <c r="H46" i="7"/>
  <c r="V46" i="7"/>
  <c r="W46" i="7"/>
  <c r="H47" i="7"/>
  <c r="V47" i="7"/>
  <c r="W47" i="7"/>
  <c r="H48" i="7"/>
  <c r="V48" i="7"/>
  <c r="W48" i="7"/>
  <c r="H49" i="7"/>
  <c r="V49" i="7"/>
  <c r="W49" i="7"/>
  <c r="H50" i="7"/>
  <c r="V50" i="7"/>
  <c r="W50" i="7"/>
  <c r="H51" i="7"/>
  <c r="V51" i="7"/>
  <c r="W51" i="7"/>
  <c r="H52" i="7"/>
  <c r="V52" i="7"/>
  <c r="W52" i="7"/>
  <c r="H53" i="7"/>
  <c r="V53" i="7"/>
  <c r="W53" i="7"/>
  <c r="H54" i="7"/>
  <c r="V54" i="7"/>
  <c r="W54" i="7"/>
  <c r="H55" i="7"/>
  <c r="V55" i="7"/>
  <c r="W55" i="7"/>
  <c r="H56" i="7"/>
  <c r="V56" i="7"/>
  <c r="W56" i="7"/>
  <c r="H57" i="7"/>
  <c r="V57" i="7"/>
  <c r="W57" i="7"/>
  <c r="H58" i="7"/>
  <c r="V58" i="7"/>
  <c r="W58" i="7"/>
  <c r="H59" i="7"/>
  <c r="V59" i="7"/>
  <c r="W59" i="7"/>
  <c r="H60" i="7"/>
  <c r="V60" i="7"/>
  <c r="W60" i="7"/>
  <c r="H61" i="7"/>
  <c r="V61" i="7"/>
  <c r="W61" i="7"/>
  <c r="H62" i="7"/>
  <c r="V62" i="7"/>
  <c r="W62" i="7"/>
  <c r="H63" i="7"/>
  <c r="V63" i="7"/>
  <c r="W63" i="7"/>
  <c r="H64" i="7"/>
  <c r="V64" i="7"/>
  <c r="W64" i="7"/>
  <c r="H65" i="7"/>
  <c r="V65" i="7"/>
  <c r="W65" i="7"/>
  <c r="H66" i="7"/>
  <c r="V66" i="7"/>
  <c r="W66" i="7"/>
  <c r="H67" i="7"/>
  <c r="V67" i="7"/>
  <c r="W67" i="7"/>
  <c r="H68" i="7"/>
  <c r="V68" i="7"/>
  <c r="W68" i="7"/>
  <c r="H69" i="7"/>
  <c r="V69" i="7"/>
  <c r="W69" i="7"/>
  <c r="H70" i="7"/>
  <c r="V70" i="7"/>
  <c r="W70" i="7"/>
  <c r="H71" i="7"/>
  <c r="V71" i="7"/>
  <c r="W71" i="7"/>
  <c r="H72" i="7"/>
  <c r="V72" i="7"/>
  <c r="W72" i="7"/>
  <c r="H73" i="7"/>
  <c r="V73" i="7"/>
  <c r="W73" i="7"/>
  <c r="H74" i="7"/>
  <c r="V74" i="7"/>
  <c r="W74" i="7"/>
  <c r="T75" i="7"/>
  <c r="S75" i="7" s="1"/>
  <c r="V75" i="7"/>
  <c r="W75" i="7"/>
  <c r="H76" i="7"/>
  <c r="V76" i="7"/>
  <c r="W76" i="7"/>
  <c r="H77" i="7"/>
  <c r="V77" i="7"/>
  <c r="W77" i="7"/>
  <c r="H78" i="7"/>
  <c r="V78" i="7"/>
  <c r="W78" i="7"/>
  <c r="L22" i="7"/>
  <c r="L75" i="7"/>
  <c r="Q24" i="7"/>
  <c r="L21" i="7"/>
  <c r="L25" i="7"/>
  <c r="L19" i="7"/>
  <c r="Q22" i="7"/>
  <c r="Q75" i="7"/>
  <c r="Q20" i="7"/>
  <c r="L24" i="7"/>
  <c r="L20" i="7"/>
  <c r="Q25" i="7"/>
  <c r="Q21" i="7"/>
  <c r="L18" i="7"/>
  <c r="Q18" i="7"/>
  <c r="Q23" i="7"/>
  <c r="L23" i="7"/>
  <c r="Q19" i="7"/>
  <c r="Q17" i="7"/>
  <c r="E39" i="7" l="1"/>
  <c r="T39" i="7" s="1"/>
  <c r="S39" i="7" s="1"/>
  <c r="U39" i="7"/>
  <c r="E76" i="7"/>
  <c r="T76" i="7" s="1"/>
  <c r="S76" i="7" s="1"/>
  <c r="U76" i="7"/>
  <c r="E55" i="7"/>
  <c r="T55" i="7" s="1"/>
  <c r="S55" i="7" s="1"/>
  <c r="U55" i="7"/>
  <c r="E47" i="7"/>
  <c r="T47" i="7" s="1"/>
  <c r="S47" i="7" s="1"/>
  <c r="U47" i="7"/>
  <c r="E52" i="7"/>
  <c r="T52" i="7" s="1"/>
  <c r="S52" i="7" s="1"/>
  <c r="U52" i="7"/>
  <c r="E44" i="7"/>
  <c r="T44" i="7" s="1"/>
  <c r="S44" i="7" s="1"/>
  <c r="U44" i="7"/>
  <c r="E36" i="7"/>
  <c r="T36" i="7" s="1"/>
  <c r="S36" i="7" s="1"/>
  <c r="U36" i="7"/>
  <c r="E73" i="7"/>
  <c r="T73" i="7" s="1"/>
  <c r="S73" i="7" s="1"/>
  <c r="U73" i="7"/>
  <c r="E49" i="7"/>
  <c r="T49" i="7" s="1"/>
  <c r="S49" i="7" s="1"/>
  <c r="U49" i="7"/>
  <c r="E41" i="7"/>
  <c r="T41" i="7" s="1"/>
  <c r="S41" i="7" s="1"/>
  <c r="U41" i="7"/>
  <c r="E33" i="7"/>
  <c r="T33" i="7" s="1"/>
  <c r="S33" i="7" s="1"/>
  <c r="U33" i="7"/>
  <c r="E63" i="7"/>
  <c r="T63" i="7" s="1"/>
  <c r="S63" i="7" s="1"/>
  <c r="U63" i="7"/>
  <c r="E68" i="7"/>
  <c r="T68" i="7" s="1"/>
  <c r="S68" i="7" s="1"/>
  <c r="U68" i="7"/>
  <c r="E28" i="7"/>
  <c r="T28" i="7" s="1"/>
  <c r="S28" i="7" s="1"/>
  <c r="U28" i="7"/>
  <c r="E78" i="7"/>
  <c r="T78" i="7" s="1"/>
  <c r="S78" i="7" s="1"/>
  <c r="U78" i="7"/>
  <c r="E62" i="7"/>
  <c r="T62" i="7" s="1"/>
  <c r="S62" i="7" s="1"/>
  <c r="U62" i="7"/>
  <c r="E54" i="7"/>
  <c r="T54" i="7" s="1"/>
  <c r="S54" i="7" s="1"/>
  <c r="U54" i="7"/>
  <c r="E38" i="7"/>
  <c r="T38" i="7" s="1"/>
  <c r="S38" i="7" s="1"/>
  <c r="U38" i="7"/>
  <c r="E30" i="7"/>
  <c r="T30" i="7" s="1"/>
  <c r="S30" i="7" s="1"/>
  <c r="U30" i="7"/>
  <c r="E67" i="7"/>
  <c r="T67" i="7" s="1"/>
  <c r="S67" i="7" s="1"/>
  <c r="U67" i="7"/>
  <c r="E59" i="7"/>
  <c r="T59" i="7" s="1"/>
  <c r="S59" i="7" s="1"/>
  <c r="U59" i="7"/>
  <c r="E51" i="7"/>
  <c r="T51" i="7" s="1"/>
  <c r="S51" i="7" s="1"/>
  <c r="U51" i="7"/>
  <c r="E43" i="7"/>
  <c r="T43" i="7" s="1"/>
  <c r="S43" i="7" s="1"/>
  <c r="U43" i="7"/>
  <c r="E35" i="7"/>
  <c r="T35" i="7" s="1"/>
  <c r="S35" i="7" s="1"/>
  <c r="U35" i="7"/>
  <c r="E27" i="7"/>
  <c r="T27" i="7" s="1"/>
  <c r="S27" i="7" s="1"/>
  <c r="U27" i="7"/>
  <c r="E60" i="7"/>
  <c r="T60" i="7" s="1"/>
  <c r="S60" i="7" s="1"/>
  <c r="U60" i="7"/>
  <c r="E65" i="7"/>
  <c r="T65" i="7" s="1"/>
  <c r="S65" i="7" s="1"/>
  <c r="U65" i="7"/>
  <c r="E57" i="7"/>
  <c r="T57" i="7" s="1"/>
  <c r="S57" i="7" s="1"/>
  <c r="U57" i="7"/>
  <c r="E70" i="7"/>
  <c r="T70" i="7" s="1"/>
  <c r="S70" i="7" s="1"/>
  <c r="U70" i="7"/>
  <c r="E46" i="7"/>
  <c r="T46" i="7" s="1"/>
  <c r="S46" i="7" s="1"/>
  <c r="U46" i="7"/>
  <c r="E72" i="7"/>
  <c r="T72" i="7" s="1"/>
  <c r="S72" i="7" s="1"/>
  <c r="U72" i="7"/>
  <c r="E64" i="7"/>
  <c r="T64" i="7" s="1"/>
  <c r="S64" i="7" s="1"/>
  <c r="U64" i="7"/>
  <c r="E56" i="7"/>
  <c r="T56" i="7" s="1"/>
  <c r="S56" i="7" s="1"/>
  <c r="U56" i="7"/>
  <c r="E48" i="7"/>
  <c r="T48" i="7" s="1"/>
  <c r="S48" i="7" s="1"/>
  <c r="U48" i="7"/>
  <c r="E40" i="7"/>
  <c r="T40" i="7" s="1"/>
  <c r="S40" i="7" s="1"/>
  <c r="U40" i="7"/>
  <c r="E32" i="7"/>
  <c r="T32" i="7" s="1"/>
  <c r="S32" i="7" s="1"/>
  <c r="U32" i="7"/>
  <c r="E71" i="7"/>
  <c r="T71" i="7" s="1"/>
  <c r="S71" i="7" s="1"/>
  <c r="U71" i="7"/>
  <c r="E31" i="7"/>
  <c r="T31" i="7" s="1"/>
  <c r="S31" i="7" s="1"/>
  <c r="U31" i="7"/>
  <c r="E77" i="7"/>
  <c r="T77" i="7" s="1"/>
  <c r="S77" i="7" s="1"/>
  <c r="U77" i="7"/>
  <c r="E69" i="7"/>
  <c r="T69" i="7" s="1"/>
  <c r="S69" i="7" s="1"/>
  <c r="U69" i="7"/>
  <c r="E61" i="7"/>
  <c r="T61" i="7" s="1"/>
  <c r="S61" i="7" s="1"/>
  <c r="U61" i="7"/>
  <c r="E53" i="7"/>
  <c r="T53" i="7" s="1"/>
  <c r="S53" i="7" s="1"/>
  <c r="U53" i="7"/>
  <c r="E45" i="7"/>
  <c r="T45" i="7" s="1"/>
  <c r="S45" i="7" s="1"/>
  <c r="U45" i="7"/>
  <c r="E37" i="7"/>
  <c r="T37" i="7" s="1"/>
  <c r="S37" i="7" s="1"/>
  <c r="U37" i="7"/>
  <c r="E29" i="7"/>
  <c r="T29" i="7" s="1"/>
  <c r="S29" i="7" s="1"/>
  <c r="U29" i="7"/>
  <c r="E74" i="7"/>
  <c r="T74" i="7" s="1"/>
  <c r="S74" i="7" s="1"/>
  <c r="U74" i="7"/>
  <c r="E66" i="7"/>
  <c r="T66" i="7" s="1"/>
  <c r="S66" i="7" s="1"/>
  <c r="U66" i="7"/>
  <c r="E58" i="7"/>
  <c r="T58" i="7" s="1"/>
  <c r="S58" i="7" s="1"/>
  <c r="U58" i="7"/>
  <c r="E50" i="7"/>
  <c r="T50" i="7" s="1"/>
  <c r="S50" i="7" s="1"/>
  <c r="U50" i="7"/>
  <c r="E42" i="7"/>
  <c r="T42" i="7" s="1"/>
  <c r="S42" i="7" s="1"/>
  <c r="U42" i="7"/>
  <c r="E34" i="7"/>
  <c r="T34" i="7" s="1"/>
  <c r="S34" i="7" s="1"/>
  <c r="U34" i="7"/>
  <c r="E26" i="7"/>
  <c r="T26" i="7" s="1"/>
  <c r="S26" i="7" s="1"/>
  <c r="U26" i="7"/>
  <c r="R24" i="7"/>
  <c r="N24" i="7" s="1"/>
  <c r="R75" i="7"/>
  <c r="N75" i="7" s="1"/>
  <c r="R23" i="7"/>
  <c r="N23" i="7" s="1"/>
  <c r="R25" i="7"/>
  <c r="N25" i="7" s="1"/>
  <c r="R22" i="7"/>
  <c r="N22" i="7" s="1"/>
  <c r="R21" i="7"/>
  <c r="N21" i="7" s="1"/>
  <c r="R20" i="7"/>
  <c r="N20" i="7" s="1"/>
  <c r="R19" i="7"/>
  <c r="N19" i="7" s="1"/>
  <c r="R18" i="7"/>
  <c r="N18" i="7" s="1"/>
  <c r="R17" i="7"/>
  <c r="N17" i="7" s="1"/>
  <c r="K25" i="7"/>
  <c r="M25" i="7" s="1"/>
  <c r="O25" i="7" s="1"/>
  <c r="K19" i="7"/>
  <c r="M19" i="7" s="1"/>
  <c r="K18" i="7"/>
  <c r="M18" i="7" s="1"/>
  <c r="O18" i="7" s="1"/>
  <c r="K22" i="7"/>
  <c r="M22" i="7" s="1"/>
  <c r="K20" i="7"/>
  <c r="M20" i="7" s="1"/>
  <c r="O20" i="7" s="1"/>
  <c r="K75" i="7"/>
  <c r="M75" i="7" s="1"/>
  <c r="O75" i="7" s="1"/>
  <c r="K21" i="7"/>
  <c r="M21" i="7" s="1"/>
  <c r="O21" i="7" s="1"/>
  <c r="K24" i="7"/>
  <c r="M24" i="7" s="1"/>
  <c r="K23" i="7"/>
  <c r="M23" i="7" s="1"/>
  <c r="O23" i="7" s="1"/>
  <c r="Q39" i="7"/>
  <c r="Q63" i="7"/>
  <c r="Q26" i="7"/>
  <c r="L37" i="7"/>
  <c r="Q58" i="7"/>
  <c r="Q57" i="7"/>
  <c r="L58" i="7"/>
  <c r="Q28" i="7"/>
  <c r="Q42" i="7"/>
  <c r="L45" i="7"/>
  <c r="Q43" i="7"/>
  <c r="L46" i="7"/>
  <c r="L27" i="7"/>
  <c r="L38" i="7"/>
  <c r="Q47" i="7"/>
  <c r="Q36" i="7"/>
  <c r="L67" i="7"/>
  <c r="L39" i="7"/>
  <c r="Q69" i="7"/>
  <c r="L26" i="7"/>
  <c r="Q33" i="7"/>
  <c r="L44" i="7"/>
  <c r="Q41" i="7"/>
  <c r="L40" i="7"/>
  <c r="Q49" i="7"/>
  <c r="L33" i="7"/>
  <c r="L69" i="7"/>
  <c r="L78" i="7"/>
  <c r="Q29" i="7"/>
  <c r="Q31" i="7"/>
  <c r="L43" i="7"/>
  <c r="L30" i="7"/>
  <c r="Q55" i="7"/>
  <c r="L34" i="7"/>
  <c r="Q72" i="7"/>
  <c r="Q67" i="7"/>
  <c r="L49" i="7"/>
  <c r="L29" i="7"/>
  <c r="Q44" i="7"/>
  <c r="Q38" i="7"/>
  <c r="L42" i="7"/>
  <c r="L76" i="7"/>
  <c r="Q35" i="7"/>
  <c r="L64" i="7"/>
  <c r="Q50" i="7"/>
  <c r="Q40" i="7"/>
  <c r="Q48" i="7"/>
  <c r="Q53" i="7"/>
  <c r="Q54" i="7"/>
  <c r="L51" i="7"/>
  <c r="Q78" i="7"/>
  <c r="L53" i="7"/>
  <c r="Q56" i="7"/>
  <c r="Q51" i="7"/>
  <c r="L63" i="7"/>
  <c r="L48" i="7"/>
  <c r="L35" i="7"/>
  <c r="L68" i="7"/>
  <c r="L56" i="7"/>
  <c r="L60" i="7"/>
  <c r="L72" i="7"/>
  <c r="Q77" i="7"/>
  <c r="Q74" i="7"/>
  <c r="Q65" i="7"/>
  <c r="L31" i="7"/>
  <c r="L54" i="7"/>
  <c r="Q76" i="7"/>
  <c r="Q46" i="7"/>
  <c r="L65" i="7"/>
  <c r="L52" i="7"/>
  <c r="L55" i="7"/>
  <c r="Q64" i="7"/>
  <c r="Q68" i="7"/>
  <c r="L57" i="7"/>
  <c r="L36" i="7"/>
  <c r="Q37" i="7"/>
  <c r="L62" i="7"/>
  <c r="Q52" i="7"/>
  <c r="L77" i="7"/>
  <c r="L59" i="7"/>
  <c r="L74" i="7"/>
  <c r="Q66" i="7"/>
  <c r="Q61" i="7"/>
  <c r="Q30" i="7"/>
  <c r="L41" i="7"/>
  <c r="Q27" i="7"/>
  <c r="Q34" i="7"/>
  <c r="Q62" i="7"/>
  <c r="L50" i="7"/>
  <c r="L61" i="7"/>
  <c r="L66" i="7"/>
  <c r="L71" i="7"/>
  <c r="Q45" i="7"/>
  <c r="Q71" i="7"/>
  <c r="L28" i="7"/>
  <c r="Q70" i="7"/>
  <c r="Q73" i="7"/>
  <c r="L32" i="7"/>
  <c r="Q60" i="7"/>
  <c r="Q32" i="7"/>
  <c r="Q59" i="7"/>
  <c r="L73" i="7"/>
  <c r="L70" i="7"/>
  <c r="L47" i="7"/>
  <c r="O22" i="7" l="1"/>
  <c r="O19" i="7"/>
  <c r="O24" i="7"/>
  <c r="I75" i="7"/>
  <c r="K74" i="7"/>
  <c r="M74" i="7" s="1"/>
  <c r="R74" i="7"/>
  <c r="N74" i="7" s="1"/>
  <c r="R48" i="7"/>
  <c r="N48" i="7" s="1"/>
  <c r="K48" i="7"/>
  <c r="M48" i="7" s="1"/>
  <c r="O48" i="7" s="1"/>
  <c r="K26" i="7"/>
  <c r="M26" i="7" s="1"/>
  <c r="O26" i="7" s="1"/>
  <c r="R26" i="7"/>
  <c r="N26" i="7" s="1"/>
  <c r="R58" i="7"/>
  <c r="N58" i="7" s="1"/>
  <c r="K58" i="7"/>
  <c r="M58" i="7" s="1"/>
  <c r="O58" i="7" s="1"/>
  <c r="K37" i="7"/>
  <c r="M37" i="7" s="1"/>
  <c r="R37" i="7"/>
  <c r="N37" i="7" s="1"/>
  <c r="K69" i="7"/>
  <c r="M69" i="7" s="1"/>
  <c r="R69" i="7"/>
  <c r="N69" i="7" s="1"/>
  <c r="K32" i="7"/>
  <c r="M32" i="7" s="1"/>
  <c r="O32" i="7" s="1"/>
  <c r="R32" i="7"/>
  <c r="N32" i="7" s="1"/>
  <c r="R64" i="7"/>
  <c r="N64" i="7" s="1"/>
  <c r="K57" i="7"/>
  <c r="M57" i="7" s="1"/>
  <c r="R57" i="7"/>
  <c r="N57" i="7" s="1"/>
  <c r="R35" i="7"/>
  <c r="N35" i="7" s="1"/>
  <c r="K35" i="7"/>
  <c r="M35" i="7" s="1"/>
  <c r="O35" i="7" s="1"/>
  <c r="R67" i="7"/>
  <c r="N67" i="7" s="1"/>
  <c r="K67" i="7"/>
  <c r="M67" i="7" s="1"/>
  <c r="R62" i="7"/>
  <c r="N62" i="7" s="1"/>
  <c r="R63" i="7"/>
  <c r="N63" i="7" s="1"/>
  <c r="K63" i="7"/>
  <c r="M63" i="7" s="1"/>
  <c r="O63" i="7" s="1"/>
  <c r="R73" i="7"/>
  <c r="N73" i="7" s="1"/>
  <c r="K73" i="7"/>
  <c r="M73" i="7" s="1"/>
  <c r="O73" i="7" s="1"/>
  <c r="R47" i="7"/>
  <c r="N47" i="7" s="1"/>
  <c r="K47" i="7"/>
  <c r="M47" i="7" s="1"/>
  <c r="O47" i="7" s="1"/>
  <c r="R60" i="7"/>
  <c r="N60" i="7" s="1"/>
  <c r="K53" i="7"/>
  <c r="M53" i="7" s="1"/>
  <c r="O53" i="7" s="1"/>
  <c r="R53" i="7"/>
  <c r="N53" i="7" s="1"/>
  <c r="R46" i="7"/>
  <c r="N46" i="7" s="1"/>
  <c r="R66" i="7"/>
  <c r="N66" i="7" s="1"/>
  <c r="K66" i="7"/>
  <c r="M66" i="7" s="1"/>
  <c r="O66" i="7" s="1"/>
  <c r="R45" i="7"/>
  <c r="N45" i="7" s="1"/>
  <c r="K45" i="7"/>
  <c r="M45" i="7" s="1"/>
  <c r="O45" i="7" s="1"/>
  <c r="K77" i="7"/>
  <c r="M77" i="7" s="1"/>
  <c r="O77" i="7" s="1"/>
  <c r="R77" i="7"/>
  <c r="N77" i="7" s="1"/>
  <c r="R40" i="7"/>
  <c r="N40" i="7" s="1"/>
  <c r="R72" i="7"/>
  <c r="N72" i="7" s="1"/>
  <c r="R65" i="7"/>
  <c r="N65" i="7" s="1"/>
  <c r="R43" i="7"/>
  <c r="N43" i="7" s="1"/>
  <c r="K43" i="7"/>
  <c r="M43" i="7" s="1"/>
  <c r="O43" i="7" s="1"/>
  <c r="K30" i="7"/>
  <c r="M30" i="7" s="1"/>
  <c r="O30" i="7" s="1"/>
  <c r="R78" i="7"/>
  <c r="N78" i="7" s="1"/>
  <c r="R33" i="7"/>
  <c r="N33" i="7" s="1"/>
  <c r="K33" i="7"/>
  <c r="M33" i="7" s="1"/>
  <c r="O33" i="7" s="1"/>
  <c r="R36" i="7"/>
  <c r="N36" i="7" s="1"/>
  <c r="R55" i="7"/>
  <c r="N55" i="7" s="1"/>
  <c r="K55" i="7"/>
  <c r="M55" i="7" s="1"/>
  <c r="O55" i="7" s="1"/>
  <c r="R34" i="7"/>
  <c r="N34" i="7" s="1"/>
  <c r="K28" i="7"/>
  <c r="M28" i="7" s="1"/>
  <c r="O28" i="7" s="1"/>
  <c r="R76" i="7"/>
  <c r="N76" i="7" s="1"/>
  <c r="K76" i="7"/>
  <c r="M76" i="7" s="1"/>
  <c r="O76" i="7" s="1"/>
  <c r="K42" i="7"/>
  <c r="M42" i="7" s="1"/>
  <c r="R42" i="7"/>
  <c r="N42" i="7" s="1"/>
  <c r="R31" i="7"/>
  <c r="N31" i="7" s="1"/>
  <c r="K31" i="7"/>
  <c r="M31" i="7" s="1"/>
  <c r="O31" i="7" s="1"/>
  <c r="R51" i="7"/>
  <c r="N51" i="7" s="1"/>
  <c r="K51" i="7"/>
  <c r="M51" i="7" s="1"/>
  <c r="O51" i="7" s="1"/>
  <c r="R38" i="7"/>
  <c r="N38" i="7" s="1"/>
  <c r="K38" i="7"/>
  <c r="M38" i="7" s="1"/>
  <c r="O38" i="7" s="1"/>
  <c r="K41" i="7"/>
  <c r="M41" i="7" s="1"/>
  <c r="O41" i="7" s="1"/>
  <c r="R41" i="7"/>
  <c r="N41" i="7" s="1"/>
  <c r="R44" i="7"/>
  <c r="N44" i="7" s="1"/>
  <c r="R50" i="7"/>
  <c r="N50" i="7" s="1"/>
  <c r="R29" i="7"/>
  <c r="N29" i="7" s="1"/>
  <c r="K29" i="7"/>
  <c r="M29" i="7" s="1"/>
  <c r="O29" i="7" s="1"/>
  <c r="R61" i="7"/>
  <c r="N61" i="7" s="1"/>
  <c r="K61" i="7"/>
  <c r="M61" i="7" s="1"/>
  <c r="O61" i="7" s="1"/>
  <c r="K71" i="7"/>
  <c r="M71" i="7" s="1"/>
  <c r="O71" i="7" s="1"/>
  <c r="R71" i="7"/>
  <c r="N71" i="7" s="1"/>
  <c r="R56" i="7"/>
  <c r="N56" i="7" s="1"/>
  <c r="R70" i="7"/>
  <c r="N70" i="7" s="1"/>
  <c r="R27" i="7"/>
  <c r="N27" i="7" s="1"/>
  <c r="K27" i="7"/>
  <c r="M27" i="7" s="1"/>
  <c r="O27" i="7" s="1"/>
  <c r="R59" i="7"/>
  <c r="N59" i="7" s="1"/>
  <c r="K59" i="7"/>
  <c r="M59" i="7" s="1"/>
  <c r="O59" i="7" s="1"/>
  <c r="R54" i="7"/>
  <c r="N54" i="7" s="1"/>
  <c r="K54" i="7"/>
  <c r="M54" i="7" s="1"/>
  <c r="R68" i="7"/>
  <c r="N68" i="7" s="1"/>
  <c r="R49" i="7"/>
  <c r="N49" i="7" s="1"/>
  <c r="R52" i="7"/>
  <c r="N52" i="7" s="1"/>
  <c r="K39" i="7"/>
  <c r="M39" i="7" s="1"/>
  <c r="O39" i="7" s="1"/>
  <c r="R39" i="7"/>
  <c r="N39" i="7" s="1"/>
  <c r="I24" i="7"/>
  <c r="I25" i="7"/>
  <c r="I21" i="7"/>
  <c r="I23" i="7"/>
  <c r="I20" i="7"/>
  <c r="I19" i="7"/>
  <c r="I22" i="7"/>
  <c r="I18" i="7"/>
  <c r="R28" i="7"/>
  <c r="N28" i="7" s="1"/>
  <c r="R30" i="7"/>
  <c r="N30" i="7" s="1"/>
  <c r="H127" i="7"/>
  <c r="I127" i="7" s="1"/>
  <c r="K65" i="7"/>
  <c r="M65" i="7" s="1"/>
  <c r="O65" i="7" s="1"/>
  <c r="K56" i="7"/>
  <c r="M56" i="7" s="1"/>
  <c r="O56" i="7" s="1"/>
  <c r="K34" i="7"/>
  <c r="M34" i="7" s="1"/>
  <c r="O34" i="7" s="1"/>
  <c r="K70" i="7"/>
  <c r="M70" i="7" s="1"/>
  <c r="O70" i="7" s="1"/>
  <c r="K40" i="7"/>
  <c r="M40" i="7" s="1"/>
  <c r="O40" i="7" s="1"/>
  <c r="K72" i="7"/>
  <c r="M72" i="7" s="1"/>
  <c r="O72" i="7" s="1"/>
  <c r="K46" i="7"/>
  <c r="M46" i="7" s="1"/>
  <c r="O46" i="7" s="1"/>
  <c r="K49" i="7"/>
  <c r="M49" i="7" s="1"/>
  <c r="O49" i="7" s="1"/>
  <c r="K60" i="7"/>
  <c r="M60" i="7" s="1"/>
  <c r="O60" i="7" s="1"/>
  <c r="K78" i="7"/>
  <c r="M78" i="7" s="1"/>
  <c r="O78" i="7" s="1"/>
  <c r="K68" i="7"/>
  <c r="M68" i="7" s="1"/>
  <c r="O68" i="7" s="1"/>
  <c r="K36" i="7"/>
  <c r="M36" i="7" s="1"/>
  <c r="O36" i="7" s="1"/>
  <c r="K64" i="7"/>
  <c r="M64" i="7" s="1"/>
  <c r="O64" i="7" s="1"/>
  <c r="K44" i="7"/>
  <c r="M44" i="7" s="1"/>
  <c r="O44" i="7" s="1"/>
  <c r="K50" i="7"/>
  <c r="M50" i="7" s="1"/>
  <c r="O50" i="7" s="1"/>
  <c r="K52" i="7"/>
  <c r="M52" i="7" s="1"/>
  <c r="O52" i="7" s="1"/>
  <c r="K62" i="7"/>
  <c r="M62" i="7" s="1"/>
  <c r="O62" i="7" s="1"/>
  <c r="AW23" i="12"/>
  <c r="AW22" i="12"/>
  <c r="AW21" i="12"/>
  <c r="AW20" i="12"/>
  <c r="AW19" i="12"/>
  <c r="AW18" i="12"/>
  <c r="AW17" i="12"/>
  <c r="AW16" i="12"/>
  <c r="AW15" i="12"/>
  <c r="AW14" i="12"/>
  <c r="AW13" i="12"/>
  <c r="AY13" i="12"/>
  <c r="O69" i="7" l="1"/>
  <c r="O37" i="7"/>
  <c r="O74" i="7"/>
  <c r="O54" i="7"/>
  <c r="O57" i="7"/>
  <c r="O42" i="7"/>
  <c r="O67" i="7"/>
  <c r="I74" i="7"/>
  <c r="I62" i="7"/>
  <c r="I65" i="7"/>
  <c r="I54" i="7"/>
  <c r="I57" i="7"/>
  <c r="I58" i="7"/>
  <c r="I49" i="7"/>
  <c r="I42" i="7"/>
  <c r="I59" i="7"/>
  <c r="I61" i="7"/>
  <c r="I38" i="7"/>
  <c r="I76" i="7"/>
  <c r="I53" i="7"/>
  <c r="I44" i="7"/>
  <c r="I72" i="7"/>
  <c r="I77" i="7"/>
  <c r="I67" i="7"/>
  <c r="I32" i="7"/>
  <c r="I26" i="7"/>
  <c r="I56" i="7"/>
  <c r="I37" i="7"/>
  <c r="I71" i="7"/>
  <c r="I46" i="7"/>
  <c r="I64" i="7"/>
  <c r="I39" i="7"/>
  <c r="I29" i="7"/>
  <c r="I28" i="7"/>
  <c r="I43" i="7"/>
  <c r="I35" i="7"/>
  <c r="I69" i="7"/>
  <c r="I78" i="7"/>
  <c r="I60" i="7"/>
  <c r="I63" i="7"/>
  <c r="I52" i="7"/>
  <c r="I41" i="7"/>
  <c r="I33" i="7"/>
  <c r="I50" i="7"/>
  <c r="I40" i="7"/>
  <c r="I27" i="7"/>
  <c r="I51" i="7"/>
  <c r="I30" i="7"/>
  <c r="I45" i="7"/>
  <c r="I47" i="7"/>
  <c r="I48" i="7"/>
  <c r="I36" i="7"/>
  <c r="I70" i="7"/>
  <c r="I68" i="7"/>
  <c r="I34" i="7"/>
  <c r="I31" i="7"/>
  <c r="I55" i="7"/>
  <c r="I66" i="7"/>
  <c r="I73" i="7"/>
  <c r="I129" i="7"/>
  <c r="H129" i="7"/>
  <c r="AY34" i="12"/>
  <c r="AY35" i="12"/>
  <c r="AY36" i="12"/>
  <c r="AY33" i="12"/>
  <c r="AY30" i="12"/>
  <c r="AY31" i="12"/>
  <c r="AY28" i="12"/>
  <c r="AY26" i="12"/>
  <c r="AY25" i="12"/>
  <c r="AY20" i="12"/>
  <c r="AY21" i="12"/>
  <c r="AY22" i="12"/>
  <c r="AY23" i="12"/>
  <c r="AY19" i="12"/>
  <c r="AY14" i="12"/>
  <c r="AY15" i="12"/>
  <c r="AY16" i="12"/>
  <c r="AY17" i="12"/>
  <c r="V17" i="7" l="1"/>
  <c r="L17" i="7"/>
  <c r="K17" i="7" l="1"/>
  <c r="M17" i="7" s="1"/>
  <c r="O17" i="7" s="1"/>
  <c r="AV23" i="12"/>
  <c r="AV22" i="12"/>
  <c r="AV21" i="12"/>
  <c r="AV20" i="12"/>
  <c r="AV19" i="12"/>
  <c r="AV18" i="12"/>
  <c r="AV17" i="12"/>
  <c r="AV16" i="12"/>
  <c r="AV15" i="12"/>
  <c r="AV14" i="12"/>
  <c r="AV13" i="12"/>
  <c r="AY38" i="12" l="1"/>
  <c r="AT5" i="12"/>
  <c r="AT4" i="12"/>
  <c r="AT3" i="12"/>
  <c r="B45" i="8" l="1"/>
  <c r="C51" i="8"/>
  <c r="C50" i="8"/>
  <c r="B51" i="8"/>
  <c r="B50" i="8"/>
  <c r="B49" i="8"/>
  <c r="B46" i="8"/>
  <c r="D42" i="8"/>
  <c r="H23" i="8"/>
  <c r="H16" i="8"/>
  <c r="C48" i="8" l="1"/>
  <c r="H30" i="8"/>
  <c r="K42" i="8"/>
  <c r="J48" i="8"/>
  <c r="M40" i="8" s="1"/>
  <c r="M43" i="8" s="1"/>
  <c r="F17" i="8" l="1"/>
  <c r="M42" i="8"/>
  <c r="F21" i="8" l="1"/>
  <c r="G21" i="8" l="1"/>
  <c r="H21" i="8" s="1"/>
  <c r="J21" i="8" l="1"/>
  <c r="I21" i="8"/>
  <c r="B47" i="8"/>
  <c r="C49" i="8" s="1"/>
  <c r="F40" i="8" l="1"/>
  <c r="F42" i="8" l="1"/>
  <c r="F43" i="8"/>
  <c r="AT2" i="12"/>
  <c r="K123" i="7"/>
  <c r="AY39" i="12" l="1"/>
  <c r="AY40" i="12"/>
  <c r="W122" i="7" l="1"/>
  <c r="I121" i="7" s="1"/>
  <c r="I124" i="7" s="1"/>
  <c r="F3" i="8"/>
  <c r="E17" i="10"/>
  <c r="F17" i="10" s="1"/>
  <c r="E18" i="10"/>
  <c r="F18" i="10" s="1"/>
  <c r="E19" i="10"/>
  <c r="F19" i="10" s="1"/>
  <c r="E20" i="10"/>
  <c r="F20" i="10" s="1"/>
  <c r="E21" i="10"/>
  <c r="F21" i="10" s="1"/>
  <c r="E22" i="10"/>
  <c r="F22" i="10" s="1"/>
  <c r="E23" i="10"/>
  <c r="F23" i="10" s="1"/>
  <c r="E24" i="10"/>
  <c r="F24" i="10" s="1"/>
  <c r="E25" i="10"/>
  <c r="E26" i="10"/>
  <c r="E27" i="10"/>
  <c r="E28" i="10"/>
  <c r="E29" i="10"/>
  <c r="E30" i="10"/>
  <c r="E31" i="10"/>
  <c r="E32" i="10"/>
  <c r="E33" i="10"/>
  <c r="E34" i="10"/>
  <c r="E35" i="10"/>
  <c r="E36" i="10"/>
  <c r="E37" i="10"/>
  <c r="E38" i="10"/>
  <c r="E16" i="10"/>
  <c r="F7" i="8" l="1"/>
  <c r="J121" i="7"/>
  <c r="F16" i="10"/>
  <c r="F26" i="10" s="1"/>
  <c r="E39" i="10"/>
  <c r="F31" i="8"/>
  <c r="F35" i="8" s="1"/>
  <c r="G35" i="8" s="1"/>
  <c r="H36" i="8" s="1"/>
  <c r="I14" i="8"/>
  <c r="I17" i="7" l="1"/>
  <c r="I81" i="7" s="1"/>
  <c r="G7" i="8"/>
  <c r="J14" i="8"/>
  <c r="H7" i="8" l="1"/>
  <c r="I7" i="8" s="1"/>
  <c r="H8" i="8"/>
  <c r="H35" i="8"/>
  <c r="I35" i="8" s="1"/>
  <c r="J7" i="8" l="1"/>
  <c r="J35" i="8"/>
  <c r="I28" i="8"/>
  <c r="J28" i="8"/>
</calcChain>
</file>

<file path=xl/sharedStrings.xml><?xml version="1.0" encoding="utf-8"?>
<sst xmlns="http://schemas.openxmlformats.org/spreadsheetml/2006/main" count="1122" uniqueCount="684">
  <si>
    <t>STRUCTURE</t>
  </si>
  <si>
    <t>STR #</t>
  </si>
  <si>
    <t>CUT</t>
  </si>
  <si>
    <t>UNIT PRICE</t>
  </si>
  <si>
    <t>1201 Biscayne Drive, Concord, NC 28027</t>
  </si>
  <si>
    <t>Phone: 704-784-2000</t>
  </si>
  <si>
    <t>RIM</t>
  </si>
  <si>
    <t>INV. OUT</t>
  </si>
  <si>
    <t>Std. Price</t>
  </si>
  <si>
    <t>4' Diameter w/ Flat Top</t>
  </si>
  <si>
    <t>5' Diameter w/ Flat Top</t>
  </si>
  <si>
    <t>6' Diameter w/ Flat Top</t>
  </si>
  <si>
    <t>8' Diameter w/ Flat Top</t>
  </si>
  <si>
    <t>Length</t>
  </si>
  <si>
    <t>Width</t>
  </si>
  <si>
    <t>Depth</t>
  </si>
  <si>
    <t>Outside</t>
  </si>
  <si>
    <t>Inside</t>
  </si>
  <si>
    <t>6" Walls</t>
  </si>
  <si>
    <t>8" Walls</t>
  </si>
  <si>
    <t>Open Throat</t>
  </si>
  <si>
    <t>w/ R&amp;C</t>
  </si>
  <si>
    <t>DCB</t>
  </si>
  <si>
    <t xml:space="preserve">27" x 36" x 3' - 4' Solid Box </t>
  </si>
  <si>
    <t>27" x 36" x 4' - 5' Solid Box</t>
  </si>
  <si>
    <t>27" x 36" x 5' - 6' Solid Box</t>
  </si>
  <si>
    <t>Date</t>
  </si>
  <si>
    <t>DESCRIPTION</t>
  </si>
  <si>
    <t>3X3</t>
  </si>
  <si>
    <t>4X4</t>
  </si>
  <si>
    <t>3X4</t>
  </si>
  <si>
    <t>Customer:</t>
  </si>
  <si>
    <t>Quote Valid:</t>
  </si>
  <si>
    <t>Delivery</t>
  </si>
  <si>
    <t>FOB Site</t>
  </si>
  <si>
    <t>Job Name:</t>
  </si>
  <si>
    <t>Payment</t>
  </si>
  <si>
    <t>NET30</t>
  </si>
  <si>
    <t>Location:</t>
  </si>
  <si>
    <t>4531 NC Hwy 16, Denver, NC 28037</t>
  </si>
  <si>
    <t>Please indicate your acceptance of this proposal by signing below and returning.</t>
  </si>
  <si>
    <t>Accepted by:</t>
  </si>
  <si>
    <t>(Customer Signature)</t>
  </si>
  <si>
    <t>www.precastsupply.net</t>
  </si>
  <si>
    <t>Description</t>
  </si>
  <si>
    <t>Per Unit</t>
  </si>
  <si>
    <t>O: 704-483-2363</t>
  </si>
  <si>
    <t>O: 704-784-2000</t>
  </si>
  <si>
    <t>BID ITEM #</t>
  </si>
  <si>
    <t>Plan Date:</t>
  </si>
  <si>
    <t>Estimator</t>
  </si>
  <si>
    <t xml:space="preserve">        /           /</t>
  </si>
  <si>
    <t>Signature</t>
  </si>
  <si>
    <t>Customer</t>
  </si>
  <si>
    <t>Project</t>
  </si>
  <si>
    <t>Location</t>
  </si>
  <si>
    <t xml:space="preserve">Estimator </t>
  </si>
  <si>
    <t>Quote Valid</t>
  </si>
  <si>
    <t>A. INCLUSIONS</t>
  </si>
  <si>
    <t>1. Delivery to the project site on flatbed trailers. Actual Address to be provided.</t>
  </si>
  <si>
    <t xml:space="preserve">5. Standard submittal drawings are assumed acceptable for submittals. Special drawings may incur additional charges. </t>
  </si>
  <si>
    <t>B. EXCLUSIONS</t>
  </si>
  <si>
    <t>1. State or local sales or use taxes is not included in the structure or total pricing.</t>
  </si>
  <si>
    <t>2. Unloading, setting, or installing any components quoted herein.</t>
  </si>
  <si>
    <t>4. Proposal values do not include structural design services, drawings and/or calculations unless specifically noted in proposal.</t>
  </si>
  <si>
    <t>5. Exterior or interior concrete coating, or mix additives not specifically identified in piece description are not included.</t>
  </si>
  <si>
    <t xml:space="preserve">6. Expanded bases are not included on any structure, unless specifically called out. Contractor to CIP in the field. </t>
  </si>
  <si>
    <t xml:space="preserve">7. Outside Joint wrap and sealant are not included with storm structures. </t>
  </si>
  <si>
    <t xml:space="preserve">8. Offset Catch Basin quoting based on weir opening at centerline of pipe. Contractor to CIP flume extending structure to curb line. </t>
  </si>
  <si>
    <t>C. PROJECT NOTES</t>
  </si>
  <si>
    <t>1. TBD</t>
  </si>
  <si>
    <t>2. TBD</t>
  </si>
  <si>
    <t>D. CONDITIONS</t>
  </si>
  <si>
    <t xml:space="preserve">4. The Purchaser is responsible to provide safe and sufficient access for tractor trailer delivery. </t>
  </si>
  <si>
    <t>8. Prepaid orders can be paid by credit card with a 3.5% processing fee or can be paid in advance by check.</t>
  </si>
  <si>
    <t>6. Expanded bases are not included on any structure, unless specifically called out. Contractor to CIP in the field.</t>
  </si>
  <si>
    <t>9. All cuts that are in RED need to be verified due to inaccuracy or no information. Budget numbers were added</t>
  </si>
  <si>
    <t xml:space="preserve">3. The Purchaser is responsible to provide safe and sufficient access for tractor trailer delivery. </t>
  </si>
  <si>
    <t>5. Prepaid orders can be paid by credit card with a 3.5% processing fee or can be paid in advance by check.</t>
  </si>
  <si>
    <t xml:space="preserve">8. Unless otherwise agreed upon by seller, proposal is not subject to any Retainage fees </t>
  </si>
  <si>
    <t>3. Sanitary Sewer MH pricing include appropriate boots, precast and joint sealant as delineated.</t>
  </si>
  <si>
    <t>3. Any items not specifically call out in the proposal, including  castings, trash racks, ballast/sump concrete and/or baffle walls.</t>
  </si>
  <si>
    <t xml:space="preserve">10. Trash racks are priced per verbiage and standard designs available from mfg. only. Spec drawings will be provided for approval. </t>
  </si>
  <si>
    <t>1. Any Revisions to plans voids quote in entirety and is subject to requoting.</t>
  </si>
  <si>
    <t>Printed Name/Title</t>
  </si>
  <si>
    <t>11.  No concessions have been made to seal pipe penetrations on the storm structures. Sealing methods are responsibility of contractors.</t>
  </si>
  <si>
    <t xml:space="preserve">7. Outside Joint wrap and sealant are not included with storm structures, unless otherwise noted.  </t>
  </si>
  <si>
    <t xml:space="preserve">                   www.dellingreprecast.com</t>
  </si>
  <si>
    <t>5x5</t>
  </si>
  <si>
    <t>6x6</t>
  </si>
  <si>
    <t>Panel forms &gt;6x6</t>
  </si>
  <si>
    <t>Vaults</t>
  </si>
  <si>
    <t>OCS</t>
  </si>
  <si>
    <t>Plan Date/REV</t>
  </si>
  <si>
    <t>Freight</t>
  </si>
  <si>
    <t>Zone</t>
  </si>
  <si>
    <t>NC Counties</t>
  </si>
  <si>
    <t>SC Countries</t>
  </si>
  <si>
    <t>TBD</t>
  </si>
  <si>
    <r>
      <rPr>
        <b/>
        <sz val="12"/>
        <color indexed="10"/>
        <rFont val="Calibri"/>
        <family val="2"/>
      </rPr>
      <t>*</t>
    </r>
    <r>
      <rPr>
        <b/>
        <sz val="12"/>
        <color indexed="8"/>
        <rFont val="Calibri"/>
        <family val="2"/>
      </rPr>
      <t>Quoted Rate</t>
    </r>
  </si>
  <si>
    <t>Precast Height</t>
  </si>
  <si>
    <t>4' Diameter Doghouse w/Flat Top</t>
  </si>
  <si>
    <t>5' Diameter Doghouse w/Flat Top</t>
  </si>
  <si>
    <t>6' Diameter Doghouse w/Flat Top</t>
  </si>
  <si>
    <t>8' Diameter Doghouse w/Flat Top</t>
  </si>
  <si>
    <t>10' Diameter w/ Flat Top</t>
  </si>
  <si>
    <t>10' Diameter Doghouse w/Flat Top</t>
  </si>
  <si>
    <t>12' Diameter w/ Flat Top</t>
  </si>
  <si>
    <t>12' Diameter Doghouse w/Flat Top</t>
  </si>
  <si>
    <t>27" x 36" x 6' - 7' Solid Box</t>
  </si>
  <si>
    <t>27" x 36" x 7' - 8' Solid Box</t>
  </si>
  <si>
    <t>27" x 36" x 8' - 9' Solid Box</t>
  </si>
  <si>
    <t>4' Diameter Sewer MH with Invert</t>
  </si>
  <si>
    <t>5' Diameter Doghouse</t>
  </si>
  <si>
    <t>5' Diameter Sewer MH with Invert</t>
  </si>
  <si>
    <t xml:space="preserve">Estimator Freight Pricing Tool used on all Quotes </t>
  </si>
  <si>
    <t>QTY</t>
  </si>
  <si>
    <t>Total</t>
  </si>
  <si>
    <t>Pipe DIA.</t>
  </si>
  <si>
    <t>Quote Date</t>
  </si>
  <si>
    <t>2. Joint wrap (JW) included only with SS Manholes, as delineated by unit quantity and price. Additional joint wrap shall be charged at the yard price rate minus any potential discounts.</t>
  </si>
  <si>
    <t xml:space="preserve">        /       /         </t>
  </si>
  <si>
    <t>Extra</t>
  </si>
  <si>
    <t>Danny Gallegos</t>
  </si>
  <si>
    <t>2. Added 4% freight to Freight tiers for Pricing matric Late June 2021</t>
  </si>
  <si>
    <t>LIST POPULATION DO NOT TOUCH</t>
  </si>
  <si>
    <t>Info Table</t>
  </si>
  <si>
    <t>3x3, 4x4, 3x4 CY Price</t>
  </si>
  <si>
    <t>Custom Structure CY Price</t>
  </si>
  <si>
    <t>LOOKUP CODES</t>
  </si>
  <si>
    <t>Boot Size</t>
  </si>
  <si>
    <t>Cost per VF</t>
  </si>
  <si>
    <t>Adders</t>
  </si>
  <si>
    <t>Product</t>
  </si>
  <si>
    <t>4' Diameter Doghouse</t>
  </si>
  <si>
    <t>6' Diameter Sewer MH with Invert</t>
  </si>
  <si>
    <t>Storm</t>
  </si>
  <si>
    <t>Sewer</t>
  </si>
  <si>
    <t>4" Boot</t>
  </si>
  <si>
    <t>6" Boot</t>
  </si>
  <si>
    <t>8" Boot</t>
  </si>
  <si>
    <t>10" Boot</t>
  </si>
  <si>
    <t>12" Boot</t>
  </si>
  <si>
    <t>15" Boot</t>
  </si>
  <si>
    <t>16" Boot</t>
  </si>
  <si>
    <t>18" Boot</t>
  </si>
  <si>
    <t>20" Boot</t>
  </si>
  <si>
    <t>24" Boot</t>
  </si>
  <si>
    <t>30" Boot</t>
  </si>
  <si>
    <t>42" Boot</t>
  </si>
  <si>
    <t>Cost per Boot</t>
  </si>
  <si>
    <t>Ring and Cover</t>
  </si>
  <si>
    <t>Cast in Fee</t>
  </si>
  <si>
    <t>INSIDE LENGTH</t>
  </si>
  <si>
    <t>INSIDE WIDTH</t>
  </si>
  <si>
    <t>INSIDE HEIGHT</t>
  </si>
  <si>
    <t>WALL THICKNESS</t>
  </si>
  <si>
    <t>LID LENGTH</t>
  </si>
  <si>
    <t>TOTAL CY</t>
  </si>
  <si>
    <t>LID WIDTH</t>
  </si>
  <si>
    <t>LID THICKNESS</t>
  </si>
  <si>
    <t>BASE LENGTH</t>
  </si>
  <si>
    <t>BASE WIDTH</t>
  </si>
  <si>
    <t>BASE THICKNESS</t>
  </si>
  <si>
    <t>Custom Structure w/ Standard Base, Walls and Lid</t>
  </si>
  <si>
    <t>ADDERS</t>
  </si>
  <si>
    <t>Custom Structure and Optional/Custom Lids and/or Base</t>
  </si>
  <si>
    <t>Wrap</t>
  </si>
  <si>
    <t>Outside Joint Wrap (Roll)</t>
  </si>
  <si>
    <t>6X6 CY Price</t>
  </si>
  <si>
    <t xml:space="preserve">          UNIT PRICE PROPOSAL</t>
  </si>
  <si>
    <t>TOTAL</t>
  </si>
  <si>
    <t xml:space="preserve">                             </t>
  </si>
  <si>
    <t>STORM DRAINAGE</t>
  </si>
  <si>
    <t>SANITARY SEWER (UTILITIES)</t>
  </si>
  <si>
    <t>SUB-TOTAL</t>
  </si>
  <si>
    <t xml:space="preserve"> SUB-TOTAL</t>
  </si>
  <si>
    <t>REV</t>
  </si>
  <si>
    <t>Boots #</t>
  </si>
  <si>
    <r>
      <t xml:space="preserve">9. All cuts that are in </t>
    </r>
    <r>
      <rPr>
        <b/>
        <sz val="12"/>
        <color indexed="10"/>
        <rFont val="Calibri"/>
        <family val="2"/>
        <scheme val="minor"/>
      </rPr>
      <t>RED</t>
    </r>
    <r>
      <rPr>
        <sz val="12"/>
        <color indexed="8"/>
        <rFont val="Calibri"/>
        <family val="2"/>
        <scheme val="minor"/>
      </rPr>
      <t xml:space="preserve"> need to be verified due to inaccuracy or no information. Budget numbers were added</t>
    </r>
  </si>
  <si>
    <t>3. formatting changes to the template</t>
  </si>
  <si>
    <t>4. Updated pricing 8/30/21 on calculations page</t>
  </si>
  <si>
    <t>Version Control/Changes</t>
  </si>
  <si>
    <t>NET 30</t>
  </si>
  <si>
    <t>Tyler Mathis</t>
  </si>
  <si>
    <t>0-5' HEIGHT STORM MH W/ Flat Top</t>
  </si>
  <si>
    <t>4' Diameter w/ F</t>
  </si>
  <si>
    <t>5' Diameter w/ F</t>
  </si>
  <si>
    <t>6' Diameter w/ F</t>
  </si>
  <si>
    <t>0-6' HEIGHT SEWER MH, STD BASE W/ Cone</t>
  </si>
  <si>
    <t>4' DIA 0-6' Height, Add Boots</t>
  </si>
  <si>
    <t>5' DIA 0-6' Height, Add Boots</t>
  </si>
  <si>
    <t>6' DIA 0-6' Height, w/ FT only, Add Boots</t>
  </si>
  <si>
    <t>Base Cost</t>
  </si>
  <si>
    <t>4' DIA 0-5' Height, No Boots</t>
  </si>
  <si>
    <t>5' DIA 0-5' Height, No Boots</t>
  </si>
  <si>
    <t>6' DIA 0-5' Height, No Boots</t>
  </si>
  <si>
    <t>4' Diameter Dogh</t>
  </si>
  <si>
    <t>8' Diameter w/ F</t>
  </si>
  <si>
    <t>10' Diameter w/ F</t>
  </si>
  <si>
    <t>12' Diameter w/ F</t>
  </si>
  <si>
    <t>5' Diameter Dogh</t>
  </si>
  <si>
    <t>6' Diameter Dogh</t>
  </si>
  <si>
    <t>8' Diameter Dogh</t>
  </si>
  <si>
    <t>10' Diameter Dogh</t>
  </si>
  <si>
    <t>12' Diameter Dogh</t>
  </si>
  <si>
    <t>NP</t>
  </si>
  <si>
    <t>OP</t>
  </si>
  <si>
    <t>27" x 36'' Solid Box</t>
  </si>
  <si>
    <t>TT</t>
  </si>
  <si>
    <t xml:space="preserve">3'x3' Structure </t>
  </si>
  <si>
    <t>B</t>
  </si>
  <si>
    <t xml:space="preserve">3'x4' Structure </t>
  </si>
  <si>
    <t xml:space="preserve">4'x4' Structure </t>
  </si>
  <si>
    <t xml:space="preserve">5'x5' Structure </t>
  </si>
  <si>
    <t xml:space="preserve">6'x6' Structure </t>
  </si>
  <si>
    <t>4' Diameter Sewe</t>
  </si>
  <si>
    <t>5' Diameter Sewe</t>
  </si>
  <si>
    <t>6' Diameter Sewe</t>
  </si>
  <si>
    <t>3'x3' Structure and Lid</t>
  </si>
  <si>
    <t>3'x4' Structure and Lid</t>
  </si>
  <si>
    <t>4'x4' Structure and Lid</t>
  </si>
  <si>
    <t>5'x5' Structure and Lid</t>
  </si>
  <si>
    <t>6'x6' Structure and Lid</t>
  </si>
  <si>
    <t>27"x36" Box Height</t>
  </si>
  <si>
    <t>Price</t>
  </si>
  <si>
    <t>Alex Bynum</t>
  </si>
  <si>
    <t xml:space="preserve">15", 18" Pipe </t>
  </si>
  <si>
    <t>24" Pipe</t>
  </si>
  <si>
    <t>30", 36" Pipe</t>
  </si>
  <si>
    <t>42", 48" Pipe</t>
  </si>
  <si>
    <t xml:space="preserve">54" 60", 66", 72" Pipe </t>
  </si>
  <si>
    <t>VAULTS</t>
  </si>
  <si>
    <t>1000 Gallon Grease Trap (H20)</t>
  </si>
  <si>
    <t>1500 Gallon Grease Trap (H20)</t>
  </si>
  <si>
    <t>2000 Gallon Grease Trap (H20)</t>
  </si>
  <si>
    <t>5' x 9' x 4' Vault</t>
  </si>
  <si>
    <t>Sarah Gardner</t>
  </si>
  <si>
    <t>Mark Clontz</t>
  </si>
  <si>
    <t>SP</t>
  </si>
  <si>
    <t>15''</t>
  </si>
  <si>
    <t>18''</t>
  </si>
  <si>
    <t>24''</t>
  </si>
  <si>
    <t>30''</t>
  </si>
  <si>
    <t>36''</t>
  </si>
  <si>
    <t>42''</t>
  </si>
  <si>
    <t>48''</t>
  </si>
  <si>
    <t>54''</t>
  </si>
  <si>
    <t>60''</t>
  </si>
  <si>
    <t>66''</t>
  </si>
  <si>
    <t>72''</t>
  </si>
  <si>
    <t>15'' Single End W</t>
  </si>
  <si>
    <t>15'' Double End W</t>
  </si>
  <si>
    <t>18'' Single End W</t>
  </si>
  <si>
    <t>18'' Double End W</t>
  </si>
  <si>
    <t>24'' Single End W</t>
  </si>
  <si>
    <t>24'' Double End W</t>
  </si>
  <si>
    <t>30'' Single End W</t>
  </si>
  <si>
    <t>30'' Double End W</t>
  </si>
  <si>
    <t>36'' Single End W</t>
  </si>
  <si>
    <t>36'' Double End W</t>
  </si>
  <si>
    <t>42'' Single End W</t>
  </si>
  <si>
    <t>42'' Double End W</t>
  </si>
  <si>
    <t>48'' Single End W</t>
  </si>
  <si>
    <t>48'' Double End W</t>
  </si>
  <si>
    <t>15'' Headwall (NC</t>
  </si>
  <si>
    <t>18'' Headwall (NC</t>
  </si>
  <si>
    <t>24'' Headwall (NC</t>
  </si>
  <si>
    <t>30'' Headwall (NC</t>
  </si>
  <si>
    <t>36'' Headwall (NC</t>
  </si>
  <si>
    <t>42'' Headwall (NC</t>
  </si>
  <si>
    <t>48'' Headwall (NC</t>
  </si>
  <si>
    <t>54'' Headwall (NC</t>
  </si>
  <si>
    <t>60'' Headwall (NC</t>
  </si>
  <si>
    <t>66'' Headwall (NC</t>
  </si>
  <si>
    <t>72'' Headwall (NC</t>
  </si>
  <si>
    <t>3' x 3' x 3'  4-</t>
  </si>
  <si>
    <t>3' x 4' x 3'  6-</t>
  </si>
  <si>
    <t>3' x 5' x 3'  8-</t>
  </si>
  <si>
    <t>3' x 6' x 3'  10</t>
  </si>
  <si>
    <t>2' x 3' x 31" Va</t>
  </si>
  <si>
    <t>4' x 6' x 4' Vau</t>
  </si>
  <si>
    <t>4' x 7.5' x 4' V</t>
  </si>
  <si>
    <t>4' x 9' x 4' Vau</t>
  </si>
  <si>
    <t>5' x 7' x 4' Vau</t>
  </si>
  <si>
    <t>5' x 9' x 4' Vau</t>
  </si>
  <si>
    <t>6' x 8' x 5' Vau</t>
  </si>
  <si>
    <t>6' x 8' x 6' Vau</t>
  </si>
  <si>
    <t>HW</t>
  </si>
  <si>
    <t>2' x 3' x 31" Vault</t>
  </si>
  <si>
    <t>4' x 6' x 4' Vault</t>
  </si>
  <si>
    <t>4' x 7.5' x 4' Vault</t>
  </si>
  <si>
    <t>4' x 9' x 4' Vault</t>
  </si>
  <si>
    <t>5' x 7' x 4' Vault</t>
  </si>
  <si>
    <t>6' x 8' x 5' Vault</t>
  </si>
  <si>
    <t>6' x 8' x 6' Vault</t>
  </si>
  <si>
    <t>3' x 3' x 3'  4-Way Manifold Vault</t>
  </si>
  <si>
    <t>3' x 4' x 3'  6-Way Manifold Vault</t>
  </si>
  <si>
    <t>3' x 5' x 3'  8-Way Manifold Vault</t>
  </si>
  <si>
    <t>3' x 6' x 3'  10-Way Manifold Vault</t>
  </si>
  <si>
    <t>MANIFOLD VAULT (incl. 1 boot)</t>
  </si>
  <si>
    <t>GREASE TRAPS H20 (excls. R&amp;C)</t>
  </si>
  <si>
    <t>DCB?</t>
  </si>
  <si>
    <t>Version 2</t>
  </si>
  <si>
    <t>Version 3</t>
  </si>
  <si>
    <t>1. Added a pop up menu with dropdown for headwalls, endwalls, vaults, and grease traps</t>
  </si>
  <si>
    <t>2. Added a button that pastes all values and gets rid of the unneeded tabs to prepare a proposal</t>
  </si>
  <si>
    <t>3. Added 0-6 pricing for storm and sewer manholes</t>
  </si>
  <si>
    <t>5. Created a custom fuction to calculate pricing for structures</t>
  </si>
  <si>
    <t>6. Added a "DCB" column which doubles the price of a double structure automatically</t>
  </si>
  <si>
    <t>7. Added estimator dropdown.</t>
  </si>
  <si>
    <t>8. 27x3 automatically adjusts price for height. Removed all the extra dropdowns.</t>
  </si>
  <si>
    <t>4. Added the updated pricing for boots, manholes, headwalls, endwalls, vaults and grease traps</t>
  </si>
  <si>
    <t>10. Added estimator dropdown and fixed "quote valid" on the Unit Quote tab</t>
  </si>
  <si>
    <r>
      <t xml:space="preserve">12. Any structure not marked as DOT is subject to 5% cost adder, if required to be NCDOT stamped. Per NCDOT guidelines, we cannot add tags to cover contingencies of possible use. </t>
    </r>
    <r>
      <rPr>
        <b/>
        <sz val="12"/>
        <color theme="1"/>
        <rFont val="Calibri"/>
        <family val="2"/>
        <scheme val="minor"/>
      </rPr>
      <t>IT MUST BE STAMPED.</t>
    </r>
  </si>
  <si>
    <t>11. No concessions have been made to seal pipe penetrations on the storm structures. Sealing methods are responsibility of contractors.</t>
  </si>
  <si>
    <t>HEADWALLS (NCDOT 838.80 Compliant)</t>
  </si>
  <si>
    <t>15'' Single End Wall (NCDOT 838.01 Compliant)</t>
  </si>
  <si>
    <t>15'' Double End Wall (NCDOT 838.01 Compliant)</t>
  </si>
  <si>
    <t>18'' Single End Wall (NCDOT 838.01 Compliant)</t>
  </si>
  <si>
    <t>18'' Double End Wall (NCDOT 838.01 Compliant)</t>
  </si>
  <si>
    <t>24'' Single End Wall (NCDOT 838.01 Compliant)</t>
  </si>
  <si>
    <t>24'' Double End Wall (NCDOT 838.01 Compliant)</t>
  </si>
  <si>
    <t>30'' Single End Wall(NCDOT 838.01 Compliant)</t>
  </si>
  <si>
    <t>30'' Double End Wall (NCDOT 838.01 Compliant)</t>
  </si>
  <si>
    <t>36'' Single End Wall (NCDOT 838.01 Compliant)</t>
  </si>
  <si>
    <t>36'' Double End Wall (NCDOT 838.01 Compliant)</t>
  </si>
  <si>
    <t>42'' Single End Wall (NCDOT 838.01 Compliant)</t>
  </si>
  <si>
    <t>42'' Double End Wall (NCDOT 838.01 Compliant)</t>
  </si>
  <si>
    <t>48'' Single End Wall (NCDOT 838.01 Compliant)</t>
  </si>
  <si>
    <t>48'' Double End Wall (NCDOT 838.01 Compliant)</t>
  </si>
  <si>
    <t>DOT?</t>
  </si>
  <si>
    <t>DOT</t>
  </si>
  <si>
    <t>11. Added a note about DOT adders</t>
  </si>
  <si>
    <t>13. Fixed the price on the 5x9x4 Meter Vault</t>
  </si>
  <si>
    <t>14. Fixed the price on 5x5 calculations</t>
  </si>
  <si>
    <t>DATE</t>
  </si>
  <si>
    <t>Version 4</t>
  </si>
  <si>
    <t>3. Updated Adders for non Big 3 Houses, contractors</t>
  </si>
  <si>
    <t xml:space="preserve">1. Update pricing on key items-increase large diameter and handsets pricing ~5% </t>
  </si>
  <si>
    <t>NCDOT Fee</t>
  </si>
  <si>
    <t>5% Adder</t>
  </si>
  <si>
    <t>12. Replaced the pipe type with DOT. Calculated the DOT 5% adder automatically.</t>
  </si>
  <si>
    <t>9. Updated the Freight Rate tab.</t>
  </si>
  <si>
    <t>4x6, 5x5 CY Price</t>
  </si>
  <si>
    <t>4' Diameter Doghouse w/Cone</t>
  </si>
  <si>
    <t>5' Diameter Doghouse w/Cone</t>
  </si>
  <si>
    <t>AMP</t>
  </si>
  <si>
    <t>Consolidate Pipe</t>
  </si>
  <si>
    <t xml:space="preserve">House (Big 3) </t>
  </si>
  <si>
    <t>2. Updated Freight Rates Tab for quoting 12%, 17%, 21%, 26%, 31% based on mileage</t>
  </si>
  <si>
    <t>4.. Update on Adders for customers Consolidated 5%, AMP 8%, Monroe 12%, Contractors 15%</t>
  </si>
  <si>
    <t>5. Updated pricing on End walls ~10% increase ($1050/cy)</t>
  </si>
  <si>
    <t>6. Updated pricing on Cast Iron</t>
  </si>
  <si>
    <t>7. updated 27x3 ~5% adder</t>
  </si>
  <si>
    <t>8. Updated  Outside Joint wrap to $40/roll</t>
  </si>
  <si>
    <t>9. Altered pricing on larger boots on costing spreadsheet</t>
  </si>
  <si>
    <t>ADDERS (Customer Base)</t>
  </si>
  <si>
    <t>1. Removed 5% discount to Distribution entities out of quote matrix June 2021</t>
  </si>
  <si>
    <t>10. Trellborg pricing increased 8%, therefore increased boot pricing 8%.</t>
  </si>
  <si>
    <t>3' x 3' x 3' Waffle Box (Base)</t>
  </si>
  <si>
    <t>3' x 3' x 3.5' Waffle Box (Base)</t>
  </si>
  <si>
    <t>3' x 3' x 4' Waffle Box (Base)</t>
  </si>
  <si>
    <t>3' x 3' x 4.5' Waffle Box (Base)</t>
  </si>
  <si>
    <t>3' x 3' x 5' Waffle Box (Base)</t>
  </si>
  <si>
    <t>4' x 4' x 4' Waffle Box (Base)</t>
  </si>
  <si>
    <t>4' x 4' x 4.5' Waffle Box (Base)</t>
  </si>
  <si>
    <t>27" x 36" x 3' Waffle Box (Base)</t>
  </si>
  <si>
    <t>27" x 36" x 3.5' Waffle Box (Base)</t>
  </si>
  <si>
    <t>27" x 36" x 4' Waffle Box (Base)</t>
  </si>
  <si>
    <t>27" x 36" x 4.5' Waffle Box (Base)</t>
  </si>
  <si>
    <t>27" x 36" x 5' Waffle Box (Base)</t>
  </si>
  <si>
    <t>3' x 3' Structure w/ Waffle Box Base and Lid</t>
  </si>
  <si>
    <t>4' x 4' Structure w/ Waffle Box Base and Lid</t>
  </si>
  <si>
    <t>39" x 4' x 6" Top</t>
  </si>
  <si>
    <t>4' x 4' x 6" Top</t>
  </si>
  <si>
    <t>5' x 5' x 6" Top</t>
  </si>
  <si>
    <t>27" x 3'  x 6" Riser</t>
  </si>
  <si>
    <t>27" x 3'  x 1' Riser</t>
  </si>
  <si>
    <t>27" x 3'  x 2' Riser</t>
  </si>
  <si>
    <t>27" x 3'  x 3' Riser</t>
  </si>
  <si>
    <t>27" x 3'  x 4' Riser</t>
  </si>
  <si>
    <t>DOUBLE HEADWALLS (NCDOT 838.80 Compliant)</t>
  </si>
  <si>
    <t>WAFFLE BOX BASES</t>
  </si>
  <si>
    <t>LIDS</t>
  </si>
  <si>
    <t>27" x 3' RISERS</t>
  </si>
  <si>
    <t>DHW</t>
  </si>
  <si>
    <t>15'' Double Headw</t>
  </si>
  <si>
    <t>18'' Double Headw</t>
  </si>
  <si>
    <t>24'' Double Headw</t>
  </si>
  <si>
    <t>30'' Double Headw</t>
  </si>
  <si>
    <t>36'' Double Headw</t>
  </si>
  <si>
    <t>42'' Double Headw</t>
  </si>
  <si>
    <t>48'' Double Headw</t>
  </si>
  <si>
    <t>54'' Double Headw</t>
  </si>
  <si>
    <t>60'' Double Headw</t>
  </si>
  <si>
    <t>66'' Double Headw</t>
  </si>
  <si>
    <t>72'' Double Headw</t>
  </si>
  <si>
    <t>Short?</t>
  </si>
  <si>
    <t>Adj. Height</t>
  </si>
  <si>
    <t>Pipe Size</t>
  </si>
  <si>
    <t>Cut</t>
  </si>
  <si>
    <t>Minimums</t>
  </si>
  <si>
    <t>24" x 44" x 6" Riser</t>
  </si>
  <si>
    <t>24" x 44" x 1' Riser</t>
  </si>
  <si>
    <t>24" x 44" x 2' Riser</t>
  </si>
  <si>
    <t>24" x 44" RISERS</t>
  </si>
  <si>
    <t>24" x 44" BASES</t>
  </si>
  <si>
    <t>36" x 56" x 6" Top</t>
  </si>
  <si>
    <t>24'' x  44'' x 3' Waffle Box (Base)</t>
  </si>
  <si>
    <t>24'' x  44'' x 3.5' Waffle Box (Base)</t>
  </si>
  <si>
    <t>24'' x  44'' x 4' Waffle Box (Base)</t>
  </si>
  <si>
    <t>24'' x  44'' x 4.5' Waffle Box (Base)</t>
  </si>
  <si>
    <t>24'' x  44'' x 5' Waffle Box (Base)</t>
  </si>
  <si>
    <t>24'' x  44'' x 5.5' Waffle Box (Base)</t>
  </si>
  <si>
    <t>24'' x  44'' x 6' Waffle Box (Base)</t>
  </si>
  <si>
    <t>24'' x 44'' Struc</t>
  </si>
  <si>
    <t>24'' x  44'' x 3' Solid Box</t>
  </si>
  <si>
    <t>24'' x  44'' x 3.5' Solid Box</t>
  </si>
  <si>
    <t>24'' x  44'' x 4' Solid Box</t>
  </si>
  <si>
    <t>24'' x  44'' x 4.5' Solid Box</t>
  </si>
  <si>
    <t>24'' x  44'' x 5' Solid Box</t>
  </si>
  <si>
    <t>24'' x  44'' x 5.5' Solid Box</t>
  </si>
  <si>
    <t>24'' x  44'' x 6' Solid Box</t>
  </si>
  <si>
    <t>Version 5</t>
  </si>
  <si>
    <t>1. Added Waffle Boxes to the info page and the "special product" menu</t>
  </si>
  <si>
    <t>2. Automatically sets minimum heights for structures that shorter than the pipe size allow.</t>
  </si>
  <si>
    <t>4. Boxes no longer calculate if their height is greater than 15'.</t>
  </si>
  <si>
    <t xml:space="preserve">6. Proposal pricing is based on full quoted quantities as noted above. If customer chooses to award portions of this proposal, they are subject to be repriced at a higher rate, due to the size of the award. </t>
  </si>
  <si>
    <t xml:space="preserve"> </t>
  </si>
  <si>
    <t>2. Placed new note on proposals</t>
  </si>
  <si>
    <t>3. Corrected verbiage</t>
  </si>
  <si>
    <t>4. No longer will accept partical POs-verbiage; A.  Inclusion Item 6</t>
  </si>
  <si>
    <t xml:space="preserve">13. Any SSMH in wet conditions should use CS231 sealant material in lieu of standard Butyl joint sealnt. This is a hydrophobic water seal material which Customer must request . Its an adder per roll/box.  </t>
  </si>
  <si>
    <t>Version 5.5</t>
  </si>
  <si>
    <t xml:space="preserve">14. OTCB posts to be field built, and not precast.  </t>
  </si>
  <si>
    <t>3. Added 24 x 44 into it's own Button Tab</t>
  </si>
  <si>
    <t>5. Increase freight rate-12%, 18% (+1), 24%(+3), 30% (+4), 36% (+5) respectably based on tiers</t>
  </si>
  <si>
    <t>1. Added % to customers (2% add for all customers)</t>
  </si>
  <si>
    <t xml:space="preserve">2. Pricing is valid for 30 days from quote per proposal. However any project that extends beyond the end of the calendar year is subject to an escalation percentage. </t>
  </si>
  <si>
    <t>Version 5.6</t>
  </si>
  <si>
    <t>Top</t>
  </si>
  <si>
    <t>HANDSETS</t>
  </si>
  <si>
    <t>(make sure to add Freight and Customer Adder)</t>
  </si>
  <si>
    <t>EXTENDED BASE ADDER</t>
  </si>
  <si>
    <t xml:space="preserve">NON STANDARD Product </t>
  </si>
  <si>
    <t>4. Added a Top and  extended bases adder to the calculation page</t>
  </si>
  <si>
    <t>5. Added a round up to the tenth decial place for pricing</t>
  </si>
  <si>
    <t>3. Added &gt;5% to CY Value for calculation tab ($700, $800, $900, $1000, $1100)</t>
  </si>
  <si>
    <t xml:space="preserve">CY </t>
  </si>
  <si>
    <t>10. Increased End Walls pricing</t>
  </si>
  <si>
    <t>12. raised solid wall box pricing</t>
  </si>
  <si>
    <t>1. Changed Calculation sheet to separate Tops on structures and added extended bases</t>
  </si>
  <si>
    <t>2. Reformat areas of the sheet</t>
  </si>
  <si>
    <t>13. Raised Trash Racks--Both Steel and Aluminum and streamlined our offering by putting on one tab</t>
  </si>
  <si>
    <t>6. Change pipe boots sell price, 4"&amp; 6" =$90, 8"=$95, 10" &amp; 12" = $110, 15" = $150</t>
  </si>
  <si>
    <t>ENDWALLS</t>
  </si>
  <si>
    <t>11. Raised 27" x 36' solid boxes on costing sheet by $15.00/box size</t>
  </si>
  <si>
    <t>9. 24" x 44" solid wall and riser price increase</t>
  </si>
  <si>
    <t>8. 27" x 36" riser  price increase</t>
  </si>
  <si>
    <t xml:space="preserve">7. Updated pricing on several items especially MH and larger MH (4' Dia = $105/VF, assume 5% increase) </t>
  </si>
  <si>
    <t xml:space="preserve">1. Due to flat mesh steel increase of ~29%, raised pricing and additional  &gt;5% on solid wall boxes and risers </t>
  </si>
  <si>
    <t>2. Changed CY pricing ($720, $825, $930, $1050, $1150) to cover steel increase (~$5% increase)</t>
  </si>
  <si>
    <t>Version 5.9</t>
  </si>
  <si>
    <t>Version 5.7/8</t>
  </si>
  <si>
    <t>3. Updated proposals validity dates (15 days form quote date)</t>
  </si>
  <si>
    <t xml:space="preserve">4. Add eia.gov verbiage for fuel surchage. Item 9 T&amp;C </t>
  </si>
  <si>
    <r>
      <t xml:space="preserve">7. Order indicates acceptance of our Standard Terms and Conditions that are available for review </t>
    </r>
    <r>
      <rPr>
        <sz val="12"/>
        <rFont val="Calibri"/>
        <family val="2"/>
        <scheme val="minor"/>
      </rPr>
      <t xml:space="preserve">@ </t>
    </r>
    <r>
      <rPr>
        <b/>
        <sz val="12"/>
        <rFont val="Calibri"/>
        <family val="2"/>
        <scheme val="minor"/>
      </rPr>
      <t>https://evercastconcrete.com/terms-conditions/</t>
    </r>
  </si>
  <si>
    <t>Due to the exceptional nature of the current volatility, pricing on all quotes will only be guaranteed for 7 days instead of our standard 30.</t>
  </si>
  <si>
    <t>LTL Pricing for project add ons (not quoted),or House direct order</t>
  </si>
  <si>
    <t>Monroe Roadways/ Blythe Development</t>
  </si>
  <si>
    <t>4. Proposal is based on full truck load deliveries, which may be subject to fuel surcharges based on eia.gov rate increase.  Partial loads are subject to additional LTL freight and/or fuel surcharge fees.</t>
  </si>
  <si>
    <t>6. Standard submittal drawings are assumed acceptable for submittals. Special drawings may incur additional charges.</t>
  </si>
  <si>
    <t xml:space="preserve">7. Proposal pricing is based on full quoted quantities as noted above. If customer chooses to award portions of this proposal, they are subject to be repriced at a higher rate, due to the size of the award. </t>
  </si>
  <si>
    <t>5. Partial loads are subject to additional LTL freight and/or fuel surcharge fees.</t>
  </si>
  <si>
    <t xml:space="preserve">4. Proposal is based on full truck load deliveries, which may be subject to fuel surcharges based on eia.gov rate increase.  </t>
  </si>
  <si>
    <t>5. Itsm 10 in T&amp;C fopr castings valid for 7 days only</t>
  </si>
  <si>
    <t>7. Add 2% to all customer for markup</t>
  </si>
  <si>
    <t>2. Revised LTL Rates (Z1=$375, Z2 = $500, Z3=$600), $475 for first 50+ $8.50/mile</t>
  </si>
  <si>
    <t>1. Raised freight rates ~2% due to surging diesel prices, Zones prices 14%, 21%, 28%, 35%, 42% respectfully</t>
  </si>
  <si>
    <t>8. Most products increased 3% for steel increase</t>
  </si>
  <si>
    <t>6. Vaults, Headwalls, GT, etc increased 10% in price</t>
  </si>
  <si>
    <t>24'' x 44'' Structure w/ Waffle Box Base</t>
  </si>
  <si>
    <t>27" x 36" Structure w/ Waffle Box Base</t>
  </si>
  <si>
    <t>24'' x 44'' Structure and NO Lid</t>
  </si>
  <si>
    <t>Weight</t>
  </si>
  <si>
    <t>Weights</t>
  </si>
  <si>
    <t>N</t>
  </si>
  <si>
    <t>L</t>
  </si>
  <si>
    <t>Walls</t>
  </si>
  <si>
    <t>Base</t>
  </si>
  <si>
    <t>Lid</t>
  </si>
  <si>
    <t>Weight per CY</t>
  </si>
  <si>
    <t>Weight per Truck (lbs)</t>
  </si>
  <si>
    <t>WEIGHT</t>
  </si>
  <si>
    <t>30 Days</t>
  </si>
  <si>
    <t>15'' Double Headwall (NCDOT 838.80 Compliant)</t>
  </si>
  <si>
    <t>Quote #</t>
  </si>
  <si>
    <t>9. Resale items increase in pricing (Boots-3%, CONSEAL 15%, CASTING IRON &gt;10%)</t>
  </si>
  <si>
    <t>Version 6.0</t>
  </si>
  <si>
    <t>1. Add weight compenent to costing sheet for future tracking</t>
  </si>
  <si>
    <t>2. Updated Trash Rack pricing (lowered to 30%+ MC from our resale vendor)</t>
  </si>
  <si>
    <t>3. Adding Weight field on quotes for future CY tracking</t>
  </si>
  <si>
    <t>4. Removed 2% adder for the houses (big 3)</t>
  </si>
  <si>
    <t>6. Added automatic weight calculations to the itemized tab</t>
  </si>
  <si>
    <t>7. Added calculated weights to the calculations tab</t>
  </si>
  <si>
    <t>8. Truckloads for Storm and Sewer. Storm get 38,000lbs. /load + 3 (OCS, 1st and final load)</t>
  </si>
  <si>
    <t>15'' Headwall (NCDOT 838.80 Compliant)</t>
  </si>
  <si>
    <t>18'' Headwall (NCDOT 838.80 Compliant)</t>
  </si>
  <si>
    <t>24'' Headwall (NCDOT 838.80 Compliant)</t>
  </si>
  <si>
    <t>30'' Headwall (NCDOT 838.80 Compliant)</t>
  </si>
  <si>
    <t>36'' Headwall (NCDOT 838.80 Compliant)</t>
  </si>
  <si>
    <t>42'' Headwall (NCDOT 838.80 Compliant)</t>
  </si>
  <si>
    <t>48'' Headwall (NCDOT 838.80 Compliant)</t>
  </si>
  <si>
    <t>54'' Headwall (NCDOT 838.80 Compliant)</t>
  </si>
  <si>
    <t>60'' Headwall (NCDOT 838.80 Compliant)</t>
  </si>
  <si>
    <t>66'' Headwall (NCDOT 838.80 Compliant)</t>
  </si>
  <si>
    <t>72'' Headwall (NCDOT 838.80 Compliant)</t>
  </si>
  <si>
    <t>18'' Double Headwall (NCDOT 838.80 Compliant)</t>
  </si>
  <si>
    <t>24'' Double Headwall (NCDOT 838.80 Compliant)</t>
  </si>
  <si>
    <t>30'' Double Headwall (NCDOT 838.80 Compliant)</t>
  </si>
  <si>
    <t>36'' Double Headwall (NCDOT 838.80 Compliant)</t>
  </si>
  <si>
    <t>42'' Double Headwall (NCDOT 838.80 Compliant)</t>
  </si>
  <si>
    <t>48'' Double Headwall (NCDOT 838.80 Compliant)</t>
  </si>
  <si>
    <t>54'' Double Headwall (NCDOT 838.80 Compliant)</t>
  </si>
  <si>
    <t>60'' Double Headwall (NCDOT 838.80 Compliant)</t>
  </si>
  <si>
    <t>66'' Double Headwall (NCDOT 838.80 Compliant)</t>
  </si>
  <si>
    <t>72'' Double Headwall (NCDOT 838.80 Compliant)</t>
  </si>
  <si>
    <t>Approx. Loads</t>
  </si>
  <si>
    <t>Phone (704) 483-2363</t>
  </si>
  <si>
    <t>www.dellingerprecast.com</t>
  </si>
  <si>
    <t xml:space="preserve"> www.precastsupply.net</t>
  </si>
  <si>
    <t>Version 6.1</t>
  </si>
  <si>
    <t>2. Freight includes one (1) hour per truck for unloading of product. Additional on site time in excess of first hour charged at $150/hr.</t>
  </si>
  <si>
    <r>
      <t>9. Order/PO issuance indicates acceptance of Fuel Surcharge @</t>
    </r>
    <r>
      <rPr>
        <b/>
        <sz val="12"/>
        <color theme="1"/>
        <rFont val="Calibri"/>
        <family val="2"/>
        <scheme val="minor"/>
      </rPr>
      <t xml:space="preserve"> https://www.eia.gov/</t>
    </r>
    <r>
      <rPr>
        <sz val="12"/>
        <color theme="1"/>
        <rFont val="Calibri"/>
        <family val="2"/>
        <scheme val="minor"/>
      </rPr>
      <t xml:space="preserve"> -Lower Atlantic Zone. For every $0.05/increase per gal of Diesel (On Highway), a surcharge fee up to 1% or min $150/load/invoice could be added to the invoice</t>
    </r>
  </si>
  <si>
    <t>3. Added ~10% to boot prices on back of announced 6/6/22 10% price increase by Trelleborg</t>
  </si>
  <si>
    <t>TIER</t>
  </si>
  <si>
    <t>Notes: LTL Pricing is to cover add ons or to old projects or stock orders. Not subject to fuel surcharge</t>
  </si>
  <si>
    <t xml:space="preserve">5. Product will be invoiced upon delivery.  Product not accepted for delivery within 30 days of agreed upon delivery date will be invoiced in full and Customer agrees to paywill be subject to then-current product storage fees monthly, as such storage fees accrue. </t>
  </si>
  <si>
    <r>
      <t>9. Order/PO issuance indicates acceptance of Fuel Surcharge @</t>
    </r>
    <r>
      <rPr>
        <b/>
        <sz val="12"/>
        <color theme="1"/>
        <rFont val="Calibri"/>
        <family val="2"/>
        <scheme val="minor"/>
      </rPr>
      <t xml:space="preserve"> https://www.eia.gov/</t>
    </r>
    <r>
      <rPr>
        <sz val="12"/>
        <color theme="1"/>
        <rFont val="Calibri"/>
        <family val="2"/>
        <scheme val="minor"/>
      </rPr>
      <t xml:space="preserve"> -Lower Atlantic Zone. For every $0.05/increase per gal of Diesel (On Highway), a surcharge fee up to 1% or min $150/load/invoice could be added to the invoice. </t>
    </r>
  </si>
  <si>
    <t>6. Unless otherwise specified and subject to Purchaser’s credit approval, payment for materials and storage furnished under this contract and/or agreement, are due in NET30 (30 days) unless terms are different, after their receipt by Purchaser, without retention.</t>
  </si>
  <si>
    <t>4. Updated Section D. Conditions to add additional verbiage allowing us to reprice or recover price increases</t>
  </si>
  <si>
    <t>5. Updated 10' DIA and 12' DIA pricing</t>
  </si>
  <si>
    <t>Upon issuance, Effective Immediately for all quotes</t>
  </si>
  <si>
    <t>7. Unless otherwise specified and subject to Purchaser’s credit approval, payment for materials and storage furnished under this contract and/or agreement, are due in NET30 (30 days from invoice) unless terms are different, after their receipt by Purchaser, without retention.</t>
  </si>
  <si>
    <t>7. Added Invert charge to sheet and increased base charge</t>
  </si>
  <si>
    <t>10. Due to the exceptional nature of current volatility in the market, pricing on all castings and resales items will only be guaranteed for 7 days in lieu of our standard 30 days. Prevailing price shall be enforced at time of order.</t>
  </si>
  <si>
    <t>11. Material prices are extremely volatile in the current economic environment.  The pricing provided in this quotation is based on current market prices and remains valid only if (I) Customer accepts this quotation within 30 days from the date of this quotation and (ii) Customer releases manufacturer to manufacture the order on or before the date shown in the quotation, or, if no date is shown, within 60 days from the date of this quotation.  The pricing provided in this quotation is not firm for the duration of this project.  By accepting this quotation, Customer agrees that, if, after 60 days from the date of this quotation, manufacturer’s costs, including, but not limited to, the costs of raw materials, increase from the prices included in this quotation, Customer shall pay to manufacturer such increased costs as extra work</t>
  </si>
  <si>
    <t>2. Wrap included only with SS Manholes, as delaminated by unit quantity and price. Additional joint wrap shall be charged at quoted rate.</t>
  </si>
  <si>
    <t xml:space="preserve">13. Any SSMH in wet conditions should use CS231 sealant material in lieu of standard Butyl joint sealant. This is a hydrophobic water seal material, which expands upon contact with water. Customer must ask for it by name. Its is an adder per roll and/or box quantity. </t>
  </si>
  <si>
    <t xml:space="preserve">4. Product will be invoiced upon delivery.  Product not accepted for delivery within 30 days of agreed upon delivery date will be invoiced in full and Customer agrees to pay will be subject to then-current product storage fees monthly, as such storage fees accrue. </t>
  </si>
  <si>
    <r>
      <t xml:space="preserve">6. Order indicates acceptance of Standard Terms and Conditions that are available for review @ </t>
    </r>
    <r>
      <rPr>
        <b/>
        <i/>
        <u/>
        <sz val="12"/>
        <rFont val="Calibri"/>
        <family val="2"/>
      </rPr>
      <t>https://</t>
    </r>
    <r>
      <rPr>
        <b/>
        <i/>
        <u/>
        <sz val="12"/>
        <rFont val="Calibri"/>
        <family val="2"/>
        <scheme val="minor"/>
      </rPr>
      <t>evercastconcrete.com/terms-conditions/</t>
    </r>
  </si>
  <si>
    <t>12. The pricing provided in this quotation Proposal pricing is further based on current validity date and assume shipment of the full ordering in before the end of the current calendar year. By accepting this quotation, Customer agrees to pay an additional 8.35% in addition to the price shown in this quotation for  any product not shipped by end of current calendar year.</t>
  </si>
  <si>
    <t>11. Material prices are extremely volatile in the current economic environment.  The pricing provided in this quotation is based on current market prices and remains valid only if (a) Customer accepts this quotation within 30 days from the date of this quotation and (b) Customer releases manufacturer to manufacture the order on or before the date shown in the quotation, or, if no date is shown, within 60 days from the date of this quotation.  The pricing provided in this quotation is not firm for the duration of this project.  By accepting this quotation, Customer agrees that, if, after 60 days from the date of this quotation, manufacturer’s costs, including, but not limited to, the costs of raw materials, increase from the prices included in this quotation, Customer shall pay to manufacturer such increased costs as extra work.</t>
  </si>
  <si>
    <t>8. Blended VF pricing 4' DIA=$110, 5' DIA= $180, 6' DIA = $240</t>
  </si>
  <si>
    <t xml:space="preserve">6. Updated Sewer 0-6' pricing matrix to include invert </t>
  </si>
  <si>
    <t>9. In sewer section, Add weights for ss inverts 4' Dia + 3000 lbs, 5' Dia +5000 lsb and 6' dia + 7000 lbs</t>
  </si>
  <si>
    <t>Custom 6" walls</t>
  </si>
  <si>
    <t>(non OCS)</t>
  </si>
  <si>
    <t>Michael Barnes</t>
  </si>
  <si>
    <t>cys</t>
  </si>
  <si>
    <t>1. Updated bidding minimum freight charges 15%, 23%, 31%, 38% &amp; 45% (Minimum charges also increased)</t>
  </si>
  <si>
    <t>5. Removed the lids to the 27 x 36 and 24 x 44 Waffle Boxes (Per Clontz's request)</t>
  </si>
  <si>
    <t>10. added Cys per structure (reason is we need to understand our price/sell per CY )</t>
  </si>
  <si>
    <t>2. LTL freight charges (LTL $600/$750/$900). LTL charges at these rates do not get charged Fuel Surcharges</t>
  </si>
  <si>
    <t>&lt;&lt;&lt;ADDED this</t>
  </si>
  <si>
    <t>36" Boot</t>
  </si>
  <si>
    <t xml:space="preserve">12. The pricing provided in this quotation Proposal pricing is further based on current validity date and assume shipment of the full ordering in before the end of the current calendar year. By accepting this quotation, Customer agrees to pay an additional 8.95% escalator to the price shown in this quotation for  any product not shipped by end of current calendar year. </t>
  </si>
  <si>
    <t>3. Freight includes one (1) hour per truck for unloading of product. Additional on site time in excess of first hour charged at $150/hr.</t>
  </si>
  <si>
    <t>48" Boot RCP</t>
  </si>
  <si>
    <t>60" Boot RCP</t>
  </si>
  <si>
    <t>(rounded up to nearest 5 mile increment)</t>
  </si>
  <si>
    <t>OCS/ Partial Structure/8" Wall CY Price</t>
  </si>
  <si>
    <t>Freight $</t>
  </si>
  <si>
    <t>LOADS</t>
  </si>
  <si>
    <t>$$/LOAD</t>
  </si>
  <si>
    <t>Freight Flag</t>
  </si>
  <si>
    <t>JB Hunt Analysis</t>
  </si>
  <si>
    <t>Z1</t>
  </si>
  <si>
    <t>Z2</t>
  </si>
  <si>
    <t>Z3</t>
  </si>
  <si>
    <t>Z4</t>
  </si>
  <si>
    <t>Z5</t>
  </si>
  <si>
    <t>Z6</t>
  </si>
  <si>
    <t>Z7</t>
  </si>
  <si>
    <t>61-80 Miles (&lt;160)</t>
  </si>
  <si>
    <t>Version 6.2</t>
  </si>
  <si>
    <t>1. Adjust caluclation page $750, $400, $850, $925 &amp; $1000/CY respectfully based on categories</t>
  </si>
  <si>
    <t>reaction to market intel our 4x4 were as hig or higher than competitions 5x5</t>
  </si>
  <si>
    <t>81-100 Miles (&lt;200)</t>
  </si>
  <si>
    <t>101-120 miles (&lt;240)</t>
  </si>
  <si>
    <t>121-140 miles (&lt;280)</t>
  </si>
  <si>
    <t>141-160 miles (&lt;320)</t>
  </si>
  <si>
    <t>161-180 Miles (&lt;360)</t>
  </si>
  <si>
    <t>181-200 miles (&lt;400)</t>
  </si>
  <si>
    <t>201-225 miles (&lt;440)</t>
  </si>
  <si>
    <t>226-250 miles (&lt;500)</t>
  </si>
  <si>
    <t>Z8</t>
  </si>
  <si>
    <t>Z9</t>
  </si>
  <si>
    <t>Z10</t>
  </si>
  <si>
    <t>Z11</t>
  </si>
  <si>
    <t xml:space="preserve"> 21% (Min $1200)</t>
  </si>
  <si>
    <t>A1</t>
  </si>
  <si>
    <t>A2</t>
  </si>
  <si>
    <t>A3</t>
  </si>
  <si>
    <t>A4</t>
  </si>
  <si>
    <t>A5</t>
  </si>
  <si>
    <t>A6</t>
  </si>
  <si>
    <t xml:space="preserve"> 29% (Min $1675)</t>
  </si>
  <si>
    <t xml:space="preserve"> 33% (Min $1875)</t>
  </si>
  <si>
    <t xml:space="preserve"> 38% (Min $2150)</t>
  </si>
  <si>
    <t xml:space="preserve"> 43% (Min $2300)</t>
  </si>
  <si>
    <t xml:space="preserve"> 48% (Min $2615)</t>
  </si>
  <si>
    <t>3. Adjusted Endwalls pricing up 10% since all handset</t>
  </si>
  <si>
    <t>4. Fixed issued with Itenmized popluation off Button list. Double endwalls are doubling the pricing</t>
  </si>
  <si>
    <t>ZONE</t>
  </si>
  <si>
    <t>Adder</t>
  </si>
  <si>
    <t xml:space="preserve">               Version 6.2</t>
  </si>
  <si>
    <t>10% (min $450)</t>
  </si>
  <si>
    <t>Rev 1 Effective 8/12/22</t>
  </si>
  <si>
    <t xml:space="preserve"> 25% (Min $1450)</t>
  </si>
  <si>
    <t>9500 NC-73, Huntersville, NC 28078</t>
  </si>
  <si>
    <t>https://www.google.com/maps/dir/35.4424506,-80.8677429//@35.6189822,-81.3872031,10z/data=!4m2!4m1!3e0</t>
  </si>
  <si>
    <t>Link to Google Map&gt;&gt;&gt;&gt;&gt;&gt;&gt;&gt;&gt;&gt;</t>
  </si>
  <si>
    <t xml:space="preserve">WAYPOINT for Mileage to Jobsite </t>
  </si>
  <si>
    <t>Metro Charlotte Area, Stateville, Gastonia, Fort Mill, Mint Hill, Matthews</t>
  </si>
  <si>
    <t>Effective 8/12/22</t>
  </si>
  <si>
    <t xml:space="preserve">GSO Area </t>
  </si>
  <si>
    <t xml:space="preserve">Durham Area </t>
  </si>
  <si>
    <t xml:space="preserve">Raleigh Area </t>
  </si>
  <si>
    <t>Direct Buy (With Current good Credit App)</t>
  </si>
  <si>
    <t>Chester SC, Kershaw, SC, Gaffney SC area, Lenior NC, Winston Salem</t>
  </si>
  <si>
    <t>Custom*</t>
  </si>
  <si>
    <t>Out of State Contractors</t>
  </si>
  <si>
    <t>*confirm with MBarnes</t>
  </si>
  <si>
    <t>Based on WAYPOINT Address (Guidance, used exact mileage to Jobsite)</t>
  </si>
  <si>
    <t>12% (min $575)</t>
  </si>
  <si>
    <t>15% (Min $750)</t>
  </si>
  <si>
    <t>Z12</t>
  </si>
  <si>
    <t xml:space="preserve">         Mileage    (Round Trip)</t>
  </si>
  <si>
    <t>North Charlotte, Huntersville, Mooresville, Mount Holly, Harrisburg, Kannapolis</t>
  </si>
  <si>
    <t xml:space="preserve"> 1-20 Miles (&lt;40)</t>
  </si>
  <si>
    <t xml:space="preserve"> 21-40 Miles (&lt;80)</t>
  </si>
  <si>
    <t xml:space="preserve"> 41-60 Miles (&lt;120)</t>
  </si>
  <si>
    <t>8%  (min $350)</t>
  </si>
  <si>
    <t>18% (Min $950)</t>
  </si>
  <si>
    <t xml:space="preserve">% Adder to Quotes </t>
  </si>
  <si>
    <t xml:space="preserve">Hickory, Waxhaw, Rock Hill, Monroe, Salisbury Area </t>
  </si>
  <si>
    <r>
      <rPr>
        <b/>
        <sz val="12"/>
        <color indexed="10"/>
        <rFont val="Calibri"/>
        <family val="2"/>
      </rPr>
      <t>*</t>
    </r>
    <r>
      <rPr>
        <b/>
        <sz val="12"/>
        <color indexed="8"/>
        <rFont val="Calibri"/>
        <family val="2"/>
      </rPr>
      <t xml:space="preserve">Quoted rate is Done by Google maps from Closest plant, $350/load for first 20 miles, plus $10.45/Mile afterwards </t>
    </r>
  </si>
  <si>
    <t>2. Updated bidding minimum freight charges and Zone percentages (*Z1-Z12) 20 Mile one way zones</t>
  </si>
  <si>
    <t>7. Freight percentages per zone: 8%, 10%, 12%, 15%, 18%, 21%, 25%, 29%, 33%, 38%, 43%, 48%</t>
  </si>
  <si>
    <t xml:space="preserve">9. set up waypoint for freight based on inbetween location: 9500 NC-73, Huntersville, NC </t>
  </si>
  <si>
    <t xml:space="preserve">10. Set up link for a Google Map for estimators to search for WAYPOINT to Jobsite street address to dial in zone. </t>
  </si>
  <si>
    <t>5. Adjusted Double Endwalls pricing on info tab, since current system is doubling the price (Temp Patch)</t>
  </si>
  <si>
    <t>6. Min Freight charges, Z1=$350, Z2=$450, Z3=$575, Z4=$750, Z5=$950, Z6=$1200, $1450, etc tec</t>
  </si>
  <si>
    <t>8. Also reduced Adder for customer CPS 10%, AMP 12%, BDC/MR=13%, Direct Buy Contractors 15%, TBD</t>
  </si>
  <si>
    <t>Freight Zone</t>
  </si>
  <si>
    <t>$950/truck</t>
  </si>
  <si>
    <t>York</t>
  </si>
  <si>
    <t>Anson, Burke, Caldwell, Wilkes, Yadkin, Montgomery, Moore, Richmond</t>
  </si>
  <si>
    <t>Alexander, Cleveland, Davie, Davidson, Stanley , Union</t>
  </si>
  <si>
    <t>Cherokee, Chester, Fairfield, Kershaw, Lancaster</t>
  </si>
  <si>
    <t>Richland, Chesterfield, Spartanburg, Union</t>
  </si>
  <si>
    <t>Mecklenburg, Gaston, Catawba, Iredell, Rowan</t>
  </si>
  <si>
    <t>$450/truck</t>
  </si>
  <si>
    <t>$575/truck</t>
  </si>
  <si>
    <t>$700/truck</t>
  </si>
  <si>
    <t>Forsyth, Guilford, Moore, Randolph, Richmond, Rutherfordton</t>
  </si>
  <si>
    <t>LTL Freight Charge</t>
  </si>
  <si>
    <t>DPC-PSC FY23 Freight LTL Policy</t>
  </si>
  <si>
    <t>Metro Asheville Area , South Columbia Area</t>
  </si>
  <si>
    <t xml:space="preserve">Metro Greenville SC, North Columbia Area </t>
  </si>
  <si>
    <t>Version 6.3</t>
  </si>
  <si>
    <t>1. Altered 0-5' Storm and 0-6' Sewer MH base cost and VF oricing to be closer to version 5.9 due to market</t>
  </si>
  <si>
    <t>reaction to market intelligence on pricing</t>
  </si>
  <si>
    <r>
      <t xml:space="preserve">                          PROPOSAL                                                    </t>
    </r>
    <r>
      <rPr>
        <b/>
        <i/>
        <sz val="11"/>
        <rFont val="Arial"/>
        <family val="2"/>
      </rPr>
      <t>version 6.3</t>
    </r>
  </si>
  <si>
    <t>V6.3 FINAL</t>
  </si>
  <si>
    <t>Freight/Adder</t>
  </si>
  <si>
    <t xml:space="preserve">                                              Submittals will not be started until after PO received and verified to quote.           Current Submittals drawing backlog varies based on size of project, expect 1-2 weeks on avg. </t>
  </si>
  <si>
    <r>
      <rPr>
        <b/>
        <sz val="9"/>
        <color rgb="FFFF0000"/>
        <rFont val="Calibri"/>
        <family val="2"/>
        <scheme val="minor"/>
      </rPr>
      <t xml:space="preserve">                        Submittals will not be started until after PO received and verified to quote.           Current Submittals drawing backlog varies based on size of project, expect 1-2 weeks on avg.</t>
    </r>
    <r>
      <rPr>
        <b/>
        <sz val="13"/>
        <color rgb="FFFF0000"/>
        <rFont val="Calibri"/>
        <family val="2"/>
        <scheme val="minor"/>
      </rPr>
      <t xml:space="preserve"> </t>
    </r>
  </si>
  <si>
    <t xml:space="preserve">4. Proposal accepted as old as 4/1/22  </t>
  </si>
  <si>
    <t>Version 6.1 Jumped 17% on Sewer</t>
  </si>
  <si>
    <t>3. Sewer $1150, $1875, &amp; $3250 Base Costs, and VF increased to $114/VF, $186/VF &amp; $250/VF</t>
  </si>
  <si>
    <t>2. Storm $1000, $1700, &amp; $2450 Base costs. VF pricing stayed the same ($110, $180 and $240)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</si>
</sst>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8" formatCode="&quot;$&quot;#,##0.00_);[Red]\(&quot;$&quot;#,##0.00\)"/>
    <numFmt numFmtId="44" formatCode="_(&quot;$&quot;* #,##0.00_);_(&quot;$&quot;* \(#,##0.00\);_(&quot;$&quot;* &quot;-&quot;??_);_(@_)"/>
    <numFmt numFmtId="164" formatCode="0.00_);\(0.00\)"/>
    <numFmt numFmtId="165" formatCode="[$-409]mmmm\ d\,\ yyyy;@"/>
    <numFmt numFmtId="166" formatCode="0_);\(0\)"/>
    <numFmt numFmtId="167" formatCode="&quot;$&quot;#,##0.00"/>
    <numFmt numFmtId="168" formatCode="0.0"/>
    <numFmt numFmtId="169" formatCode="#,##0.0_);\(#,##0.0\)"/>
  </numFmts>
  <fonts count="61" x14ac:knownFonts="1">
    <font>
      <sz val="10"/>
      <name val="Arial"/>
    </font>
    <font>
      <sz val="11"/>
      <color theme="1"/>
      <name val="Calibri"/>
      <family val="2"/>
      <scheme val="minor"/>
    </font>
    <font>
      <sz val="10"/>
      <name val="Arial"/>
      <family val="2"/>
    </font>
    <font>
      <b/>
      <sz val="12"/>
      <name val="Arial"/>
      <family val="2"/>
    </font>
    <font>
      <b/>
      <sz val="10"/>
      <name val="Arial"/>
      <family val="2"/>
    </font>
    <font>
      <sz val="12"/>
      <name val="Arial"/>
      <family val="2"/>
    </font>
    <font>
      <b/>
      <u/>
      <sz val="12"/>
      <name val="Arial"/>
      <family val="2"/>
    </font>
    <font>
      <sz val="10"/>
      <name val="Arial"/>
      <family val="2"/>
    </font>
    <font>
      <b/>
      <u/>
      <sz val="11"/>
      <name val="Arial"/>
      <family val="2"/>
    </font>
    <font>
      <b/>
      <sz val="12"/>
      <color indexed="8"/>
      <name val="Calibri"/>
      <family val="2"/>
    </font>
    <font>
      <b/>
      <sz val="11"/>
      <name val="Arial"/>
      <family val="2"/>
    </font>
    <font>
      <b/>
      <sz val="14"/>
      <name val="Arial"/>
      <family val="2"/>
    </font>
    <font>
      <b/>
      <i/>
      <u/>
      <sz val="12"/>
      <name val="Calibri"/>
      <family val="2"/>
    </font>
    <font>
      <b/>
      <sz val="12"/>
      <color indexed="10"/>
      <name val="Calibri"/>
      <family val="2"/>
    </font>
    <font>
      <sz val="11"/>
      <color theme="1"/>
      <name val="Calibri"/>
      <family val="2"/>
      <scheme val="minor"/>
    </font>
    <font>
      <b/>
      <sz val="11"/>
      <color theme="1"/>
      <name val="Calibri"/>
      <family val="2"/>
      <scheme val="minor"/>
    </font>
    <font>
      <sz val="10"/>
      <color rgb="FFFF0000"/>
      <name val="Arial"/>
      <family val="2"/>
    </font>
    <font>
      <b/>
      <u/>
      <sz val="11"/>
      <color theme="1"/>
      <name val="Calibri"/>
      <family val="2"/>
      <scheme val="minor"/>
    </font>
    <font>
      <b/>
      <sz val="12"/>
      <color theme="1"/>
      <name val="Calibri"/>
      <family val="2"/>
      <scheme val="minor"/>
    </font>
    <font>
      <b/>
      <u val="double"/>
      <sz val="12"/>
      <color rgb="FFFF0000"/>
      <name val="Arial"/>
      <family val="2"/>
    </font>
    <font>
      <b/>
      <sz val="11"/>
      <color rgb="FFFF0000"/>
      <name val="Arial"/>
      <family val="2"/>
    </font>
    <font>
      <b/>
      <sz val="12"/>
      <color theme="1"/>
      <name val="Arial"/>
      <family val="2"/>
    </font>
    <font>
      <b/>
      <sz val="10"/>
      <color theme="1"/>
      <name val="Calibri"/>
      <family val="2"/>
      <scheme val="minor"/>
    </font>
    <font>
      <sz val="12"/>
      <name val="Calibri"/>
      <family val="2"/>
      <scheme val="minor"/>
    </font>
    <font>
      <b/>
      <sz val="12"/>
      <name val="Calibri"/>
      <family val="2"/>
      <scheme val="minor"/>
    </font>
    <font>
      <sz val="11"/>
      <name val="Calibri"/>
      <family val="2"/>
      <scheme val="minor"/>
    </font>
    <font>
      <sz val="12"/>
      <color theme="1"/>
      <name val="Calibri"/>
      <family val="2"/>
      <scheme val="minor"/>
    </font>
    <font>
      <b/>
      <u/>
      <sz val="11"/>
      <color rgb="FF7030A0"/>
      <name val="Arial"/>
      <family val="2"/>
    </font>
    <font>
      <b/>
      <i/>
      <u/>
      <sz val="12"/>
      <name val="Calibri"/>
      <family val="2"/>
      <scheme val="minor"/>
    </font>
    <font>
      <b/>
      <i/>
      <u/>
      <sz val="12"/>
      <color theme="1"/>
      <name val="Calibri"/>
      <family val="2"/>
      <scheme val="minor"/>
    </font>
    <font>
      <b/>
      <sz val="12"/>
      <color rgb="FF0070C0"/>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b/>
      <sz val="20"/>
      <color theme="1"/>
      <name val="Calibri"/>
      <family val="2"/>
      <scheme val="minor"/>
    </font>
    <font>
      <b/>
      <u/>
      <sz val="10"/>
      <name val="Arial"/>
      <family val="2"/>
    </font>
    <font>
      <b/>
      <u val="singleAccounting"/>
      <sz val="12"/>
      <name val="Arial"/>
      <family val="2"/>
    </font>
    <font>
      <b/>
      <sz val="16"/>
      <name val="Arial"/>
      <family val="2"/>
    </font>
    <font>
      <b/>
      <u/>
      <sz val="12"/>
      <name val="Calibri"/>
      <family val="2"/>
      <scheme val="minor"/>
    </font>
    <font>
      <b/>
      <sz val="20"/>
      <color theme="1"/>
      <name val="Arial"/>
      <family val="2"/>
    </font>
    <font>
      <b/>
      <sz val="24"/>
      <name val="Arial"/>
      <family val="2"/>
    </font>
    <font>
      <b/>
      <sz val="24"/>
      <color rgb="FFFF0000"/>
      <name val="Arial"/>
      <family val="2"/>
    </font>
    <font>
      <b/>
      <sz val="12"/>
      <color indexed="10"/>
      <name val="Calibri"/>
      <family val="2"/>
      <scheme val="minor"/>
    </font>
    <font>
      <sz val="12"/>
      <color indexed="8"/>
      <name val="Calibri"/>
      <family val="2"/>
      <scheme val="minor"/>
    </font>
    <font>
      <i/>
      <sz val="12"/>
      <color theme="1"/>
      <name val="Calibri"/>
      <family val="2"/>
      <scheme val="minor"/>
    </font>
    <font>
      <sz val="8"/>
      <name val="Arial"/>
      <family val="2"/>
    </font>
    <font>
      <b/>
      <sz val="12"/>
      <color theme="1"/>
      <name val="Calibri"/>
      <family val="2"/>
    </font>
    <font>
      <sz val="8"/>
      <name val="Arial"/>
      <family val="2"/>
    </font>
    <font>
      <sz val="10"/>
      <color theme="1"/>
      <name val="Arial"/>
      <family val="2"/>
    </font>
    <font>
      <b/>
      <i/>
      <sz val="8"/>
      <name val="Arial"/>
      <family val="2"/>
    </font>
    <font>
      <b/>
      <sz val="10"/>
      <color rgb="FFFF0000"/>
      <name val="Arial"/>
      <family val="2"/>
    </font>
    <font>
      <b/>
      <sz val="8"/>
      <color theme="1"/>
      <name val="Calibri"/>
      <family val="2"/>
      <scheme val="minor"/>
    </font>
    <font>
      <strike/>
      <sz val="12"/>
      <name val="Arial"/>
      <family val="2"/>
    </font>
    <font>
      <b/>
      <i/>
      <sz val="11"/>
      <name val="Arial"/>
      <family val="2"/>
    </font>
    <font>
      <u/>
      <sz val="10"/>
      <color theme="10"/>
      <name val="Arial"/>
      <family val="2"/>
    </font>
    <font>
      <b/>
      <sz val="14"/>
      <color rgb="FF0000FF"/>
      <name val="Arial"/>
      <family val="2"/>
    </font>
    <font>
      <b/>
      <u/>
      <sz val="10"/>
      <color theme="10"/>
      <name val="Arial"/>
      <family val="2"/>
    </font>
    <font>
      <b/>
      <sz val="12"/>
      <name val="Calibri"/>
      <family val="2"/>
    </font>
    <font>
      <b/>
      <sz val="13"/>
      <color rgb="FFFF0000"/>
      <name val="Calibri"/>
      <family val="2"/>
      <scheme val="minor"/>
    </font>
    <font>
      <b/>
      <sz val="9"/>
      <color rgb="FFFF0000"/>
      <name val="Calibri"/>
      <family val="2"/>
      <scheme val="minor"/>
    </font>
  </fonts>
  <fills count="25">
    <fill>
      <patternFill patternType="none"/>
    </fill>
    <fill>
      <patternFill patternType="gray125"/>
    </fill>
    <fill>
      <patternFill patternType="solid">
        <fgColor indexed="30"/>
        <bgColor indexed="64"/>
      </patternFill>
    </fill>
    <fill>
      <patternFill patternType="solid">
        <fgColor theme="7" tint="0.79998168889431442"/>
        <bgColor indexed="65"/>
      </patternFill>
    </fill>
    <fill>
      <patternFill patternType="solid">
        <fgColor rgb="FFFFC000"/>
        <bgColor indexed="64"/>
      </patternFill>
    </fill>
    <fill>
      <patternFill patternType="solid">
        <fgColor theme="7" tint="0.59999389629810485"/>
        <bgColor indexed="64"/>
      </patternFill>
    </fill>
    <fill>
      <patternFill patternType="solid">
        <fgColor rgb="FF99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rgb="FFFF000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1"/>
        <bgColor indexed="64"/>
      </patternFill>
    </fill>
    <fill>
      <patternFill patternType="solid">
        <fgColor theme="9"/>
        <bgColor indexed="64"/>
      </patternFill>
    </fill>
    <fill>
      <patternFill patternType="solid">
        <fgColor theme="4"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59999389629810485"/>
        <bgColor indexed="64"/>
      </patternFill>
    </fill>
    <fill>
      <patternFill patternType="solid">
        <fgColor theme="7" tint="0.39997558519241921"/>
        <bgColor indexed="64"/>
      </patternFill>
    </fill>
    <fill>
      <patternFill patternType="solid">
        <fgColor theme="9" tint="0.59999389629810485"/>
        <bgColor indexed="64"/>
      </patternFill>
    </fill>
  </fills>
  <borders count="41">
    <border>
      <left/>
      <right/>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top style="thick">
        <color indexed="64"/>
      </top>
      <bottom/>
      <diagonal/>
    </border>
    <border>
      <left/>
      <right/>
      <top/>
      <bottom style="thick">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style="double">
        <color indexed="64"/>
      </top>
      <bottom style="medium">
        <color indexed="64"/>
      </bottom>
      <diagonal/>
    </border>
    <border>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style="double">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ck">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s>
  <cellStyleXfs count="8">
    <xf numFmtId="0" fontId="0" fillId="0" borderId="0"/>
    <xf numFmtId="0" fontId="14" fillId="3" borderId="0" applyNumberFormat="0" applyBorder="0" applyAlignment="0" applyProtection="0"/>
    <xf numFmtId="44" fontId="2" fillId="0" borderId="0" applyFont="0" applyFill="0" applyBorder="0" applyAlignment="0" applyProtection="0"/>
    <xf numFmtId="44" fontId="7" fillId="0" borderId="0" applyFont="0" applyFill="0" applyBorder="0" applyAlignment="0" applyProtection="0"/>
    <xf numFmtId="0" fontId="7" fillId="0" borderId="0"/>
    <xf numFmtId="0" fontId="1" fillId="0" borderId="0"/>
    <xf numFmtId="44" fontId="1" fillId="0" borderId="0" applyFont="0" applyFill="0" applyBorder="0" applyAlignment="0" applyProtection="0"/>
    <xf numFmtId="0" fontId="55" fillId="0" borderId="0" applyNumberFormat="0" applyFill="0" applyBorder="0" applyAlignment="0" applyProtection="0"/>
  </cellStyleXfs>
  <cellXfs count="486">
    <xf numFmtId="0" fontId="0" fillId="0" borderId="0" xfId="0"/>
    <xf numFmtId="0" fontId="3" fillId="0" borderId="0" xfId="0" applyFont="1"/>
    <xf numFmtId="0" fontId="3" fillId="0" borderId="0" xfId="0" applyFont="1" applyAlignment="1">
      <alignment horizontal="center"/>
    </xf>
    <xf numFmtId="44" fontId="3" fillId="0" borderId="0" xfId="2" applyFont="1"/>
    <xf numFmtId="14" fontId="3" fillId="0" borderId="0" xfId="0" applyNumberFormat="1" applyFont="1"/>
    <xf numFmtId="0" fontId="4" fillId="0" borderId="1" xfId="0" applyFont="1" applyBorder="1"/>
    <xf numFmtId="0" fontId="3" fillId="0" borderId="1" xfId="0" applyFont="1" applyBorder="1"/>
    <xf numFmtId="0" fontId="3" fillId="0" borderId="0" xfId="0" applyFont="1" applyAlignment="1">
      <alignment horizontal="left" vertical="center"/>
    </xf>
    <xf numFmtId="0" fontId="3" fillId="0" borderId="0" xfId="0" applyFont="1" applyAlignment="1">
      <alignment horizontal="center" vertical="center"/>
    </xf>
    <xf numFmtId="44" fontId="3" fillId="0" borderId="1" xfId="2" applyFont="1" applyBorder="1"/>
    <xf numFmtId="0" fontId="0" fillId="0" borderId="0" xfId="0" applyAlignment="1">
      <alignment horizontal="center"/>
    </xf>
    <xf numFmtId="164" fontId="3" fillId="0" borderId="0" xfId="0" applyNumberFormat="1" applyFont="1" applyAlignment="1">
      <alignment horizontal="center" vertical="center"/>
    </xf>
    <xf numFmtId="44" fontId="3" fillId="0" borderId="0" xfId="2" applyFont="1" applyAlignment="1">
      <alignment horizontal="center"/>
    </xf>
    <xf numFmtId="0" fontId="3" fillId="2" borderId="0" xfId="0" applyFont="1" applyFill="1"/>
    <xf numFmtId="0" fontId="3" fillId="2" borderId="0" xfId="0" applyFont="1" applyFill="1" applyAlignment="1">
      <alignment horizontal="center" vertical="center"/>
    </xf>
    <xf numFmtId="0" fontId="0" fillId="2" borderId="0" xfId="0" applyFill="1"/>
    <xf numFmtId="1" fontId="3" fillId="0" borderId="0" xfId="0" applyNumberFormat="1" applyFont="1"/>
    <xf numFmtId="1" fontId="3" fillId="0" borderId="0" xfId="0" applyNumberFormat="1" applyFont="1" applyAlignment="1">
      <alignment horizontal="center" vertical="center"/>
    </xf>
    <xf numFmtId="1" fontId="0" fillId="0" borderId="0" xfId="0" applyNumberFormat="1"/>
    <xf numFmtId="44" fontId="16" fillId="0" borderId="0" xfId="2" applyFont="1"/>
    <xf numFmtId="0" fontId="7" fillId="4" borderId="0" xfId="0" applyFont="1" applyFill="1" applyAlignment="1">
      <alignment horizontal="center"/>
    </xf>
    <xf numFmtId="0" fontId="7" fillId="0" borderId="0" xfId="0" applyFont="1" applyAlignment="1">
      <alignment horizontal="center"/>
    </xf>
    <xf numFmtId="0" fontId="17" fillId="0" borderId="0" xfId="0" applyFont="1" applyAlignment="1">
      <alignment horizontal="center"/>
    </xf>
    <xf numFmtId="0" fontId="18" fillId="0" borderId="0" xfId="0" applyFont="1"/>
    <xf numFmtId="44" fontId="3" fillId="0" borderId="0" xfId="3" applyFont="1"/>
    <xf numFmtId="0" fontId="0" fillId="0" borderId="0" xfId="0" applyFill="1"/>
    <xf numFmtId="0" fontId="7" fillId="0" borderId="0" xfId="4"/>
    <xf numFmtId="44" fontId="7" fillId="0" borderId="0" xfId="4" applyNumberFormat="1"/>
    <xf numFmtId="0" fontId="4" fillId="0" borderId="0" xfId="4" applyFont="1"/>
    <xf numFmtId="0" fontId="3" fillId="0" borderId="0" xfId="4" applyFont="1"/>
    <xf numFmtId="44" fontId="4" fillId="0" borderId="0" xfId="3" applyFont="1" applyAlignment="1">
      <alignment horizontal="right"/>
    </xf>
    <xf numFmtId="44" fontId="3" fillId="0" borderId="0" xfId="4" applyNumberFormat="1" applyFont="1"/>
    <xf numFmtId="0" fontId="4" fillId="0" borderId="1" xfId="4" applyFont="1" applyBorder="1"/>
    <xf numFmtId="0" fontId="4" fillId="0" borderId="1" xfId="4" applyFont="1" applyBorder="1" applyAlignment="1">
      <alignment horizontal="right"/>
    </xf>
    <xf numFmtId="0" fontId="3" fillId="0" borderId="0" xfId="4" applyFont="1" applyAlignment="1">
      <alignment horizontal="center" vertical="center"/>
    </xf>
    <xf numFmtId="166" fontId="3" fillId="0" borderId="0" xfId="4" applyNumberFormat="1" applyFont="1" applyAlignment="1">
      <alignment horizontal="center" vertical="center"/>
    </xf>
    <xf numFmtId="0" fontId="3" fillId="0" borderId="0" xfId="4" applyFont="1" applyAlignment="1">
      <alignment horizontal="left" vertical="center"/>
    </xf>
    <xf numFmtId="44" fontId="7" fillId="5" borderId="0" xfId="3" applyFill="1"/>
    <xf numFmtId="44" fontId="3" fillId="5" borderId="0" xfId="3" applyFont="1" applyFill="1" applyAlignment="1">
      <alignment horizontal="center"/>
    </xf>
    <xf numFmtId="44" fontId="19" fillId="5" borderId="0" xfId="3" applyFont="1" applyFill="1" applyAlignment="1">
      <alignment horizontal="center"/>
    </xf>
    <xf numFmtId="0" fontId="0" fillId="6" borderId="0" xfId="0" applyFill="1" applyAlignment="1">
      <alignment horizontal="center"/>
    </xf>
    <xf numFmtId="44" fontId="0" fillId="6" borderId="0" xfId="0" applyNumberFormat="1" applyFill="1" applyAlignment="1">
      <alignment horizontal="center"/>
    </xf>
    <xf numFmtId="44" fontId="3" fillId="6" borderId="0" xfId="0" applyNumberFormat="1" applyFont="1" applyFill="1" applyAlignment="1">
      <alignment horizontal="center"/>
    </xf>
    <xf numFmtId="0" fontId="3" fillId="6" borderId="0" xfId="0" applyFont="1" applyFill="1" applyAlignment="1">
      <alignment horizontal="center"/>
    </xf>
    <xf numFmtId="44" fontId="6" fillId="6" borderId="0" xfId="0" applyNumberFormat="1" applyFont="1" applyFill="1" applyAlignment="1">
      <alignment horizontal="center"/>
    </xf>
    <xf numFmtId="0" fontId="3" fillId="0" borderId="0" xfId="0" applyFont="1" applyFill="1" applyAlignment="1">
      <alignment horizontal="center"/>
    </xf>
    <xf numFmtId="0" fontId="5" fillId="0" borderId="0" xfId="0" applyFont="1" applyFill="1" applyAlignment="1">
      <alignment horizontal="left" vertical="center"/>
    </xf>
    <xf numFmtId="0" fontId="3" fillId="0" borderId="0" xfId="0" applyFont="1" applyFill="1" applyAlignment="1">
      <alignment horizontal="center" vertical="center"/>
    </xf>
    <xf numFmtId="44" fontId="3" fillId="0" borderId="0" xfId="2" applyFont="1" applyFill="1"/>
    <xf numFmtId="49" fontId="5" fillId="0" borderId="0" xfId="0" applyNumberFormat="1" applyFont="1" applyFill="1" applyAlignment="1">
      <alignment horizontal="left" vertical="center"/>
    </xf>
    <xf numFmtId="1" fontId="4" fillId="0" borderId="1" xfId="0" applyNumberFormat="1" applyFont="1" applyBorder="1" applyAlignment="1">
      <alignment horizontal="left"/>
    </xf>
    <xf numFmtId="0" fontId="4" fillId="0" borderId="0" xfId="0" applyFont="1" applyBorder="1" applyAlignment="1">
      <alignment horizontal="left"/>
    </xf>
    <xf numFmtId="1" fontId="4" fillId="0" borderId="0" xfId="0" applyNumberFormat="1" applyFont="1" applyBorder="1" applyAlignment="1">
      <alignment horizontal="left"/>
    </xf>
    <xf numFmtId="0" fontId="4" fillId="0" borderId="0" xfId="0" applyFont="1" applyBorder="1"/>
    <xf numFmtId="0" fontId="3" fillId="8" borderId="2" xfId="0" applyFont="1" applyFill="1" applyBorder="1" applyAlignment="1">
      <alignment horizontal="center"/>
    </xf>
    <xf numFmtId="0" fontId="3" fillId="8" borderId="3" xfId="0" applyFont="1" applyFill="1" applyBorder="1" applyAlignment="1">
      <alignment horizontal="center"/>
    </xf>
    <xf numFmtId="14" fontId="3" fillId="8" borderId="3" xfId="2" applyNumberFormat="1" applyFont="1" applyFill="1" applyBorder="1" applyAlignment="1">
      <alignment horizontal="center"/>
    </xf>
    <xf numFmtId="14" fontId="3" fillId="8" borderId="4" xfId="2" applyNumberFormat="1" applyFont="1" applyFill="1" applyBorder="1" applyAlignment="1">
      <alignment horizontal="center"/>
    </xf>
    <xf numFmtId="0" fontId="3" fillId="8" borderId="5" xfId="0" applyFont="1" applyFill="1" applyBorder="1" applyAlignment="1">
      <alignment horizontal="center"/>
    </xf>
    <xf numFmtId="1" fontId="3" fillId="8" borderId="5" xfId="0" applyNumberFormat="1" applyFont="1" applyFill="1" applyBorder="1" applyAlignment="1">
      <alignment horizontal="center"/>
    </xf>
    <xf numFmtId="44" fontId="3" fillId="8" borderId="5" xfId="2" applyFont="1" applyFill="1" applyBorder="1" applyAlignment="1">
      <alignment horizontal="center"/>
    </xf>
    <xf numFmtId="44" fontId="21" fillId="0" borderId="0" xfId="2" applyFont="1" applyAlignment="1">
      <alignment horizontal="center"/>
    </xf>
    <xf numFmtId="44" fontId="3" fillId="7" borderId="0" xfId="2" applyFont="1" applyFill="1"/>
    <xf numFmtId="0" fontId="7" fillId="5" borderId="0" xfId="4" applyFill="1" applyBorder="1"/>
    <xf numFmtId="0" fontId="0" fillId="5" borderId="0" xfId="0" applyFill="1" applyBorder="1"/>
    <xf numFmtId="0" fontId="22" fillId="5" borderId="0" xfId="0" applyFont="1" applyFill="1" applyBorder="1"/>
    <xf numFmtId="0" fontId="11" fillId="0" borderId="0" xfId="4" applyFont="1" applyAlignment="1">
      <alignment horizontal="center"/>
    </xf>
    <xf numFmtId="0" fontId="0" fillId="0" borderId="0" xfId="0" applyBorder="1"/>
    <xf numFmtId="0" fontId="15" fillId="0" borderId="0" xfId="0" applyFont="1" applyFill="1" applyBorder="1" applyAlignment="1">
      <alignment horizontal="center"/>
    </xf>
    <xf numFmtId="0" fontId="18" fillId="0" borderId="6" xfId="0" applyFont="1" applyBorder="1" applyAlignment="1">
      <alignment horizontal="center"/>
    </xf>
    <xf numFmtId="44" fontId="18" fillId="8" borderId="6" xfId="2" applyFont="1" applyFill="1" applyBorder="1" applyAlignment="1">
      <alignment horizontal="center"/>
    </xf>
    <xf numFmtId="0" fontId="18" fillId="0" borderId="7" xfId="0" applyFont="1" applyBorder="1" applyAlignment="1">
      <alignment horizontal="center"/>
    </xf>
    <xf numFmtId="44" fontId="18" fillId="8" borderId="7" xfId="2" applyFont="1" applyFill="1" applyBorder="1" applyAlignment="1">
      <alignment horizontal="center"/>
    </xf>
    <xf numFmtId="0" fontId="18" fillId="8" borderId="7" xfId="0" applyFont="1" applyFill="1" applyBorder="1" applyAlignment="1">
      <alignment horizontal="center"/>
    </xf>
    <xf numFmtId="0" fontId="18" fillId="8" borderId="8" xfId="0" applyFont="1" applyFill="1" applyBorder="1" applyAlignment="1">
      <alignment horizontal="center"/>
    </xf>
    <xf numFmtId="14" fontId="18" fillId="8" borderId="8" xfId="0" applyNumberFormat="1" applyFont="1" applyFill="1" applyBorder="1" applyAlignment="1">
      <alignment horizontal="center"/>
    </xf>
    <xf numFmtId="0" fontId="18" fillId="9" borderId="9" xfId="0" applyFont="1" applyFill="1" applyBorder="1" applyAlignment="1">
      <alignment horizontal="center"/>
    </xf>
    <xf numFmtId="8" fontId="18" fillId="9" borderId="9" xfId="2" applyNumberFormat="1" applyFont="1" applyFill="1" applyBorder="1" applyAlignment="1">
      <alignment horizontal="center"/>
    </xf>
    <xf numFmtId="44" fontId="18" fillId="9" borderId="9" xfId="2" applyFont="1" applyFill="1" applyBorder="1" applyAlignment="1">
      <alignment horizontal="center"/>
    </xf>
    <xf numFmtId="0" fontId="23" fillId="0" borderId="0" xfId="0" applyFont="1"/>
    <xf numFmtId="0" fontId="24" fillId="0" borderId="8" xfId="0" applyFont="1" applyBorder="1" applyAlignment="1">
      <alignment horizontal="center"/>
    </xf>
    <xf numFmtId="0" fontId="25" fillId="0" borderId="0" xfId="0" applyFont="1" applyFill="1"/>
    <xf numFmtId="0" fontId="26" fillId="0" borderId="0" xfId="0" applyFont="1" applyAlignment="1">
      <alignment wrapText="1"/>
    </xf>
    <xf numFmtId="0" fontId="25" fillId="0" borderId="0" xfId="4" applyFont="1" applyAlignment="1">
      <alignment horizontal="left" vertical="center"/>
    </xf>
    <xf numFmtId="44" fontId="25" fillId="0" borderId="0" xfId="3" applyFont="1" applyAlignment="1">
      <alignment horizontal="left"/>
    </xf>
    <xf numFmtId="164" fontId="25" fillId="0" borderId="0" xfId="4" applyNumberFormat="1" applyFont="1" applyAlignment="1">
      <alignment horizontal="left" vertical="center"/>
    </xf>
    <xf numFmtId="0" fontId="14" fillId="0" borderId="0" xfId="0" applyFont="1" applyAlignment="1">
      <alignment horizontal="center"/>
    </xf>
    <xf numFmtId="0" fontId="10" fillId="0" borderId="1" xfId="0" applyFont="1" applyBorder="1" applyAlignment="1">
      <alignment horizontal="left"/>
    </xf>
    <xf numFmtId="0" fontId="10" fillId="0" borderId="0" xfId="0" applyFont="1"/>
    <xf numFmtId="0" fontId="3" fillId="0" borderId="0" xfId="4" applyFont="1" applyFill="1"/>
    <xf numFmtId="166" fontId="3" fillId="0" borderId="0" xfId="4" applyNumberFormat="1" applyFont="1" applyFill="1" applyAlignment="1">
      <alignment horizontal="left" vertical="center"/>
    </xf>
    <xf numFmtId="44" fontId="3" fillId="0" borderId="0" xfId="3" applyFont="1" applyFill="1" applyAlignment="1">
      <alignment horizontal="left"/>
    </xf>
    <xf numFmtId="44" fontId="3" fillId="0" borderId="0" xfId="3" applyFont="1" applyFill="1" applyAlignment="1">
      <alignment horizontal="center"/>
    </xf>
    <xf numFmtId="44" fontId="7" fillId="4" borderId="0" xfId="4" applyNumberFormat="1" applyFill="1"/>
    <xf numFmtId="0" fontId="7" fillId="4" borderId="0" xfId="4" applyFill="1"/>
    <xf numFmtId="0" fontId="28" fillId="0" borderId="0" xfId="0" applyFont="1" applyFill="1" applyAlignment="1">
      <alignment horizontal="left" vertical="center" wrapText="1"/>
    </xf>
    <xf numFmtId="0" fontId="23" fillId="0" borderId="0" xfId="4" applyFont="1" applyAlignment="1">
      <alignment horizontal="left" vertical="center"/>
    </xf>
    <xf numFmtId="164" fontId="24" fillId="0" borderId="0" xfId="4" applyNumberFormat="1" applyFont="1" applyAlignment="1">
      <alignment horizontal="left" vertical="center"/>
    </xf>
    <xf numFmtId="44" fontId="24" fillId="0" borderId="0" xfId="3" applyFont="1" applyAlignment="1">
      <alignment horizontal="left"/>
    </xf>
    <xf numFmtId="0" fontId="24" fillId="0" borderId="0" xfId="4" applyFont="1" applyAlignment="1">
      <alignment horizontal="left" vertical="center"/>
    </xf>
    <xf numFmtId="0" fontId="24" fillId="0" borderId="0" xfId="4" applyFont="1" applyAlignment="1">
      <alignment horizontal="center" vertical="center"/>
    </xf>
    <xf numFmtId="166" fontId="24" fillId="0" borderId="0" xfId="4" applyNumberFormat="1" applyFont="1" applyAlignment="1">
      <alignment horizontal="center" vertical="center"/>
    </xf>
    <xf numFmtId="44" fontId="24" fillId="0" borderId="0" xfId="3" applyFont="1"/>
    <xf numFmtId="166" fontId="24" fillId="0" borderId="0" xfId="4" applyNumberFormat="1" applyFont="1" applyAlignment="1">
      <alignment horizontal="left" vertical="center"/>
    </xf>
    <xf numFmtId="0" fontId="28" fillId="0" borderId="0" xfId="0" applyFont="1" applyFill="1" applyAlignment="1">
      <alignment horizontal="left" vertical="center"/>
    </xf>
    <xf numFmtId="0" fontId="23" fillId="0" borderId="0" xfId="0" applyFont="1" applyFill="1" applyAlignment="1">
      <alignment horizontal="left" vertical="center"/>
    </xf>
    <xf numFmtId="166" fontId="23" fillId="0" borderId="0" xfId="4" applyNumberFormat="1" applyFont="1" applyAlignment="1">
      <alignment horizontal="left" vertical="center"/>
    </xf>
    <xf numFmtId="44" fontId="23" fillId="0" borderId="0" xfId="3" applyFont="1" applyAlignment="1">
      <alignment horizontal="left"/>
    </xf>
    <xf numFmtId="0" fontId="29" fillId="0" borderId="0" xfId="0" applyFont="1" applyAlignment="1">
      <alignment horizontal="left" vertical="top" wrapText="1"/>
    </xf>
    <xf numFmtId="164" fontId="23" fillId="0" borderId="0" xfId="4" applyNumberFormat="1" applyFont="1" applyAlignment="1">
      <alignment horizontal="left" vertical="center"/>
    </xf>
    <xf numFmtId="0" fontId="23" fillId="0" borderId="13" xfId="4" applyFont="1" applyBorder="1" applyAlignment="1">
      <alignment horizontal="left" vertical="center"/>
    </xf>
    <xf numFmtId="44" fontId="23" fillId="0" borderId="13" xfId="3" applyFont="1" applyBorder="1" applyAlignment="1">
      <alignment horizontal="left"/>
    </xf>
    <xf numFmtId="0" fontId="30" fillId="0" borderId="14" xfId="0" applyFont="1" applyBorder="1" applyAlignment="1">
      <alignment horizontal="center"/>
    </xf>
    <xf numFmtId="0" fontId="30" fillId="0" borderId="0" xfId="0" applyFont="1" applyAlignment="1">
      <alignment horizontal="center"/>
    </xf>
    <xf numFmtId="0" fontId="7" fillId="0" borderId="0" xfId="4" applyFont="1"/>
    <xf numFmtId="0" fontId="30" fillId="0" borderId="15" xfId="0" applyFont="1" applyBorder="1" applyAlignment="1">
      <alignment horizontal="center"/>
    </xf>
    <xf numFmtId="0" fontId="7" fillId="7" borderId="0" xfId="0" applyFont="1" applyFill="1" applyAlignment="1">
      <alignment horizontal="center"/>
    </xf>
    <xf numFmtId="0" fontId="26" fillId="0" borderId="0" xfId="0" applyFont="1"/>
    <xf numFmtId="0" fontId="5" fillId="0" borderId="0" xfId="0" applyFont="1"/>
    <xf numFmtId="0" fontId="26" fillId="0" borderId="0" xfId="0" applyFont="1"/>
    <xf numFmtId="0" fontId="31" fillId="0" borderId="0" xfId="0" applyFont="1"/>
    <xf numFmtId="0" fontId="32" fillId="7" borderId="0" xfId="0" applyFont="1" applyFill="1"/>
    <xf numFmtId="0" fontId="31" fillId="7" borderId="0" xfId="0" applyFont="1" applyFill="1"/>
    <xf numFmtId="0" fontId="18" fillId="0" borderId="5" xfId="0" applyFont="1" applyBorder="1" applyAlignment="1">
      <alignment horizontal="center"/>
    </xf>
    <xf numFmtId="0" fontId="18" fillId="8" borderId="5" xfId="0" applyFont="1" applyFill="1" applyBorder="1" applyAlignment="1">
      <alignment horizontal="center"/>
    </xf>
    <xf numFmtId="1" fontId="18" fillId="8" borderId="5" xfId="0" applyNumberFormat="1" applyFont="1" applyFill="1" applyBorder="1" applyAlignment="1">
      <alignment horizontal="center"/>
    </xf>
    <xf numFmtId="10" fontId="18" fillId="8" borderId="5" xfId="0" applyNumberFormat="1" applyFont="1" applyFill="1" applyBorder="1" applyAlignment="1">
      <alignment horizontal="center"/>
    </xf>
    <xf numFmtId="1" fontId="18" fillId="0" borderId="5" xfId="0" applyNumberFormat="1" applyFont="1" applyBorder="1" applyAlignment="1">
      <alignment horizontal="center"/>
    </xf>
    <xf numFmtId="9" fontId="6" fillId="6" borderId="0" xfId="0" applyNumberFormat="1" applyFont="1" applyFill="1" applyAlignment="1">
      <alignment horizontal="center"/>
    </xf>
    <xf numFmtId="0" fontId="33" fillId="0" borderId="0" xfId="0" applyFont="1"/>
    <xf numFmtId="0" fontId="34" fillId="0" borderId="0" xfId="0" applyFont="1"/>
    <xf numFmtId="0" fontId="18" fillId="5" borderId="5" xfId="0" applyFont="1" applyFill="1" applyBorder="1" applyAlignment="1">
      <alignment horizontal="center"/>
    </xf>
    <xf numFmtId="0" fontId="18" fillId="8" borderId="5" xfId="0" applyFont="1" applyFill="1" applyBorder="1" applyAlignment="1">
      <alignment wrapText="1"/>
    </xf>
    <xf numFmtId="0" fontId="18" fillId="0" borderId="5" xfId="0" applyFont="1" applyBorder="1" applyAlignment="1">
      <alignment wrapText="1"/>
    </xf>
    <xf numFmtId="0" fontId="3" fillId="8" borderId="5" xfId="0" applyFont="1" applyFill="1" applyBorder="1" applyAlignment="1">
      <alignment horizontal="center" wrapText="1"/>
    </xf>
    <xf numFmtId="0" fontId="23" fillId="0" borderId="0" xfId="4" applyFont="1" applyBorder="1" applyAlignment="1">
      <alignment horizontal="left" vertical="center"/>
    </xf>
    <xf numFmtId="0" fontId="3" fillId="0" borderId="0" xfId="0" applyFont="1" applyFill="1"/>
    <xf numFmtId="0" fontId="5" fillId="10" borderId="0" xfId="0" applyFont="1" applyFill="1" applyAlignment="1">
      <alignment horizontal="left" vertical="center"/>
    </xf>
    <xf numFmtId="1" fontId="3" fillId="10" borderId="0" xfId="0" applyNumberFormat="1" applyFont="1" applyFill="1" applyAlignment="1">
      <alignment horizontal="center" vertical="center"/>
    </xf>
    <xf numFmtId="0" fontId="3" fillId="10" borderId="0" xfId="0" applyFont="1" applyFill="1" applyAlignment="1">
      <alignment horizontal="center" vertical="center"/>
    </xf>
    <xf numFmtId="44" fontId="3" fillId="10" borderId="0" xfId="2" applyFont="1" applyFill="1"/>
    <xf numFmtId="0" fontId="0" fillId="10" borderId="0" xfId="0" applyFill="1" applyAlignment="1">
      <alignment horizontal="center"/>
    </xf>
    <xf numFmtId="0" fontId="3" fillId="10" borderId="0" xfId="0" applyFont="1" applyFill="1" applyAlignment="1">
      <alignment horizontal="center"/>
    </xf>
    <xf numFmtId="44" fontId="0" fillId="10" borderId="0" xfId="0" applyNumberFormat="1" applyFill="1" applyAlignment="1">
      <alignment horizontal="center"/>
    </xf>
    <xf numFmtId="0" fontId="0" fillId="10" borderId="0" xfId="0" applyFill="1"/>
    <xf numFmtId="164" fontId="3" fillId="0" borderId="0" xfId="0" applyNumberFormat="1" applyFont="1" applyFill="1" applyAlignment="1">
      <alignment horizontal="center" vertical="center"/>
    </xf>
    <xf numFmtId="0" fontId="35" fillId="0" borderId="0" xfId="0" applyFont="1" applyAlignment="1">
      <alignment horizontal="left" vertical="top" wrapText="1"/>
    </xf>
    <xf numFmtId="2" fontId="0" fillId="0" borderId="0" xfId="0" applyNumberFormat="1"/>
    <xf numFmtId="44" fontId="3" fillId="0" borderId="0" xfId="4" applyNumberFormat="1" applyFont="1" applyAlignment="1">
      <alignment horizontal="center" vertical="center"/>
    </xf>
    <xf numFmtId="0" fontId="26" fillId="0" borderId="0" xfId="0" applyFont="1"/>
    <xf numFmtId="0" fontId="2" fillId="0" borderId="0" xfId="0" applyFont="1"/>
    <xf numFmtId="0" fontId="3" fillId="8" borderId="18" xfId="0" applyFont="1" applyFill="1" applyBorder="1" applyAlignment="1">
      <alignment horizontal="center"/>
    </xf>
    <xf numFmtId="0" fontId="36" fillId="14" borderId="2" xfId="0" applyFont="1" applyFill="1" applyBorder="1" applyAlignment="1">
      <alignment horizontal="center" vertical="center"/>
    </xf>
    <xf numFmtId="0" fontId="36" fillId="14" borderId="11" xfId="0" applyFont="1" applyFill="1" applyBorder="1" applyAlignment="1">
      <alignment horizontal="center" vertical="center" wrapText="1"/>
    </xf>
    <xf numFmtId="0" fontId="36" fillId="14" borderId="22" xfId="0" applyFont="1" applyFill="1" applyBorder="1" applyAlignment="1">
      <alignment horizontal="center" vertical="center"/>
    </xf>
    <xf numFmtId="0" fontId="0" fillId="16" borderId="0" xfId="0" applyFill="1" applyBorder="1"/>
    <xf numFmtId="0" fontId="2" fillId="16" borderId="0" xfId="0" applyFont="1" applyFill="1" applyBorder="1"/>
    <xf numFmtId="0" fontId="0" fillId="16" borderId="13" xfId="0" applyFill="1" applyBorder="1"/>
    <xf numFmtId="0" fontId="0" fillId="13" borderId="24" xfId="0" applyFill="1" applyBorder="1"/>
    <xf numFmtId="0" fontId="0" fillId="13" borderId="25" xfId="0" applyFill="1" applyBorder="1"/>
    <xf numFmtId="0" fontId="2" fillId="13" borderId="23" xfId="0" applyFont="1" applyFill="1" applyBorder="1"/>
    <xf numFmtId="0" fontId="2" fillId="13" borderId="25" xfId="0" applyFont="1" applyFill="1" applyBorder="1"/>
    <xf numFmtId="0" fontId="0" fillId="0" borderId="0" xfId="0" applyAlignment="1">
      <alignment horizontal="center"/>
    </xf>
    <xf numFmtId="0" fontId="36" fillId="14" borderId="17" xfId="0" applyFont="1" applyFill="1" applyBorder="1" applyAlignment="1">
      <alignment horizontal="center" vertical="center" wrapText="1"/>
    </xf>
    <xf numFmtId="0" fontId="36" fillId="14" borderId="18" xfId="0" applyFont="1" applyFill="1" applyBorder="1" applyAlignment="1">
      <alignment horizontal="center" vertical="center" wrapText="1"/>
    </xf>
    <xf numFmtId="0" fontId="2" fillId="13" borderId="24" xfId="0" applyFont="1" applyFill="1" applyBorder="1"/>
    <xf numFmtId="0" fontId="2" fillId="12" borderId="23" xfId="0" applyFont="1" applyFill="1" applyBorder="1"/>
    <xf numFmtId="0" fontId="2" fillId="12" borderId="24" xfId="0" applyFont="1" applyFill="1" applyBorder="1"/>
    <xf numFmtId="0" fontId="2" fillId="12" borderId="25" xfId="0" applyFont="1" applyFill="1" applyBorder="1"/>
    <xf numFmtId="0" fontId="2" fillId="16" borderId="2" xfId="0" applyFont="1" applyFill="1" applyBorder="1"/>
    <xf numFmtId="0" fontId="2" fillId="16" borderId="3" xfId="0" applyFont="1" applyFill="1" applyBorder="1"/>
    <xf numFmtId="0" fontId="2" fillId="16" borderId="4" xfId="0" applyFont="1" applyFill="1" applyBorder="1"/>
    <xf numFmtId="0" fontId="0" fillId="18" borderId="11" xfId="0" applyFill="1" applyBorder="1"/>
    <xf numFmtId="0" fontId="3" fillId="18" borderId="11" xfId="0" applyFont="1" applyFill="1" applyBorder="1" applyAlignment="1">
      <alignment horizontal="left"/>
    </xf>
    <xf numFmtId="0" fontId="3" fillId="18" borderId="12" xfId="0" applyFont="1" applyFill="1" applyBorder="1" applyAlignment="1">
      <alignment horizontal="left"/>
    </xf>
    <xf numFmtId="0" fontId="0" fillId="18" borderId="0" xfId="0" applyFill="1" applyBorder="1"/>
    <xf numFmtId="0" fontId="3" fillId="18" borderId="0" xfId="0" applyFont="1" applyFill="1" applyBorder="1" applyAlignment="1">
      <alignment horizontal="left"/>
    </xf>
    <xf numFmtId="0" fontId="0" fillId="18" borderId="21" xfId="0" applyFill="1" applyBorder="1"/>
    <xf numFmtId="0" fontId="3" fillId="18" borderId="27" xfId="0" applyFont="1" applyFill="1" applyBorder="1" applyAlignment="1">
      <alignment horizontal="left"/>
    </xf>
    <xf numFmtId="0" fontId="2" fillId="12" borderId="28" xfId="0" applyFont="1" applyFill="1" applyBorder="1"/>
    <xf numFmtId="0" fontId="3" fillId="18" borderId="29" xfId="0" applyFont="1" applyFill="1" applyBorder="1" applyAlignment="1">
      <alignment horizontal="left"/>
    </xf>
    <xf numFmtId="0" fontId="2" fillId="12" borderId="30" xfId="0" applyFont="1" applyFill="1" applyBorder="1"/>
    <xf numFmtId="0" fontId="3" fillId="18" borderId="31" xfId="0" applyFont="1" applyFill="1" applyBorder="1" applyAlignment="1">
      <alignment horizontal="left"/>
    </xf>
    <xf numFmtId="0" fontId="2" fillId="12" borderId="32" xfId="0" applyFont="1" applyFill="1" applyBorder="1"/>
    <xf numFmtId="2" fontId="0" fillId="18" borderId="23" xfId="0" applyNumberFormat="1" applyFill="1" applyBorder="1"/>
    <xf numFmtId="0" fontId="4" fillId="18" borderId="11" xfId="0" applyFont="1" applyFill="1" applyBorder="1"/>
    <xf numFmtId="0" fontId="4" fillId="18" borderId="0" xfId="0" applyFont="1" applyFill="1" applyBorder="1"/>
    <xf numFmtId="44" fontId="2" fillId="12" borderId="24" xfId="2" applyFont="1" applyFill="1" applyBorder="1"/>
    <xf numFmtId="0" fontId="3" fillId="6" borderId="0" xfId="0" applyNumberFormat="1" applyFont="1" applyFill="1" applyAlignment="1">
      <alignment horizontal="center"/>
    </xf>
    <xf numFmtId="0" fontId="2" fillId="13" borderId="27" xfId="0" applyFont="1" applyFill="1" applyBorder="1" applyAlignment="1">
      <alignment horizontal="center"/>
    </xf>
    <xf numFmtId="0" fontId="2" fillId="13" borderId="29" xfId="0" applyFont="1" applyFill="1" applyBorder="1" applyAlignment="1">
      <alignment horizontal="center"/>
    </xf>
    <xf numFmtId="0" fontId="2" fillId="13" borderId="31" xfId="0" applyFont="1" applyFill="1" applyBorder="1" applyAlignment="1">
      <alignment horizontal="center"/>
    </xf>
    <xf numFmtId="0" fontId="0" fillId="0" borderId="0" xfId="0" applyAlignment="1">
      <alignment horizontal="center"/>
    </xf>
    <xf numFmtId="44" fontId="0" fillId="0" borderId="0" xfId="0" applyNumberFormat="1" applyFill="1"/>
    <xf numFmtId="0" fontId="26" fillId="0" borderId="0" xfId="0" applyFont="1"/>
    <xf numFmtId="44" fontId="10" fillId="0" borderId="0" xfId="2" applyFont="1" applyAlignment="1">
      <alignment horizontal="center"/>
    </xf>
    <xf numFmtId="44" fontId="10" fillId="0" borderId="0" xfId="2" applyFont="1" applyAlignment="1">
      <alignment horizontal="left"/>
    </xf>
    <xf numFmtId="0" fontId="38" fillId="0" borderId="0" xfId="4" applyFont="1" applyAlignment="1">
      <alignment horizontal="center"/>
    </xf>
    <xf numFmtId="44" fontId="21" fillId="7" borderId="0" xfId="1" applyNumberFormat="1" applyFont="1" applyFill="1"/>
    <xf numFmtId="0" fontId="11" fillId="0" borderId="0" xfId="0" applyFont="1"/>
    <xf numFmtId="44" fontId="39" fillId="6" borderId="0" xfId="0" applyNumberFormat="1" applyFont="1" applyFill="1" applyAlignment="1">
      <alignment horizontal="center"/>
    </xf>
    <xf numFmtId="0" fontId="24" fillId="0" borderId="0" xfId="0" applyFont="1" applyFill="1" applyAlignment="1">
      <alignment horizontal="center"/>
    </xf>
    <xf numFmtId="0" fontId="2" fillId="6" borderId="0" xfId="0" applyFont="1" applyFill="1" applyAlignment="1">
      <alignment horizontal="center"/>
    </xf>
    <xf numFmtId="44" fontId="2" fillId="6" borderId="0" xfId="0" applyNumberFormat="1" applyFont="1" applyFill="1" applyAlignment="1">
      <alignment horizontal="center"/>
    </xf>
    <xf numFmtId="0" fontId="40" fillId="0" borderId="0" xfId="0" applyFont="1" applyAlignment="1">
      <alignment horizontal="left" vertical="top" wrapText="1"/>
    </xf>
    <xf numFmtId="0" fontId="2" fillId="0" borderId="0" xfId="0" applyFont="1" applyAlignment="1">
      <alignment horizontal="center"/>
    </xf>
    <xf numFmtId="1" fontId="24" fillId="0" borderId="0" xfId="0" applyNumberFormat="1" applyFont="1" applyFill="1" applyAlignment="1">
      <alignment vertical="center" wrapText="1"/>
    </xf>
    <xf numFmtId="0" fontId="24" fillId="0" borderId="0" xfId="0" applyFont="1" applyFill="1" applyAlignment="1">
      <alignment vertical="center" wrapText="1"/>
    </xf>
    <xf numFmtId="44" fontId="24" fillId="0" borderId="0" xfId="2" applyFont="1" applyFill="1" applyAlignment="1">
      <alignment vertical="center" wrapText="1"/>
    </xf>
    <xf numFmtId="0" fontId="23" fillId="0" borderId="0" xfId="0" applyFont="1" applyFill="1" applyAlignment="1">
      <alignment horizontal="center" vertical="center" wrapText="1"/>
    </xf>
    <xf numFmtId="0" fontId="23" fillId="0" borderId="0" xfId="0" applyFont="1" applyFill="1"/>
    <xf numFmtId="1" fontId="23" fillId="0" borderId="0" xfId="0" applyNumberFormat="1" applyFont="1" applyFill="1" applyAlignment="1">
      <alignment vertical="center" wrapText="1"/>
    </xf>
    <xf numFmtId="0" fontId="23" fillId="0" borderId="0" xfId="0" applyFont="1" applyFill="1" applyAlignment="1">
      <alignment vertical="center" wrapText="1"/>
    </xf>
    <xf numFmtId="44" fontId="24" fillId="0" borderId="0" xfId="0" applyNumberFormat="1" applyFont="1" applyFill="1" applyAlignment="1">
      <alignment horizontal="center" vertical="center" wrapText="1"/>
    </xf>
    <xf numFmtId="1" fontId="23" fillId="0" borderId="0" xfId="0" applyNumberFormat="1" applyFont="1" applyFill="1" applyAlignment="1">
      <alignment horizontal="left" vertical="center"/>
    </xf>
    <xf numFmtId="0" fontId="26" fillId="0" borderId="0" xfId="0" applyFont="1" applyAlignment="1">
      <alignment horizontal="left" vertical="top" wrapText="1"/>
    </xf>
    <xf numFmtId="0" fontId="26" fillId="0" borderId="0" xfId="0" applyFont="1" applyBorder="1" applyAlignment="1">
      <alignment horizontal="left"/>
    </xf>
    <xf numFmtId="0" fontId="45" fillId="0" borderId="0" xfId="0" applyFont="1"/>
    <xf numFmtId="0" fontId="26" fillId="0" borderId="0" xfId="0" applyFont="1" applyAlignment="1">
      <alignment horizontal="center"/>
    </xf>
    <xf numFmtId="44" fontId="26" fillId="0" borderId="0" xfId="2" applyFont="1"/>
    <xf numFmtId="14" fontId="5" fillId="0" borderId="0" xfId="0" applyNumberFormat="1" applyFont="1"/>
    <xf numFmtId="0" fontId="36" fillId="14" borderId="5" xfId="0" applyFont="1" applyFill="1" applyBorder="1" applyAlignment="1">
      <alignment horizontal="center" vertical="center"/>
    </xf>
    <xf numFmtId="0" fontId="36" fillId="14" borderId="26" xfId="0" applyFont="1" applyFill="1" applyBorder="1" applyAlignment="1">
      <alignment horizontal="center" vertical="center" wrapText="1"/>
    </xf>
    <xf numFmtId="0" fontId="36" fillId="14" borderId="18" xfId="0" applyFont="1" applyFill="1" applyBorder="1" applyAlignment="1">
      <alignment horizontal="center" vertical="center"/>
    </xf>
    <xf numFmtId="44" fontId="0" fillId="12" borderId="29" xfId="0" applyNumberFormat="1" applyFill="1" applyBorder="1"/>
    <xf numFmtId="44" fontId="0" fillId="12" borderId="30" xfId="0" applyNumberFormat="1" applyFill="1" applyBorder="1"/>
    <xf numFmtId="44" fontId="0" fillId="12" borderId="31" xfId="0" applyNumberFormat="1" applyFill="1" applyBorder="1"/>
    <xf numFmtId="44" fontId="0" fillId="12" borderId="32" xfId="0" applyNumberFormat="1" applyFill="1" applyBorder="1"/>
    <xf numFmtId="44" fontId="0" fillId="12" borderId="27" xfId="0" applyNumberFormat="1" applyFill="1" applyBorder="1"/>
    <xf numFmtId="44" fontId="0" fillId="12" borderId="28" xfId="0" applyNumberFormat="1" applyFill="1" applyBorder="1"/>
    <xf numFmtId="44" fontId="0" fillId="12" borderId="28" xfId="2" applyNumberFormat="1" applyFont="1" applyFill="1" applyBorder="1" applyAlignment="1">
      <alignment horizontal="right"/>
    </xf>
    <xf numFmtId="44" fontId="0" fillId="12" borderId="30" xfId="2" applyNumberFormat="1" applyFont="1" applyFill="1" applyBorder="1" applyAlignment="1">
      <alignment horizontal="right"/>
    </xf>
    <xf numFmtId="44" fontId="0" fillId="12" borderId="32" xfId="2" applyNumberFormat="1" applyFont="1" applyFill="1" applyBorder="1" applyAlignment="1">
      <alignment horizontal="right"/>
    </xf>
    <xf numFmtId="44" fontId="0" fillId="0" borderId="0" xfId="0" applyNumberFormat="1"/>
    <xf numFmtId="0" fontId="2" fillId="13" borderId="24" xfId="0" applyFont="1" applyFill="1" applyBorder="1" applyAlignment="1">
      <alignment horizontal="left"/>
    </xf>
    <xf numFmtId="0" fontId="2" fillId="13" borderId="23" xfId="0" applyFont="1" applyFill="1" applyBorder="1" applyAlignment="1">
      <alignment horizontal="left"/>
    </xf>
    <xf numFmtId="0" fontId="2" fillId="13" borderId="25" xfId="0" applyFont="1" applyFill="1" applyBorder="1" applyAlignment="1">
      <alignment horizontal="left"/>
    </xf>
    <xf numFmtId="44" fontId="0" fillId="12" borderId="23" xfId="0" applyNumberFormat="1" applyFill="1" applyBorder="1"/>
    <xf numFmtId="44" fontId="0" fillId="12" borderId="24" xfId="0" applyNumberFormat="1" applyFill="1" applyBorder="1"/>
    <xf numFmtId="44" fontId="0" fillId="12" borderId="25" xfId="0" applyNumberFormat="1" applyFill="1" applyBorder="1"/>
    <xf numFmtId="0" fontId="0" fillId="13" borderId="37" xfId="0" applyFill="1" applyBorder="1"/>
    <xf numFmtId="44" fontId="0" fillId="12" borderId="36" xfId="0" applyNumberFormat="1" applyFill="1" applyBorder="1"/>
    <xf numFmtId="44" fontId="0" fillId="12" borderId="35" xfId="0" applyNumberFormat="1" applyFill="1" applyBorder="1"/>
    <xf numFmtId="0" fontId="2" fillId="13" borderId="37" xfId="0" applyFont="1" applyFill="1" applyBorder="1" applyAlignment="1">
      <alignment horizontal="left"/>
    </xf>
    <xf numFmtId="0" fontId="26" fillId="0" borderId="0" xfId="0" applyFont="1" applyAlignment="1">
      <alignment horizontal="left"/>
    </xf>
    <xf numFmtId="0" fontId="26" fillId="0" borderId="0" xfId="0" applyFont="1" applyAlignment="1">
      <alignment wrapText="1"/>
    </xf>
    <xf numFmtId="0" fontId="26" fillId="0" borderId="0" xfId="0" applyFont="1" applyAlignment="1">
      <alignment vertical="top" wrapText="1"/>
    </xf>
    <xf numFmtId="0" fontId="26" fillId="0" borderId="0" xfId="0" applyFont="1" applyAlignment="1"/>
    <xf numFmtId="0" fontId="26" fillId="0" borderId="0" xfId="0" applyFont="1" applyBorder="1" applyAlignment="1">
      <alignment wrapText="1"/>
    </xf>
    <xf numFmtId="0" fontId="26" fillId="0" borderId="0" xfId="0" applyFont="1" applyBorder="1"/>
    <xf numFmtId="0" fontId="26" fillId="0" borderId="0" xfId="0" applyFont="1" applyBorder="1" applyAlignment="1">
      <alignment horizontal="center"/>
    </xf>
    <xf numFmtId="0" fontId="26" fillId="0" borderId="0" xfId="0" applyFont="1" applyAlignment="1">
      <alignment wrapText="1"/>
    </xf>
    <xf numFmtId="14" fontId="32" fillId="7" borderId="0" xfId="0" applyNumberFormat="1" applyFont="1" applyFill="1"/>
    <xf numFmtId="14" fontId="7" fillId="0" borderId="0" xfId="4" applyNumberFormat="1"/>
    <xf numFmtId="14" fontId="3" fillId="0" borderId="0" xfId="4" applyNumberFormat="1" applyFont="1"/>
    <xf numFmtId="0" fontId="25" fillId="0" borderId="0" xfId="0" applyFont="1"/>
    <xf numFmtId="0" fontId="3" fillId="6" borderId="0" xfId="0" applyFont="1" applyFill="1" applyAlignment="1">
      <alignment horizontal="center" vertical="center"/>
    </xf>
    <xf numFmtId="0" fontId="26" fillId="0" borderId="0" xfId="0" applyFont="1"/>
    <xf numFmtId="0" fontId="4" fillId="0" borderId="0" xfId="0" applyFont="1"/>
    <xf numFmtId="9" fontId="11" fillId="0" borderId="0" xfId="0" applyNumberFormat="1" applyFont="1"/>
    <xf numFmtId="0" fontId="47" fillId="0" borderId="0" xfId="0" applyFont="1"/>
    <xf numFmtId="0" fontId="38" fillId="0" borderId="0" xfId="0" applyFont="1"/>
    <xf numFmtId="14" fontId="0" fillId="0" borderId="0" xfId="0" applyNumberFormat="1"/>
    <xf numFmtId="9" fontId="10" fillId="0" borderId="0" xfId="0" applyNumberFormat="1" applyFont="1" applyAlignment="1">
      <alignment horizontal="center"/>
    </xf>
    <xf numFmtId="0" fontId="10" fillId="8" borderId="0" xfId="0" applyFont="1" applyFill="1"/>
    <xf numFmtId="9" fontId="10" fillId="8" borderId="0" xfId="0" applyNumberFormat="1" applyFont="1" applyFill="1" applyAlignment="1">
      <alignment horizontal="center"/>
    </xf>
    <xf numFmtId="0" fontId="3" fillId="11" borderId="0" xfId="0" applyFont="1" applyFill="1" applyAlignment="1">
      <alignment horizontal="center"/>
    </xf>
    <xf numFmtId="9" fontId="6" fillId="11" borderId="0" xfId="0" applyNumberFormat="1" applyFont="1" applyFill="1" applyAlignment="1">
      <alignment horizontal="center"/>
    </xf>
    <xf numFmtId="44" fontId="6" fillId="11" borderId="0" xfId="0" applyNumberFormat="1" applyFont="1" applyFill="1" applyAlignment="1">
      <alignment horizontal="center"/>
    </xf>
    <xf numFmtId="0" fontId="2" fillId="13" borderId="27" xfId="0" applyFont="1" applyFill="1" applyBorder="1" applyAlignment="1">
      <alignment horizontal="left"/>
    </xf>
    <xf numFmtId="0" fontId="2" fillId="13" borderId="29" xfId="0" applyFont="1" applyFill="1" applyBorder="1" applyAlignment="1">
      <alignment horizontal="left"/>
    </xf>
    <xf numFmtId="0" fontId="2" fillId="13" borderId="31" xfId="0" applyFont="1" applyFill="1" applyBorder="1" applyAlignment="1">
      <alignment horizontal="left"/>
    </xf>
    <xf numFmtId="0" fontId="3" fillId="8" borderId="17" xfId="0" applyFont="1" applyFill="1" applyBorder="1" applyAlignment="1">
      <alignment horizontal="center" vertical="center" wrapText="1"/>
    </xf>
    <xf numFmtId="0" fontId="37" fillId="6" borderId="0" xfId="0" applyNumberFormat="1" applyFont="1" applyFill="1" applyAlignment="1">
      <alignment horizontal="center"/>
    </xf>
    <xf numFmtId="0" fontId="6" fillId="6" borderId="0" xfId="0" applyNumberFormat="1" applyFont="1" applyFill="1" applyAlignment="1">
      <alignment horizontal="center"/>
    </xf>
    <xf numFmtId="0" fontId="23" fillId="0" borderId="0" xfId="0" applyNumberFormat="1" applyFont="1" applyFill="1"/>
    <xf numFmtId="0" fontId="23" fillId="0" borderId="0" xfId="0" applyNumberFormat="1" applyFont="1"/>
    <xf numFmtId="0" fontId="26" fillId="0" borderId="0" xfId="0" applyNumberFormat="1" applyFont="1" applyAlignment="1"/>
    <xf numFmtId="0" fontId="26" fillId="0" borderId="0" xfId="0" applyNumberFormat="1" applyFont="1" applyAlignment="1">
      <alignment wrapText="1"/>
    </xf>
    <xf numFmtId="0" fontId="26" fillId="0" borderId="0" xfId="0" applyNumberFormat="1" applyFont="1" applyBorder="1" applyAlignment="1">
      <alignment wrapText="1"/>
    </xf>
    <xf numFmtId="0" fontId="26" fillId="0" borderId="0" xfId="0" applyNumberFormat="1" applyFont="1" applyBorder="1" applyAlignment="1">
      <alignment horizontal="center"/>
    </xf>
    <xf numFmtId="0" fontId="0" fillId="10" borderId="0" xfId="0" applyNumberFormat="1" applyFill="1"/>
    <xf numFmtId="0" fontId="0" fillId="0" borderId="0" xfId="0" applyNumberFormat="1"/>
    <xf numFmtId="2" fontId="3" fillId="6" borderId="0" xfId="0" applyNumberFormat="1" applyFont="1" applyFill="1" applyAlignment="1">
      <alignment horizontal="center"/>
    </xf>
    <xf numFmtId="2" fontId="6" fillId="6" borderId="0" xfId="0" applyNumberFormat="1" applyFont="1" applyFill="1" applyAlignment="1">
      <alignment horizontal="center"/>
    </xf>
    <xf numFmtId="2" fontId="23" fillId="0" borderId="0" xfId="0" applyNumberFormat="1" applyFont="1" applyFill="1"/>
    <xf numFmtId="2" fontId="23" fillId="0" borderId="0" xfId="0" applyNumberFormat="1" applyFont="1"/>
    <xf numFmtId="2" fontId="26" fillId="0" borderId="0" xfId="0" applyNumberFormat="1" applyFont="1" applyAlignment="1"/>
    <xf numFmtId="2" fontId="26" fillId="0" borderId="0" xfId="0" applyNumberFormat="1" applyFont="1" applyAlignment="1">
      <alignment wrapText="1"/>
    </xf>
    <xf numFmtId="2" fontId="26" fillId="0" borderId="0" xfId="0" applyNumberFormat="1" applyFont="1" applyBorder="1" applyAlignment="1">
      <alignment wrapText="1"/>
    </xf>
    <xf numFmtId="2" fontId="26" fillId="0" borderId="0" xfId="0" applyNumberFormat="1" applyFont="1" applyBorder="1" applyAlignment="1">
      <alignment horizontal="center"/>
    </xf>
    <xf numFmtId="2" fontId="0" fillId="10" borderId="0" xfId="0" applyNumberFormat="1" applyFill="1"/>
    <xf numFmtId="0" fontId="21" fillId="0" borderId="0" xfId="0" applyFont="1" applyAlignment="1">
      <alignment horizontal="center" vertical="center"/>
    </xf>
    <xf numFmtId="1" fontId="21" fillId="0" borderId="0" xfId="0" applyNumberFormat="1" applyFont="1" applyAlignment="1">
      <alignment horizontal="center" vertical="center"/>
    </xf>
    <xf numFmtId="0" fontId="21" fillId="2" borderId="0" xfId="0" applyFont="1" applyFill="1" applyAlignment="1">
      <alignment horizontal="center" vertical="center"/>
    </xf>
    <xf numFmtId="164" fontId="21" fillId="0" borderId="0" xfId="0" applyNumberFormat="1" applyFont="1" applyFill="1" applyAlignment="1">
      <alignment horizontal="center" vertical="center"/>
    </xf>
    <xf numFmtId="44" fontId="21" fillId="0" borderId="0" xfId="2" applyFont="1"/>
    <xf numFmtId="44" fontId="21" fillId="0" borderId="0" xfId="3" applyFont="1" applyAlignment="1">
      <alignment horizontal="center"/>
    </xf>
    <xf numFmtId="0" fontId="21" fillId="6" borderId="0" xfId="0" applyFont="1" applyFill="1" applyAlignment="1">
      <alignment horizontal="center"/>
    </xf>
    <xf numFmtId="44" fontId="21" fillId="6" borderId="0" xfId="0" applyNumberFormat="1" applyFont="1" applyFill="1" applyAlignment="1">
      <alignment horizontal="center"/>
    </xf>
    <xf numFmtId="2" fontId="21" fillId="6" borderId="0" xfId="0" applyNumberFormat="1" applyFont="1" applyFill="1" applyAlignment="1">
      <alignment horizontal="center"/>
    </xf>
    <xf numFmtId="0" fontId="21" fillId="6" borderId="0" xfId="0" applyNumberFormat="1" applyFont="1" applyFill="1" applyAlignment="1">
      <alignment horizontal="center"/>
    </xf>
    <xf numFmtId="0" fontId="49" fillId="0" borderId="0" xfId="0" applyFont="1"/>
    <xf numFmtId="0" fontId="0" fillId="0" borderId="0" xfId="0" applyFill="1" applyAlignment="1">
      <alignment horizontal="center"/>
    </xf>
    <xf numFmtId="0" fontId="0" fillId="0" borderId="0" xfId="0" applyFill="1" applyAlignment="1">
      <alignment horizontal="right"/>
    </xf>
    <xf numFmtId="0" fontId="2" fillId="0" borderId="0" xfId="0" applyFont="1" applyFill="1"/>
    <xf numFmtId="44" fontId="2" fillId="0" borderId="0" xfId="0" applyNumberFormat="1" applyFont="1" applyFill="1"/>
    <xf numFmtId="0" fontId="36" fillId="0" borderId="2" xfId="0" applyFont="1" applyFill="1" applyBorder="1"/>
    <xf numFmtId="167" fontId="0" fillId="0" borderId="0" xfId="0" applyNumberFormat="1" applyFill="1"/>
    <xf numFmtId="0" fontId="0" fillId="0" borderId="2" xfId="0" applyFill="1" applyBorder="1"/>
    <xf numFmtId="0" fontId="2" fillId="0" borderId="2" xfId="0" applyFont="1" applyFill="1" applyBorder="1" applyAlignment="1">
      <alignment horizontal="right"/>
    </xf>
    <xf numFmtId="0" fontId="0" fillId="0" borderId="3" xfId="0" applyFill="1" applyBorder="1"/>
    <xf numFmtId="0" fontId="2" fillId="0" borderId="3" xfId="0" applyFont="1" applyFill="1" applyBorder="1" applyAlignment="1">
      <alignment horizontal="right"/>
    </xf>
    <xf numFmtId="8" fontId="0" fillId="0" borderId="0" xfId="0" applyNumberFormat="1" applyFill="1"/>
    <xf numFmtId="0" fontId="2" fillId="0" borderId="3" xfId="0" applyFont="1" applyFill="1" applyBorder="1"/>
    <xf numFmtId="0" fontId="0" fillId="0" borderId="0" xfId="0" applyFont="1" applyFill="1"/>
    <xf numFmtId="0" fontId="2" fillId="0" borderId="4" xfId="0" applyFont="1" applyFill="1" applyBorder="1"/>
    <xf numFmtId="0" fontId="0" fillId="0" borderId="4" xfId="0" applyFill="1" applyBorder="1"/>
    <xf numFmtId="0" fontId="0" fillId="0" borderId="0" xfId="0" applyFill="1" applyBorder="1"/>
    <xf numFmtId="0" fontId="0" fillId="0" borderId="13" xfId="0" applyFill="1" applyBorder="1"/>
    <xf numFmtId="165" fontId="3" fillId="0" borderId="0" xfId="0" applyNumberFormat="1" applyFont="1" applyFill="1" applyBorder="1" applyAlignment="1">
      <alignment horizontal="left"/>
    </xf>
    <xf numFmtId="0" fontId="26" fillId="0" borderId="0" xfId="0" applyFont="1"/>
    <xf numFmtId="0" fontId="32" fillId="0" borderId="0" xfId="0" applyFont="1" applyFill="1" applyAlignment="1">
      <alignment horizontal="left" vertical="top" wrapText="1"/>
    </xf>
    <xf numFmtId="0" fontId="3" fillId="0" borderId="0" xfId="0" applyFont="1" applyFill="1" applyAlignment="1">
      <alignment horizontal="center" vertical="center" wrapText="1"/>
    </xf>
    <xf numFmtId="44" fontId="21" fillId="0" borderId="0" xfId="1" applyNumberFormat="1" applyFont="1" applyFill="1"/>
    <xf numFmtId="165" fontId="3" fillId="0" borderId="0" xfId="0" applyNumberFormat="1" applyFont="1" applyFill="1" applyBorder="1" applyAlignment="1">
      <alignment horizontal="center"/>
    </xf>
    <xf numFmtId="14" fontId="3" fillId="0" borderId="0" xfId="2" applyNumberFormat="1" applyFont="1" applyFill="1" applyBorder="1" applyAlignment="1">
      <alignment horizontal="center"/>
    </xf>
    <xf numFmtId="14" fontId="3" fillId="19" borderId="0" xfId="2" applyNumberFormat="1" applyFont="1" applyFill="1" applyBorder="1" applyAlignment="1">
      <alignment horizontal="center"/>
    </xf>
    <xf numFmtId="165" fontId="3" fillId="19" borderId="0" xfId="0" applyNumberFormat="1" applyFont="1" applyFill="1" applyBorder="1" applyAlignment="1">
      <alignment horizontal="left"/>
    </xf>
    <xf numFmtId="0" fontId="24" fillId="0" borderId="0" xfId="0" applyFont="1" applyBorder="1" applyAlignment="1">
      <alignment horizontal="center"/>
    </xf>
    <xf numFmtId="0" fontId="30" fillId="0" borderId="0" xfId="0" applyFont="1" applyBorder="1" applyAlignment="1">
      <alignment horizontal="center"/>
    </xf>
    <xf numFmtId="0" fontId="18" fillId="0" borderId="0" xfId="0" applyFont="1" applyFill="1" applyBorder="1" applyAlignment="1">
      <alignment horizontal="center"/>
    </xf>
    <xf numFmtId="14" fontId="18" fillId="0" borderId="0" xfId="0" applyNumberFormat="1" applyFont="1" applyFill="1" applyBorder="1" applyAlignment="1">
      <alignment horizontal="center"/>
    </xf>
    <xf numFmtId="44" fontId="50" fillId="0" borderId="0" xfId="3" applyFont="1"/>
    <xf numFmtId="0" fontId="50" fillId="0" borderId="0" xfId="0" applyFont="1" applyAlignment="1">
      <alignment horizontal="right"/>
    </xf>
    <xf numFmtId="0" fontId="7" fillId="20" borderId="0" xfId="0" applyFont="1" applyFill="1" applyAlignment="1">
      <alignment horizontal="center"/>
    </xf>
    <xf numFmtId="0" fontId="7" fillId="18" borderId="0" xfId="0" applyFont="1" applyFill="1" applyAlignment="1">
      <alignment horizontal="center"/>
    </xf>
    <xf numFmtId="0" fontId="20" fillId="7" borderId="14" xfId="0" applyFont="1" applyFill="1" applyBorder="1" applyAlignment="1">
      <alignment horizontal="left"/>
    </xf>
    <xf numFmtId="0" fontId="8" fillId="0" borderId="14" xfId="0" applyFont="1" applyBorder="1" applyAlignment="1">
      <alignment horizontal="center"/>
    </xf>
    <xf numFmtId="0" fontId="8" fillId="0" borderId="14" xfId="0" applyFont="1" applyBorder="1"/>
    <xf numFmtId="0" fontId="0" fillId="0" borderId="14" xfId="0" applyBorder="1"/>
    <xf numFmtId="0" fontId="7" fillId="21" borderId="0" xfId="0" applyFont="1" applyFill="1" applyAlignment="1">
      <alignment horizontal="center"/>
    </xf>
    <xf numFmtId="0" fontId="0" fillId="16" borderId="0" xfId="0" applyFill="1"/>
    <xf numFmtId="0" fontId="0" fillId="16" borderId="0" xfId="0" applyFill="1" applyAlignment="1">
      <alignment horizontal="center"/>
    </xf>
    <xf numFmtId="44" fontId="16" fillId="16" borderId="0" xfId="2" applyFont="1" applyFill="1"/>
    <xf numFmtId="0" fontId="5" fillId="16" borderId="0" xfId="0" applyFont="1" applyFill="1"/>
    <xf numFmtId="44" fontId="4" fillId="4" borderId="0" xfId="0" applyNumberFormat="1" applyFont="1" applyFill="1"/>
    <xf numFmtId="0" fontId="27" fillId="7" borderId="38" xfId="0" applyFont="1" applyFill="1" applyBorder="1" applyAlignment="1">
      <alignment horizontal="center"/>
    </xf>
    <xf numFmtId="0" fontId="17" fillId="9" borderId="0" xfId="0" applyFont="1" applyFill="1" applyAlignment="1">
      <alignment horizontal="center"/>
    </xf>
    <xf numFmtId="0" fontId="0" fillId="9" borderId="0" xfId="0" applyFill="1"/>
    <xf numFmtId="0" fontId="0" fillId="9" borderId="14" xfId="0" applyFill="1" applyBorder="1"/>
    <xf numFmtId="44" fontId="0" fillId="9" borderId="0" xfId="2" applyFont="1" applyFill="1"/>
    <xf numFmtId="0" fontId="4" fillId="0" borderId="0" xfId="0" applyFont="1" applyFill="1"/>
    <xf numFmtId="0" fontId="8" fillId="0" borderId="14" xfId="0" applyFont="1" applyFill="1" applyBorder="1"/>
    <xf numFmtId="0" fontId="8" fillId="0" borderId="14" xfId="0" applyFont="1" applyFill="1" applyBorder="1" applyAlignment="1">
      <alignment horizontal="center"/>
    </xf>
    <xf numFmtId="44" fontId="51" fillId="7" borderId="0" xfId="2" applyFont="1" applyFill="1"/>
    <xf numFmtId="39" fontId="51" fillId="7" borderId="0" xfId="2" applyNumberFormat="1" applyFont="1" applyFill="1"/>
    <xf numFmtId="44" fontId="51" fillId="9" borderId="0" xfId="2" applyFont="1" applyFill="1"/>
    <xf numFmtId="0" fontId="3" fillId="0" borderId="14" xfId="0" applyFont="1" applyBorder="1"/>
    <xf numFmtId="0" fontId="4" fillId="0" borderId="14" xfId="0" applyFont="1" applyBorder="1"/>
    <xf numFmtId="168" fontId="4" fillId="0" borderId="0" xfId="0" applyNumberFormat="1" applyFont="1" applyFill="1"/>
    <xf numFmtId="0" fontId="26" fillId="0" borderId="0" xfId="0" applyFont="1" applyAlignment="1">
      <alignment horizontal="left" vertical="top" wrapText="1"/>
    </xf>
    <xf numFmtId="0" fontId="26" fillId="0" borderId="0" xfId="0" applyFont="1"/>
    <xf numFmtId="14" fontId="52" fillId="0" borderId="0" xfId="0" applyNumberFormat="1" applyFont="1" applyAlignment="1">
      <alignment horizontal="right"/>
    </xf>
    <xf numFmtId="0" fontId="26" fillId="7" borderId="0" xfId="0" applyFont="1" applyFill="1"/>
    <xf numFmtId="2" fontId="37" fillId="6" borderId="0" xfId="0" applyNumberFormat="1" applyFont="1" applyFill="1" applyAlignment="1">
      <alignment horizontal="center" wrapText="1"/>
    </xf>
    <xf numFmtId="0" fontId="4" fillId="0" borderId="0" xfId="0" applyFont="1" applyAlignment="1">
      <alignment horizontal="right"/>
    </xf>
    <xf numFmtId="0" fontId="3" fillId="16" borderId="0" xfId="0" applyFont="1" applyFill="1" applyBorder="1" applyAlignment="1">
      <alignment horizontal="left"/>
    </xf>
    <xf numFmtId="0" fontId="0" fillId="16" borderId="21" xfId="0" applyFill="1" applyBorder="1"/>
    <xf numFmtId="2" fontId="0" fillId="16" borderId="22" xfId="0" applyNumberFormat="1" applyFill="1" applyBorder="1"/>
    <xf numFmtId="2" fontId="0" fillId="16" borderId="21" xfId="0" applyNumberFormat="1" applyFill="1" applyBorder="1"/>
    <xf numFmtId="2" fontId="0" fillId="16" borderId="33" xfId="0" applyNumberFormat="1" applyFill="1" applyBorder="1"/>
    <xf numFmtId="0" fontId="0" fillId="16" borderId="33" xfId="0" applyFill="1" applyBorder="1"/>
    <xf numFmtId="0" fontId="3" fillId="16" borderId="12" xfId="0" applyFont="1" applyFill="1" applyBorder="1" applyAlignment="1">
      <alignment horizontal="left"/>
    </xf>
    <xf numFmtId="0" fontId="3" fillId="16" borderId="19" xfId="0" applyFont="1" applyFill="1" applyBorder="1" applyAlignment="1">
      <alignment horizontal="left"/>
    </xf>
    <xf numFmtId="0" fontId="2" fillId="16" borderId="13" xfId="0" applyFont="1" applyFill="1" applyBorder="1"/>
    <xf numFmtId="44" fontId="0" fillId="18" borderId="40" xfId="2" applyFont="1" applyFill="1" applyBorder="1"/>
    <xf numFmtId="2" fontId="0" fillId="18" borderId="25" xfId="0" applyNumberFormat="1" applyFill="1" applyBorder="1"/>
    <xf numFmtId="0" fontId="4" fillId="0" borderId="0" xfId="0" applyFont="1" applyFill="1" applyAlignment="1">
      <alignment horizontal="right"/>
    </xf>
    <xf numFmtId="0" fontId="3" fillId="0" borderId="22" xfId="0" applyFont="1" applyBorder="1" applyAlignment="1">
      <alignment horizontal="center"/>
    </xf>
    <xf numFmtId="0" fontId="3" fillId="0" borderId="21" xfId="0" applyFont="1" applyBorder="1" applyAlignment="1">
      <alignment horizontal="center"/>
    </xf>
    <xf numFmtId="165" fontId="3" fillId="0" borderId="21" xfId="0" applyNumberFormat="1" applyFont="1" applyBorder="1" applyAlignment="1">
      <alignment horizontal="center"/>
    </xf>
    <xf numFmtId="165" fontId="3" fillId="0" borderId="21" xfId="0" applyNumberFormat="1" applyFont="1" applyFill="1" applyBorder="1" applyAlignment="1">
      <alignment horizontal="center"/>
    </xf>
    <xf numFmtId="165" fontId="3" fillId="0" borderId="33" xfId="0" applyNumberFormat="1" applyFont="1" applyFill="1" applyBorder="1" applyAlignment="1">
      <alignment horizontal="center"/>
    </xf>
    <xf numFmtId="2" fontId="3" fillId="22" borderId="0" xfId="0" applyNumberFormat="1" applyFont="1" applyFill="1" applyAlignment="1">
      <alignment horizontal="center"/>
    </xf>
    <xf numFmtId="2" fontId="6" fillId="22" borderId="0" xfId="0" applyNumberFormat="1" applyFont="1" applyFill="1" applyAlignment="1">
      <alignment horizontal="center"/>
    </xf>
    <xf numFmtId="0" fontId="53" fillId="7" borderId="0" xfId="0" applyFont="1" applyFill="1"/>
    <xf numFmtId="164" fontId="3" fillId="0" borderId="39" xfId="0" applyNumberFormat="1" applyFont="1" applyBorder="1" applyAlignment="1">
      <alignment horizontal="center" vertical="center"/>
    </xf>
    <xf numFmtId="44" fontId="3" fillId="0" borderId="39" xfId="2" applyFont="1" applyBorder="1"/>
    <xf numFmtId="0" fontId="3" fillId="0" borderId="39" xfId="0" applyFont="1" applyBorder="1" applyAlignment="1">
      <alignment horizontal="center"/>
    </xf>
    <xf numFmtId="0" fontId="3" fillId="0" borderId="39" xfId="2" applyNumberFormat="1" applyFont="1" applyBorder="1"/>
    <xf numFmtId="0" fontId="2" fillId="0" borderId="0" xfId="0" applyFont="1" applyBorder="1"/>
    <xf numFmtId="44" fontId="10" fillId="0" borderId="0" xfId="2" applyFont="1" applyAlignment="1">
      <alignment horizontal="right"/>
    </xf>
    <xf numFmtId="0" fontId="8" fillId="0" borderId="0" xfId="0" applyFont="1" applyFill="1" applyAlignment="1">
      <alignment horizontal="right"/>
    </xf>
    <xf numFmtId="0" fontId="3" fillId="0" borderId="39" xfId="0" applyNumberFormat="1" applyFont="1" applyBorder="1" applyAlignment="1">
      <alignment horizontal="center" vertical="center"/>
    </xf>
    <xf numFmtId="0" fontId="21" fillId="22" borderId="0" xfId="0" applyNumberFormat="1" applyFont="1" applyFill="1" applyAlignment="1">
      <alignment horizontal="center"/>
    </xf>
    <xf numFmtId="0" fontId="26" fillId="0" borderId="0" xfId="0" applyFont="1"/>
    <xf numFmtId="0" fontId="26" fillId="0" borderId="0" xfId="0" applyFont="1" applyAlignment="1">
      <alignment horizontal="left" vertical="top" wrapText="1"/>
    </xf>
    <xf numFmtId="14" fontId="18" fillId="7" borderId="0" xfId="0" applyNumberFormat="1" applyFont="1" applyFill="1" applyAlignment="1">
      <alignment horizontal="right"/>
    </xf>
    <xf numFmtId="0" fontId="24" fillId="8" borderId="6" xfId="0" applyFont="1" applyFill="1" applyBorder="1" applyAlignment="1">
      <alignment horizontal="center"/>
    </xf>
    <xf numFmtId="0" fontId="2" fillId="13" borderId="40" xfId="0" applyFont="1" applyFill="1" applyBorder="1"/>
    <xf numFmtId="0" fontId="2" fillId="12" borderId="40" xfId="0" applyFont="1" applyFill="1" applyBorder="1"/>
    <xf numFmtId="0" fontId="51" fillId="0" borderId="0" xfId="0" applyFont="1"/>
    <xf numFmtId="0" fontId="2" fillId="13" borderId="3" xfId="0" applyFont="1" applyFill="1" applyBorder="1"/>
    <xf numFmtId="0" fontId="2" fillId="12" borderId="3" xfId="0" applyFont="1" applyFill="1" applyBorder="1"/>
    <xf numFmtId="44" fontId="2" fillId="23" borderId="0" xfId="0" applyNumberFormat="1" applyFont="1" applyFill="1" applyAlignment="1">
      <alignment horizontal="center"/>
    </xf>
    <xf numFmtId="44" fontId="3" fillId="23" borderId="0" xfId="0" applyNumberFormat="1" applyFont="1" applyFill="1" applyAlignment="1">
      <alignment horizontal="center"/>
    </xf>
    <xf numFmtId="44" fontId="6" fillId="23" borderId="0" xfId="0" applyNumberFormat="1" applyFont="1" applyFill="1" applyAlignment="1">
      <alignment horizontal="center"/>
    </xf>
    <xf numFmtId="44" fontId="21" fillId="23" borderId="0" xfId="0" applyNumberFormat="1" applyFont="1" applyFill="1" applyAlignment="1">
      <alignment horizontal="center"/>
    </xf>
    <xf numFmtId="44" fontId="0" fillId="23" borderId="0" xfId="0" applyNumberFormat="1" applyFill="1" applyAlignment="1">
      <alignment horizontal="center"/>
    </xf>
    <xf numFmtId="0" fontId="26" fillId="23" borderId="0" xfId="0" applyFont="1" applyFill="1" applyAlignment="1">
      <alignment vertical="top" wrapText="1"/>
    </xf>
    <xf numFmtId="44" fontId="24" fillId="23" borderId="0" xfId="0" applyNumberFormat="1" applyFont="1" applyFill="1" applyAlignment="1">
      <alignment horizontal="center" vertical="center" wrapText="1"/>
    </xf>
    <xf numFmtId="0" fontId="26" fillId="23" borderId="0" xfId="0" applyFont="1" applyFill="1" applyAlignment="1">
      <alignment horizontal="left" vertical="top" wrapText="1"/>
    </xf>
    <xf numFmtId="0" fontId="26" fillId="23" borderId="0" xfId="0" applyFont="1" applyFill="1" applyAlignment="1"/>
    <xf numFmtId="0" fontId="26" fillId="23" borderId="0" xfId="0" applyFont="1" applyFill="1" applyAlignment="1">
      <alignment wrapText="1"/>
    </xf>
    <xf numFmtId="0" fontId="26" fillId="23" borderId="0" xfId="0" applyFont="1" applyFill="1" applyBorder="1" applyAlignment="1">
      <alignment wrapText="1"/>
    </xf>
    <xf numFmtId="0" fontId="26" fillId="23" borderId="0" xfId="0" applyFont="1" applyFill="1" applyBorder="1"/>
    <xf numFmtId="0" fontId="5" fillId="23" borderId="0" xfId="0" applyFont="1" applyFill="1" applyAlignment="1">
      <alignment horizontal="left" vertical="center"/>
    </xf>
    <xf numFmtId="169" fontId="21" fillId="23" borderId="0" xfId="0" applyNumberFormat="1" applyFont="1" applyFill="1" applyAlignment="1">
      <alignment horizontal="center"/>
    </xf>
    <xf numFmtId="0" fontId="26" fillId="0" borderId="0" xfId="0" applyFont="1"/>
    <xf numFmtId="0" fontId="37" fillId="6" borderId="0" xfId="0" applyNumberFormat="1" applyFont="1" applyFill="1" applyAlignment="1">
      <alignment horizontal="center" vertical="center" wrapText="1"/>
    </xf>
    <xf numFmtId="0" fontId="26" fillId="0" borderId="0" xfId="0" applyFont="1"/>
    <xf numFmtId="0" fontId="26" fillId="0" borderId="0" xfId="0" applyFont="1"/>
    <xf numFmtId="0" fontId="4" fillId="8" borderId="0" xfId="0" applyFont="1" applyFill="1"/>
    <xf numFmtId="0" fontId="0" fillId="7" borderId="0" xfId="0" applyFill="1"/>
    <xf numFmtId="1" fontId="18" fillId="0" borderId="0" xfId="0" applyNumberFormat="1" applyFont="1" applyFill="1" applyBorder="1" applyAlignment="1">
      <alignment horizontal="center"/>
    </xf>
    <xf numFmtId="10" fontId="18" fillId="0" borderId="0" xfId="0" applyNumberFormat="1" applyFont="1" applyFill="1" applyBorder="1" applyAlignment="1">
      <alignment horizontal="center"/>
    </xf>
    <xf numFmtId="0" fontId="55" fillId="0" borderId="0" xfId="7"/>
    <xf numFmtId="0" fontId="56" fillId="24" borderId="0" xfId="0" applyFont="1" applyFill="1"/>
    <xf numFmtId="0" fontId="18" fillId="24" borderId="5" xfId="0" applyFont="1" applyFill="1" applyBorder="1" applyAlignment="1">
      <alignment horizontal="center"/>
    </xf>
    <xf numFmtId="0" fontId="18" fillId="24" borderId="0" xfId="0" applyFont="1" applyFill="1"/>
    <xf numFmtId="0" fontId="0" fillId="24" borderId="0" xfId="0" applyFill="1"/>
    <xf numFmtId="0" fontId="57" fillId="0" borderId="0" xfId="7" applyFont="1"/>
    <xf numFmtId="0" fontId="18" fillId="0" borderId="5" xfId="0" applyFont="1" applyFill="1" applyBorder="1" applyAlignment="1">
      <alignment horizontal="center"/>
    </xf>
    <xf numFmtId="1" fontId="18" fillId="0" borderId="5" xfId="0" applyNumberFormat="1" applyFont="1" applyFill="1" applyBorder="1" applyAlignment="1">
      <alignment horizontal="center"/>
    </xf>
    <xf numFmtId="0" fontId="45" fillId="0" borderId="0" xfId="0" applyFont="1" applyFill="1"/>
    <xf numFmtId="1" fontId="18" fillId="24" borderId="0" xfId="0" applyNumberFormat="1" applyFont="1" applyFill="1" applyBorder="1" applyAlignment="1">
      <alignment horizontal="center"/>
    </xf>
    <xf numFmtId="0" fontId="4" fillId="24" borderId="0" xfId="0" applyFont="1" applyFill="1"/>
    <xf numFmtId="14" fontId="52" fillId="7" borderId="0" xfId="0" applyNumberFormat="1" applyFont="1" applyFill="1" applyAlignment="1">
      <alignment horizontal="right"/>
    </xf>
    <xf numFmtId="0" fontId="18" fillId="19" borderId="5" xfId="0" applyFont="1" applyFill="1" applyBorder="1" applyAlignment="1">
      <alignment horizontal="center"/>
    </xf>
    <xf numFmtId="0" fontId="18" fillId="19" borderId="5" xfId="0" applyFont="1" applyFill="1" applyBorder="1" applyAlignment="1">
      <alignment wrapText="1"/>
    </xf>
    <xf numFmtId="6" fontId="18" fillId="8" borderId="5" xfId="0" applyNumberFormat="1" applyFont="1" applyFill="1" applyBorder="1" applyAlignment="1">
      <alignment horizontal="center"/>
    </xf>
    <xf numFmtId="0" fontId="58" fillId="8" borderId="5" xfId="0" applyFont="1" applyFill="1" applyBorder="1" applyAlignment="1">
      <alignment wrapText="1"/>
    </xf>
    <xf numFmtId="10" fontId="18" fillId="19" borderId="5" xfId="0" applyNumberFormat="1" applyFont="1" applyFill="1" applyBorder="1" applyAlignment="1">
      <alignment horizontal="center"/>
    </xf>
    <xf numFmtId="165" fontId="3" fillId="0" borderId="12" xfId="0" applyNumberFormat="1" applyFont="1" applyFill="1" applyBorder="1" applyAlignment="1">
      <alignment horizontal="left"/>
    </xf>
    <xf numFmtId="165" fontId="3" fillId="0" borderId="0" xfId="0" applyNumberFormat="1" applyFont="1" applyFill="1" applyBorder="1" applyAlignment="1">
      <alignment horizontal="left"/>
    </xf>
    <xf numFmtId="165" fontId="3" fillId="0" borderId="21" xfId="0" applyNumberFormat="1" applyFont="1" applyFill="1" applyBorder="1" applyAlignment="1">
      <alignment horizontal="left"/>
    </xf>
    <xf numFmtId="165" fontId="3" fillId="0" borderId="19" xfId="0" applyNumberFormat="1" applyFont="1" applyFill="1" applyBorder="1" applyAlignment="1">
      <alignment horizontal="left"/>
    </xf>
    <xf numFmtId="165" fontId="3" fillId="0" borderId="13" xfId="0" applyNumberFormat="1" applyFont="1" applyFill="1" applyBorder="1" applyAlignment="1">
      <alignment horizontal="left"/>
    </xf>
    <xf numFmtId="165" fontId="3" fillId="0" borderId="33" xfId="0" applyNumberFormat="1" applyFont="1" applyFill="1" applyBorder="1" applyAlignment="1">
      <alignment horizontal="left"/>
    </xf>
    <xf numFmtId="0" fontId="26" fillId="0" borderId="0" xfId="0" applyFont="1" applyAlignment="1">
      <alignment horizontal="left" vertical="top" wrapText="1"/>
    </xf>
    <xf numFmtId="0" fontId="59" fillId="7" borderId="0" xfId="0" applyFont="1" applyFill="1" applyAlignment="1">
      <alignment horizontal="left" vertical="top" wrapText="1"/>
    </xf>
    <xf numFmtId="0" fontId="26" fillId="0" borderId="0" xfId="0" applyFont="1" applyAlignment="1">
      <alignment horizontal="left"/>
    </xf>
    <xf numFmtId="0" fontId="2" fillId="0" borderId="0" xfId="0" applyFont="1" applyAlignment="1">
      <alignment horizontal="center"/>
    </xf>
    <xf numFmtId="44" fontId="10" fillId="0" borderId="0" xfId="2" applyFont="1" applyAlignment="1">
      <alignment horizontal="left"/>
    </xf>
    <xf numFmtId="0" fontId="41" fillId="0" borderId="34" xfId="0" applyFont="1" applyBorder="1" applyAlignment="1">
      <alignment horizontal="left" vertical="top" wrapText="1"/>
    </xf>
    <xf numFmtId="0" fontId="42" fillId="0" borderId="34" xfId="0" applyFont="1" applyBorder="1" applyAlignment="1">
      <alignment horizontal="left" vertical="top" wrapText="1"/>
    </xf>
    <xf numFmtId="0" fontId="42" fillId="0" borderId="20" xfId="0" applyFont="1" applyBorder="1" applyAlignment="1">
      <alignment horizontal="left" vertical="top" wrapText="1"/>
    </xf>
    <xf numFmtId="165" fontId="3" fillId="0" borderId="10" xfId="0" applyNumberFormat="1" applyFont="1" applyFill="1" applyBorder="1" applyAlignment="1">
      <alignment horizontal="left"/>
    </xf>
    <xf numFmtId="165" fontId="3" fillId="0" borderId="11" xfId="0" applyNumberFormat="1" applyFont="1" applyFill="1" applyBorder="1" applyAlignment="1">
      <alignment horizontal="left"/>
    </xf>
    <xf numFmtId="165" fontId="3" fillId="0" borderId="22" xfId="0" applyNumberFormat="1" applyFont="1" applyFill="1" applyBorder="1" applyAlignment="1">
      <alignment horizontal="left"/>
    </xf>
    <xf numFmtId="0" fontId="26" fillId="0" borderId="0" xfId="0" applyFont="1"/>
    <xf numFmtId="0" fontId="26" fillId="0" borderId="16" xfId="0" applyFont="1" applyBorder="1" applyAlignment="1">
      <alignment horizontal="left"/>
    </xf>
    <xf numFmtId="0" fontId="26" fillId="0" borderId="0" xfId="0" applyFont="1" applyAlignment="1">
      <alignment wrapText="1"/>
    </xf>
    <xf numFmtId="0" fontId="26" fillId="0" borderId="0" xfId="0" applyFont="1" applyAlignment="1">
      <alignment horizontal="left" wrapText="1"/>
    </xf>
    <xf numFmtId="0" fontId="26" fillId="0" borderId="16" xfId="0" applyFont="1" applyBorder="1" applyAlignment="1">
      <alignment horizontal="left" wrapText="1"/>
    </xf>
    <xf numFmtId="0" fontId="7" fillId="0" borderId="0" xfId="4" applyAlignment="1">
      <alignment horizontal="center"/>
    </xf>
    <xf numFmtId="0" fontId="36" fillId="15" borderId="17" xfId="0" applyFont="1" applyFill="1" applyBorder="1" applyAlignment="1">
      <alignment horizontal="center"/>
    </xf>
    <xf numFmtId="0" fontId="36" fillId="15" borderId="18" xfId="0" applyFont="1" applyFill="1" applyBorder="1" applyAlignment="1">
      <alignment horizontal="center"/>
    </xf>
    <xf numFmtId="0" fontId="36" fillId="15" borderId="10" xfId="0" applyFont="1" applyFill="1" applyBorder="1" applyAlignment="1">
      <alignment horizontal="center"/>
    </xf>
    <xf numFmtId="0" fontId="36" fillId="15" borderId="22" xfId="0" applyFont="1" applyFill="1" applyBorder="1" applyAlignment="1">
      <alignment horizontal="center"/>
    </xf>
    <xf numFmtId="0" fontId="36" fillId="15" borderId="12" xfId="0" applyFont="1" applyFill="1" applyBorder="1" applyAlignment="1">
      <alignment horizontal="center"/>
    </xf>
    <xf numFmtId="0" fontId="36" fillId="15" borderId="21" xfId="0" applyFont="1" applyFill="1" applyBorder="1" applyAlignment="1">
      <alignment horizontal="center"/>
    </xf>
    <xf numFmtId="0" fontId="36" fillId="15" borderId="19" xfId="0" applyFont="1" applyFill="1" applyBorder="1" applyAlignment="1">
      <alignment horizontal="center"/>
    </xf>
    <xf numFmtId="0" fontId="36" fillId="15" borderId="33" xfId="0" applyFont="1" applyFill="1" applyBorder="1" applyAlignment="1">
      <alignment horizontal="center"/>
    </xf>
    <xf numFmtId="0" fontId="0" fillId="0" borderId="0" xfId="0" applyFill="1" applyAlignment="1">
      <alignment horizontal="center"/>
    </xf>
    <xf numFmtId="0" fontId="36" fillId="14" borderId="10" xfId="0" applyFont="1" applyFill="1" applyBorder="1" applyAlignment="1">
      <alignment horizontal="center"/>
    </xf>
    <xf numFmtId="0" fontId="36" fillId="14" borderId="22" xfId="0" applyFont="1" applyFill="1" applyBorder="1" applyAlignment="1">
      <alignment horizontal="center"/>
    </xf>
    <xf numFmtId="0" fontId="36" fillId="15" borderId="26" xfId="0" applyFont="1" applyFill="1" applyBorder="1" applyAlignment="1">
      <alignment horizontal="center"/>
    </xf>
    <xf numFmtId="0" fontId="6" fillId="17" borderId="10" xfId="0" applyFont="1" applyFill="1" applyBorder="1" applyAlignment="1">
      <alignment horizontal="center"/>
    </xf>
    <xf numFmtId="0" fontId="6" fillId="17" borderId="11" xfId="0" applyFont="1" applyFill="1" applyBorder="1" applyAlignment="1">
      <alignment horizontal="center"/>
    </xf>
    <xf numFmtId="0" fontId="6" fillId="17" borderId="26" xfId="0" applyFont="1" applyFill="1" applyBorder="1" applyAlignment="1">
      <alignment horizontal="center"/>
    </xf>
    <xf numFmtId="0" fontId="6" fillId="17" borderId="18" xfId="0" applyFont="1" applyFill="1" applyBorder="1" applyAlignment="1">
      <alignment horizontal="center"/>
    </xf>
    <xf numFmtId="44" fontId="37" fillId="17" borderId="17" xfId="2" applyFont="1" applyFill="1" applyBorder="1" applyAlignment="1">
      <alignment horizontal="center"/>
    </xf>
    <xf numFmtId="44" fontId="37" fillId="17" borderId="26" xfId="2" applyFont="1" applyFill="1" applyBorder="1" applyAlignment="1">
      <alignment horizontal="center"/>
    </xf>
    <xf numFmtId="44" fontId="37" fillId="17" borderId="18" xfId="2" applyFont="1" applyFill="1" applyBorder="1" applyAlignment="1">
      <alignment horizontal="center"/>
    </xf>
  </cellXfs>
  <cellStyles count="8">
    <cellStyle name="20% - Accent4" xfId="1" builtinId="42"/>
    <cellStyle name="Currency" xfId="2" builtinId="4"/>
    <cellStyle name="Currency 2" xfId="3" xr:uid="{00000000-0005-0000-0000-000002000000}"/>
    <cellStyle name="Currency 3" xfId="6" xr:uid="{55C89C76-371C-4C0F-8FCD-5DD7454F9B4D}"/>
    <cellStyle name="Hyperlink" xfId="7" builtinId="8"/>
    <cellStyle name="Normal" xfId="0" builtinId="0"/>
    <cellStyle name="Normal 2" xfId="4" xr:uid="{00000000-0005-0000-0000-000004000000}"/>
    <cellStyle name="Normal 3" xfId="5" xr:uid="{FA81678A-9050-4BCD-9A79-F7E04A0CD143}"/>
  </cellStyles>
  <dxfs count="2">
    <dxf>
      <font>
        <color auto="1"/>
      </font>
      <fill>
        <patternFill>
          <bgColor rgb="FFFFFF00"/>
        </patternFill>
      </fill>
    </dxf>
    <dxf>
      <font>
        <color rgb="FFFF0000"/>
      </font>
    </dxf>
  </dxfs>
  <tableStyles count="0" defaultTableStyle="TableStyleMedium9" defaultPivotStyle="PivotStyleLight16"/>
  <colors>
    <mruColors>
      <color rgb="FF0000FF"/>
      <color rgb="FFFFFFCC"/>
      <color rgb="FF33CC33"/>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9</xdr:col>
      <xdr:colOff>2793067</xdr:colOff>
      <xdr:row>0</xdr:row>
      <xdr:rowOff>0</xdr:rowOff>
    </xdr:from>
    <xdr:to>
      <xdr:col>9</xdr:col>
      <xdr:colOff>5345767</xdr:colOff>
      <xdr:row>1</xdr:row>
      <xdr:rowOff>0</xdr:rowOff>
    </xdr:to>
    <xdr:pic>
      <xdr:nvPicPr>
        <xdr:cNvPr id="6635" name="Picture 1">
          <a:extLst>
            <a:ext uri="{FF2B5EF4-FFF2-40B4-BE49-F238E27FC236}">
              <a16:creationId xmlns:a16="http://schemas.microsoft.com/office/drawing/2014/main" id="{00000000-0008-0000-0000-0000EB1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881038" y="0"/>
          <a:ext cx="25527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1</xdr:rowOff>
    </xdr:from>
    <xdr:to>
      <xdr:col>1</xdr:col>
      <xdr:colOff>859155</xdr:colOff>
      <xdr:row>0</xdr:row>
      <xdr:rowOff>1126062</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1"/>
          <a:ext cx="2647950" cy="11222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2802</xdr:colOff>
      <xdr:row>0</xdr:row>
      <xdr:rowOff>38100</xdr:rowOff>
    </xdr:from>
    <xdr:to>
      <xdr:col>8</xdr:col>
      <xdr:colOff>1140296</xdr:colOff>
      <xdr:row>0</xdr:row>
      <xdr:rowOff>1069041</xdr:rowOff>
    </xdr:to>
    <xdr:pic>
      <xdr:nvPicPr>
        <xdr:cNvPr id="6" name="Picture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3"/>
        <a:stretch>
          <a:fillRect/>
        </a:stretch>
      </xdr:blipFill>
      <xdr:spPr>
        <a:xfrm>
          <a:off x="6838390" y="38100"/>
          <a:ext cx="2146024" cy="1030941"/>
        </a:xfrm>
        <a:prstGeom prst="rect">
          <a:avLst/>
        </a:prstGeom>
      </xdr:spPr>
    </xdr:pic>
    <xdr:clientData/>
  </xdr:twoCellAnchor>
  <xdr:twoCellAnchor>
    <xdr:from>
      <xdr:col>0</xdr:col>
      <xdr:colOff>0</xdr:colOff>
      <xdr:row>11</xdr:row>
      <xdr:rowOff>156882</xdr:rowOff>
    </xdr:from>
    <xdr:to>
      <xdr:col>9</xdr:col>
      <xdr:colOff>5121087</xdr:colOff>
      <xdr:row>14</xdr:row>
      <xdr:rowOff>0</xdr:rowOff>
    </xdr:to>
    <xdr:sp macro="" textlink="">
      <xdr:nvSpPr>
        <xdr:cNvPr id="9" name="Text Box 2">
          <a:extLst>
            <a:ext uri="{FF2B5EF4-FFF2-40B4-BE49-F238E27FC236}">
              <a16:creationId xmlns:a16="http://schemas.microsoft.com/office/drawing/2014/main" id="{00000000-0008-0000-0000-000009000000}"/>
            </a:ext>
          </a:extLst>
        </xdr:cNvPr>
        <xdr:cNvSpPr txBox="1">
          <a:spLocks noChangeArrowheads="1"/>
        </xdr:cNvSpPr>
      </xdr:nvSpPr>
      <xdr:spPr bwMode="auto">
        <a:xfrm>
          <a:off x="0" y="3440206"/>
          <a:ext cx="12741087" cy="504825"/>
        </a:xfrm>
        <a:prstGeom prst="rect">
          <a:avLst/>
        </a:prstGeom>
        <a:solidFill>
          <a:sysClr val="window" lastClr="FFFFFF"/>
        </a:solidFill>
        <a:ln w="9525">
          <a:noFill/>
          <a:miter lim="800000"/>
          <a:headEnd/>
          <a:tailEnd/>
        </a:ln>
      </xdr:spPr>
      <xdr:txBody>
        <a:bodyPr rot="0" vert="horz" wrap="square" lIns="91440" tIns="45720" rIns="91440" bIns="45720" anchor="t" anchorCtr="0">
          <a:noAutofit/>
        </a:bodyPr>
        <a:lstStyle/>
        <a:p>
          <a:pPr marL="0" marR="0" algn="just">
            <a:spcBef>
              <a:spcPts val="0"/>
            </a:spcBef>
            <a:spcAft>
              <a:spcPts val="0"/>
            </a:spcAft>
          </a:pPr>
          <a:r>
            <a:rPr lang="en-US" sz="1200" b="1">
              <a:solidFill>
                <a:srgbClr val="FF0000"/>
              </a:solidFill>
              <a:effectLst/>
              <a:latin typeface="Calibri" panose="020F0502020204030204" pitchFamily="34" charset="0"/>
              <a:ea typeface="Times New Roman" panose="02020603050405020304" pitchFamily="18" charset="0"/>
              <a:cs typeface="Times New Roman" panose="02020603050405020304" pitchFamily="18" charset="0"/>
            </a:rPr>
            <a:t>*****</a:t>
          </a:r>
          <a:r>
            <a:rPr lang="en-US" sz="1200" b="1" baseline="0">
              <a:solidFill>
                <a:srgbClr val="0070C0"/>
              </a:solidFill>
              <a:effectLst/>
              <a:latin typeface="+mn-lt"/>
              <a:ea typeface="+mn-ea"/>
              <a:cs typeface="+mn-cs"/>
            </a:rPr>
            <a:t>Any proposal date older than 30 days from quote date must be reviewed and discussed prior to acceptance. All proposals older than 4/1/22 must be requoted before acceptance.</a:t>
          </a:r>
          <a:r>
            <a:rPr lang="en-US" sz="1200" b="1">
              <a:solidFill>
                <a:srgbClr val="FF0000"/>
              </a:solidFill>
              <a:effectLst/>
              <a:latin typeface="Calibri" panose="020F0502020204030204" pitchFamily="34" charset="0"/>
              <a:ea typeface="Times New Roman" panose="02020603050405020304" pitchFamily="18" charset="0"/>
              <a:cs typeface="Times New Roman" panose="02020603050405020304" pitchFamily="18" charset="0"/>
            </a:rPr>
            <a:t>********</a:t>
          </a:r>
          <a:endParaRPr lang="en-US" sz="12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editAs="oneCell">
    <xdr:from>
      <xdr:col>9</xdr:col>
      <xdr:colOff>2799791</xdr:colOff>
      <xdr:row>0</xdr:row>
      <xdr:rowOff>0</xdr:rowOff>
    </xdr:from>
    <xdr:to>
      <xdr:col>9</xdr:col>
      <xdr:colOff>5352491</xdr:colOff>
      <xdr:row>1</xdr:row>
      <xdr:rowOff>0</xdr:rowOff>
    </xdr:to>
    <xdr:pic>
      <xdr:nvPicPr>
        <xdr:cNvPr id="7" name="Picture 1">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43791" y="0"/>
          <a:ext cx="25527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1</xdr:row>
          <xdr:rowOff>38100</xdr:rowOff>
        </xdr:from>
        <xdr:to>
          <xdr:col>4</xdr:col>
          <xdr:colOff>38100</xdr:colOff>
          <xdr:row>7</xdr:row>
          <xdr:rowOff>47625</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390525</xdr:colOff>
          <xdr:row>1</xdr:row>
          <xdr:rowOff>123825</xdr:rowOff>
        </xdr:from>
        <xdr:to>
          <xdr:col>29</xdr:col>
          <xdr:colOff>180975</xdr:colOff>
          <xdr:row>11</xdr:row>
          <xdr:rowOff>38100</xdr:rowOff>
        </xdr:to>
        <xdr:sp macro="" textlink="">
          <xdr:nvSpPr>
            <xdr:cNvPr id="7173" name="CommandButton2"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180975</xdr:colOff>
      <xdr:row>0</xdr:row>
      <xdr:rowOff>0</xdr:rowOff>
    </xdr:from>
    <xdr:to>
      <xdr:col>11</xdr:col>
      <xdr:colOff>285750</xdr:colOff>
      <xdr:row>1</xdr:row>
      <xdr:rowOff>0</xdr:rowOff>
    </xdr:to>
    <xdr:pic>
      <xdr:nvPicPr>
        <xdr:cNvPr id="12515" name="Picture 6">
          <a:extLst>
            <a:ext uri="{FF2B5EF4-FFF2-40B4-BE49-F238E27FC236}">
              <a16:creationId xmlns:a16="http://schemas.microsoft.com/office/drawing/2014/main" id="{00000000-0008-0000-0200-0000E3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19950" y="0"/>
          <a:ext cx="25527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1</xdr:rowOff>
    </xdr:from>
    <xdr:to>
      <xdr:col>1</xdr:col>
      <xdr:colOff>1281180</xdr:colOff>
      <xdr:row>0</xdr:row>
      <xdr:rowOff>1122934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1"/>
          <a:ext cx="2649560" cy="11229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2401374</xdr:colOff>
      <xdr:row>0</xdr:row>
      <xdr:rowOff>73785</xdr:rowOff>
    </xdr:from>
    <xdr:to>
      <xdr:col>1</xdr:col>
      <xdr:colOff>4523318</xdr:colOff>
      <xdr:row>0</xdr:row>
      <xdr:rowOff>1104726</xdr:rowOff>
    </xdr:to>
    <xdr:pic>
      <xdr:nvPicPr>
        <xdr:cNvPr id="5" name="Picture 4">
          <a:extLst>
            <a:ext uri="{FF2B5EF4-FFF2-40B4-BE49-F238E27FC236}">
              <a16:creationId xmlns:a16="http://schemas.microsoft.com/office/drawing/2014/main" id="{00000000-0008-0000-0200-000005000000}"/>
            </a:ext>
          </a:extLst>
        </xdr:cNvPr>
        <xdr:cNvPicPr/>
      </xdr:nvPicPr>
      <xdr:blipFill>
        <a:blip xmlns:r="http://schemas.openxmlformats.org/officeDocument/2006/relationships" r:embed="rId3"/>
        <a:stretch>
          <a:fillRect/>
        </a:stretch>
      </xdr:blipFill>
      <xdr:spPr>
        <a:xfrm>
          <a:off x="3769754" y="73785"/>
          <a:ext cx="2121944" cy="1030941"/>
        </a:xfrm>
        <a:prstGeom prst="rect">
          <a:avLst/>
        </a:prstGeom>
      </xdr:spPr>
    </xdr:pic>
    <xdr:clientData/>
  </xdr:twoCellAnchor>
  <xdr:twoCellAnchor>
    <xdr:from>
      <xdr:col>0</xdr:col>
      <xdr:colOff>442232</xdr:colOff>
      <xdr:row>10</xdr:row>
      <xdr:rowOff>163285</xdr:rowOff>
    </xdr:from>
    <xdr:to>
      <xdr:col>4</xdr:col>
      <xdr:colOff>509467</xdr:colOff>
      <xdr:row>13</xdr:row>
      <xdr:rowOff>62592</xdr:rowOff>
    </xdr:to>
    <xdr:sp macro="" textlink="">
      <xdr:nvSpPr>
        <xdr:cNvPr id="6" name="Text Box 2">
          <a:extLst>
            <a:ext uri="{FF2B5EF4-FFF2-40B4-BE49-F238E27FC236}">
              <a16:creationId xmlns:a16="http://schemas.microsoft.com/office/drawing/2014/main" id="{00000000-0008-0000-0200-000006000000}"/>
            </a:ext>
          </a:extLst>
        </xdr:cNvPr>
        <xdr:cNvSpPr txBox="1">
          <a:spLocks noChangeArrowheads="1"/>
        </xdr:cNvSpPr>
      </xdr:nvSpPr>
      <xdr:spPr bwMode="auto">
        <a:xfrm>
          <a:off x="442232" y="3292928"/>
          <a:ext cx="8068235" cy="504825"/>
        </a:xfrm>
        <a:prstGeom prst="rect">
          <a:avLst/>
        </a:prstGeom>
        <a:solidFill>
          <a:sysClr val="window" lastClr="FFFFFF"/>
        </a:solidFill>
        <a:ln w="9525">
          <a:noFill/>
          <a:miter lim="800000"/>
          <a:headEnd/>
          <a:tailEnd/>
        </a:ln>
      </xdr:spPr>
      <xdr:txBody>
        <a:bodyPr rot="0" vert="horz" wrap="square" lIns="91440" tIns="45720" rIns="91440" bIns="45720" anchor="t" anchorCtr="0">
          <a:noAutofit/>
        </a:bodyPr>
        <a:lstStyle/>
        <a:p>
          <a:pPr marL="0" marR="0" algn="just">
            <a:spcBef>
              <a:spcPts val="0"/>
            </a:spcBef>
            <a:spcAft>
              <a:spcPts val="0"/>
            </a:spcAft>
          </a:pPr>
          <a:r>
            <a:rPr lang="en-US" sz="1400" b="1">
              <a:solidFill>
                <a:srgbClr val="FF0000"/>
              </a:solidFill>
              <a:effectLst/>
              <a:latin typeface="Calibri" panose="020F0502020204030204" pitchFamily="34" charset="0"/>
              <a:ea typeface="Times New Roman" panose="02020603050405020304" pitchFamily="18" charset="0"/>
              <a:cs typeface="Times New Roman" panose="02020603050405020304" pitchFamily="18" charset="0"/>
            </a:rPr>
            <a:t>***********</a:t>
          </a:r>
          <a:r>
            <a:rPr lang="en-US" sz="1400" b="1" baseline="0">
              <a:solidFill>
                <a:srgbClr val="0070C0"/>
              </a:solidFill>
              <a:effectLst/>
              <a:latin typeface="+mn-lt"/>
              <a:ea typeface="+mn-ea"/>
              <a:cs typeface="+mn-cs"/>
            </a:rPr>
            <a:t>Any proposal date older than 30 days from quote date must be reviewed and discussed prior to acceptance. All proposals older than 4/1/22 must be requoted before acceptance.</a:t>
          </a:r>
          <a:r>
            <a:rPr lang="en-US" sz="1400" b="1">
              <a:solidFill>
                <a:srgbClr val="FF0000"/>
              </a:solidFill>
              <a:effectLst/>
              <a:latin typeface="Calibri" panose="020F0502020204030204" pitchFamily="34" charset="0"/>
              <a:ea typeface="Times New Roman" panose="02020603050405020304" pitchFamily="18"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515472</xdr:colOff>
      <xdr:row>0</xdr:row>
      <xdr:rowOff>11205</xdr:rowOff>
    </xdr:from>
    <xdr:to>
      <xdr:col>7</xdr:col>
      <xdr:colOff>301624</xdr:colOff>
      <xdr:row>1</xdr:row>
      <xdr:rowOff>824983</xdr:rowOff>
    </xdr:to>
    <xdr:pic>
      <xdr:nvPicPr>
        <xdr:cNvPr id="13410" name="Picture 6">
          <a:extLst>
            <a:ext uri="{FF2B5EF4-FFF2-40B4-BE49-F238E27FC236}">
              <a16:creationId xmlns:a16="http://schemas.microsoft.com/office/drawing/2014/main" id="{00000000-0008-0000-0300-0000623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2119" y="11205"/>
          <a:ext cx="2151527" cy="9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67234</xdr:colOff>
      <xdr:row>0</xdr:row>
      <xdr:rowOff>22412</xdr:rowOff>
    </xdr:from>
    <xdr:to>
      <xdr:col>2</xdr:col>
      <xdr:colOff>1447287</xdr:colOff>
      <xdr:row>1</xdr:row>
      <xdr:rowOff>717177</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7734" y="22412"/>
          <a:ext cx="1985171" cy="8516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459439</xdr:colOff>
      <xdr:row>1</xdr:row>
      <xdr:rowOff>1</xdr:rowOff>
    </xdr:from>
    <xdr:to>
      <xdr:col>3</xdr:col>
      <xdr:colOff>1837764</xdr:colOff>
      <xdr:row>1</xdr:row>
      <xdr:rowOff>672353</xdr:rowOff>
    </xdr:to>
    <xdr:pic>
      <xdr:nvPicPr>
        <xdr:cNvPr id="4" name="Picture 3">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3"/>
        <a:stretch>
          <a:fillRect/>
        </a:stretch>
      </xdr:blipFill>
      <xdr:spPr>
        <a:xfrm>
          <a:off x="3451410" y="156883"/>
          <a:ext cx="1378325" cy="672352"/>
        </a:xfrm>
        <a:prstGeom prst="rect">
          <a:avLst/>
        </a:prstGeom>
      </xdr:spPr>
    </xdr:pic>
    <xdr:clientData/>
  </xdr:twoCellAnchor>
  <xdr:twoCellAnchor editAs="oneCell">
    <xdr:from>
      <xdr:col>16</xdr:col>
      <xdr:colOff>600076</xdr:colOff>
      <xdr:row>3</xdr:row>
      <xdr:rowOff>150813</xdr:rowOff>
    </xdr:from>
    <xdr:to>
      <xdr:col>27</xdr:col>
      <xdr:colOff>430493</xdr:colOff>
      <xdr:row>21</xdr:row>
      <xdr:rowOff>60233</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967076" y="1428751"/>
          <a:ext cx="6553479" cy="4584607"/>
        </a:xfrm>
        <a:prstGeom prst="rect">
          <a:avLst/>
        </a:prstGeom>
        <a:noFill/>
        <a:ln>
          <a:noFill/>
        </a:ln>
      </xdr:spPr>
    </xdr:pic>
    <xdr:clientData/>
  </xdr:twoCellAnchor>
  <xdr:twoCellAnchor editAs="oneCell">
    <xdr:from>
      <xdr:col>17</xdr:col>
      <xdr:colOff>0</xdr:colOff>
      <xdr:row>23</xdr:row>
      <xdr:rowOff>0</xdr:rowOff>
    </xdr:from>
    <xdr:to>
      <xdr:col>28</xdr:col>
      <xdr:colOff>9083</xdr:colOff>
      <xdr:row>47</xdr:row>
      <xdr:rowOff>19050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5"/>
        <a:stretch>
          <a:fillRect/>
        </a:stretch>
      </xdr:blipFill>
      <xdr:spPr>
        <a:xfrm>
          <a:off x="15259050" y="6448425"/>
          <a:ext cx="6714683" cy="4695825"/>
        </a:xfrm>
        <a:prstGeom prst="rect">
          <a:avLst/>
        </a:prstGeom>
      </xdr:spPr>
    </xdr:pic>
    <xdr:clientData/>
  </xdr:twoCellAnchor>
  <xdr:twoCellAnchor editAs="oneCell">
    <xdr:from>
      <xdr:col>28</xdr:col>
      <xdr:colOff>38099</xdr:colOff>
      <xdr:row>8</xdr:row>
      <xdr:rowOff>200025</xdr:rowOff>
    </xdr:from>
    <xdr:to>
      <xdr:col>41</xdr:col>
      <xdr:colOff>345240</xdr:colOff>
      <xdr:row>25</xdr:row>
      <xdr:rowOff>0</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22002749" y="3248025"/>
          <a:ext cx="8231941" cy="3676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4.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google.com/maps/dir/35.4424506,-80.8677429/@35.6189822,-81.3872031,10z/data=!4m2!4m1!3e0"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F610"/>
  <sheetViews>
    <sheetView tabSelected="1" zoomScale="85" zoomScaleNormal="85" workbookViewId="0">
      <selection activeCell="I127" sqref="I127"/>
    </sheetView>
  </sheetViews>
  <sheetFormatPr defaultRowHeight="15.75" x14ac:dyDescent="0.25"/>
  <cols>
    <col min="1" max="1" width="26.7109375" customWidth="1"/>
    <col min="2" max="2" width="14.85546875" style="18" customWidth="1"/>
    <col min="3" max="3" width="9.7109375" style="15" customWidth="1"/>
    <col min="4" max="4" width="13.140625" style="15" customWidth="1"/>
    <col min="5" max="5" width="15.7109375" style="15" customWidth="1"/>
    <col min="6" max="6" width="13.140625" style="15" customWidth="1"/>
    <col min="7" max="7" width="9.28515625" style="15" customWidth="1"/>
    <col min="8" max="8" width="15.140625" style="1" customWidth="1"/>
    <col min="9" max="9" width="19.42578125" style="3" customWidth="1"/>
    <col min="10" max="10" width="80.85546875" style="10" customWidth="1"/>
    <col min="11" max="11" width="17.85546875" style="40" bestFit="1" customWidth="1"/>
    <col min="12" max="12" width="15.140625" style="41" bestFit="1" customWidth="1"/>
    <col min="13" max="15" width="15.140625" style="409" hidden="1" customWidth="1"/>
    <col min="16" max="16" width="11.5703125" bestFit="1" customWidth="1"/>
    <col min="17" max="18" width="12.85546875" style="147" customWidth="1"/>
    <col min="19" max="19" width="8.85546875" style="147" bestFit="1" customWidth="1"/>
    <col min="20" max="21" width="10" style="282" customWidth="1"/>
    <col min="22" max="22" width="8.42578125" customWidth="1"/>
    <col min="23" max="23" width="8.42578125" bestFit="1" customWidth="1"/>
    <col min="24" max="24" width="8.7109375" customWidth="1"/>
    <col min="25" max="25" width="8.28515625" customWidth="1"/>
    <col min="26" max="26" width="12.42578125" customWidth="1"/>
    <col min="27" max="27" width="20.42578125" customWidth="1"/>
    <col min="28" max="28" width="24" customWidth="1"/>
    <col min="29" max="29" width="19.85546875" bestFit="1" customWidth="1"/>
  </cols>
  <sheetData>
    <row r="1" spans="1:33" ht="90" customHeight="1" x14ac:dyDescent="0.25">
      <c r="A1" s="453"/>
      <c r="B1" s="453"/>
      <c r="C1" s="453"/>
      <c r="D1" s="453"/>
      <c r="E1" s="453"/>
      <c r="F1" s="453"/>
      <c r="G1" s="453"/>
      <c r="H1" s="453"/>
      <c r="I1" s="453"/>
      <c r="J1" s="453"/>
      <c r="K1" s="202"/>
      <c r="L1" s="203"/>
      <c r="M1" s="405"/>
      <c r="N1" s="405"/>
      <c r="O1" s="405"/>
      <c r="P1" s="42"/>
      <c r="Q1" s="283"/>
      <c r="R1" s="283"/>
      <c r="S1" s="283"/>
      <c r="T1" s="188"/>
      <c r="U1" s="188"/>
      <c r="V1" s="42"/>
      <c r="W1" s="42"/>
    </row>
    <row r="2" spans="1:33" x14ac:dyDescent="0.25">
      <c r="A2" s="454" t="s">
        <v>4</v>
      </c>
      <c r="B2" s="454"/>
      <c r="C2" s="88"/>
      <c r="D2" s="88"/>
      <c r="E2" s="88"/>
      <c r="F2" s="88"/>
      <c r="G2" s="88"/>
      <c r="H2" s="88"/>
      <c r="J2" s="392" t="s">
        <v>39</v>
      </c>
      <c r="K2" s="202"/>
      <c r="L2" s="42"/>
      <c r="M2" s="406"/>
      <c r="N2" s="406"/>
      <c r="O2" s="406"/>
      <c r="P2" s="42"/>
      <c r="Q2" s="283"/>
      <c r="R2" s="283"/>
      <c r="S2" s="283"/>
      <c r="T2" s="188"/>
      <c r="U2" s="188"/>
      <c r="V2" s="42"/>
      <c r="W2" s="42"/>
    </row>
    <row r="3" spans="1:33" x14ac:dyDescent="0.25">
      <c r="A3" s="196" t="s">
        <v>5</v>
      </c>
      <c r="B3" s="196"/>
      <c r="C3" s="88"/>
      <c r="D3" s="88"/>
      <c r="E3" s="88"/>
      <c r="F3" s="88"/>
      <c r="G3" s="88"/>
      <c r="H3" s="88"/>
      <c r="I3" s="195"/>
      <c r="J3" s="392" t="s">
        <v>529</v>
      </c>
      <c r="K3" s="202"/>
      <c r="L3" s="42"/>
      <c r="M3" s="406"/>
      <c r="N3" s="406"/>
      <c r="O3" s="406"/>
      <c r="P3" s="42"/>
      <c r="Q3" s="283"/>
      <c r="R3" s="283"/>
      <c r="S3" s="283"/>
      <c r="T3" s="188"/>
      <c r="U3" s="188"/>
      <c r="V3" s="42"/>
      <c r="W3" s="42"/>
    </row>
    <row r="4" spans="1:33" ht="16.5" thickBot="1" x14ac:dyDescent="0.3">
      <c r="A4" s="87" t="s">
        <v>531</v>
      </c>
      <c r="B4" s="50"/>
      <c r="C4" s="5"/>
      <c r="D4" s="5"/>
      <c r="E4" s="5"/>
      <c r="F4" s="5"/>
      <c r="G4" s="5"/>
      <c r="H4" s="6"/>
      <c r="I4" s="9"/>
      <c r="J4" s="393" t="s">
        <v>530</v>
      </c>
      <c r="K4" s="202"/>
      <c r="L4" s="203"/>
      <c r="M4" s="405"/>
      <c r="N4" s="405"/>
      <c r="O4" s="405"/>
      <c r="P4" s="42"/>
      <c r="Q4" s="283"/>
      <c r="R4" s="283"/>
      <c r="S4" s="283"/>
      <c r="T4" s="188"/>
      <c r="U4" s="188"/>
      <c r="V4" s="42"/>
      <c r="W4" s="42"/>
    </row>
    <row r="5" spans="1:33" ht="31.5" thickTop="1" thickBot="1" x14ac:dyDescent="0.3">
      <c r="A5" s="51"/>
      <c r="B5" s="52"/>
      <c r="C5" s="53"/>
      <c r="D5" s="204"/>
      <c r="E5" s="455" t="s">
        <v>675</v>
      </c>
      <c r="F5" s="456"/>
      <c r="G5" s="456"/>
      <c r="H5" s="456"/>
      <c r="I5" s="457"/>
      <c r="J5" s="457"/>
      <c r="K5" s="256" t="s">
        <v>676</v>
      </c>
      <c r="L5" s="203"/>
      <c r="M5" s="405"/>
      <c r="N5" s="405"/>
      <c r="O5" s="405"/>
      <c r="P5" s="42"/>
      <c r="Q5" s="283"/>
      <c r="R5" s="283"/>
      <c r="S5" s="283"/>
      <c r="T5" s="188"/>
      <c r="U5" s="188"/>
      <c r="V5" s="42"/>
      <c r="W5" s="42"/>
      <c r="X5" s="146"/>
    </row>
    <row r="6" spans="1:33" ht="17.25" customHeight="1" x14ac:dyDescent="0.25">
      <c r="A6" s="54" t="s">
        <v>57</v>
      </c>
      <c r="B6" s="458" t="s">
        <v>495</v>
      </c>
      <c r="C6" s="459"/>
      <c r="D6" s="459"/>
      <c r="E6" s="459"/>
      <c r="F6" s="459"/>
      <c r="G6" s="459"/>
      <c r="H6" s="460"/>
      <c r="I6" s="54" t="s">
        <v>53</v>
      </c>
      <c r="J6" s="379"/>
      <c r="K6" s="202"/>
      <c r="L6" s="203"/>
      <c r="M6" s="405"/>
      <c r="N6" s="405"/>
      <c r="O6" s="405"/>
      <c r="P6" s="42"/>
      <c r="Q6" s="283"/>
      <c r="R6" s="283"/>
      <c r="S6" s="283"/>
      <c r="T6" s="188"/>
      <c r="U6" s="188"/>
      <c r="V6" s="42"/>
      <c r="W6" s="42"/>
      <c r="Z6" s="117"/>
    </row>
    <row r="7" spans="1:33" ht="18.75" x14ac:dyDescent="0.3">
      <c r="A7" s="55" t="s">
        <v>33</v>
      </c>
      <c r="B7" s="444" t="s">
        <v>34</v>
      </c>
      <c r="C7" s="445"/>
      <c r="D7" s="445"/>
      <c r="E7" s="445"/>
      <c r="F7" s="445"/>
      <c r="G7" s="445"/>
      <c r="H7" s="446"/>
      <c r="I7" s="55" t="s">
        <v>497</v>
      </c>
      <c r="J7" s="380"/>
      <c r="K7" s="43"/>
      <c r="L7" s="42"/>
      <c r="M7" s="406"/>
      <c r="N7" s="406"/>
      <c r="O7" s="406"/>
      <c r="P7" s="42"/>
      <c r="Q7" s="283"/>
      <c r="R7" s="283"/>
      <c r="S7" s="283"/>
      <c r="T7" s="188"/>
      <c r="U7" s="188"/>
      <c r="V7" s="42"/>
      <c r="W7" s="42"/>
      <c r="Z7" s="120"/>
      <c r="AF7" s="68"/>
      <c r="AG7" s="67"/>
    </row>
    <row r="8" spans="1:33" ht="18" customHeight="1" x14ac:dyDescent="0.25">
      <c r="A8" s="55" t="s">
        <v>36</v>
      </c>
      <c r="B8" s="444" t="s">
        <v>183</v>
      </c>
      <c r="C8" s="445"/>
      <c r="D8" s="445"/>
      <c r="E8" s="445"/>
      <c r="F8" s="445"/>
      <c r="G8" s="445"/>
      <c r="H8" s="446"/>
      <c r="I8" s="55" t="s">
        <v>119</v>
      </c>
      <c r="J8" s="381"/>
      <c r="K8" s="43"/>
      <c r="L8" s="42"/>
      <c r="M8" s="406"/>
      <c r="N8" s="406"/>
      <c r="O8" s="406"/>
      <c r="P8" s="42"/>
      <c r="Q8" s="283"/>
      <c r="R8" s="283"/>
      <c r="S8" s="283"/>
      <c r="T8" s="188"/>
      <c r="U8" s="188"/>
      <c r="V8" s="42"/>
      <c r="W8" s="42"/>
      <c r="Z8" s="117"/>
      <c r="AF8" s="68"/>
      <c r="AG8" s="67"/>
    </row>
    <row r="9" spans="1:33" ht="17.25" customHeight="1" x14ac:dyDescent="0.25">
      <c r="A9" s="56" t="s">
        <v>93</v>
      </c>
      <c r="B9" s="444"/>
      <c r="C9" s="445"/>
      <c r="D9" s="445"/>
      <c r="E9" s="445"/>
      <c r="F9" s="445"/>
      <c r="G9" s="445"/>
      <c r="H9" s="446"/>
      <c r="I9" s="56" t="s">
        <v>54</v>
      </c>
      <c r="J9" s="382"/>
      <c r="K9" s="43"/>
      <c r="L9" s="42"/>
      <c r="M9" s="406"/>
      <c r="N9" s="406"/>
      <c r="O9" s="406"/>
      <c r="P9" s="42"/>
      <c r="Q9" s="283"/>
      <c r="R9" s="283"/>
      <c r="S9" s="283"/>
      <c r="T9" s="188"/>
      <c r="U9" s="188"/>
      <c r="V9" s="42"/>
      <c r="W9" s="42"/>
      <c r="Z9" s="117"/>
      <c r="AF9" s="68"/>
      <c r="AG9" s="67"/>
    </row>
    <row r="10" spans="1:33" ht="17.25" customHeight="1" x14ac:dyDescent="0.25">
      <c r="A10" s="56"/>
      <c r="B10" s="444"/>
      <c r="C10" s="445"/>
      <c r="D10" s="445"/>
      <c r="E10" s="445"/>
      <c r="F10" s="445"/>
      <c r="G10" s="445"/>
      <c r="H10" s="446"/>
      <c r="I10" s="56" t="s">
        <v>55</v>
      </c>
      <c r="J10" s="382"/>
      <c r="K10" s="43"/>
      <c r="L10" s="42"/>
      <c r="M10" s="406"/>
      <c r="N10" s="406"/>
      <c r="O10" s="406"/>
      <c r="P10" s="42"/>
      <c r="Q10" s="283"/>
      <c r="R10" s="283"/>
      <c r="S10" s="283"/>
      <c r="T10" s="188"/>
      <c r="U10" s="188"/>
      <c r="V10" s="42"/>
      <c r="W10" s="42"/>
      <c r="Z10" s="421"/>
      <c r="AF10" s="68"/>
      <c r="AG10" s="67"/>
    </row>
    <row r="11" spans="1:33" ht="16.5" thickBot="1" x14ac:dyDescent="0.3">
      <c r="A11" s="57" t="s">
        <v>56</v>
      </c>
      <c r="B11" s="447"/>
      <c r="C11" s="448"/>
      <c r="D11" s="448"/>
      <c r="E11" s="448"/>
      <c r="F11" s="448"/>
      <c r="G11" s="448"/>
      <c r="H11" s="449"/>
      <c r="I11" s="57" t="s">
        <v>656</v>
      </c>
      <c r="J11" s="383"/>
      <c r="K11" s="43"/>
      <c r="L11" s="42"/>
      <c r="M11" s="406"/>
      <c r="N11" s="406"/>
      <c r="O11" s="406"/>
      <c r="P11" s="42"/>
      <c r="Q11" s="283"/>
      <c r="R11" s="283"/>
      <c r="S11" s="283"/>
      <c r="T11" s="188"/>
      <c r="U11" s="188"/>
      <c r="V11" s="42"/>
      <c r="W11" s="42"/>
      <c r="Z11" s="117"/>
      <c r="AF11" s="68"/>
      <c r="AG11" s="67"/>
    </row>
    <row r="12" spans="1:33" x14ac:dyDescent="0.25">
      <c r="A12" s="326"/>
      <c r="B12" s="320"/>
      <c r="C12" s="320"/>
      <c r="D12" s="320"/>
      <c r="E12" s="320"/>
      <c r="F12" s="320"/>
      <c r="G12" s="320"/>
      <c r="H12" s="320"/>
      <c r="I12" s="326"/>
      <c r="J12" s="325"/>
      <c r="K12" s="43" t="s">
        <v>615</v>
      </c>
      <c r="L12" s="42" t="s">
        <v>616</v>
      </c>
      <c r="M12" s="406"/>
      <c r="N12" s="406"/>
      <c r="O12" s="406"/>
      <c r="P12" s="42"/>
      <c r="Q12" s="283"/>
      <c r="R12" s="283"/>
      <c r="S12" s="283"/>
      <c r="T12" s="188"/>
      <c r="U12" s="188"/>
      <c r="V12" s="42"/>
      <c r="W12" s="42"/>
      <c r="Z12" s="321"/>
      <c r="AF12" s="68"/>
      <c r="AG12" s="67"/>
    </row>
    <row r="13" spans="1:33" ht="14.25" customHeight="1" x14ac:dyDescent="0.25">
      <c r="A13" s="326"/>
      <c r="B13" s="320"/>
      <c r="C13" s="320"/>
      <c r="D13" s="320"/>
      <c r="E13" s="320"/>
      <c r="F13" s="320"/>
      <c r="G13" s="320"/>
      <c r="H13" s="320"/>
      <c r="I13" s="326"/>
      <c r="J13" s="325"/>
      <c r="K13" s="43"/>
      <c r="L13" s="42"/>
      <c r="M13" s="406"/>
      <c r="N13" s="406"/>
      <c r="O13" s="406"/>
      <c r="P13" s="42"/>
      <c r="Q13" s="283"/>
      <c r="R13" s="283"/>
      <c r="S13" s="283"/>
      <c r="T13" s="188"/>
      <c r="U13" s="188"/>
      <c r="V13" s="42"/>
      <c r="W13" s="42"/>
      <c r="Z13" s="321"/>
      <c r="AF13" s="68"/>
      <c r="AG13" s="67"/>
    </row>
    <row r="14" spans="1:33" x14ac:dyDescent="0.25">
      <c r="A14" s="327"/>
      <c r="B14" s="328"/>
      <c r="C14" s="328"/>
      <c r="D14" s="328"/>
      <c r="E14" s="328"/>
      <c r="F14" s="328"/>
      <c r="G14" s="328"/>
      <c r="H14" s="328"/>
      <c r="I14" s="327"/>
      <c r="J14" s="325"/>
      <c r="K14" s="43"/>
      <c r="L14" s="42"/>
      <c r="M14" s="406"/>
      <c r="N14" s="406"/>
      <c r="O14" s="406"/>
      <c r="P14" s="42"/>
      <c r="Q14" s="283"/>
      <c r="R14" s="283"/>
      <c r="S14" s="283"/>
      <c r="T14" s="188"/>
      <c r="U14" s="188"/>
      <c r="V14" s="42"/>
      <c r="W14" s="42"/>
      <c r="Z14" s="321"/>
      <c r="AF14" s="68"/>
      <c r="AG14" s="67"/>
    </row>
    <row r="15" spans="1:33" ht="18.75" thickBot="1" x14ac:dyDescent="0.3">
      <c r="A15" s="199" t="s">
        <v>173</v>
      </c>
      <c r="B15" s="16"/>
      <c r="C15" s="88"/>
      <c r="D15" s="88"/>
      <c r="E15" s="88"/>
      <c r="F15" s="88"/>
      <c r="G15" s="88"/>
      <c r="H15" s="4"/>
      <c r="I15" s="47" t="s">
        <v>172</v>
      </c>
      <c r="J15" s="334"/>
      <c r="K15" s="266" t="s">
        <v>677</v>
      </c>
      <c r="L15" s="42"/>
      <c r="M15" s="406"/>
      <c r="N15" s="406"/>
      <c r="O15" s="406"/>
      <c r="P15" s="42"/>
      <c r="Q15" s="283"/>
      <c r="R15" s="283"/>
      <c r="S15" s="283"/>
      <c r="T15" s="188"/>
      <c r="U15" s="188"/>
      <c r="V15" s="42"/>
      <c r="W15" s="42"/>
      <c r="Z15" s="117"/>
    </row>
    <row r="16" spans="1:33" ht="41.25" thickBot="1" x14ac:dyDescent="0.6">
      <c r="A16" s="58" t="s">
        <v>0</v>
      </c>
      <c r="B16" s="59" t="s">
        <v>1</v>
      </c>
      <c r="C16" s="58" t="s">
        <v>6</v>
      </c>
      <c r="D16" s="58" t="s">
        <v>7</v>
      </c>
      <c r="E16" s="272" t="s">
        <v>100</v>
      </c>
      <c r="F16" s="134" t="s">
        <v>118</v>
      </c>
      <c r="G16" s="134" t="s">
        <v>332</v>
      </c>
      <c r="H16" s="151" t="s">
        <v>2</v>
      </c>
      <c r="I16" s="60" t="s">
        <v>3</v>
      </c>
      <c r="J16" s="58" t="s">
        <v>27</v>
      </c>
      <c r="K16" s="267">
        <v>0.08</v>
      </c>
      <c r="L16" s="44" t="s">
        <v>8</v>
      </c>
      <c r="M16" s="407" t="s">
        <v>573</v>
      </c>
      <c r="N16" s="407" t="s">
        <v>574</v>
      </c>
      <c r="O16" s="407" t="s">
        <v>575</v>
      </c>
      <c r="P16" s="268" t="s">
        <v>122</v>
      </c>
      <c r="Q16" s="384" t="s">
        <v>485</v>
      </c>
      <c r="R16" s="384" t="s">
        <v>560</v>
      </c>
      <c r="S16" s="365" t="s">
        <v>399</v>
      </c>
      <c r="T16" s="273" t="s">
        <v>398</v>
      </c>
      <c r="U16" s="420" t="s">
        <v>576</v>
      </c>
      <c r="V16" s="44" t="s">
        <v>331</v>
      </c>
      <c r="W16" s="44" t="s">
        <v>302</v>
      </c>
      <c r="Z16" s="117"/>
    </row>
    <row r="17" spans="1:23" s="302" customFormat="1" x14ac:dyDescent="0.25">
      <c r="A17" s="292"/>
      <c r="B17" s="293"/>
      <c r="C17" s="294"/>
      <c r="D17" s="294"/>
      <c r="E17" s="295">
        <f t="shared" ref="E17:E22" si="0">H17-0.67</f>
        <v>-0.67</v>
      </c>
      <c r="F17" s="292"/>
      <c r="G17" s="292"/>
      <c r="H17" s="11">
        <f t="shared" ref="H17:H22" si="1">SUM(C17-D17)</f>
        <v>0</v>
      </c>
      <c r="I17" s="296">
        <f t="shared" ref="I17:I78" si="2">ROUNDUP(K17,0)</f>
        <v>0</v>
      </c>
      <c r="J17" s="297"/>
      <c r="K17" s="298">
        <f>PRODUCT(L17*(1+$K$16))</f>
        <v>0</v>
      </c>
      <c r="L17" s="299">
        <f>IFERROR(((StormPrice(E17:J17, A17,S17)+P17)*W17)*V17,0)</f>
        <v>0</v>
      </c>
      <c r="M17" s="408">
        <f>K17-L17</f>
        <v>0</v>
      </c>
      <c r="N17" s="418">
        <f>R17/8</f>
        <v>0</v>
      </c>
      <c r="O17" s="418" t="e">
        <f>M17/N17</f>
        <v>#DIV/0!</v>
      </c>
      <c r="P17" s="299"/>
      <c r="Q17" s="395">
        <f>IFERROR(((StormWeight(E17:J17, A17,S17))*W17),0)</f>
        <v>0</v>
      </c>
      <c r="R17" s="395">
        <f>Q17/4050</f>
        <v>0</v>
      </c>
      <c r="S17" s="300">
        <f>IF(ISNUMBER(SEARCH("Diameter",J17)), IF(T17=0,H17,VLOOKUP(F17,Info!$AJ$3:$AL$10,3,FALSE)),IF(T17=0,E17,VLOOKUP(F17,Info!$AJ$3:$AL$10,2,FALSE)))</f>
        <v>-0.67</v>
      </c>
      <c r="T17" s="301">
        <f>_xlfn.IFNA(IF(E17&lt;VLOOKUP(F17,Info!$AJ$3:$AK$10,2,FALSE),1,0),0)</f>
        <v>0</v>
      </c>
      <c r="U17" s="300" t="b">
        <f t="shared" ref="U17:U48" si="3">AND((OR(J17="5'x5' Structure and Lid",J17="6'x6' Structure and Lid",J17="6' Diameter w/ Flat Top",J17="8' Diameter w/ Flat Top")), H17 &gt; 9.99)</f>
        <v>0</v>
      </c>
      <c r="V17" s="301">
        <f t="shared" ref="V17:V48" si="4">IF(OR(G17="x",G17="X"),1.05,1)</f>
        <v>1</v>
      </c>
      <c r="W17" s="301">
        <f>IF(ISNUMBER(SEARCH("Headwall",J17)),1,IF(OR(A17="DCB",A17="DCI",A17="DGI",A17="DDI",ISNUMBER(SEARCH("Double",J17)),ISNUMBER(SEARCH("DBL",J17)),ISNUMBER(SEARCH("Dbl",J17)),ISNUMBER(SEARCH("DOUBLE",J17))),2,1))</f>
        <v>1</v>
      </c>
    </row>
    <row r="18" spans="1:23" s="302" customFormat="1" x14ac:dyDescent="0.25">
      <c r="A18" s="292"/>
      <c r="B18" s="293"/>
      <c r="C18" s="294"/>
      <c r="D18" s="294"/>
      <c r="E18" s="295">
        <f t="shared" si="0"/>
        <v>-0.67</v>
      </c>
      <c r="F18" s="292"/>
      <c r="G18" s="292"/>
      <c r="H18" s="11">
        <f t="shared" si="1"/>
        <v>0</v>
      </c>
      <c r="I18" s="296">
        <f t="shared" si="2"/>
        <v>0</v>
      </c>
      <c r="J18" s="297"/>
      <c r="K18" s="298">
        <f t="shared" ref="K18:K78" si="5">PRODUCT(L18*(1+$K$16))</f>
        <v>0</v>
      </c>
      <c r="L18" s="299">
        <f>IFERROR(((StormPrice(E18:J18, A18,S18)+P18)*W18)*V18,0)</f>
        <v>0</v>
      </c>
      <c r="M18" s="408">
        <f t="shared" ref="M18:M23" si="6">K18-L18</f>
        <v>0</v>
      </c>
      <c r="N18" s="418">
        <f t="shared" ref="N18:N81" si="7">R18/8</f>
        <v>0</v>
      </c>
      <c r="O18" s="418" t="e">
        <f t="shared" ref="O18:O81" si="8">M18/N18</f>
        <v>#DIV/0!</v>
      </c>
      <c r="P18" s="299"/>
      <c r="Q18" s="395">
        <f>IFERROR(((StormWeight(E18:J18, A18,S18))*W18),0)</f>
        <v>0</v>
      </c>
      <c r="R18" s="395">
        <f t="shared" ref="R18:R78" si="9">Q18/4050</f>
        <v>0</v>
      </c>
      <c r="S18" s="300">
        <f>IF(ISNUMBER(SEARCH("Diameter",J18)), IF(T18=0,H18,VLOOKUP(F18,Info!$AJ$3:$AL$10,3,FALSE)),IF(T18=0,E18,VLOOKUP(F18,Info!$AJ$3:$AL$10,2,FALSE)))</f>
        <v>-0.67</v>
      </c>
      <c r="T18" s="301">
        <f>_xlfn.IFNA(IF(E18&lt;VLOOKUP(F18,Info!$AJ$3:$AK$10,2,FALSE),1,0),0)</f>
        <v>0</v>
      </c>
      <c r="U18" s="300" t="b">
        <f t="shared" si="3"/>
        <v>0</v>
      </c>
      <c r="V18" s="301">
        <f t="shared" si="4"/>
        <v>1</v>
      </c>
      <c r="W18" s="301">
        <f t="shared" ref="W18:W49" si="10">IF(ISNUMBER(SEARCH("Headwall",J18)),1,IF(OR(A18="DCB",A18="DCI",A18="DGI",ISNUMBER(SEARCH("Double",J18)),ISNUMBER(SEARCH("DBL",J18)),ISNUMBER(SEARCH("Dbl",J18)),ISNUMBER(SEARCH("DOUBLE",J18))),2,1))</f>
        <v>1</v>
      </c>
    </row>
    <row r="19" spans="1:23" x14ac:dyDescent="0.25">
      <c r="A19" s="8"/>
      <c r="B19" s="17"/>
      <c r="C19" s="14"/>
      <c r="D19" s="14"/>
      <c r="E19" s="295">
        <f t="shared" si="0"/>
        <v>-0.67</v>
      </c>
      <c r="F19" s="292"/>
      <c r="G19" s="292"/>
      <c r="H19" s="11">
        <f t="shared" si="1"/>
        <v>0</v>
      </c>
      <c r="I19" s="296">
        <f t="shared" si="2"/>
        <v>0</v>
      </c>
      <c r="J19" s="297"/>
      <c r="K19" s="298">
        <f t="shared" si="5"/>
        <v>0</v>
      </c>
      <c r="L19" s="299">
        <f>IFERROR(((StormPrice(E19:J19, A19,S19)+P19)*W19)*V19,0)</f>
        <v>0</v>
      </c>
      <c r="M19" s="408">
        <f t="shared" si="6"/>
        <v>0</v>
      </c>
      <c r="N19" s="418">
        <f t="shared" si="7"/>
        <v>0</v>
      </c>
      <c r="O19" s="418" t="e">
        <f t="shared" si="8"/>
        <v>#DIV/0!</v>
      </c>
      <c r="P19" s="299"/>
      <c r="Q19" s="395">
        <f>IFERROR(((StormWeight(E19:J19, A19,S19))*W19),0)</f>
        <v>0</v>
      </c>
      <c r="R19" s="395">
        <f t="shared" si="9"/>
        <v>0</v>
      </c>
      <c r="S19" s="300">
        <f>IF(ISNUMBER(SEARCH("Diameter",J19)), IF(T19=0,H19,VLOOKUP(F19,Info!$AJ$3:$AL$10,3,FALSE)),IF(T19=0,E19,VLOOKUP(F19,Info!$AJ$3:$AL$10,2,FALSE)))</f>
        <v>-0.67</v>
      </c>
      <c r="T19" s="301">
        <f>_xlfn.IFNA(IF(E19&lt;VLOOKUP(F19,Info!$AJ$3:$AK$10,2,FALSE),1,0),0)</f>
        <v>0</v>
      </c>
      <c r="U19" s="300" t="b">
        <f t="shared" si="3"/>
        <v>0</v>
      </c>
      <c r="V19" s="301">
        <f t="shared" si="4"/>
        <v>1</v>
      </c>
      <c r="W19" s="301">
        <f t="shared" si="10"/>
        <v>1</v>
      </c>
    </row>
    <row r="20" spans="1:23" x14ac:dyDescent="0.25">
      <c r="A20" s="8"/>
      <c r="B20" s="17"/>
      <c r="C20" s="14"/>
      <c r="D20" s="14"/>
      <c r="E20" s="295">
        <f t="shared" si="0"/>
        <v>-0.67</v>
      </c>
      <c r="F20" s="292"/>
      <c r="G20" s="292"/>
      <c r="H20" s="11">
        <f t="shared" si="1"/>
        <v>0</v>
      </c>
      <c r="I20" s="296">
        <f t="shared" si="2"/>
        <v>0</v>
      </c>
      <c r="J20" s="297"/>
      <c r="K20" s="298">
        <f t="shared" si="5"/>
        <v>0</v>
      </c>
      <c r="L20" s="299">
        <f>IFERROR(((StormPrice(E20:J20, A20,S20)+P20)*W20)*V20,0)</f>
        <v>0</v>
      </c>
      <c r="M20" s="408">
        <f t="shared" si="6"/>
        <v>0</v>
      </c>
      <c r="N20" s="418">
        <f t="shared" si="7"/>
        <v>0</v>
      </c>
      <c r="O20" s="418" t="e">
        <f t="shared" si="8"/>
        <v>#DIV/0!</v>
      </c>
      <c r="P20" s="299"/>
      <c r="Q20" s="395">
        <f>IFERROR(((StormWeight(E20:J20, A20,S20))*W20),0)</f>
        <v>0</v>
      </c>
      <c r="R20" s="395">
        <f t="shared" si="9"/>
        <v>0</v>
      </c>
      <c r="S20" s="300">
        <f>IF(ISNUMBER(SEARCH("Diameter",J20)), IF(T20=0,H20,VLOOKUP(F20,Info!$AJ$3:$AL$10,3,FALSE)),IF(T20=0,E20,VLOOKUP(F20,Info!$AJ$3:$AL$10,2,FALSE)))</f>
        <v>-0.67</v>
      </c>
      <c r="T20" s="301">
        <f>_xlfn.IFNA(IF(E20&lt;VLOOKUP(F20,Info!$AJ$3:$AK$10,2,FALSE),1,0),0)</f>
        <v>0</v>
      </c>
      <c r="U20" s="300" t="b">
        <f t="shared" si="3"/>
        <v>0</v>
      </c>
      <c r="V20" s="301">
        <f t="shared" si="4"/>
        <v>1</v>
      </c>
      <c r="W20" s="301">
        <f t="shared" si="10"/>
        <v>1</v>
      </c>
    </row>
    <row r="21" spans="1:23" x14ac:dyDescent="0.25">
      <c r="A21" s="8"/>
      <c r="B21" s="17"/>
      <c r="C21" s="14"/>
      <c r="D21" s="14"/>
      <c r="E21" s="295">
        <f t="shared" si="0"/>
        <v>-0.67</v>
      </c>
      <c r="F21" s="292"/>
      <c r="G21" s="292"/>
      <c r="H21" s="11">
        <f t="shared" si="1"/>
        <v>0</v>
      </c>
      <c r="I21" s="296">
        <f t="shared" si="2"/>
        <v>0</v>
      </c>
      <c r="J21" s="297"/>
      <c r="K21" s="298">
        <f t="shared" si="5"/>
        <v>0</v>
      </c>
      <c r="L21" s="299">
        <f>IFERROR(((StormPrice(E21:J21, A21,S21)+P21)*W21)*V21,0)</f>
        <v>0</v>
      </c>
      <c r="M21" s="408">
        <f t="shared" si="6"/>
        <v>0</v>
      </c>
      <c r="N21" s="418">
        <f t="shared" si="7"/>
        <v>0</v>
      </c>
      <c r="O21" s="418" t="e">
        <f t="shared" si="8"/>
        <v>#DIV/0!</v>
      </c>
      <c r="P21" s="299"/>
      <c r="Q21" s="395">
        <f>IFERROR(((StormWeight(E21:J21, A21,S21))*W21),0)</f>
        <v>0</v>
      </c>
      <c r="R21" s="395">
        <f t="shared" si="9"/>
        <v>0</v>
      </c>
      <c r="S21" s="300">
        <f>IF(ISNUMBER(SEARCH("Diameter",J21)), IF(T21=0,H21,VLOOKUP(F21,Info!$AJ$3:$AL$10,3,FALSE)),IF(T21=0,E21,VLOOKUP(F21,Info!$AJ$3:$AL$10,2,FALSE)))</f>
        <v>-0.67</v>
      </c>
      <c r="T21" s="301">
        <f>_xlfn.IFNA(IF(E21&lt;VLOOKUP(F21,Info!$AJ$3:$AK$10,2,FALSE),1,0),0)</f>
        <v>0</v>
      </c>
      <c r="U21" s="300" t="b">
        <f t="shared" si="3"/>
        <v>0</v>
      </c>
      <c r="V21" s="301">
        <f t="shared" si="4"/>
        <v>1</v>
      </c>
      <c r="W21" s="301">
        <f t="shared" si="10"/>
        <v>1</v>
      </c>
    </row>
    <row r="22" spans="1:23" x14ac:dyDescent="0.25">
      <c r="A22" s="8"/>
      <c r="B22" s="17"/>
      <c r="C22" s="14"/>
      <c r="D22" s="14"/>
      <c r="E22" s="295">
        <f t="shared" si="0"/>
        <v>-0.67</v>
      </c>
      <c r="F22" s="292"/>
      <c r="G22" s="292"/>
      <c r="H22" s="11">
        <f t="shared" si="1"/>
        <v>0</v>
      </c>
      <c r="I22" s="296">
        <f t="shared" si="2"/>
        <v>0</v>
      </c>
      <c r="J22" s="297"/>
      <c r="K22" s="298">
        <f t="shared" si="5"/>
        <v>0</v>
      </c>
      <c r="L22" s="299">
        <f>IFERROR(((StormPrice(E22:J22, A22,S22)+P22)*W22)*V22,0)</f>
        <v>0</v>
      </c>
      <c r="M22" s="408">
        <f t="shared" si="6"/>
        <v>0</v>
      </c>
      <c r="N22" s="418">
        <f t="shared" si="7"/>
        <v>0</v>
      </c>
      <c r="O22" s="418" t="e">
        <f t="shared" si="8"/>
        <v>#DIV/0!</v>
      </c>
      <c r="P22" s="299"/>
      <c r="Q22" s="395">
        <f>IFERROR(((StormWeight(E22:J22, A22,S22))*W22),0)</f>
        <v>0</v>
      </c>
      <c r="R22" s="395">
        <f t="shared" si="9"/>
        <v>0</v>
      </c>
      <c r="S22" s="300">
        <f>IF(ISNUMBER(SEARCH("Diameter",J22)), IF(T22=0,H22,VLOOKUP(F22,Info!$AJ$3:$AL$10,3,FALSE)),IF(T22=0,E22,VLOOKUP(F22,Info!$AJ$3:$AL$10,2,FALSE)))</f>
        <v>-0.67</v>
      </c>
      <c r="T22" s="301">
        <f>_xlfn.IFNA(IF(E22&lt;VLOOKUP(F22,Info!$AJ$3:$AK$10,2,FALSE),1,0),0)</f>
        <v>0</v>
      </c>
      <c r="U22" s="300" t="b">
        <f t="shared" si="3"/>
        <v>0</v>
      </c>
      <c r="V22" s="301">
        <f t="shared" si="4"/>
        <v>1</v>
      </c>
      <c r="W22" s="301">
        <f t="shared" si="10"/>
        <v>1</v>
      </c>
    </row>
    <row r="23" spans="1:23" x14ac:dyDescent="0.25">
      <c r="A23" s="8"/>
      <c r="B23" s="17"/>
      <c r="C23" s="14"/>
      <c r="D23" s="14"/>
      <c r="E23" s="295">
        <f t="shared" ref="E23:E78" si="11">H23-0.67</f>
        <v>-0.67</v>
      </c>
      <c r="F23" s="292"/>
      <c r="G23" s="292"/>
      <c r="H23" s="11">
        <f t="shared" ref="H23:H78" si="12">SUM(C23-D23)</f>
        <v>0</v>
      </c>
      <c r="I23" s="296">
        <f t="shared" si="2"/>
        <v>0</v>
      </c>
      <c r="J23" s="297"/>
      <c r="K23" s="298">
        <f t="shared" si="5"/>
        <v>0</v>
      </c>
      <c r="L23" s="299">
        <f>IFERROR(((StormPrice(E23:J23, A23,S23)+P23)*W23)*V23,0)</f>
        <v>0</v>
      </c>
      <c r="M23" s="408">
        <f t="shared" si="6"/>
        <v>0</v>
      </c>
      <c r="N23" s="418">
        <f t="shared" si="7"/>
        <v>0</v>
      </c>
      <c r="O23" s="418" t="e">
        <f t="shared" si="8"/>
        <v>#DIV/0!</v>
      </c>
      <c r="P23" s="299"/>
      <c r="Q23" s="395">
        <f>IFERROR(((StormWeight(E23:J23, A23,S23))*W23),0)</f>
        <v>0</v>
      </c>
      <c r="R23" s="395">
        <f t="shared" si="9"/>
        <v>0</v>
      </c>
      <c r="S23" s="300">
        <f>IF(ISNUMBER(SEARCH("Diameter",J23)), IF(T23=0,H23,VLOOKUP(F23,Info!$AJ$3:$AL$10,3,FALSE)),IF(T23=0,E23,VLOOKUP(F23,Info!$AJ$3:$AL$10,2,FALSE)))</f>
        <v>-0.67</v>
      </c>
      <c r="T23" s="301">
        <f>_xlfn.IFNA(IF(E23&lt;VLOOKUP(F23,Info!$AJ$3:$AK$10,2,FALSE),1,0),0)</f>
        <v>0</v>
      </c>
      <c r="U23" s="300" t="b">
        <f t="shared" si="3"/>
        <v>0</v>
      </c>
      <c r="V23" s="301">
        <f t="shared" si="4"/>
        <v>1</v>
      </c>
      <c r="W23" s="301">
        <f t="shared" si="10"/>
        <v>1</v>
      </c>
    </row>
    <row r="24" spans="1:23" x14ac:dyDescent="0.25">
      <c r="A24" s="8"/>
      <c r="B24" s="17"/>
      <c r="C24" s="14"/>
      <c r="D24" s="14"/>
      <c r="E24" s="295">
        <f t="shared" si="11"/>
        <v>-0.67</v>
      </c>
      <c r="F24" s="292"/>
      <c r="G24" s="292"/>
      <c r="H24" s="11">
        <f t="shared" si="12"/>
        <v>0</v>
      </c>
      <c r="I24" s="296">
        <f t="shared" si="2"/>
        <v>0</v>
      </c>
      <c r="J24" s="297"/>
      <c r="K24" s="298">
        <f t="shared" si="5"/>
        <v>0</v>
      </c>
      <c r="L24" s="299">
        <f>IFERROR(((StormPrice(E24:J24, A24,S24)+P24)*W24)*V24,0)</f>
        <v>0</v>
      </c>
      <c r="M24" s="408">
        <f>K24-L24</f>
        <v>0</v>
      </c>
      <c r="N24" s="418">
        <f t="shared" si="7"/>
        <v>0</v>
      </c>
      <c r="O24" s="418" t="e">
        <f t="shared" si="8"/>
        <v>#DIV/0!</v>
      </c>
      <c r="P24" s="299"/>
      <c r="Q24" s="395">
        <f>IFERROR(((StormWeight(E24:J24, A24,S24))*W24),0)</f>
        <v>0</v>
      </c>
      <c r="R24" s="395">
        <f t="shared" si="9"/>
        <v>0</v>
      </c>
      <c r="S24" s="300">
        <f>IF(ISNUMBER(SEARCH("Diameter",J24)), IF(T24=0,H24,VLOOKUP(F24,Info!$AJ$3:$AL$10,3,FALSE)),IF(T24=0,E24,VLOOKUP(F24,Info!$AJ$3:$AL$10,2,FALSE)))</f>
        <v>-0.67</v>
      </c>
      <c r="T24" s="301">
        <f>_xlfn.IFNA(IF(E24&lt;VLOOKUP(F24,Info!$AJ$3:$AK$10,2,FALSE),1,0),0)</f>
        <v>0</v>
      </c>
      <c r="U24" s="300" t="b">
        <f t="shared" si="3"/>
        <v>0</v>
      </c>
      <c r="V24" s="301">
        <f t="shared" si="4"/>
        <v>1</v>
      </c>
      <c r="W24" s="301">
        <f t="shared" si="10"/>
        <v>1</v>
      </c>
    </row>
    <row r="25" spans="1:23" x14ac:dyDescent="0.25">
      <c r="A25" s="8"/>
      <c r="B25" s="17"/>
      <c r="C25" s="14"/>
      <c r="D25" s="14"/>
      <c r="E25" s="295">
        <f t="shared" si="11"/>
        <v>-0.67</v>
      </c>
      <c r="F25" s="292"/>
      <c r="G25" s="292"/>
      <c r="H25" s="11">
        <f t="shared" si="12"/>
        <v>0</v>
      </c>
      <c r="I25" s="296">
        <f t="shared" si="2"/>
        <v>0</v>
      </c>
      <c r="J25" s="297"/>
      <c r="K25" s="298">
        <f t="shared" si="5"/>
        <v>0</v>
      </c>
      <c r="L25" s="299">
        <f>IFERROR(((StormPrice(E25:J25, A25,S25)+P25)*W25)*V25,0)</f>
        <v>0</v>
      </c>
      <c r="M25" s="408">
        <f t="shared" ref="M25:M88" si="13">K25-L25</f>
        <v>0</v>
      </c>
      <c r="N25" s="418">
        <f t="shared" si="7"/>
        <v>0</v>
      </c>
      <c r="O25" s="418" t="e">
        <f t="shared" si="8"/>
        <v>#DIV/0!</v>
      </c>
      <c r="P25" s="299"/>
      <c r="Q25" s="395">
        <f>IFERROR(((StormWeight(E25:J25, A25,S25))*W25),0)</f>
        <v>0</v>
      </c>
      <c r="R25" s="395">
        <f t="shared" si="9"/>
        <v>0</v>
      </c>
      <c r="S25" s="300">
        <f>IF(ISNUMBER(SEARCH("Diameter",J25)), IF(T25=0,H25,VLOOKUP(F25,Info!$AJ$3:$AL$10,3,FALSE)),IF(T25=0,E25,VLOOKUP(F25,Info!$AJ$3:$AL$10,2,FALSE)))</f>
        <v>-0.67</v>
      </c>
      <c r="T25" s="301">
        <f>_xlfn.IFNA(IF(E25&lt;VLOOKUP(F25,Info!$AJ$3:$AK$10,2,FALSE),1,0),0)</f>
        <v>0</v>
      </c>
      <c r="U25" s="300" t="b">
        <f t="shared" si="3"/>
        <v>0</v>
      </c>
      <c r="V25" s="301">
        <f t="shared" si="4"/>
        <v>1</v>
      </c>
      <c r="W25" s="301">
        <f t="shared" si="10"/>
        <v>1</v>
      </c>
    </row>
    <row r="26" spans="1:23" x14ac:dyDescent="0.25">
      <c r="A26" s="8"/>
      <c r="B26" s="17"/>
      <c r="C26" s="14"/>
      <c r="D26" s="14"/>
      <c r="E26" s="295">
        <f t="shared" si="11"/>
        <v>-0.67</v>
      </c>
      <c r="F26" s="292"/>
      <c r="G26" s="292"/>
      <c r="H26" s="11">
        <f t="shared" si="12"/>
        <v>0</v>
      </c>
      <c r="I26" s="296">
        <f t="shared" si="2"/>
        <v>0</v>
      </c>
      <c r="J26" s="297"/>
      <c r="K26" s="298">
        <f t="shared" si="5"/>
        <v>0</v>
      </c>
      <c r="L26" s="299">
        <f>IFERROR(((StormPrice(E26:J26, A26,S26)+P26)*W26)*V26,0)</f>
        <v>0</v>
      </c>
      <c r="M26" s="408">
        <f t="shared" si="13"/>
        <v>0</v>
      </c>
      <c r="N26" s="418">
        <f t="shared" si="7"/>
        <v>0</v>
      </c>
      <c r="O26" s="418" t="e">
        <f t="shared" si="8"/>
        <v>#DIV/0!</v>
      </c>
      <c r="P26" s="299"/>
      <c r="Q26" s="395">
        <f>IFERROR(((StormWeight(E26:J26, A26,S26))*W26),0)</f>
        <v>0</v>
      </c>
      <c r="R26" s="395">
        <f t="shared" si="9"/>
        <v>0</v>
      </c>
      <c r="S26" s="300">
        <f>IF(ISNUMBER(SEARCH("Diameter",J26)), IF(T26=0,H26,VLOOKUP(F26,Info!$AJ$3:$AL$10,3,FALSE)),IF(T26=0,E26,VLOOKUP(F26,Info!$AJ$3:$AL$10,2,FALSE)))</f>
        <v>-0.67</v>
      </c>
      <c r="T26" s="301">
        <f>_xlfn.IFNA(IF(E26&lt;VLOOKUP(F26,Info!$AJ$3:$AK$10,2,FALSE),1,0),0)</f>
        <v>0</v>
      </c>
      <c r="U26" s="300" t="b">
        <f t="shared" si="3"/>
        <v>0</v>
      </c>
      <c r="V26" s="301">
        <f t="shared" si="4"/>
        <v>1</v>
      </c>
      <c r="W26" s="301">
        <f t="shared" si="10"/>
        <v>1</v>
      </c>
    </row>
    <row r="27" spans="1:23" x14ac:dyDescent="0.25">
      <c r="A27" s="8"/>
      <c r="B27" s="17"/>
      <c r="C27" s="14"/>
      <c r="D27" s="14"/>
      <c r="E27" s="295">
        <f t="shared" si="11"/>
        <v>-0.67</v>
      </c>
      <c r="F27" s="292"/>
      <c r="G27" s="292"/>
      <c r="H27" s="11">
        <f t="shared" si="12"/>
        <v>0</v>
      </c>
      <c r="I27" s="296">
        <f t="shared" si="2"/>
        <v>0</v>
      </c>
      <c r="J27" s="297"/>
      <c r="K27" s="298">
        <f t="shared" si="5"/>
        <v>0</v>
      </c>
      <c r="L27" s="299">
        <f>IFERROR(((StormPrice(E27:J27, A27,S27)+P27)*W27)*V27,0)</f>
        <v>0</v>
      </c>
      <c r="M27" s="408">
        <f t="shared" si="13"/>
        <v>0</v>
      </c>
      <c r="N27" s="418">
        <f t="shared" si="7"/>
        <v>0</v>
      </c>
      <c r="O27" s="418" t="e">
        <f t="shared" si="8"/>
        <v>#DIV/0!</v>
      </c>
      <c r="P27" s="299"/>
      <c r="Q27" s="395">
        <f>IFERROR(((StormWeight(E27:J27, A27,S27))*W27),0)</f>
        <v>0</v>
      </c>
      <c r="R27" s="395">
        <f t="shared" si="9"/>
        <v>0</v>
      </c>
      <c r="S27" s="300">
        <f>IF(ISNUMBER(SEARCH("Diameter",J27)), IF(T27=0,H27,VLOOKUP(F27,Info!$AJ$3:$AL$10,3,FALSE)),IF(T27=0,E27,VLOOKUP(F27,Info!$AJ$3:$AL$10,2,FALSE)))</f>
        <v>-0.67</v>
      </c>
      <c r="T27" s="301">
        <f>_xlfn.IFNA(IF(E27&lt;VLOOKUP(F27,Info!$AJ$3:$AK$10,2,FALSE),1,0),0)</f>
        <v>0</v>
      </c>
      <c r="U27" s="300" t="b">
        <f t="shared" si="3"/>
        <v>0</v>
      </c>
      <c r="V27" s="301">
        <f t="shared" si="4"/>
        <v>1</v>
      </c>
      <c r="W27" s="301">
        <f t="shared" si="10"/>
        <v>1</v>
      </c>
    </row>
    <row r="28" spans="1:23" x14ac:dyDescent="0.25">
      <c r="A28" s="8"/>
      <c r="B28" s="17"/>
      <c r="C28" s="14"/>
      <c r="D28" s="14"/>
      <c r="E28" s="295">
        <f t="shared" si="11"/>
        <v>-0.67</v>
      </c>
      <c r="F28" s="292"/>
      <c r="G28" s="292"/>
      <c r="H28" s="11">
        <f t="shared" si="12"/>
        <v>0</v>
      </c>
      <c r="I28" s="296">
        <f t="shared" si="2"/>
        <v>0</v>
      </c>
      <c r="J28" s="297"/>
      <c r="K28" s="298">
        <f t="shared" si="5"/>
        <v>0</v>
      </c>
      <c r="L28" s="299">
        <f>IFERROR(((StormPrice(E28:J28, A28,S28)+P28)*W28)*V28,0)</f>
        <v>0</v>
      </c>
      <c r="M28" s="408">
        <f t="shared" si="13"/>
        <v>0</v>
      </c>
      <c r="N28" s="418">
        <f t="shared" si="7"/>
        <v>0</v>
      </c>
      <c r="O28" s="418" t="e">
        <f t="shared" si="8"/>
        <v>#DIV/0!</v>
      </c>
      <c r="P28" s="299"/>
      <c r="Q28" s="395">
        <f>IFERROR(((StormWeight(E28:J28, A28,S28))*W28),0)</f>
        <v>0</v>
      </c>
      <c r="R28" s="395">
        <f t="shared" si="9"/>
        <v>0</v>
      </c>
      <c r="S28" s="300">
        <f>IF(ISNUMBER(SEARCH("Diameter",J28)), IF(T28=0,H28,VLOOKUP(F28,Info!$AJ$3:$AL$10,3,FALSE)),IF(T28=0,E28,VLOOKUP(F28,Info!$AJ$3:$AL$10,2,FALSE)))</f>
        <v>-0.67</v>
      </c>
      <c r="T28" s="301">
        <f>_xlfn.IFNA(IF(E28&lt;VLOOKUP(F28,Info!$AJ$3:$AK$10,2,FALSE),1,0),0)</f>
        <v>0</v>
      </c>
      <c r="U28" s="300" t="b">
        <f t="shared" si="3"/>
        <v>0</v>
      </c>
      <c r="V28" s="301">
        <f t="shared" si="4"/>
        <v>1</v>
      </c>
      <c r="W28" s="301">
        <f t="shared" si="10"/>
        <v>1</v>
      </c>
    </row>
    <row r="29" spans="1:23" x14ac:dyDescent="0.25">
      <c r="A29" s="8"/>
      <c r="B29" s="17"/>
      <c r="C29" s="14"/>
      <c r="D29" s="14"/>
      <c r="E29" s="295">
        <f t="shared" si="11"/>
        <v>-0.67</v>
      </c>
      <c r="F29" s="292"/>
      <c r="G29" s="292"/>
      <c r="H29" s="11">
        <f t="shared" si="12"/>
        <v>0</v>
      </c>
      <c r="I29" s="296">
        <f t="shared" si="2"/>
        <v>0</v>
      </c>
      <c r="J29" s="297"/>
      <c r="K29" s="298">
        <f t="shared" si="5"/>
        <v>0</v>
      </c>
      <c r="L29" s="299">
        <f>IFERROR(((StormPrice(E29:J29, A29,S29)+P29)*W29)*V29,0)</f>
        <v>0</v>
      </c>
      <c r="M29" s="408">
        <f t="shared" si="13"/>
        <v>0</v>
      </c>
      <c r="N29" s="418">
        <f t="shared" si="7"/>
        <v>0</v>
      </c>
      <c r="O29" s="418" t="e">
        <f t="shared" si="8"/>
        <v>#DIV/0!</v>
      </c>
      <c r="P29" s="299"/>
      <c r="Q29" s="395">
        <f>IFERROR(((StormWeight(E29:J29, A29,S29))*W29),0)</f>
        <v>0</v>
      </c>
      <c r="R29" s="395">
        <f t="shared" si="9"/>
        <v>0</v>
      </c>
      <c r="S29" s="300">
        <f>IF(ISNUMBER(SEARCH("Diameter",J29)), IF(T29=0,H29,VLOOKUP(F29,Info!$AJ$3:$AL$10,3,FALSE)),IF(T29=0,E29,VLOOKUP(F29,Info!$AJ$3:$AL$10,2,FALSE)))</f>
        <v>-0.67</v>
      </c>
      <c r="T29" s="301">
        <f>_xlfn.IFNA(IF(E29&lt;VLOOKUP(F29,Info!$AJ$3:$AK$10,2,FALSE),1,0),0)</f>
        <v>0</v>
      </c>
      <c r="U29" s="300" t="b">
        <f t="shared" si="3"/>
        <v>0</v>
      </c>
      <c r="V29" s="301">
        <f t="shared" si="4"/>
        <v>1</v>
      </c>
      <c r="W29" s="301">
        <f t="shared" si="10"/>
        <v>1</v>
      </c>
    </row>
    <row r="30" spans="1:23" x14ac:dyDescent="0.25">
      <c r="A30" s="8"/>
      <c r="B30" s="17"/>
      <c r="C30" s="14"/>
      <c r="D30" s="14"/>
      <c r="E30" s="295">
        <f t="shared" si="11"/>
        <v>-0.67</v>
      </c>
      <c r="F30" s="292"/>
      <c r="G30" s="292"/>
      <c r="H30" s="11">
        <f t="shared" si="12"/>
        <v>0</v>
      </c>
      <c r="I30" s="296">
        <f t="shared" si="2"/>
        <v>0</v>
      </c>
      <c r="J30" s="297"/>
      <c r="K30" s="298">
        <f t="shared" si="5"/>
        <v>0</v>
      </c>
      <c r="L30" s="299">
        <f>IFERROR(((StormPrice(E30:J30, A30,S30)+P30)*W30)*V30,0)</f>
        <v>0</v>
      </c>
      <c r="M30" s="408">
        <f t="shared" si="13"/>
        <v>0</v>
      </c>
      <c r="N30" s="418">
        <f t="shared" si="7"/>
        <v>0</v>
      </c>
      <c r="O30" s="418" t="e">
        <f t="shared" si="8"/>
        <v>#DIV/0!</v>
      </c>
      <c r="P30" s="299"/>
      <c r="Q30" s="395">
        <f>IFERROR(((StormWeight(E30:J30, A30,S30))*W30),0)</f>
        <v>0</v>
      </c>
      <c r="R30" s="395">
        <f t="shared" si="9"/>
        <v>0</v>
      </c>
      <c r="S30" s="300">
        <f>IF(ISNUMBER(SEARCH("Diameter",J30)), IF(T30=0,H30,VLOOKUP(F30,Info!$AJ$3:$AL$10,3,FALSE)),IF(T30=0,E30,VLOOKUP(F30,Info!$AJ$3:$AL$10,2,FALSE)))</f>
        <v>-0.67</v>
      </c>
      <c r="T30" s="301">
        <f>_xlfn.IFNA(IF(E30&lt;VLOOKUP(F30,Info!$AJ$3:$AK$10,2,FALSE),1,0),0)</f>
        <v>0</v>
      </c>
      <c r="U30" s="300" t="b">
        <f t="shared" si="3"/>
        <v>0</v>
      </c>
      <c r="V30" s="301">
        <f t="shared" si="4"/>
        <v>1</v>
      </c>
      <c r="W30" s="301">
        <f t="shared" si="10"/>
        <v>1</v>
      </c>
    </row>
    <row r="31" spans="1:23" x14ac:dyDescent="0.25">
      <c r="A31" s="8"/>
      <c r="B31" s="17"/>
      <c r="C31" s="14"/>
      <c r="D31" s="14"/>
      <c r="E31" s="295">
        <f t="shared" si="11"/>
        <v>-0.67</v>
      </c>
      <c r="F31" s="292"/>
      <c r="G31" s="292"/>
      <c r="H31" s="11">
        <f t="shared" si="12"/>
        <v>0</v>
      </c>
      <c r="I31" s="296">
        <f t="shared" si="2"/>
        <v>0</v>
      </c>
      <c r="J31" s="297"/>
      <c r="K31" s="298">
        <f t="shared" si="5"/>
        <v>0</v>
      </c>
      <c r="L31" s="299">
        <f>IFERROR(((StormPrice(E31:J31, A31,S31)+P31)*W31)*V31,0)</f>
        <v>0</v>
      </c>
      <c r="M31" s="408">
        <f t="shared" si="13"/>
        <v>0</v>
      </c>
      <c r="N31" s="418">
        <f t="shared" si="7"/>
        <v>0</v>
      </c>
      <c r="O31" s="418" t="e">
        <f t="shared" si="8"/>
        <v>#DIV/0!</v>
      </c>
      <c r="P31" s="299"/>
      <c r="Q31" s="395">
        <f>IFERROR(((StormWeight(E31:J31, A31,S31))*W31),0)</f>
        <v>0</v>
      </c>
      <c r="R31" s="395">
        <f t="shared" si="9"/>
        <v>0</v>
      </c>
      <c r="S31" s="300">
        <f>IF(ISNUMBER(SEARCH("Diameter",J31)), IF(T31=0,H31,VLOOKUP(F31,Info!$AJ$3:$AL$10,3,FALSE)),IF(T31=0,E31,VLOOKUP(F31,Info!$AJ$3:$AL$10,2,FALSE)))</f>
        <v>-0.67</v>
      </c>
      <c r="T31" s="301">
        <f>_xlfn.IFNA(IF(E31&lt;VLOOKUP(F31,Info!$AJ$3:$AK$10,2,FALSE),1,0),0)</f>
        <v>0</v>
      </c>
      <c r="U31" s="300" t="b">
        <f t="shared" si="3"/>
        <v>0</v>
      </c>
      <c r="V31" s="301">
        <f t="shared" si="4"/>
        <v>1</v>
      </c>
      <c r="W31" s="301">
        <f t="shared" si="10"/>
        <v>1</v>
      </c>
    </row>
    <row r="32" spans="1:23" x14ac:dyDescent="0.25">
      <c r="A32" s="8"/>
      <c r="B32" s="17"/>
      <c r="C32" s="14"/>
      <c r="D32" s="14"/>
      <c r="E32" s="295">
        <f t="shared" si="11"/>
        <v>-0.67</v>
      </c>
      <c r="F32" s="292"/>
      <c r="G32" s="292"/>
      <c r="H32" s="11">
        <f t="shared" si="12"/>
        <v>0</v>
      </c>
      <c r="I32" s="296">
        <f t="shared" si="2"/>
        <v>0</v>
      </c>
      <c r="J32" s="297"/>
      <c r="K32" s="298">
        <f t="shared" si="5"/>
        <v>0</v>
      </c>
      <c r="L32" s="299">
        <f>IFERROR(((StormPrice(E32:J32, A32,S32)+P32)*W32)*V32,0)</f>
        <v>0</v>
      </c>
      <c r="M32" s="408">
        <f t="shared" si="13"/>
        <v>0</v>
      </c>
      <c r="N32" s="418">
        <f t="shared" si="7"/>
        <v>0</v>
      </c>
      <c r="O32" s="418" t="e">
        <f t="shared" si="8"/>
        <v>#DIV/0!</v>
      </c>
      <c r="P32" s="299"/>
      <c r="Q32" s="395">
        <f>IFERROR(((StormWeight(E32:J32, A32,S32))*W32),0)</f>
        <v>0</v>
      </c>
      <c r="R32" s="395">
        <f t="shared" si="9"/>
        <v>0</v>
      </c>
      <c r="S32" s="300">
        <f>IF(ISNUMBER(SEARCH("Diameter",J32)), IF(T32=0,H32,VLOOKUP(F32,Info!$AJ$3:$AL$10,3,FALSE)),IF(T32=0,E32,VLOOKUP(F32,Info!$AJ$3:$AL$10,2,FALSE)))</f>
        <v>-0.67</v>
      </c>
      <c r="T32" s="301">
        <f>_xlfn.IFNA(IF(E32&lt;VLOOKUP(F32,Info!$AJ$3:$AK$10,2,FALSE),1,0),0)</f>
        <v>0</v>
      </c>
      <c r="U32" s="300" t="b">
        <f t="shared" si="3"/>
        <v>0</v>
      </c>
      <c r="V32" s="301">
        <f t="shared" si="4"/>
        <v>1</v>
      </c>
      <c r="W32" s="301">
        <f t="shared" si="10"/>
        <v>1</v>
      </c>
    </row>
    <row r="33" spans="1:23" x14ac:dyDescent="0.25">
      <c r="A33" s="8"/>
      <c r="B33" s="17"/>
      <c r="C33" s="14"/>
      <c r="D33" s="14"/>
      <c r="E33" s="295">
        <f t="shared" si="11"/>
        <v>-0.67</v>
      </c>
      <c r="F33" s="292"/>
      <c r="G33" s="292"/>
      <c r="H33" s="11">
        <f t="shared" si="12"/>
        <v>0</v>
      </c>
      <c r="I33" s="296">
        <f t="shared" si="2"/>
        <v>0</v>
      </c>
      <c r="J33" s="297"/>
      <c r="K33" s="298">
        <f t="shared" si="5"/>
        <v>0</v>
      </c>
      <c r="L33" s="299">
        <f>IFERROR(((StormPrice(E33:J33, A33,S33)+P33)*W33)*V33,0)</f>
        <v>0</v>
      </c>
      <c r="M33" s="408">
        <f t="shared" si="13"/>
        <v>0</v>
      </c>
      <c r="N33" s="418">
        <f t="shared" si="7"/>
        <v>0</v>
      </c>
      <c r="O33" s="418" t="e">
        <f t="shared" si="8"/>
        <v>#DIV/0!</v>
      </c>
      <c r="P33" s="299"/>
      <c r="Q33" s="395">
        <f>IFERROR(((StormWeight(E33:J33, A33,S33))*W33),0)</f>
        <v>0</v>
      </c>
      <c r="R33" s="395">
        <f t="shared" si="9"/>
        <v>0</v>
      </c>
      <c r="S33" s="300">
        <f>IF(ISNUMBER(SEARCH("Diameter",J33)), IF(T33=0,H33,VLOOKUP(F33,Info!$AJ$3:$AL$10,3,FALSE)),IF(T33=0,E33,VLOOKUP(F33,Info!$AJ$3:$AL$10,2,FALSE)))</f>
        <v>-0.67</v>
      </c>
      <c r="T33" s="301">
        <f>_xlfn.IFNA(IF(E33&lt;VLOOKUP(F33,Info!$AJ$3:$AK$10,2,FALSE),1,0),0)</f>
        <v>0</v>
      </c>
      <c r="U33" s="300" t="b">
        <f t="shared" si="3"/>
        <v>0</v>
      </c>
      <c r="V33" s="301">
        <f t="shared" si="4"/>
        <v>1</v>
      </c>
      <c r="W33" s="301">
        <f t="shared" si="10"/>
        <v>1</v>
      </c>
    </row>
    <row r="34" spans="1:23" x14ac:dyDescent="0.25">
      <c r="A34" s="8"/>
      <c r="B34" s="17"/>
      <c r="C34" s="14"/>
      <c r="D34" s="14"/>
      <c r="E34" s="295">
        <f t="shared" si="11"/>
        <v>-0.67</v>
      </c>
      <c r="F34" s="292"/>
      <c r="G34" s="292"/>
      <c r="H34" s="11">
        <f t="shared" si="12"/>
        <v>0</v>
      </c>
      <c r="I34" s="296">
        <f t="shared" si="2"/>
        <v>0</v>
      </c>
      <c r="J34" s="297"/>
      <c r="K34" s="298">
        <f t="shared" si="5"/>
        <v>0</v>
      </c>
      <c r="L34" s="299">
        <f>IFERROR(((StormPrice(E34:J34, A34,S34)+P34)*W34)*V34,0)</f>
        <v>0</v>
      </c>
      <c r="M34" s="408">
        <f t="shared" si="13"/>
        <v>0</v>
      </c>
      <c r="N34" s="418">
        <f t="shared" si="7"/>
        <v>0</v>
      </c>
      <c r="O34" s="418" t="e">
        <f t="shared" si="8"/>
        <v>#DIV/0!</v>
      </c>
      <c r="P34" s="299"/>
      <c r="Q34" s="395">
        <f>IFERROR(((StormWeight(E34:J34, A34,S34))*W34),0)</f>
        <v>0</v>
      </c>
      <c r="R34" s="395">
        <f t="shared" si="9"/>
        <v>0</v>
      </c>
      <c r="S34" s="300">
        <f>IF(ISNUMBER(SEARCH("Diameter",J34)), IF(T34=0,H34,VLOOKUP(F34,Info!$AJ$3:$AL$10,3,FALSE)),IF(T34=0,E34,VLOOKUP(F34,Info!$AJ$3:$AL$10,2,FALSE)))</f>
        <v>-0.67</v>
      </c>
      <c r="T34" s="301">
        <f>_xlfn.IFNA(IF(E34&lt;VLOOKUP(F34,Info!$AJ$3:$AK$10,2,FALSE),1,0),0)</f>
        <v>0</v>
      </c>
      <c r="U34" s="300" t="b">
        <f t="shared" si="3"/>
        <v>0</v>
      </c>
      <c r="V34" s="301">
        <f t="shared" si="4"/>
        <v>1</v>
      </c>
      <c r="W34" s="301">
        <f t="shared" si="10"/>
        <v>1</v>
      </c>
    </row>
    <row r="35" spans="1:23" x14ac:dyDescent="0.25">
      <c r="A35" s="8"/>
      <c r="B35" s="17"/>
      <c r="C35" s="14"/>
      <c r="D35" s="14"/>
      <c r="E35" s="295">
        <f t="shared" si="11"/>
        <v>-0.67</v>
      </c>
      <c r="F35" s="292"/>
      <c r="G35" s="292"/>
      <c r="H35" s="11">
        <f t="shared" si="12"/>
        <v>0</v>
      </c>
      <c r="I35" s="296">
        <f t="shared" si="2"/>
        <v>0</v>
      </c>
      <c r="J35" s="297"/>
      <c r="K35" s="298">
        <f t="shared" si="5"/>
        <v>0</v>
      </c>
      <c r="L35" s="299">
        <f>IFERROR(((StormPrice(E35:J35, A35,S35)+P35)*W35)*V35,0)</f>
        <v>0</v>
      </c>
      <c r="M35" s="408">
        <f t="shared" si="13"/>
        <v>0</v>
      </c>
      <c r="N35" s="418">
        <f t="shared" si="7"/>
        <v>0</v>
      </c>
      <c r="O35" s="418" t="e">
        <f t="shared" si="8"/>
        <v>#DIV/0!</v>
      </c>
      <c r="P35" s="299"/>
      <c r="Q35" s="395">
        <f>IFERROR(((StormWeight(E35:J35, A35,S35))*W35),0)</f>
        <v>0</v>
      </c>
      <c r="R35" s="395">
        <f t="shared" si="9"/>
        <v>0</v>
      </c>
      <c r="S35" s="300">
        <f>IF(ISNUMBER(SEARCH("Diameter",J35)), IF(T35=0,H35,VLOOKUP(F35,Info!$AJ$3:$AL$10,3,FALSE)),IF(T35=0,E35,VLOOKUP(F35,Info!$AJ$3:$AL$10,2,FALSE)))</f>
        <v>-0.67</v>
      </c>
      <c r="T35" s="301">
        <f>_xlfn.IFNA(IF(E35&lt;VLOOKUP(F35,Info!$AJ$3:$AK$10,2,FALSE),1,0),0)</f>
        <v>0</v>
      </c>
      <c r="U35" s="300" t="b">
        <f t="shared" si="3"/>
        <v>0</v>
      </c>
      <c r="V35" s="301">
        <f t="shared" si="4"/>
        <v>1</v>
      </c>
      <c r="W35" s="301">
        <f t="shared" si="10"/>
        <v>1</v>
      </c>
    </row>
    <row r="36" spans="1:23" x14ac:dyDescent="0.25">
      <c r="A36" s="8"/>
      <c r="B36" s="17"/>
      <c r="C36" s="14"/>
      <c r="D36" s="14"/>
      <c r="E36" s="295">
        <f t="shared" si="11"/>
        <v>-0.67</v>
      </c>
      <c r="F36" s="292"/>
      <c r="G36" s="292"/>
      <c r="H36" s="11">
        <f t="shared" si="12"/>
        <v>0</v>
      </c>
      <c r="I36" s="296">
        <f t="shared" si="2"/>
        <v>0</v>
      </c>
      <c r="J36" s="297"/>
      <c r="K36" s="298">
        <f t="shared" si="5"/>
        <v>0</v>
      </c>
      <c r="L36" s="299">
        <f>IFERROR(((StormPrice(E36:J36, A36,S36)+P36)*W36)*V36,0)</f>
        <v>0</v>
      </c>
      <c r="M36" s="408">
        <f t="shared" si="13"/>
        <v>0</v>
      </c>
      <c r="N36" s="418">
        <f t="shared" si="7"/>
        <v>0</v>
      </c>
      <c r="O36" s="418" t="e">
        <f t="shared" si="8"/>
        <v>#DIV/0!</v>
      </c>
      <c r="P36" s="299"/>
      <c r="Q36" s="395">
        <f>IFERROR(((StormWeight(E36:J36, A36,S36))*W36),0)</f>
        <v>0</v>
      </c>
      <c r="R36" s="395">
        <f t="shared" si="9"/>
        <v>0</v>
      </c>
      <c r="S36" s="300">
        <f>IF(ISNUMBER(SEARCH("Diameter",J36)), IF(T36=0,H36,VLOOKUP(F36,Info!$AJ$3:$AL$10,3,FALSE)),IF(T36=0,E36,VLOOKUP(F36,Info!$AJ$3:$AL$10,2,FALSE)))</f>
        <v>-0.67</v>
      </c>
      <c r="T36" s="301">
        <f>_xlfn.IFNA(IF(E36&lt;VLOOKUP(F36,Info!$AJ$3:$AK$10,2,FALSE),1,0),0)</f>
        <v>0</v>
      </c>
      <c r="U36" s="300" t="b">
        <f t="shared" si="3"/>
        <v>0</v>
      </c>
      <c r="V36" s="301">
        <f t="shared" si="4"/>
        <v>1</v>
      </c>
      <c r="W36" s="301">
        <f t="shared" si="10"/>
        <v>1</v>
      </c>
    </row>
    <row r="37" spans="1:23" x14ac:dyDescent="0.25">
      <c r="A37" s="8"/>
      <c r="B37" s="17"/>
      <c r="C37" s="14"/>
      <c r="D37" s="14"/>
      <c r="E37" s="295">
        <f t="shared" si="11"/>
        <v>-0.67</v>
      </c>
      <c r="F37" s="292"/>
      <c r="G37" s="292"/>
      <c r="H37" s="11">
        <f t="shared" si="12"/>
        <v>0</v>
      </c>
      <c r="I37" s="296">
        <f t="shared" si="2"/>
        <v>0</v>
      </c>
      <c r="J37" s="297"/>
      <c r="K37" s="298">
        <f t="shared" si="5"/>
        <v>0</v>
      </c>
      <c r="L37" s="299">
        <f>IFERROR(((StormPrice(E37:J37, A37,S37)+P37)*W37)*V37,0)</f>
        <v>0</v>
      </c>
      <c r="M37" s="408">
        <f t="shared" si="13"/>
        <v>0</v>
      </c>
      <c r="N37" s="418">
        <f t="shared" si="7"/>
        <v>0</v>
      </c>
      <c r="O37" s="418" t="e">
        <f t="shared" si="8"/>
        <v>#DIV/0!</v>
      </c>
      <c r="P37" s="299"/>
      <c r="Q37" s="395">
        <f>IFERROR(((StormWeight(E37:J37, A37,S37))*W37),0)</f>
        <v>0</v>
      </c>
      <c r="R37" s="395">
        <f t="shared" si="9"/>
        <v>0</v>
      </c>
      <c r="S37" s="300">
        <f>IF(ISNUMBER(SEARCH("Diameter",J37)), IF(T37=0,H37,VLOOKUP(F37,Info!$AJ$3:$AL$10,3,FALSE)),IF(T37=0,E37,VLOOKUP(F37,Info!$AJ$3:$AL$10,2,FALSE)))</f>
        <v>-0.67</v>
      </c>
      <c r="T37" s="301">
        <f>_xlfn.IFNA(IF(E37&lt;VLOOKUP(F37,Info!$AJ$3:$AK$10,2,FALSE),1,0),0)</f>
        <v>0</v>
      </c>
      <c r="U37" s="300" t="b">
        <f t="shared" si="3"/>
        <v>0</v>
      </c>
      <c r="V37" s="301">
        <f t="shared" si="4"/>
        <v>1</v>
      </c>
      <c r="W37" s="301">
        <f t="shared" si="10"/>
        <v>1</v>
      </c>
    </row>
    <row r="38" spans="1:23" x14ac:dyDescent="0.25">
      <c r="A38" s="8"/>
      <c r="B38" s="17"/>
      <c r="C38" s="14"/>
      <c r="D38" s="14"/>
      <c r="E38" s="295">
        <f t="shared" si="11"/>
        <v>-0.67</v>
      </c>
      <c r="F38" s="292"/>
      <c r="G38" s="292"/>
      <c r="H38" s="11">
        <f t="shared" si="12"/>
        <v>0</v>
      </c>
      <c r="I38" s="296">
        <f t="shared" si="2"/>
        <v>0</v>
      </c>
      <c r="J38" s="297"/>
      <c r="K38" s="298">
        <f t="shared" si="5"/>
        <v>0</v>
      </c>
      <c r="L38" s="299">
        <f>IFERROR(((StormPrice(E38:J38, A38,S38)+P38)*W38)*V38,0)</f>
        <v>0</v>
      </c>
      <c r="M38" s="408">
        <f t="shared" si="13"/>
        <v>0</v>
      </c>
      <c r="N38" s="418">
        <f t="shared" si="7"/>
        <v>0</v>
      </c>
      <c r="O38" s="418" t="e">
        <f t="shared" si="8"/>
        <v>#DIV/0!</v>
      </c>
      <c r="P38" s="299"/>
      <c r="Q38" s="395">
        <f>IFERROR(((StormWeight(E38:J38, A38,S38))*W38),0)</f>
        <v>0</v>
      </c>
      <c r="R38" s="395">
        <f t="shared" si="9"/>
        <v>0</v>
      </c>
      <c r="S38" s="300">
        <f>IF(ISNUMBER(SEARCH("Diameter",J38)), IF(T38=0,H38,VLOOKUP(F38,Info!$AJ$3:$AL$10,3,FALSE)),IF(T38=0,E38,VLOOKUP(F38,Info!$AJ$3:$AL$10,2,FALSE)))</f>
        <v>-0.67</v>
      </c>
      <c r="T38" s="301">
        <f>_xlfn.IFNA(IF(E38&lt;VLOOKUP(F38,Info!$AJ$3:$AK$10,2,FALSE),1,0),0)</f>
        <v>0</v>
      </c>
      <c r="U38" s="300" t="b">
        <f t="shared" si="3"/>
        <v>0</v>
      </c>
      <c r="V38" s="301">
        <f t="shared" si="4"/>
        <v>1</v>
      </c>
      <c r="W38" s="301">
        <f t="shared" si="10"/>
        <v>1</v>
      </c>
    </row>
    <row r="39" spans="1:23" x14ac:dyDescent="0.25">
      <c r="A39" s="8"/>
      <c r="B39" s="17"/>
      <c r="C39" s="14"/>
      <c r="D39" s="14"/>
      <c r="E39" s="295">
        <f t="shared" si="11"/>
        <v>-0.67</v>
      </c>
      <c r="F39" s="292"/>
      <c r="G39" s="292"/>
      <c r="H39" s="11">
        <f t="shared" si="12"/>
        <v>0</v>
      </c>
      <c r="I39" s="296">
        <f t="shared" si="2"/>
        <v>0</v>
      </c>
      <c r="J39" s="297"/>
      <c r="K39" s="298">
        <f t="shared" si="5"/>
        <v>0</v>
      </c>
      <c r="L39" s="299">
        <f>IFERROR(((StormPrice(E39:J39, A39,S39)+P39)*W39)*V39,0)</f>
        <v>0</v>
      </c>
      <c r="M39" s="408">
        <f t="shared" si="13"/>
        <v>0</v>
      </c>
      <c r="N39" s="418">
        <f t="shared" si="7"/>
        <v>0</v>
      </c>
      <c r="O39" s="418" t="e">
        <f t="shared" si="8"/>
        <v>#DIV/0!</v>
      </c>
      <c r="P39" s="299"/>
      <c r="Q39" s="395">
        <f>IFERROR(((StormWeight(E39:J39, A39,S39))*W39),0)</f>
        <v>0</v>
      </c>
      <c r="R39" s="395">
        <f t="shared" si="9"/>
        <v>0</v>
      </c>
      <c r="S39" s="300">
        <f>IF(ISNUMBER(SEARCH("Diameter",J39)), IF(T39=0,H39,VLOOKUP(F39,Info!$AJ$3:$AL$10,3,FALSE)),IF(T39=0,E39,VLOOKUP(F39,Info!$AJ$3:$AL$10,2,FALSE)))</f>
        <v>-0.67</v>
      </c>
      <c r="T39" s="301">
        <f>_xlfn.IFNA(IF(E39&lt;VLOOKUP(F39,Info!$AJ$3:$AK$10,2,FALSE),1,0),0)</f>
        <v>0</v>
      </c>
      <c r="U39" s="300" t="b">
        <f t="shared" si="3"/>
        <v>0</v>
      </c>
      <c r="V39" s="301">
        <f t="shared" si="4"/>
        <v>1</v>
      </c>
      <c r="W39" s="301">
        <f t="shared" si="10"/>
        <v>1</v>
      </c>
    </row>
    <row r="40" spans="1:23" x14ac:dyDescent="0.25">
      <c r="A40" s="8"/>
      <c r="B40" s="17"/>
      <c r="C40" s="14"/>
      <c r="D40" s="14"/>
      <c r="E40" s="295">
        <f t="shared" si="11"/>
        <v>-0.67</v>
      </c>
      <c r="F40" s="292"/>
      <c r="G40" s="292"/>
      <c r="H40" s="11">
        <f t="shared" si="12"/>
        <v>0</v>
      </c>
      <c r="I40" s="296">
        <f t="shared" si="2"/>
        <v>0</v>
      </c>
      <c r="J40" s="297"/>
      <c r="K40" s="298">
        <f t="shared" si="5"/>
        <v>0</v>
      </c>
      <c r="L40" s="299">
        <f>IFERROR(((StormPrice(E40:J40, A40,S40)+P40)*W40)*V40,0)</f>
        <v>0</v>
      </c>
      <c r="M40" s="408">
        <f t="shared" si="13"/>
        <v>0</v>
      </c>
      <c r="N40" s="418">
        <f t="shared" si="7"/>
        <v>0</v>
      </c>
      <c r="O40" s="418" t="e">
        <f t="shared" si="8"/>
        <v>#DIV/0!</v>
      </c>
      <c r="P40" s="299"/>
      <c r="Q40" s="395">
        <f>IFERROR(((StormWeight(E40:J40, A40,S40))*W40),0)</f>
        <v>0</v>
      </c>
      <c r="R40" s="395">
        <f t="shared" si="9"/>
        <v>0</v>
      </c>
      <c r="S40" s="300">
        <f>IF(ISNUMBER(SEARCH("Diameter",J40)), IF(T40=0,H40,VLOOKUP(F40,Info!$AJ$3:$AL$10,3,FALSE)),IF(T40=0,E40,VLOOKUP(F40,Info!$AJ$3:$AL$10,2,FALSE)))</f>
        <v>-0.67</v>
      </c>
      <c r="T40" s="301">
        <f>_xlfn.IFNA(IF(E40&lt;VLOOKUP(F40,Info!$AJ$3:$AK$10,2,FALSE),1,0),0)</f>
        <v>0</v>
      </c>
      <c r="U40" s="300" t="b">
        <f t="shared" si="3"/>
        <v>0</v>
      </c>
      <c r="V40" s="301">
        <f t="shared" si="4"/>
        <v>1</v>
      </c>
      <c r="W40" s="301">
        <f t="shared" si="10"/>
        <v>1</v>
      </c>
    </row>
    <row r="41" spans="1:23" x14ac:dyDescent="0.25">
      <c r="A41" s="8"/>
      <c r="B41" s="17"/>
      <c r="C41" s="14"/>
      <c r="D41" s="14"/>
      <c r="E41" s="295">
        <f t="shared" si="11"/>
        <v>-0.67</v>
      </c>
      <c r="F41" s="292"/>
      <c r="G41" s="292"/>
      <c r="H41" s="11">
        <f t="shared" si="12"/>
        <v>0</v>
      </c>
      <c r="I41" s="296">
        <f t="shared" si="2"/>
        <v>0</v>
      </c>
      <c r="J41" s="297"/>
      <c r="K41" s="298">
        <f t="shared" si="5"/>
        <v>0</v>
      </c>
      <c r="L41" s="299">
        <f>IFERROR(((StormPrice(E41:J41, A41,S41)+P41)*W41)*V41,0)</f>
        <v>0</v>
      </c>
      <c r="M41" s="408">
        <f t="shared" si="13"/>
        <v>0</v>
      </c>
      <c r="N41" s="418">
        <f t="shared" si="7"/>
        <v>0</v>
      </c>
      <c r="O41" s="418" t="e">
        <f t="shared" si="8"/>
        <v>#DIV/0!</v>
      </c>
      <c r="P41" s="299"/>
      <c r="Q41" s="395">
        <f>IFERROR(((StormWeight(E41:J41, A41,S41))*W41),0)</f>
        <v>0</v>
      </c>
      <c r="R41" s="395">
        <f t="shared" si="9"/>
        <v>0</v>
      </c>
      <c r="S41" s="300">
        <f>IF(ISNUMBER(SEARCH("Diameter",J41)), IF(T41=0,H41,VLOOKUP(F41,Info!$AJ$3:$AL$10,3,FALSE)),IF(T41=0,E41,VLOOKUP(F41,Info!$AJ$3:$AL$10,2,FALSE)))</f>
        <v>-0.67</v>
      </c>
      <c r="T41" s="301">
        <f>_xlfn.IFNA(IF(E41&lt;VLOOKUP(F41,Info!$AJ$3:$AK$10,2,FALSE),1,0),0)</f>
        <v>0</v>
      </c>
      <c r="U41" s="300" t="b">
        <f t="shared" si="3"/>
        <v>0</v>
      </c>
      <c r="V41" s="301">
        <f t="shared" si="4"/>
        <v>1</v>
      </c>
      <c r="W41" s="301">
        <f t="shared" si="10"/>
        <v>1</v>
      </c>
    </row>
    <row r="42" spans="1:23" x14ac:dyDescent="0.25">
      <c r="A42" s="8"/>
      <c r="B42" s="17"/>
      <c r="C42" s="14"/>
      <c r="D42" s="14"/>
      <c r="E42" s="295">
        <f t="shared" si="11"/>
        <v>-0.67</v>
      </c>
      <c r="F42" s="292"/>
      <c r="G42" s="292"/>
      <c r="H42" s="11">
        <f t="shared" si="12"/>
        <v>0</v>
      </c>
      <c r="I42" s="296">
        <f t="shared" si="2"/>
        <v>0</v>
      </c>
      <c r="J42" s="297"/>
      <c r="K42" s="298">
        <f t="shared" si="5"/>
        <v>0</v>
      </c>
      <c r="L42" s="299">
        <f>IFERROR(((StormPrice(E42:J42, A42,S42)+P42)*W42)*V42,0)</f>
        <v>0</v>
      </c>
      <c r="M42" s="408">
        <f t="shared" si="13"/>
        <v>0</v>
      </c>
      <c r="N42" s="418">
        <f t="shared" si="7"/>
        <v>0</v>
      </c>
      <c r="O42" s="418" t="e">
        <f t="shared" si="8"/>
        <v>#DIV/0!</v>
      </c>
      <c r="P42" s="299"/>
      <c r="Q42" s="395">
        <f>IFERROR(((StormWeight(E42:J42, A42,S42))*W42),0)</f>
        <v>0</v>
      </c>
      <c r="R42" s="395">
        <f t="shared" si="9"/>
        <v>0</v>
      </c>
      <c r="S42" s="300">
        <f>IF(ISNUMBER(SEARCH("Diameter",J42)), IF(T42=0,H42,VLOOKUP(F42,Info!$AJ$3:$AL$10,3,FALSE)),IF(T42=0,E42,VLOOKUP(F42,Info!$AJ$3:$AL$10,2,FALSE)))</f>
        <v>-0.67</v>
      </c>
      <c r="T42" s="301">
        <f>_xlfn.IFNA(IF(E42&lt;VLOOKUP(F42,Info!$AJ$3:$AK$10,2,FALSE),1,0),0)</f>
        <v>0</v>
      </c>
      <c r="U42" s="300" t="b">
        <f t="shared" si="3"/>
        <v>0</v>
      </c>
      <c r="V42" s="301">
        <f t="shared" si="4"/>
        <v>1</v>
      </c>
      <c r="W42" s="301">
        <f t="shared" si="10"/>
        <v>1</v>
      </c>
    </row>
    <row r="43" spans="1:23" x14ac:dyDescent="0.25">
      <c r="A43" s="8"/>
      <c r="B43" s="17"/>
      <c r="C43" s="14"/>
      <c r="D43" s="14"/>
      <c r="E43" s="295">
        <f t="shared" si="11"/>
        <v>-0.67</v>
      </c>
      <c r="F43" s="292"/>
      <c r="G43" s="292"/>
      <c r="H43" s="11">
        <f t="shared" si="12"/>
        <v>0</v>
      </c>
      <c r="I43" s="296">
        <f t="shared" si="2"/>
        <v>0</v>
      </c>
      <c r="J43" s="297"/>
      <c r="K43" s="298">
        <f t="shared" si="5"/>
        <v>0</v>
      </c>
      <c r="L43" s="299">
        <f>IFERROR(((StormPrice(E43:J43, A43,S43)+P43)*W43)*V43,0)</f>
        <v>0</v>
      </c>
      <c r="M43" s="408">
        <f t="shared" si="13"/>
        <v>0</v>
      </c>
      <c r="N43" s="418">
        <f t="shared" si="7"/>
        <v>0</v>
      </c>
      <c r="O43" s="418" t="e">
        <f t="shared" si="8"/>
        <v>#DIV/0!</v>
      </c>
      <c r="P43" s="299"/>
      <c r="Q43" s="395">
        <f>IFERROR(((StormWeight(E43:J43, A43,S43))*W43),0)</f>
        <v>0</v>
      </c>
      <c r="R43" s="395">
        <f t="shared" si="9"/>
        <v>0</v>
      </c>
      <c r="S43" s="300">
        <f>IF(ISNUMBER(SEARCH("Diameter",J43)), IF(T43=0,H43,VLOOKUP(F43,Info!$AJ$3:$AL$10,3,FALSE)),IF(T43=0,E43,VLOOKUP(F43,Info!$AJ$3:$AL$10,2,FALSE)))</f>
        <v>-0.67</v>
      </c>
      <c r="T43" s="301">
        <f>_xlfn.IFNA(IF(E43&lt;VLOOKUP(F43,Info!$AJ$3:$AK$10,2,FALSE),1,0),0)</f>
        <v>0</v>
      </c>
      <c r="U43" s="300" t="b">
        <f t="shared" si="3"/>
        <v>0</v>
      </c>
      <c r="V43" s="301">
        <f t="shared" si="4"/>
        <v>1</v>
      </c>
      <c r="W43" s="301">
        <f t="shared" si="10"/>
        <v>1</v>
      </c>
    </row>
    <row r="44" spans="1:23" x14ac:dyDescent="0.25">
      <c r="A44" s="8"/>
      <c r="B44" s="17"/>
      <c r="C44" s="14"/>
      <c r="D44" s="14"/>
      <c r="E44" s="295">
        <f t="shared" si="11"/>
        <v>-0.67</v>
      </c>
      <c r="F44" s="292"/>
      <c r="G44" s="292"/>
      <c r="H44" s="11">
        <f t="shared" si="12"/>
        <v>0</v>
      </c>
      <c r="I44" s="296">
        <f t="shared" si="2"/>
        <v>0</v>
      </c>
      <c r="J44" s="297"/>
      <c r="K44" s="298">
        <f t="shared" si="5"/>
        <v>0</v>
      </c>
      <c r="L44" s="299">
        <f>IFERROR(((StormPrice(E44:J44, A44,S44)+P44)*W44)*V44,0)</f>
        <v>0</v>
      </c>
      <c r="M44" s="408">
        <f t="shared" si="13"/>
        <v>0</v>
      </c>
      <c r="N44" s="418">
        <f t="shared" si="7"/>
        <v>0</v>
      </c>
      <c r="O44" s="418" t="e">
        <f t="shared" si="8"/>
        <v>#DIV/0!</v>
      </c>
      <c r="P44" s="299"/>
      <c r="Q44" s="395">
        <f>IFERROR(((StormWeight(E44:J44, A44,S44))*W44),0)</f>
        <v>0</v>
      </c>
      <c r="R44" s="395">
        <f t="shared" si="9"/>
        <v>0</v>
      </c>
      <c r="S44" s="300">
        <f>IF(ISNUMBER(SEARCH("Diameter",J44)), IF(T44=0,H44,VLOOKUP(F44,Info!$AJ$3:$AL$10,3,FALSE)),IF(T44=0,E44,VLOOKUP(F44,Info!$AJ$3:$AL$10,2,FALSE)))</f>
        <v>-0.67</v>
      </c>
      <c r="T44" s="301">
        <f>_xlfn.IFNA(IF(E44&lt;VLOOKUP(F44,Info!$AJ$3:$AK$10,2,FALSE),1,0),0)</f>
        <v>0</v>
      </c>
      <c r="U44" s="300" t="b">
        <f t="shared" si="3"/>
        <v>0</v>
      </c>
      <c r="V44" s="301">
        <f t="shared" si="4"/>
        <v>1</v>
      </c>
      <c r="W44" s="301">
        <f t="shared" si="10"/>
        <v>1</v>
      </c>
    </row>
    <row r="45" spans="1:23" x14ac:dyDescent="0.25">
      <c r="A45" s="8"/>
      <c r="B45" s="17"/>
      <c r="C45" s="14"/>
      <c r="D45" s="14"/>
      <c r="E45" s="295">
        <f t="shared" si="11"/>
        <v>-0.67</v>
      </c>
      <c r="F45" s="292"/>
      <c r="G45" s="292"/>
      <c r="H45" s="11">
        <f t="shared" si="12"/>
        <v>0</v>
      </c>
      <c r="I45" s="296">
        <f t="shared" si="2"/>
        <v>0</v>
      </c>
      <c r="J45" s="297"/>
      <c r="K45" s="298">
        <f t="shared" si="5"/>
        <v>0</v>
      </c>
      <c r="L45" s="299">
        <f>IFERROR(((StormPrice(E45:J45, A45,S45)+P45)*W45)*V45,0)</f>
        <v>0</v>
      </c>
      <c r="M45" s="408">
        <f t="shared" si="13"/>
        <v>0</v>
      </c>
      <c r="N45" s="418">
        <f t="shared" si="7"/>
        <v>0</v>
      </c>
      <c r="O45" s="418" t="e">
        <f t="shared" si="8"/>
        <v>#DIV/0!</v>
      </c>
      <c r="P45" s="299"/>
      <c r="Q45" s="395">
        <f>IFERROR(((StormWeight(E45:J45, A45,S45))*W45),0)</f>
        <v>0</v>
      </c>
      <c r="R45" s="395">
        <f t="shared" si="9"/>
        <v>0</v>
      </c>
      <c r="S45" s="300">
        <f>IF(ISNUMBER(SEARCH("Diameter",J45)), IF(T45=0,H45,VLOOKUP(F45,Info!$AJ$3:$AL$10,3,FALSE)),IF(T45=0,E45,VLOOKUP(F45,Info!$AJ$3:$AL$10,2,FALSE)))</f>
        <v>-0.67</v>
      </c>
      <c r="T45" s="301">
        <f>_xlfn.IFNA(IF(E45&lt;VLOOKUP(F45,Info!$AJ$3:$AK$10,2,FALSE),1,0),0)</f>
        <v>0</v>
      </c>
      <c r="U45" s="300" t="b">
        <f t="shared" si="3"/>
        <v>0</v>
      </c>
      <c r="V45" s="301">
        <f t="shared" si="4"/>
        <v>1</v>
      </c>
      <c r="W45" s="301">
        <f t="shared" si="10"/>
        <v>1</v>
      </c>
    </row>
    <row r="46" spans="1:23" x14ac:dyDescent="0.25">
      <c r="A46" s="8"/>
      <c r="B46" s="17"/>
      <c r="C46" s="14"/>
      <c r="D46" s="14"/>
      <c r="E46" s="295">
        <f t="shared" si="11"/>
        <v>-0.67</v>
      </c>
      <c r="F46" s="292"/>
      <c r="G46" s="292"/>
      <c r="H46" s="11">
        <f t="shared" si="12"/>
        <v>0</v>
      </c>
      <c r="I46" s="296">
        <f t="shared" si="2"/>
        <v>0</v>
      </c>
      <c r="J46" s="297"/>
      <c r="K46" s="298">
        <f t="shared" si="5"/>
        <v>0</v>
      </c>
      <c r="L46" s="299">
        <f>IFERROR(((StormPrice(E46:J46, A46,S46)+P46)*W46)*V46,0)</f>
        <v>0</v>
      </c>
      <c r="M46" s="408">
        <f t="shared" si="13"/>
        <v>0</v>
      </c>
      <c r="N46" s="418">
        <f t="shared" si="7"/>
        <v>0</v>
      </c>
      <c r="O46" s="418" t="e">
        <f t="shared" si="8"/>
        <v>#DIV/0!</v>
      </c>
      <c r="P46" s="299"/>
      <c r="Q46" s="395">
        <f>IFERROR(((StormWeight(E46:J46, A46,S46))*W46),0)</f>
        <v>0</v>
      </c>
      <c r="R46" s="395">
        <f t="shared" si="9"/>
        <v>0</v>
      </c>
      <c r="S46" s="300">
        <f>IF(ISNUMBER(SEARCH("Diameter",J46)), IF(T46=0,H46,VLOOKUP(F46,Info!$AJ$3:$AL$10,3,FALSE)),IF(T46=0,E46,VLOOKUP(F46,Info!$AJ$3:$AL$10,2,FALSE)))</f>
        <v>-0.67</v>
      </c>
      <c r="T46" s="301">
        <f>_xlfn.IFNA(IF(E46&lt;VLOOKUP(F46,Info!$AJ$3:$AK$10,2,FALSE),1,0),0)</f>
        <v>0</v>
      </c>
      <c r="U46" s="300" t="b">
        <f t="shared" si="3"/>
        <v>0</v>
      </c>
      <c r="V46" s="301">
        <f t="shared" si="4"/>
        <v>1</v>
      </c>
      <c r="W46" s="301">
        <f t="shared" si="10"/>
        <v>1</v>
      </c>
    </row>
    <row r="47" spans="1:23" x14ac:dyDescent="0.25">
      <c r="A47" s="8"/>
      <c r="B47" s="17"/>
      <c r="C47" s="14"/>
      <c r="D47" s="14"/>
      <c r="E47" s="295">
        <f t="shared" si="11"/>
        <v>-0.67</v>
      </c>
      <c r="F47" s="292"/>
      <c r="G47" s="292"/>
      <c r="H47" s="11">
        <f t="shared" si="12"/>
        <v>0</v>
      </c>
      <c r="I47" s="296">
        <f t="shared" si="2"/>
        <v>0</v>
      </c>
      <c r="J47" s="297"/>
      <c r="K47" s="298">
        <f t="shared" si="5"/>
        <v>0</v>
      </c>
      <c r="L47" s="299">
        <f>IFERROR(((StormPrice(E47:J47, A47,S47)+P47)*W47)*V47,0)</f>
        <v>0</v>
      </c>
      <c r="M47" s="408">
        <f t="shared" si="13"/>
        <v>0</v>
      </c>
      <c r="N47" s="418">
        <f t="shared" si="7"/>
        <v>0</v>
      </c>
      <c r="O47" s="418" t="e">
        <f t="shared" si="8"/>
        <v>#DIV/0!</v>
      </c>
      <c r="P47" s="299"/>
      <c r="Q47" s="395">
        <f>IFERROR(((StormWeight(E47:J47, A47,S47))*W47),0)</f>
        <v>0</v>
      </c>
      <c r="R47" s="395">
        <f t="shared" si="9"/>
        <v>0</v>
      </c>
      <c r="S47" s="300">
        <f>IF(ISNUMBER(SEARCH("Diameter",J47)), IF(T47=0,H47,VLOOKUP(F47,Info!$AJ$3:$AL$10,3,FALSE)),IF(T47=0,E47,VLOOKUP(F47,Info!$AJ$3:$AL$10,2,FALSE)))</f>
        <v>-0.67</v>
      </c>
      <c r="T47" s="301">
        <f>_xlfn.IFNA(IF(E47&lt;VLOOKUP(F47,Info!$AJ$3:$AK$10,2,FALSE),1,0),0)</f>
        <v>0</v>
      </c>
      <c r="U47" s="300" t="b">
        <f t="shared" si="3"/>
        <v>0</v>
      </c>
      <c r="V47" s="301">
        <f t="shared" si="4"/>
        <v>1</v>
      </c>
      <c r="W47" s="301">
        <f t="shared" si="10"/>
        <v>1</v>
      </c>
    </row>
    <row r="48" spans="1:23" x14ac:dyDescent="0.25">
      <c r="A48" s="8"/>
      <c r="B48" s="17"/>
      <c r="C48" s="14"/>
      <c r="D48" s="14"/>
      <c r="E48" s="295">
        <f t="shared" si="11"/>
        <v>-0.67</v>
      </c>
      <c r="F48" s="292"/>
      <c r="G48" s="292"/>
      <c r="H48" s="11">
        <f t="shared" si="12"/>
        <v>0</v>
      </c>
      <c r="I48" s="296">
        <f t="shared" si="2"/>
        <v>0</v>
      </c>
      <c r="J48" s="297"/>
      <c r="K48" s="298">
        <f t="shared" si="5"/>
        <v>0</v>
      </c>
      <c r="L48" s="299">
        <f>IFERROR(((StormPrice(E48:J48, A48,S48)+P48)*W48)*V48,0)</f>
        <v>0</v>
      </c>
      <c r="M48" s="408">
        <f t="shared" si="13"/>
        <v>0</v>
      </c>
      <c r="N48" s="418">
        <f t="shared" si="7"/>
        <v>0</v>
      </c>
      <c r="O48" s="418" t="e">
        <f t="shared" si="8"/>
        <v>#DIV/0!</v>
      </c>
      <c r="P48" s="299"/>
      <c r="Q48" s="395">
        <f>IFERROR(((StormWeight(E48:J48, A48,S48))*W48),0)</f>
        <v>0</v>
      </c>
      <c r="R48" s="395">
        <f t="shared" si="9"/>
        <v>0</v>
      </c>
      <c r="S48" s="300">
        <f>IF(ISNUMBER(SEARCH("Diameter",J48)), IF(T48=0,H48,VLOOKUP(F48,Info!$AJ$3:$AL$10,3,FALSE)),IF(T48=0,E48,VLOOKUP(F48,Info!$AJ$3:$AL$10,2,FALSE)))</f>
        <v>-0.67</v>
      </c>
      <c r="T48" s="301">
        <f>_xlfn.IFNA(IF(E48&lt;VLOOKUP(F48,Info!$AJ$3:$AK$10,2,FALSE),1,0),0)</f>
        <v>0</v>
      </c>
      <c r="U48" s="300" t="b">
        <f t="shared" si="3"/>
        <v>0</v>
      </c>
      <c r="V48" s="301">
        <f t="shared" si="4"/>
        <v>1</v>
      </c>
      <c r="W48" s="301">
        <f t="shared" si="10"/>
        <v>1</v>
      </c>
    </row>
    <row r="49" spans="1:23" x14ac:dyDescent="0.25">
      <c r="A49" s="8"/>
      <c r="B49" s="17"/>
      <c r="C49" s="14"/>
      <c r="D49" s="14"/>
      <c r="E49" s="295">
        <f t="shared" si="11"/>
        <v>-0.67</v>
      </c>
      <c r="F49" s="292"/>
      <c r="G49" s="292"/>
      <c r="H49" s="11">
        <f t="shared" si="12"/>
        <v>0</v>
      </c>
      <c r="I49" s="296">
        <f t="shared" si="2"/>
        <v>0</v>
      </c>
      <c r="J49" s="297"/>
      <c r="K49" s="298">
        <f t="shared" si="5"/>
        <v>0</v>
      </c>
      <c r="L49" s="299">
        <f>IFERROR(((StormPrice(E49:J49, A49,S49)+P49)*W49)*V49,0)</f>
        <v>0</v>
      </c>
      <c r="M49" s="408">
        <f t="shared" si="13"/>
        <v>0</v>
      </c>
      <c r="N49" s="418">
        <f t="shared" si="7"/>
        <v>0</v>
      </c>
      <c r="O49" s="418" t="e">
        <f t="shared" si="8"/>
        <v>#DIV/0!</v>
      </c>
      <c r="P49" s="299"/>
      <c r="Q49" s="395">
        <f>IFERROR(((StormWeight(E49:J49, A49,S49))*W49),0)</f>
        <v>0</v>
      </c>
      <c r="R49" s="395">
        <f t="shared" si="9"/>
        <v>0</v>
      </c>
      <c r="S49" s="300">
        <f>IF(ISNUMBER(SEARCH("Diameter",J49)), IF(T49=0,H49,VLOOKUP(F49,Info!$AJ$3:$AL$10,3,FALSE)),IF(T49=0,E49,VLOOKUP(F49,Info!$AJ$3:$AL$10,2,FALSE)))</f>
        <v>-0.67</v>
      </c>
      <c r="T49" s="301">
        <f>_xlfn.IFNA(IF(E49&lt;VLOOKUP(F49,Info!$AJ$3:$AK$10,2,FALSE),1,0),0)</f>
        <v>0</v>
      </c>
      <c r="U49" s="300" t="b">
        <f t="shared" ref="U49:U78" si="14">AND((OR(J49="5'x5' Structure and Lid",J49="6'x6' Structure and Lid",J49="6' Diameter w/ Flat Top",J49="8' Diameter w/ Flat Top")), H49 &gt; 9.99)</f>
        <v>0</v>
      </c>
      <c r="V49" s="301">
        <f t="shared" ref="V49:V78" si="15">IF(OR(G49="x",G49="X"),1.05,1)</f>
        <v>1</v>
      </c>
      <c r="W49" s="301">
        <f t="shared" si="10"/>
        <v>1</v>
      </c>
    </row>
    <row r="50" spans="1:23" x14ac:dyDescent="0.25">
      <c r="A50" s="8"/>
      <c r="B50" s="17"/>
      <c r="C50" s="14"/>
      <c r="D50" s="14"/>
      <c r="E50" s="295">
        <f t="shared" si="11"/>
        <v>-0.67</v>
      </c>
      <c r="F50" s="292"/>
      <c r="G50" s="292"/>
      <c r="H50" s="11">
        <f t="shared" si="12"/>
        <v>0</v>
      </c>
      <c r="I50" s="296">
        <f t="shared" si="2"/>
        <v>0</v>
      </c>
      <c r="J50" s="297"/>
      <c r="K50" s="298">
        <f t="shared" si="5"/>
        <v>0</v>
      </c>
      <c r="L50" s="299">
        <f>IFERROR(((StormPrice(E50:J50, A50,S50)+P50)*W50)*V50,0)</f>
        <v>0</v>
      </c>
      <c r="M50" s="408">
        <f t="shared" si="13"/>
        <v>0</v>
      </c>
      <c r="N50" s="418">
        <f t="shared" si="7"/>
        <v>0</v>
      </c>
      <c r="O50" s="418" t="e">
        <f t="shared" si="8"/>
        <v>#DIV/0!</v>
      </c>
      <c r="P50" s="299"/>
      <c r="Q50" s="395">
        <f>IFERROR(((StormWeight(E50:J50, A50,S50))*W50),0)</f>
        <v>0</v>
      </c>
      <c r="R50" s="395">
        <f t="shared" si="9"/>
        <v>0</v>
      </c>
      <c r="S50" s="300">
        <f>IF(ISNUMBER(SEARCH("Diameter",J50)), IF(T50=0,H50,VLOOKUP(F50,Info!$AJ$3:$AL$10,3,FALSE)),IF(T50=0,E50,VLOOKUP(F50,Info!$AJ$3:$AL$10,2,FALSE)))</f>
        <v>-0.67</v>
      </c>
      <c r="T50" s="301">
        <f>_xlfn.IFNA(IF(E50&lt;VLOOKUP(F50,Info!$AJ$3:$AK$10,2,FALSE),1,0),0)</f>
        <v>0</v>
      </c>
      <c r="U50" s="300" t="b">
        <f t="shared" si="14"/>
        <v>0</v>
      </c>
      <c r="V50" s="301">
        <f t="shared" si="15"/>
        <v>1</v>
      </c>
      <c r="W50" s="301">
        <f t="shared" ref="W50:W78" si="16">IF(ISNUMBER(SEARCH("Headwall",J50)),1,IF(OR(A50="DCB",A50="DCI",A50="DGI",ISNUMBER(SEARCH("Double",J50)),ISNUMBER(SEARCH("DBL",J50)),ISNUMBER(SEARCH("Dbl",J50)),ISNUMBER(SEARCH("DOUBLE",J50))),2,1))</f>
        <v>1</v>
      </c>
    </row>
    <row r="51" spans="1:23" x14ac:dyDescent="0.25">
      <c r="A51" s="8"/>
      <c r="B51" s="17"/>
      <c r="C51" s="14"/>
      <c r="D51" s="14"/>
      <c r="E51" s="295">
        <f t="shared" si="11"/>
        <v>-0.67</v>
      </c>
      <c r="F51" s="292"/>
      <c r="G51" s="292"/>
      <c r="H51" s="11">
        <f t="shared" si="12"/>
        <v>0</v>
      </c>
      <c r="I51" s="296">
        <f t="shared" si="2"/>
        <v>0</v>
      </c>
      <c r="J51" s="297"/>
      <c r="K51" s="298">
        <f t="shared" si="5"/>
        <v>0</v>
      </c>
      <c r="L51" s="299">
        <f>IFERROR(((StormPrice(E51:J51, A51,S51)+P51)*W51)*V51,0)</f>
        <v>0</v>
      </c>
      <c r="M51" s="408">
        <f t="shared" si="13"/>
        <v>0</v>
      </c>
      <c r="N51" s="418">
        <f t="shared" si="7"/>
        <v>0</v>
      </c>
      <c r="O51" s="418" t="e">
        <f t="shared" si="8"/>
        <v>#DIV/0!</v>
      </c>
      <c r="P51" s="299"/>
      <c r="Q51" s="395">
        <f>IFERROR(((StormWeight(E51:J51, A51,S51))*W51),0)</f>
        <v>0</v>
      </c>
      <c r="R51" s="395">
        <f t="shared" si="9"/>
        <v>0</v>
      </c>
      <c r="S51" s="300">
        <f>IF(ISNUMBER(SEARCH("Diameter",J51)), IF(T51=0,H51,VLOOKUP(F51,Info!$AJ$3:$AL$10,3,FALSE)),IF(T51=0,E51,VLOOKUP(F51,Info!$AJ$3:$AL$10,2,FALSE)))</f>
        <v>-0.67</v>
      </c>
      <c r="T51" s="301">
        <f>_xlfn.IFNA(IF(E51&lt;VLOOKUP(F51,Info!$AJ$3:$AK$10,2,FALSE),1,0),0)</f>
        <v>0</v>
      </c>
      <c r="U51" s="300" t="b">
        <f t="shared" si="14"/>
        <v>0</v>
      </c>
      <c r="V51" s="301">
        <f t="shared" si="15"/>
        <v>1</v>
      </c>
      <c r="W51" s="301">
        <f t="shared" si="16"/>
        <v>1</v>
      </c>
    </row>
    <row r="52" spans="1:23" x14ac:dyDescent="0.25">
      <c r="A52" s="8"/>
      <c r="B52" s="17"/>
      <c r="C52" s="14"/>
      <c r="D52" s="14"/>
      <c r="E52" s="295">
        <f t="shared" si="11"/>
        <v>-0.67</v>
      </c>
      <c r="F52" s="292"/>
      <c r="G52" s="292"/>
      <c r="H52" s="11">
        <f t="shared" si="12"/>
        <v>0</v>
      </c>
      <c r="I52" s="296">
        <f t="shared" si="2"/>
        <v>0</v>
      </c>
      <c r="J52" s="297"/>
      <c r="K52" s="298">
        <f t="shared" si="5"/>
        <v>0</v>
      </c>
      <c r="L52" s="299">
        <f>IFERROR(((StormPrice(E52:J52, A52,S52)+P52)*W52)*V52,0)</f>
        <v>0</v>
      </c>
      <c r="M52" s="408">
        <f t="shared" si="13"/>
        <v>0</v>
      </c>
      <c r="N52" s="418">
        <f t="shared" si="7"/>
        <v>0</v>
      </c>
      <c r="O52" s="418" t="e">
        <f t="shared" si="8"/>
        <v>#DIV/0!</v>
      </c>
      <c r="P52" s="299"/>
      <c r="Q52" s="395">
        <f>IFERROR(((StormWeight(E52:J52, A52,S52))*W52),0)</f>
        <v>0</v>
      </c>
      <c r="R52" s="395">
        <f t="shared" si="9"/>
        <v>0</v>
      </c>
      <c r="S52" s="300">
        <f>IF(ISNUMBER(SEARCH("Diameter",J52)), IF(T52=0,H52,VLOOKUP(F52,Info!$AJ$3:$AL$10,3,FALSE)),IF(T52=0,E52,VLOOKUP(F52,Info!$AJ$3:$AL$10,2,FALSE)))</f>
        <v>-0.67</v>
      </c>
      <c r="T52" s="301">
        <f>_xlfn.IFNA(IF(E52&lt;VLOOKUP(F52,Info!$AJ$3:$AK$10,2,FALSE),1,0),0)</f>
        <v>0</v>
      </c>
      <c r="U52" s="300" t="b">
        <f t="shared" si="14"/>
        <v>0</v>
      </c>
      <c r="V52" s="301">
        <f t="shared" si="15"/>
        <v>1</v>
      </c>
      <c r="W52" s="301">
        <f t="shared" si="16"/>
        <v>1</v>
      </c>
    </row>
    <row r="53" spans="1:23" x14ac:dyDescent="0.25">
      <c r="A53" s="8"/>
      <c r="B53" s="17"/>
      <c r="C53" s="14"/>
      <c r="D53" s="14"/>
      <c r="E53" s="295">
        <f t="shared" si="11"/>
        <v>-0.67</v>
      </c>
      <c r="F53" s="292"/>
      <c r="G53" s="292"/>
      <c r="H53" s="11">
        <f t="shared" si="12"/>
        <v>0</v>
      </c>
      <c r="I53" s="296">
        <f t="shared" si="2"/>
        <v>0</v>
      </c>
      <c r="J53" s="297"/>
      <c r="K53" s="298">
        <f t="shared" si="5"/>
        <v>0</v>
      </c>
      <c r="L53" s="299">
        <f>IFERROR(((StormPrice(E53:J53, A53,S53)+P53)*W53)*V53,0)</f>
        <v>0</v>
      </c>
      <c r="M53" s="408">
        <f t="shared" si="13"/>
        <v>0</v>
      </c>
      <c r="N53" s="418">
        <f t="shared" si="7"/>
        <v>0</v>
      </c>
      <c r="O53" s="418" t="e">
        <f t="shared" si="8"/>
        <v>#DIV/0!</v>
      </c>
      <c r="P53" s="299"/>
      <c r="Q53" s="395">
        <f>IFERROR(((StormWeight(E53:J53, A53,S53))*W53),0)</f>
        <v>0</v>
      </c>
      <c r="R53" s="395">
        <f t="shared" si="9"/>
        <v>0</v>
      </c>
      <c r="S53" s="300">
        <f>IF(ISNUMBER(SEARCH("Diameter",J53)), IF(T53=0,H53,VLOOKUP(F53,Info!$AJ$3:$AL$10,3,FALSE)),IF(T53=0,E53,VLOOKUP(F53,Info!$AJ$3:$AL$10,2,FALSE)))</f>
        <v>-0.67</v>
      </c>
      <c r="T53" s="301">
        <f>_xlfn.IFNA(IF(E53&lt;VLOOKUP(F53,Info!$AJ$3:$AK$10,2,FALSE),1,0),0)</f>
        <v>0</v>
      </c>
      <c r="U53" s="300" t="b">
        <f t="shared" si="14"/>
        <v>0</v>
      </c>
      <c r="V53" s="301">
        <f t="shared" si="15"/>
        <v>1</v>
      </c>
      <c r="W53" s="301">
        <f t="shared" si="16"/>
        <v>1</v>
      </c>
    </row>
    <row r="54" spans="1:23" x14ac:dyDescent="0.25">
      <c r="A54" s="8"/>
      <c r="B54" s="17"/>
      <c r="C54" s="14"/>
      <c r="D54" s="14"/>
      <c r="E54" s="295">
        <f t="shared" si="11"/>
        <v>-0.67</v>
      </c>
      <c r="F54" s="292"/>
      <c r="G54" s="292"/>
      <c r="H54" s="11">
        <f t="shared" si="12"/>
        <v>0</v>
      </c>
      <c r="I54" s="296">
        <f t="shared" si="2"/>
        <v>0</v>
      </c>
      <c r="J54" s="297"/>
      <c r="K54" s="298">
        <f t="shared" si="5"/>
        <v>0</v>
      </c>
      <c r="L54" s="299">
        <f>IFERROR(((StormPrice(E54:J54, A54,S54)+P54)*W54)*V54,0)</f>
        <v>0</v>
      </c>
      <c r="M54" s="408">
        <f t="shared" si="13"/>
        <v>0</v>
      </c>
      <c r="N54" s="418">
        <f t="shared" si="7"/>
        <v>0</v>
      </c>
      <c r="O54" s="418" t="e">
        <f t="shared" si="8"/>
        <v>#DIV/0!</v>
      </c>
      <c r="P54" s="299"/>
      <c r="Q54" s="395">
        <f>IFERROR(((StormWeight(E54:J54, A54,S54))*W54),0)</f>
        <v>0</v>
      </c>
      <c r="R54" s="395">
        <f t="shared" si="9"/>
        <v>0</v>
      </c>
      <c r="S54" s="300">
        <f>IF(ISNUMBER(SEARCH("Diameter",J54)), IF(T54=0,H54,VLOOKUP(F54,Info!$AJ$3:$AL$10,3,FALSE)),IF(T54=0,E54,VLOOKUP(F54,Info!$AJ$3:$AL$10,2,FALSE)))</f>
        <v>-0.67</v>
      </c>
      <c r="T54" s="301">
        <f>_xlfn.IFNA(IF(E54&lt;VLOOKUP(F54,Info!$AJ$3:$AK$10,2,FALSE),1,0),0)</f>
        <v>0</v>
      </c>
      <c r="U54" s="300" t="b">
        <f t="shared" si="14"/>
        <v>0</v>
      </c>
      <c r="V54" s="301">
        <f t="shared" si="15"/>
        <v>1</v>
      </c>
      <c r="W54" s="301">
        <f t="shared" si="16"/>
        <v>1</v>
      </c>
    </row>
    <row r="55" spans="1:23" x14ac:dyDescent="0.25">
      <c r="A55" s="8"/>
      <c r="B55" s="17"/>
      <c r="C55" s="14"/>
      <c r="D55" s="14"/>
      <c r="E55" s="295">
        <f t="shared" si="11"/>
        <v>-0.67</v>
      </c>
      <c r="F55" s="292"/>
      <c r="G55" s="292"/>
      <c r="H55" s="11">
        <f t="shared" si="12"/>
        <v>0</v>
      </c>
      <c r="I55" s="296">
        <f t="shared" si="2"/>
        <v>0</v>
      </c>
      <c r="J55" s="297"/>
      <c r="K55" s="298">
        <f t="shared" si="5"/>
        <v>0</v>
      </c>
      <c r="L55" s="299">
        <f>IFERROR(((StormPrice(E55:J55, A55,S55)+P55)*W55)*V55,0)</f>
        <v>0</v>
      </c>
      <c r="M55" s="408">
        <f t="shared" si="13"/>
        <v>0</v>
      </c>
      <c r="N55" s="418">
        <f t="shared" si="7"/>
        <v>0</v>
      </c>
      <c r="O55" s="418" t="e">
        <f t="shared" si="8"/>
        <v>#DIV/0!</v>
      </c>
      <c r="P55" s="299"/>
      <c r="Q55" s="395">
        <f>IFERROR(((StormWeight(E55:J55, A55,S55))*W55),0)</f>
        <v>0</v>
      </c>
      <c r="R55" s="395">
        <f t="shared" si="9"/>
        <v>0</v>
      </c>
      <c r="S55" s="300">
        <f>IF(ISNUMBER(SEARCH("Diameter",J55)), IF(T55=0,H55,VLOOKUP(F55,Info!$AJ$3:$AL$10,3,FALSE)),IF(T55=0,E55,VLOOKUP(F55,Info!$AJ$3:$AL$10,2,FALSE)))</f>
        <v>-0.67</v>
      </c>
      <c r="T55" s="301">
        <f>_xlfn.IFNA(IF(E55&lt;VLOOKUP(F55,Info!$AJ$3:$AK$10,2,FALSE),1,0),0)</f>
        <v>0</v>
      </c>
      <c r="U55" s="300" t="b">
        <f t="shared" si="14"/>
        <v>0</v>
      </c>
      <c r="V55" s="301">
        <f t="shared" si="15"/>
        <v>1</v>
      </c>
      <c r="W55" s="301">
        <f t="shared" si="16"/>
        <v>1</v>
      </c>
    </row>
    <row r="56" spans="1:23" x14ac:dyDescent="0.25">
      <c r="A56" s="8"/>
      <c r="B56" s="17"/>
      <c r="C56" s="14"/>
      <c r="D56" s="14"/>
      <c r="E56" s="295">
        <f t="shared" si="11"/>
        <v>-0.67</v>
      </c>
      <c r="F56" s="292"/>
      <c r="G56" s="292"/>
      <c r="H56" s="11">
        <f t="shared" si="12"/>
        <v>0</v>
      </c>
      <c r="I56" s="296">
        <f t="shared" si="2"/>
        <v>0</v>
      </c>
      <c r="J56" s="297"/>
      <c r="K56" s="298">
        <f t="shared" si="5"/>
        <v>0</v>
      </c>
      <c r="L56" s="299">
        <f>IFERROR(((StormPrice(E56:J56, A56,S56)+P56)*W56)*V56,0)</f>
        <v>0</v>
      </c>
      <c r="M56" s="408">
        <f t="shared" si="13"/>
        <v>0</v>
      </c>
      <c r="N56" s="418">
        <f t="shared" si="7"/>
        <v>0</v>
      </c>
      <c r="O56" s="418" t="e">
        <f t="shared" si="8"/>
        <v>#DIV/0!</v>
      </c>
      <c r="P56" s="299"/>
      <c r="Q56" s="395">
        <f>IFERROR(((StormWeight(E56:J56, A56,S56))*W56),0)</f>
        <v>0</v>
      </c>
      <c r="R56" s="395">
        <f t="shared" si="9"/>
        <v>0</v>
      </c>
      <c r="S56" s="300">
        <f>IF(ISNUMBER(SEARCH("Diameter",J56)), IF(T56=0,H56,VLOOKUP(F56,Info!$AJ$3:$AL$10,3,FALSE)),IF(T56=0,E56,VLOOKUP(F56,Info!$AJ$3:$AL$10,2,FALSE)))</f>
        <v>-0.67</v>
      </c>
      <c r="T56" s="301">
        <f>_xlfn.IFNA(IF(E56&lt;VLOOKUP(F56,Info!$AJ$3:$AK$10,2,FALSE),1,0),0)</f>
        <v>0</v>
      </c>
      <c r="U56" s="300" t="b">
        <f t="shared" si="14"/>
        <v>0</v>
      </c>
      <c r="V56" s="301">
        <f t="shared" si="15"/>
        <v>1</v>
      </c>
      <c r="W56" s="301">
        <f t="shared" si="16"/>
        <v>1</v>
      </c>
    </row>
    <row r="57" spans="1:23" x14ac:dyDescent="0.25">
      <c r="A57" s="8"/>
      <c r="B57" s="17"/>
      <c r="C57" s="14"/>
      <c r="D57" s="14"/>
      <c r="E57" s="295">
        <f t="shared" si="11"/>
        <v>-0.67</v>
      </c>
      <c r="F57" s="292"/>
      <c r="G57" s="292"/>
      <c r="H57" s="11">
        <f t="shared" si="12"/>
        <v>0</v>
      </c>
      <c r="I57" s="296">
        <f t="shared" si="2"/>
        <v>0</v>
      </c>
      <c r="J57" s="297"/>
      <c r="K57" s="298">
        <f t="shared" si="5"/>
        <v>0</v>
      </c>
      <c r="L57" s="299">
        <f>IFERROR(((StormPrice(E57:J57, A57,S57)+P57)*W57)*V57,0)</f>
        <v>0</v>
      </c>
      <c r="M57" s="408">
        <f t="shared" si="13"/>
        <v>0</v>
      </c>
      <c r="N57" s="418">
        <f t="shared" si="7"/>
        <v>0</v>
      </c>
      <c r="O57" s="418" t="e">
        <f t="shared" si="8"/>
        <v>#DIV/0!</v>
      </c>
      <c r="P57" s="299"/>
      <c r="Q57" s="395">
        <f>IFERROR(((StormWeight(E57:J57, A57,S57))*W57),0)</f>
        <v>0</v>
      </c>
      <c r="R57" s="395">
        <f t="shared" si="9"/>
        <v>0</v>
      </c>
      <c r="S57" s="300">
        <f>IF(ISNUMBER(SEARCH("Diameter",J57)), IF(T57=0,H57,VLOOKUP(F57,Info!$AJ$3:$AL$10,3,FALSE)),IF(T57=0,E57,VLOOKUP(F57,Info!$AJ$3:$AL$10,2,FALSE)))</f>
        <v>-0.67</v>
      </c>
      <c r="T57" s="301">
        <f>_xlfn.IFNA(IF(E57&lt;VLOOKUP(F57,Info!$AJ$3:$AK$10,2,FALSE),1,0),0)</f>
        <v>0</v>
      </c>
      <c r="U57" s="300" t="b">
        <f t="shared" si="14"/>
        <v>0</v>
      </c>
      <c r="V57" s="301">
        <f t="shared" si="15"/>
        <v>1</v>
      </c>
      <c r="W57" s="301">
        <f t="shared" si="16"/>
        <v>1</v>
      </c>
    </row>
    <row r="58" spans="1:23" x14ac:dyDescent="0.25">
      <c r="A58" s="8"/>
      <c r="B58" s="17"/>
      <c r="C58" s="14"/>
      <c r="D58" s="14"/>
      <c r="E58" s="295">
        <f t="shared" si="11"/>
        <v>-0.67</v>
      </c>
      <c r="F58" s="292"/>
      <c r="G58" s="292"/>
      <c r="H58" s="11">
        <f t="shared" si="12"/>
        <v>0</v>
      </c>
      <c r="I58" s="296">
        <f t="shared" si="2"/>
        <v>0</v>
      </c>
      <c r="J58" s="297"/>
      <c r="K58" s="298">
        <f t="shared" si="5"/>
        <v>0</v>
      </c>
      <c r="L58" s="299">
        <f>IFERROR(((StormPrice(E58:J58, A58,S58)+P58)*W58)*V58,0)</f>
        <v>0</v>
      </c>
      <c r="M58" s="408">
        <f t="shared" si="13"/>
        <v>0</v>
      </c>
      <c r="N58" s="418">
        <f t="shared" si="7"/>
        <v>0</v>
      </c>
      <c r="O58" s="418" t="e">
        <f t="shared" si="8"/>
        <v>#DIV/0!</v>
      </c>
      <c r="P58" s="299"/>
      <c r="Q58" s="395">
        <f>IFERROR(((StormWeight(E58:J58, A58,S58))*W58),0)</f>
        <v>0</v>
      </c>
      <c r="R58" s="395">
        <f t="shared" si="9"/>
        <v>0</v>
      </c>
      <c r="S58" s="300">
        <f>IF(ISNUMBER(SEARCH("Diameter",J58)), IF(T58=0,H58,VLOOKUP(F58,Info!$AJ$3:$AL$10,3,FALSE)),IF(T58=0,E58,VLOOKUP(F58,Info!$AJ$3:$AL$10,2,FALSE)))</f>
        <v>-0.67</v>
      </c>
      <c r="T58" s="301">
        <f>_xlfn.IFNA(IF(E58&lt;VLOOKUP(F58,Info!$AJ$3:$AK$10,2,FALSE),1,0),0)</f>
        <v>0</v>
      </c>
      <c r="U58" s="300" t="b">
        <f t="shared" si="14"/>
        <v>0</v>
      </c>
      <c r="V58" s="301">
        <f t="shared" si="15"/>
        <v>1</v>
      </c>
      <c r="W58" s="301">
        <f t="shared" si="16"/>
        <v>1</v>
      </c>
    </row>
    <row r="59" spans="1:23" x14ac:dyDescent="0.25">
      <c r="A59" s="8"/>
      <c r="B59" s="17"/>
      <c r="C59" s="14"/>
      <c r="D59" s="14"/>
      <c r="E59" s="295">
        <f t="shared" si="11"/>
        <v>-0.67</v>
      </c>
      <c r="F59" s="292"/>
      <c r="G59" s="292"/>
      <c r="H59" s="11">
        <f t="shared" si="12"/>
        <v>0</v>
      </c>
      <c r="I59" s="296">
        <f t="shared" si="2"/>
        <v>0</v>
      </c>
      <c r="J59" s="297"/>
      <c r="K59" s="298">
        <f t="shared" si="5"/>
        <v>0</v>
      </c>
      <c r="L59" s="299">
        <f>IFERROR(((StormPrice(E59:J59, A59,S59)+P59)*W59)*V59,0)</f>
        <v>0</v>
      </c>
      <c r="M59" s="408">
        <f t="shared" si="13"/>
        <v>0</v>
      </c>
      <c r="N59" s="418">
        <f t="shared" si="7"/>
        <v>0</v>
      </c>
      <c r="O59" s="418" t="e">
        <f t="shared" si="8"/>
        <v>#DIV/0!</v>
      </c>
      <c r="P59" s="299"/>
      <c r="Q59" s="395">
        <f>IFERROR(((StormWeight(E59:J59, A59,S59))*W59),0)</f>
        <v>0</v>
      </c>
      <c r="R59" s="395">
        <f t="shared" si="9"/>
        <v>0</v>
      </c>
      <c r="S59" s="300">
        <f>IF(ISNUMBER(SEARCH("Diameter",J59)), IF(T59=0,H59,VLOOKUP(F59,Info!$AJ$3:$AL$10,3,FALSE)),IF(T59=0,E59,VLOOKUP(F59,Info!$AJ$3:$AL$10,2,FALSE)))</f>
        <v>-0.67</v>
      </c>
      <c r="T59" s="301">
        <f>_xlfn.IFNA(IF(E59&lt;VLOOKUP(F59,Info!$AJ$3:$AK$10,2,FALSE),1,0),0)</f>
        <v>0</v>
      </c>
      <c r="U59" s="300" t="b">
        <f t="shared" si="14"/>
        <v>0</v>
      </c>
      <c r="V59" s="301">
        <f t="shared" si="15"/>
        <v>1</v>
      </c>
      <c r="W59" s="301">
        <f t="shared" si="16"/>
        <v>1</v>
      </c>
    </row>
    <row r="60" spans="1:23" x14ac:dyDescent="0.25">
      <c r="A60" s="8"/>
      <c r="B60" s="17"/>
      <c r="C60" s="14"/>
      <c r="D60" s="14"/>
      <c r="E60" s="295">
        <f t="shared" si="11"/>
        <v>-0.67</v>
      </c>
      <c r="F60" s="292"/>
      <c r="G60" s="292"/>
      <c r="H60" s="11">
        <f t="shared" si="12"/>
        <v>0</v>
      </c>
      <c r="I60" s="296">
        <f t="shared" si="2"/>
        <v>0</v>
      </c>
      <c r="J60" s="297"/>
      <c r="K60" s="298">
        <f t="shared" si="5"/>
        <v>0</v>
      </c>
      <c r="L60" s="299">
        <f>IFERROR(((StormPrice(E60:J60, A60,S60)+P60)*W60)*V60,0)</f>
        <v>0</v>
      </c>
      <c r="M60" s="408">
        <f t="shared" si="13"/>
        <v>0</v>
      </c>
      <c r="N60" s="418">
        <f t="shared" si="7"/>
        <v>0</v>
      </c>
      <c r="O60" s="418" t="e">
        <f t="shared" si="8"/>
        <v>#DIV/0!</v>
      </c>
      <c r="P60" s="299"/>
      <c r="Q60" s="395">
        <f>IFERROR(((StormWeight(E60:J60, A60,S60))*W60),0)</f>
        <v>0</v>
      </c>
      <c r="R60" s="395">
        <f t="shared" si="9"/>
        <v>0</v>
      </c>
      <c r="S60" s="300">
        <f>IF(ISNUMBER(SEARCH("Diameter",J60)), IF(T60=0,H60,VLOOKUP(F60,Info!$AJ$3:$AL$10,3,FALSE)),IF(T60=0,E60,VLOOKUP(F60,Info!$AJ$3:$AL$10,2,FALSE)))</f>
        <v>-0.67</v>
      </c>
      <c r="T60" s="301">
        <f>_xlfn.IFNA(IF(E60&lt;VLOOKUP(F60,Info!$AJ$3:$AK$10,2,FALSE),1,0),0)</f>
        <v>0</v>
      </c>
      <c r="U60" s="300" t="b">
        <f t="shared" si="14"/>
        <v>0</v>
      </c>
      <c r="V60" s="301">
        <f t="shared" si="15"/>
        <v>1</v>
      </c>
      <c r="W60" s="301">
        <f t="shared" si="16"/>
        <v>1</v>
      </c>
    </row>
    <row r="61" spans="1:23" x14ac:dyDescent="0.25">
      <c r="A61" s="8"/>
      <c r="B61" s="17"/>
      <c r="C61" s="14"/>
      <c r="D61" s="14"/>
      <c r="E61" s="295">
        <f t="shared" si="11"/>
        <v>-0.67</v>
      </c>
      <c r="F61" s="292"/>
      <c r="G61" s="292"/>
      <c r="H61" s="11">
        <f t="shared" si="12"/>
        <v>0</v>
      </c>
      <c r="I61" s="296">
        <f t="shared" si="2"/>
        <v>0</v>
      </c>
      <c r="J61" s="297"/>
      <c r="K61" s="298">
        <f t="shared" si="5"/>
        <v>0</v>
      </c>
      <c r="L61" s="299">
        <f>IFERROR(((StormPrice(E61:J61, A61,S61)+P61)*W61)*V61,0)</f>
        <v>0</v>
      </c>
      <c r="M61" s="408">
        <f t="shared" si="13"/>
        <v>0</v>
      </c>
      <c r="N61" s="418">
        <f t="shared" si="7"/>
        <v>0</v>
      </c>
      <c r="O61" s="418" t="e">
        <f t="shared" si="8"/>
        <v>#DIV/0!</v>
      </c>
      <c r="P61" s="299"/>
      <c r="Q61" s="395">
        <f>IFERROR(((StormWeight(E61:J61, A61,S61))*W61),0)</f>
        <v>0</v>
      </c>
      <c r="R61" s="395">
        <f t="shared" si="9"/>
        <v>0</v>
      </c>
      <c r="S61" s="300">
        <f>IF(ISNUMBER(SEARCH("Diameter",J61)), IF(T61=0,H61,VLOOKUP(F61,Info!$AJ$3:$AL$10,3,FALSE)),IF(T61=0,E61,VLOOKUP(F61,Info!$AJ$3:$AL$10,2,FALSE)))</f>
        <v>-0.67</v>
      </c>
      <c r="T61" s="301">
        <f>_xlfn.IFNA(IF(E61&lt;VLOOKUP(F61,Info!$AJ$3:$AK$10,2,FALSE),1,0),0)</f>
        <v>0</v>
      </c>
      <c r="U61" s="300" t="b">
        <f t="shared" si="14"/>
        <v>0</v>
      </c>
      <c r="V61" s="301">
        <f t="shared" si="15"/>
        <v>1</v>
      </c>
      <c r="W61" s="301">
        <f t="shared" si="16"/>
        <v>1</v>
      </c>
    </row>
    <row r="62" spans="1:23" x14ac:dyDescent="0.25">
      <c r="A62" s="8"/>
      <c r="B62" s="17"/>
      <c r="C62" s="14"/>
      <c r="D62" s="14"/>
      <c r="E62" s="295">
        <f t="shared" si="11"/>
        <v>-0.67</v>
      </c>
      <c r="F62" s="292"/>
      <c r="G62" s="292"/>
      <c r="H62" s="11">
        <f t="shared" si="12"/>
        <v>0</v>
      </c>
      <c r="I62" s="296">
        <f t="shared" si="2"/>
        <v>0</v>
      </c>
      <c r="J62" s="297"/>
      <c r="K62" s="298">
        <f t="shared" si="5"/>
        <v>0</v>
      </c>
      <c r="L62" s="299">
        <f>IFERROR(((StormPrice(E62:J62, A62,S62)+P62)*W62)*V62,0)</f>
        <v>0</v>
      </c>
      <c r="M62" s="408">
        <f t="shared" si="13"/>
        <v>0</v>
      </c>
      <c r="N62" s="418">
        <f t="shared" si="7"/>
        <v>0</v>
      </c>
      <c r="O62" s="418" t="e">
        <f t="shared" si="8"/>
        <v>#DIV/0!</v>
      </c>
      <c r="P62" s="299"/>
      <c r="Q62" s="395">
        <f>IFERROR(((StormWeight(E62:J62, A62,S62))*W62),0)</f>
        <v>0</v>
      </c>
      <c r="R62" s="395">
        <f t="shared" si="9"/>
        <v>0</v>
      </c>
      <c r="S62" s="300">
        <f>IF(ISNUMBER(SEARCH("Diameter",J62)), IF(T62=0,H62,VLOOKUP(F62,Info!$AJ$3:$AL$10,3,FALSE)),IF(T62=0,E62,VLOOKUP(F62,Info!$AJ$3:$AL$10,2,FALSE)))</f>
        <v>-0.67</v>
      </c>
      <c r="T62" s="301">
        <f>_xlfn.IFNA(IF(E62&lt;VLOOKUP(F62,Info!$AJ$3:$AK$10,2,FALSE),1,0),0)</f>
        <v>0</v>
      </c>
      <c r="U62" s="300" t="b">
        <f t="shared" si="14"/>
        <v>0</v>
      </c>
      <c r="V62" s="301">
        <f t="shared" si="15"/>
        <v>1</v>
      </c>
      <c r="W62" s="301">
        <f t="shared" si="16"/>
        <v>1</v>
      </c>
    </row>
    <row r="63" spans="1:23" x14ac:dyDescent="0.25">
      <c r="A63" s="8"/>
      <c r="B63" s="17"/>
      <c r="C63" s="14"/>
      <c r="D63" s="14"/>
      <c r="E63" s="295">
        <f t="shared" si="11"/>
        <v>-0.67</v>
      </c>
      <c r="F63" s="292"/>
      <c r="G63" s="292"/>
      <c r="H63" s="11">
        <f t="shared" si="12"/>
        <v>0</v>
      </c>
      <c r="I63" s="296">
        <f t="shared" si="2"/>
        <v>0</v>
      </c>
      <c r="J63" s="297"/>
      <c r="K63" s="298">
        <f t="shared" si="5"/>
        <v>0</v>
      </c>
      <c r="L63" s="299">
        <f>IFERROR(((StormPrice(E63:J63, A63,S63)+P63)*W63)*V63,0)</f>
        <v>0</v>
      </c>
      <c r="M63" s="408">
        <f t="shared" si="13"/>
        <v>0</v>
      </c>
      <c r="N63" s="418">
        <f t="shared" si="7"/>
        <v>0</v>
      </c>
      <c r="O63" s="418" t="e">
        <f t="shared" si="8"/>
        <v>#DIV/0!</v>
      </c>
      <c r="P63" s="299"/>
      <c r="Q63" s="395">
        <f>IFERROR(((StormWeight(E63:J63, A63,S63))*W63),0)</f>
        <v>0</v>
      </c>
      <c r="R63" s="395">
        <f t="shared" si="9"/>
        <v>0</v>
      </c>
      <c r="S63" s="300">
        <f>IF(ISNUMBER(SEARCH("Diameter",J63)), IF(T63=0,H63,VLOOKUP(F63,Info!$AJ$3:$AL$10,3,FALSE)),IF(T63=0,E63,VLOOKUP(F63,Info!$AJ$3:$AL$10,2,FALSE)))</f>
        <v>-0.67</v>
      </c>
      <c r="T63" s="301">
        <f>_xlfn.IFNA(IF(E63&lt;VLOOKUP(F63,Info!$AJ$3:$AK$10,2,FALSE),1,0),0)</f>
        <v>0</v>
      </c>
      <c r="U63" s="300" t="b">
        <f t="shared" si="14"/>
        <v>0</v>
      </c>
      <c r="V63" s="301">
        <f t="shared" si="15"/>
        <v>1</v>
      </c>
      <c r="W63" s="301">
        <f t="shared" si="16"/>
        <v>1</v>
      </c>
    </row>
    <row r="64" spans="1:23" x14ac:dyDescent="0.25">
      <c r="A64" s="8"/>
      <c r="B64" s="17"/>
      <c r="C64" s="14"/>
      <c r="D64" s="14"/>
      <c r="E64" s="295">
        <f t="shared" si="11"/>
        <v>-0.67</v>
      </c>
      <c r="F64" s="292"/>
      <c r="G64" s="292"/>
      <c r="H64" s="11">
        <f t="shared" si="12"/>
        <v>0</v>
      </c>
      <c r="I64" s="296">
        <f t="shared" si="2"/>
        <v>0</v>
      </c>
      <c r="J64" s="297"/>
      <c r="K64" s="298">
        <f t="shared" si="5"/>
        <v>0</v>
      </c>
      <c r="L64" s="299">
        <f>IFERROR(((StormPrice(E64:J64, A64,S64)+P64)*W64)*V64,0)</f>
        <v>0</v>
      </c>
      <c r="M64" s="408">
        <f t="shared" si="13"/>
        <v>0</v>
      </c>
      <c r="N64" s="418">
        <f t="shared" si="7"/>
        <v>0</v>
      </c>
      <c r="O64" s="418" t="e">
        <f t="shared" si="8"/>
        <v>#DIV/0!</v>
      </c>
      <c r="P64" s="299"/>
      <c r="Q64" s="395">
        <f>IFERROR(((StormWeight(E64:J64, A64,S64))*W64),0)</f>
        <v>0</v>
      </c>
      <c r="R64" s="395">
        <f t="shared" si="9"/>
        <v>0</v>
      </c>
      <c r="S64" s="300">
        <f>IF(ISNUMBER(SEARCH("Diameter",J64)), IF(T64=0,H64,VLOOKUP(F64,Info!$AJ$3:$AL$10,3,FALSE)),IF(T64=0,E64,VLOOKUP(F64,Info!$AJ$3:$AL$10,2,FALSE)))</f>
        <v>-0.67</v>
      </c>
      <c r="T64" s="301">
        <f>_xlfn.IFNA(IF(E64&lt;VLOOKUP(F64,Info!$AJ$3:$AK$10,2,FALSE),1,0),0)</f>
        <v>0</v>
      </c>
      <c r="U64" s="300" t="b">
        <f t="shared" si="14"/>
        <v>0</v>
      </c>
      <c r="V64" s="301">
        <f t="shared" si="15"/>
        <v>1</v>
      </c>
      <c r="W64" s="301">
        <f t="shared" si="16"/>
        <v>1</v>
      </c>
    </row>
    <row r="65" spans="1:23" x14ac:dyDescent="0.25">
      <c r="A65" s="8"/>
      <c r="B65" s="17"/>
      <c r="C65" s="14"/>
      <c r="D65" s="14"/>
      <c r="E65" s="295">
        <f t="shared" si="11"/>
        <v>-0.67</v>
      </c>
      <c r="F65" s="292"/>
      <c r="G65" s="292"/>
      <c r="H65" s="11">
        <f t="shared" si="12"/>
        <v>0</v>
      </c>
      <c r="I65" s="296">
        <f t="shared" si="2"/>
        <v>0</v>
      </c>
      <c r="J65" s="297"/>
      <c r="K65" s="298">
        <f t="shared" si="5"/>
        <v>0</v>
      </c>
      <c r="L65" s="299">
        <f>IFERROR(((StormPrice(E65:J65, A65,S65)+P65)*W65)*V65,0)</f>
        <v>0</v>
      </c>
      <c r="M65" s="408">
        <f t="shared" si="13"/>
        <v>0</v>
      </c>
      <c r="N65" s="418">
        <f t="shared" si="7"/>
        <v>0</v>
      </c>
      <c r="O65" s="418" t="e">
        <f t="shared" si="8"/>
        <v>#DIV/0!</v>
      </c>
      <c r="P65" s="299"/>
      <c r="Q65" s="395">
        <f>IFERROR(((StormWeight(E65:J65, A65,S65))*W65),0)</f>
        <v>0</v>
      </c>
      <c r="R65" s="395">
        <f t="shared" si="9"/>
        <v>0</v>
      </c>
      <c r="S65" s="300">
        <f>IF(ISNUMBER(SEARCH("Diameter",J65)), IF(T65=0,H65,VLOOKUP(F65,Info!$AJ$3:$AL$10,3,FALSE)),IF(T65=0,E65,VLOOKUP(F65,Info!$AJ$3:$AL$10,2,FALSE)))</f>
        <v>-0.67</v>
      </c>
      <c r="T65" s="301">
        <f>_xlfn.IFNA(IF(E65&lt;VLOOKUP(F65,Info!$AJ$3:$AK$10,2,FALSE),1,0),0)</f>
        <v>0</v>
      </c>
      <c r="U65" s="300" t="b">
        <f t="shared" si="14"/>
        <v>0</v>
      </c>
      <c r="V65" s="301">
        <f t="shared" si="15"/>
        <v>1</v>
      </c>
      <c r="W65" s="301">
        <f t="shared" si="16"/>
        <v>1</v>
      </c>
    </row>
    <row r="66" spans="1:23" x14ac:dyDescent="0.25">
      <c r="A66" s="8"/>
      <c r="B66" s="17"/>
      <c r="C66" s="14"/>
      <c r="D66" s="14"/>
      <c r="E66" s="295">
        <f t="shared" si="11"/>
        <v>-0.67</v>
      </c>
      <c r="F66" s="292"/>
      <c r="G66" s="292"/>
      <c r="H66" s="11">
        <f t="shared" si="12"/>
        <v>0</v>
      </c>
      <c r="I66" s="296">
        <f t="shared" si="2"/>
        <v>0</v>
      </c>
      <c r="J66" s="297"/>
      <c r="K66" s="298">
        <f t="shared" si="5"/>
        <v>0</v>
      </c>
      <c r="L66" s="299">
        <f>IFERROR(((StormPrice(E66:J66, A66,S66)+P66)*W66)*V66,0)</f>
        <v>0</v>
      </c>
      <c r="M66" s="408">
        <f t="shared" si="13"/>
        <v>0</v>
      </c>
      <c r="N66" s="418">
        <f t="shared" si="7"/>
        <v>0</v>
      </c>
      <c r="O66" s="418" t="e">
        <f t="shared" si="8"/>
        <v>#DIV/0!</v>
      </c>
      <c r="P66" s="299"/>
      <c r="Q66" s="395">
        <f>IFERROR(((StormWeight(E66:J66, A66,S66))*W66),0)</f>
        <v>0</v>
      </c>
      <c r="R66" s="395">
        <f t="shared" si="9"/>
        <v>0</v>
      </c>
      <c r="S66" s="300">
        <f>IF(ISNUMBER(SEARCH("Diameter",J66)), IF(T66=0,H66,VLOOKUP(F66,Info!$AJ$3:$AL$10,3,FALSE)),IF(T66=0,E66,VLOOKUP(F66,Info!$AJ$3:$AL$10,2,FALSE)))</f>
        <v>-0.67</v>
      </c>
      <c r="T66" s="301">
        <f>_xlfn.IFNA(IF(E66&lt;VLOOKUP(F66,Info!$AJ$3:$AK$10,2,FALSE),1,0),0)</f>
        <v>0</v>
      </c>
      <c r="U66" s="300" t="b">
        <f t="shared" si="14"/>
        <v>0</v>
      </c>
      <c r="V66" s="301">
        <f t="shared" si="15"/>
        <v>1</v>
      </c>
      <c r="W66" s="301">
        <f t="shared" si="16"/>
        <v>1</v>
      </c>
    </row>
    <row r="67" spans="1:23" x14ac:dyDescent="0.25">
      <c r="A67" s="8"/>
      <c r="B67" s="17"/>
      <c r="C67" s="14"/>
      <c r="D67" s="14"/>
      <c r="E67" s="295">
        <f t="shared" si="11"/>
        <v>-0.67</v>
      </c>
      <c r="F67" s="292"/>
      <c r="G67" s="292"/>
      <c r="H67" s="11">
        <f t="shared" si="12"/>
        <v>0</v>
      </c>
      <c r="I67" s="296">
        <f t="shared" si="2"/>
        <v>0</v>
      </c>
      <c r="J67" s="297"/>
      <c r="K67" s="298">
        <f t="shared" si="5"/>
        <v>0</v>
      </c>
      <c r="L67" s="299">
        <f>IFERROR(((StormPrice(E67:J67, A67,S67)+P67)*W67)*V67,0)</f>
        <v>0</v>
      </c>
      <c r="M67" s="408">
        <f t="shared" si="13"/>
        <v>0</v>
      </c>
      <c r="N67" s="418">
        <f t="shared" si="7"/>
        <v>0</v>
      </c>
      <c r="O67" s="418" t="e">
        <f t="shared" si="8"/>
        <v>#DIV/0!</v>
      </c>
      <c r="P67" s="299"/>
      <c r="Q67" s="395">
        <f>IFERROR(((StormWeight(E67:J67, A67,S67))*W67),0)</f>
        <v>0</v>
      </c>
      <c r="R67" s="395">
        <f t="shared" si="9"/>
        <v>0</v>
      </c>
      <c r="S67" s="300">
        <f>IF(ISNUMBER(SEARCH("Diameter",J67)), IF(T67=0,H67,VLOOKUP(F67,Info!$AJ$3:$AL$10,3,FALSE)),IF(T67=0,E67,VLOOKUP(F67,Info!$AJ$3:$AL$10,2,FALSE)))</f>
        <v>-0.67</v>
      </c>
      <c r="T67" s="301">
        <f>_xlfn.IFNA(IF(E67&lt;VLOOKUP(F67,Info!$AJ$3:$AK$10,2,FALSE),1,0),0)</f>
        <v>0</v>
      </c>
      <c r="U67" s="300" t="b">
        <f t="shared" si="14"/>
        <v>0</v>
      </c>
      <c r="V67" s="301">
        <f t="shared" si="15"/>
        <v>1</v>
      </c>
      <c r="W67" s="301">
        <f t="shared" si="16"/>
        <v>1</v>
      </c>
    </row>
    <row r="68" spans="1:23" x14ac:dyDescent="0.25">
      <c r="A68" s="8"/>
      <c r="B68" s="17"/>
      <c r="C68" s="14"/>
      <c r="D68" s="14"/>
      <c r="E68" s="295">
        <f t="shared" si="11"/>
        <v>-0.67</v>
      </c>
      <c r="F68" s="292"/>
      <c r="G68" s="292"/>
      <c r="H68" s="11">
        <f t="shared" si="12"/>
        <v>0</v>
      </c>
      <c r="I68" s="296">
        <f t="shared" si="2"/>
        <v>0</v>
      </c>
      <c r="J68" s="297"/>
      <c r="K68" s="298">
        <f t="shared" si="5"/>
        <v>0</v>
      </c>
      <c r="L68" s="299">
        <f>IFERROR(((StormPrice(E68:J68, A68,S68)+P68)*W68)*V68,0)</f>
        <v>0</v>
      </c>
      <c r="M68" s="408">
        <f t="shared" si="13"/>
        <v>0</v>
      </c>
      <c r="N68" s="418">
        <f t="shared" si="7"/>
        <v>0</v>
      </c>
      <c r="O68" s="418" t="e">
        <f t="shared" si="8"/>
        <v>#DIV/0!</v>
      </c>
      <c r="P68" s="299"/>
      <c r="Q68" s="395">
        <f>IFERROR(((StormWeight(E68:J68, A68,S68))*W68),0)</f>
        <v>0</v>
      </c>
      <c r="R68" s="395">
        <f t="shared" si="9"/>
        <v>0</v>
      </c>
      <c r="S68" s="300">
        <f>IF(ISNUMBER(SEARCH("Diameter",J68)), IF(T68=0,H68,VLOOKUP(F68,Info!$AJ$3:$AL$10,3,FALSE)),IF(T68=0,E68,VLOOKUP(F68,Info!$AJ$3:$AL$10,2,FALSE)))</f>
        <v>-0.67</v>
      </c>
      <c r="T68" s="301">
        <f>_xlfn.IFNA(IF(E68&lt;VLOOKUP(F68,Info!$AJ$3:$AK$10,2,FALSE),1,0),0)</f>
        <v>0</v>
      </c>
      <c r="U68" s="300" t="b">
        <f t="shared" si="14"/>
        <v>0</v>
      </c>
      <c r="V68" s="301">
        <f t="shared" si="15"/>
        <v>1</v>
      </c>
      <c r="W68" s="301">
        <f t="shared" si="16"/>
        <v>1</v>
      </c>
    </row>
    <row r="69" spans="1:23" x14ac:dyDescent="0.25">
      <c r="A69" s="8"/>
      <c r="B69" s="17"/>
      <c r="C69" s="14"/>
      <c r="D69" s="14"/>
      <c r="E69" s="295">
        <f t="shared" si="11"/>
        <v>-0.67</v>
      </c>
      <c r="F69" s="292"/>
      <c r="G69" s="292"/>
      <c r="H69" s="11">
        <f t="shared" si="12"/>
        <v>0</v>
      </c>
      <c r="I69" s="296">
        <f t="shared" si="2"/>
        <v>0</v>
      </c>
      <c r="J69" s="297"/>
      <c r="K69" s="298">
        <f t="shared" si="5"/>
        <v>0</v>
      </c>
      <c r="L69" s="299">
        <f>IFERROR(((StormPrice(E69:J69, A69,S69)+P69)*W69)*V69,0)</f>
        <v>0</v>
      </c>
      <c r="M69" s="408">
        <f t="shared" si="13"/>
        <v>0</v>
      </c>
      <c r="N69" s="418">
        <f t="shared" si="7"/>
        <v>0</v>
      </c>
      <c r="O69" s="418" t="e">
        <f t="shared" si="8"/>
        <v>#DIV/0!</v>
      </c>
      <c r="P69" s="299"/>
      <c r="Q69" s="395">
        <f>IFERROR(((StormWeight(E69:J69, A69,S69))*W69),0)</f>
        <v>0</v>
      </c>
      <c r="R69" s="395">
        <f t="shared" si="9"/>
        <v>0</v>
      </c>
      <c r="S69" s="300">
        <f>IF(ISNUMBER(SEARCH("Diameter",J69)), IF(T69=0,H69,VLOOKUP(F69,Info!$AJ$3:$AL$10,3,FALSE)),IF(T69=0,E69,VLOOKUP(F69,Info!$AJ$3:$AL$10,2,FALSE)))</f>
        <v>-0.67</v>
      </c>
      <c r="T69" s="301">
        <f>_xlfn.IFNA(IF(E69&lt;VLOOKUP(F69,Info!$AJ$3:$AK$10,2,FALSE),1,0),0)</f>
        <v>0</v>
      </c>
      <c r="U69" s="300" t="b">
        <f t="shared" si="14"/>
        <v>0</v>
      </c>
      <c r="V69" s="301">
        <f t="shared" si="15"/>
        <v>1</v>
      </c>
      <c r="W69" s="301">
        <f t="shared" si="16"/>
        <v>1</v>
      </c>
    </row>
    <row r="70" spans="1:23" x14ac:dyDescent="0.25">
      <c r="A70" s="8"/>
      <c r="B70" s="17"/>
      <c r="C70" s="14"/>
      <c r="D70" s="14"/>
      <c r="E70" s="295">
        <f t="shared" si="11"/>
        <v>-0.67</v>
      </c>
      <c r="F70" s="292"/>
      <c r="G70" s="292"/>
      <c r="H70" s="11">
        <f t="shared" si="12"/>
        <v>0</v>
      </c>
      <c r="I70" s="296">
        <f t="shared" si="2"/>
        <v>0</v>
      </c>
      <c r="J70" s="297"/>
      <c r="K70" s="298">
        <f t="shared" si="5"/>
        <v>0</v>
      </c>
      <c r="L70" s="299">
        <f>IFERROR(((StormPrice(E70:J70, A70,S70)+P70)*W70)*V70,0)</f>
        <v>0</v>
      </c>
      <c r="M70" s="408">
        <f t="shared" si="13"/>
        <v>0</v>
      </c>
      <c r="N70" s="418">
        <f t="shared" si="7"/>
        <v>0</v>
      </c>
      <c r="O70" s="418" t="e">
        <f t="shared" si="8"/>
        <v>#DIV/0!</v>
      </c>
      <c r="P70" s="299"/>
      <c r="Q70" s="395">
        <f>IFERROR(((StormWeight(E70:J70, A70,S70))*W70),0)</f>
        <v>0</v>
      </c>
      <c r="R70" s="395">
        <f t="shared" si="9"/>
        <v>0</v>
      </c>
      <c r="S70" s="300">
        <f>IF(ISNUMBER(SEARCH("Diameter",J70)), IF(T70=0,H70,VLOOKUP(F70,Info!$AJ$3:$AL$10,3,FALSE)),IF(T70=0,E70,VLOOKUP(F70,Info!$AJ$3:$AL$10,2,FALSE)))</f>
        <v>-0.67</v>
      </c>
      <c r="T70" s="301">
        <f>_xlfn.IFNA(IF(E70&lt;VLOOKUP(F70,Info!$AJ$3:$AK$10,2,FALSE),1,0),0)</f>
        <v>0</v>
      </c>
      <c r="U70" s="300" t="b">
        <f t="shared" si="14"/>
        <v>0</v>
      </c>
      <c r="V70" s="301">
        <f t="shared" si="15"/>
        <v>1</v>
      </c>
      <c r="W70" s="301">
        <f t="shared" si="16"/>
        <v>1</v>
      </c>
    </row>
    <row r="71" spans="1:23" x14ac:dyDescent="0.25">
      <c r="A71" s="8"/>
      <c r="B71" s="17"/>
      <c r="C71" s="14"/>
      <c r="D71" s="14"/>
      <c r="E71" s="295">
        <f t="shared" si="11"/>
        <v>-0.67</v>
      </c>
      <c r="F71" s="292"/>
      <c r="G71" s="292"/>
      <c r="H71" s="11">
        <f t="shared" si="12"/>
        <v>0</v>
      </c>
      <c r="I71" s="296">
        <f t="shared" si="2"/>
        <v>0</v>
      </c>
      <c r="J71" s="297"/>
      <c r="K71" s="298">
        <f t="shared" si="5"/>
        <v>0</v>
      </c>
      <c r="L71" s="299">
        <f>IFERROR(((StormPrice(E71:J71, A71,S71)+P71)*W71)*V71,0)</f>
        <v>0</v>
      </c>
      <c r="M71" s="408">
        <f t="shared" si="13"/>
        <v>0</v>
      </c>
      <c r="N71" s="418">
        <f t="shared" si="7"/>
        <v>0</v>
      </c>
      <c r="O71" s="418" t="e">
        <f t="shared" si="8"/>
        <v>#DIV/0!</v>
      </c>
      <c r="P71" s="299"/>
      <c r="Q71" s="395">
        <f>IFERROR(((StormWeight(E71:J71, A71,S71))*W71),0)</f>
        <v>0</v>
      </c>
      <c r="R71" s="395">
        <f t="shared" si="9"/>
        <v>0</v>
      </c>
      <c r="S71" s="300">
        <f>IF(ISNUMBER(SEARCH("Diameter",J71)), IF(T71=0,H71,VLOOKUP(F71,Info!$AJ$3:$AL$10,3,FALSE)),IF(T71=0,E71,VLOOKUP(F71,Info!$AJ$3:$AL$10,2,FALSE)))</f>
        <v>-0.67</v>
      </c>
      <c r="T71" s="301">
        <f>_xlfn.IFNA(IF(E71&lt;VLOOKUP(F71,Info!$AJ$3:$AK$10,2,FALSE),1,0),0)</f>
        <v>0</v>
      </c>
      <c r="U71" s="300" t="b">
        <f t="shared" si="14"/>
        <v>0</v>
      </c>
      <c r="V71" s="301">
        <f t="shared" si="15"/>
        <v>1</v>
      </c>
      <c r="W71" s="301">
        <f t="shared" si="16"/>
        <v>1</v>
      </c>
    </row>
    <row r="72" spans="1:23" x14ac:dyDescent="0.25">
      <c r="A72" s="8"/>
      <c r="B72" s="17"/>
      <c r="C72" s="14"/>
      <c r="D72" s="14"/>
      <c r="E72" s="295">
        <f t="shared" si="11"/>
        <v>-0.67</v>
      </c>
      <c r="F72" s="292"/>
      <c r="G72" s="292"/>
      <c r="H72" s="11">
        <f t="shared" si="12"/>
        <v>0</v>
      </c>
      <c r="I72" s="296">
        <f t="shared" si="2"/>
        <v>0</v>
      </c>
      <c r="J72" s="297"/>
      <c r="K72" s="298">
        <f t="shared" si="5"/>
        <v>0</v>
      </c>
      <c r="L72" s="299">
        <f>IFERROR(((StormPrice(E72:J72, A72,S72)+P72)*W72)*V72,0)</f>
        <v>0</v>
      </c>
      <c r="M72" s="408">
        <f t="shared" si="13"/>
        <v>0</v>
      </c>
      <c r="N72" s="418">
        <f t="shared" si="7"/>
        <v>0</v>
      </c>
      <c r="O72" s="418" t="e">
        <f t="shared" si="8"/>
        <v>#DIV/0!</v>
      </c>
      <c r="P72" s="299"/>
      <c r="Q72" s="395">
        <f>IFERROR(((StormWeight(E72:J72, A72,S72))*W72),0)</f>
        <v>0</v>
      </c>
      <c r="R72" s="395">
        <f t="shared" si="9"/>
        <v>0</v>
      </c>
      <c r="S72" s="300">
        <f>IF(ISNUMBER(SEARCH("Diameter",J72)), IF(T72=0,H72,VLOOKUP(F72,Info!$AJ$3:$AL$10,3,FALSE)),IF(T72=0,E72,VLOOKUP(F72,Info!$AJ$3:$AL$10,2,FALSE)))</f>
        <v>-0.67</v>
      </c>
      <c r="T72" s="301">
        <f>_xlfn.IFNA(IF(E72&lt;VLOOKUP(F72,Info!$AJ$3:$AK$10,2,FALSE),1,0),0)</f>
        <v>0</v>
      </c>
      <c r="U72" s="300" t="b">
        <f t="shared" si="14"/>
        <v>0</v>
      </c>
      <c r="V72" s="301">
        <f t="shared" si="15"/>
        <v>1</v>
      </c>
      <c r="W72" s="301">
        <f t="shared" si="16"/>
        <v>1</v>
      </c>
    </row>
    <row r="73" spans="1:23" x14ac:dyDescent="0.25">
      <c r="A73" s="8"/>
      <c r="B73" s="17"/>
      <c r="C73" s="14"/>
      <c r="D73" s="14"/>
      <c r="E73" s="295">
        <f t="shared" si="11"/>
        <v>-0.67</v>
      </c>
      <c r="F73" s="292"/>
      <c r="G73" s="292"/>
      <c r="H73" s="11">
        <f t="shared" si="12"/>
        <v>0</v>
      </c>
      <c r="I73" s="296">
        <f t="shared" si="2"/>
        <v>0</v>
      </c>
      <c r="J73" s="297"/>
      <c r="K73" s="298">
        <f t="shared" si="5"/>
        <v>0</v>
      </c>
      <c r="L73" s="299">
        <f>IFERROR(((StormPrice(E73:J73, A73,S73)+P73)*W73)*V73,0)</f>
        <v>0</v>
      </c>
      <c r="M73" s="408">
        <f t="shared" si="13"/>
        <v>0</v>
      </c>
      <c r="N73" s="418">
        <f t="shared" si="7"/>
        <v>0</v>
      </c>
      <c r="O73" s="418" t="e">
        <f t="shared" si="8"/>
        <v>#DIV/0!</v>
      </c>
      <c r="P73" s="299"/>
      <c r="Q73" s="395">
        <f>IFERROR(((StormWeight(E73:J73, A73,S73))*W73),0)</f>
        <v>0</v>
      </c>
      <c r="R73" s="395">
        <f t="shared" si="9"/>
        <v>0</v>
      </c>
      <c r="S73" s="300">
        <f>IF(ISNUMBER(SEARCH("Diameter",J73)), IF(T73=0,H73,VLOOKUP(F73,Info!$AJ$3:$AL$10,3,FALSE)),IF(T73=0,E73,VLOOKUP(F73,Info!$AJ$3:$AL$10,2,FALSE)))</f>
        <v>-0.67</v>
      </c>
      <c r="T73" s="301">
        <f>_xlfn.IFNA(IF(E73&lt;VLOOKUP(F73,Info!$AJ$3:$AK$10,2,FALSE),1,0),0)</f>
        <v>0</v>
      </c>
      <c r="U73" s="300" t="b">
        <f t="shared" si="14"/>
        <v>0</v>
      </c>
      <c r="V73" s="301">
        <f t="shared" si="15"/>
        <v>1</v>
      </c>
      <c r="W73" s="301">
        <f t="shared" si="16"/>
        <v>1</v>
      </c>
    </row>
    <row r="74" spans="1:23" x14ac:dyDescent="0.25">
      <c r="A74" s="8"/>
      <c r="B74" s="17"/>
      <c r="C74" s="14"/>
      <c r="D74" s="14"/>
      <c r="E74" s="295">
        <f t="shared" si="11"/>
        <v>-0.67</v>
      </c>
      <c r="F74" s="292"/>
      <c r="G74" s="292"/>
      <c r="H74" s="11">
        <f t="shared" si="12"/>
        <v>0</v>
      </c>
      <c r="I74" s="296">
        <f t="shared" si="2"/>
        <v>0</v>
      </c>
      <c r="J74" s="297"/>
      <c r="K74" s="298">
        <f t="shared" si="5"/>
        <v>0</v>
      </c>
      <c r="L74" s="299">
        <f>IFERROR(((StormPrice(E74:J74, A74,S74)+P74)*W74)*V74,0)</f>
        <v>0</v>
      </c>
      <c r="M74" s="408">
        <f t="shared" si="13"/>
        <v>0</v>
      </c>
      <c r="N74" s="418">
        <f t="shared" si="7"/>
        <v>0</v>
      </c>
      <c r="O74" s="418" t="e">
        <f t="shared" si="8"/>
        <v>#DIV/0!</v>
      </c>
      <c r="P74" s="299"/>
      <c r="Q74" s="395">
        <f>IFERROR(((StormWeight(E74:J74, A74,S74))*W74),0)</f>
        <v>0</v>
      </c>
      <c r="R74" s="395">
        <f t="shared" si="9"/>
        <v>0</v>
      </c>
      <c r="S74" s="300">
        <f>IF(ISNUMBER(SEARCH("Diameter",J74)), IF(T74=0,H74,VLOOKUP(F74,Info!$AJ$3:$AL$10,3,FALSE)),IF(T74=0,E74,VLOOKUP(F74,Info!$AJ$3:$AL$10,2,FALSE)))</f>
        <v>-0.67</v>
      </c>
      <c r="T74" s="301">
        <f>_xlfn.IFNA(IF(E74&lt;VLOOKUP(F74,Info!$AJ$3:$AK$10,2,FALSE),1,0),0)</f>
        <v>0</v>
      </c>
      <c r="U74" s="300" t="b">
        <f t="shared" si="14"/>
        <v>0</v>
      </c>
      <c r="V74" s="301">
        <f t="shared" si="15"/>
        <v>1</v>
      </c>
      <c r="W74" s="301">
        <f t="shared" si="16"/>
        <v>1</v>
      </c>
    </row>
    <row r="75" spans="1:23" x14ac:dyDescent="0.25">
      <c r="A75" s="8"/>
      <c r="B75" s="17"/>
      <c r="C75" s="14"/>
      <c r="D75" s="14"/>
      <c r="E75" s="295">
        <f t="shared" ref="E75" si="17">H75-0.67</f>
        <v>-0.67</v>
      </c>
      <c r="F75" s="292"/>
      <c r="G75" s="292"/>
      <c r="H75" s="11">
        <f t="shared" ref="H75" si="18">SUM(C75-D75)</f>
        <v>0</v>
      </c>
      <c r="I75" s="296">
        <f t="shared" si="2"/>
        <v>0</v>
      </c>
      <c r="J75" s="297"/>
      <c r="K75" s="298">
        <f t="shared" si="5"/>
        <v>0</v>
      </c>
      <c r="L75" s="299">
        <f>IFERROR(((StormPrice(E75:J75, A75,S75)+P75)*W75)*V75,0)</f>
        <v>0</v>
      </c>
      <c r="M75" s="408">
        <f t="shared" si="13"/>
        <v>0</v>
      </c>
      <c r="N75" s="418">
        <f t="shared" si="7"/>
        <v>0</v>
      </c>
      <c r="O75" s="418" t="e">
        <f t="shared" si="8"/>
        <v>#DIV/0!</v>
      </c>
      <c r="P75" s="299"/>
      <c r="Q75" s="395">
        <f>IFERROR(((StormWeight(E75:J75, A75,S75))*W75),0)</f>
        <v>0</v>
      </c>
      <c r="R75" s="395">
        <f t="shared" si="9"/>
        <v>0</v>
      </c>
      <c r="S75" s="300">
        <f>IF(ISNUMBER(SEARCH("Diameter",J75)), IF(T75=0,H75,VLOOKUP(F75,Info!$AJ$3:$AL$10,3,FALSE)),IF(T75=0,E75,VLOOKUP(F75,Info!$AJ$3:$AL$10,2,FALSE)))</f>
        <v>-0.67</v>
      </c>
      <c r="T75" s="301">
        <f>_xlfn.IFNA(IF(E75&lt;VLOOKUP(F75,Info!$AJ$3:$AK$10,2,FALSE),1,0),0)</f>
        <v>0</v>
      </c>
      <c r="U75" s="300" t="b">
        <f t="shared" si="14"/>
        <v>0</v>
      </c>
      <c r="V75" s="301">
        <f t="shared" si="15"/>
        <v>1</v>
      </c>
      <c r="W75" s="301">
        <f t="shared" si="16"/>
        <v>1</v>
      </c>
    </row>
    <row r="76" spans="1:23" x14ac:dyDescent="0.25">
      <c r="A76" s="8"/>
      <c r="B76" s="17"/>
      <c r="C76" s="14"/>
      <c r="D76" s="14"/>
      <c r="E76" s="295">
        <f t="shared" si="11"/>
        <v>-0.67</v>
      </c>
      <c r="F76" s="292"/>
      <c r="G76" s="292"/>
      <c r="H76" s="11">
        <f t="shared" si="12"/>
        <v>0</v>
      </c>
      <c r="I76" s="296">
        <f t="shared" si="2"/>
        <v>0</v>
      </c>
      <c r="J76" s="297"/>
      <c r="K76" s="298">
        <f t="shared" si="5"/>
        <v>0</v>
      </c>
      <c r="L76" s="299">
        <f>IFERROR(((StormPrice(E76:J76, A76,S76)+P76)*W76)*V76,0)</f>
        <v>0</v>
      </c>
      <c r="M76" s="408">
        <f t="shared" si="13"/>
        <v>0</v>
      </c>
      <c r="N76" s="418">
        <f t="shared" si="7"/>
        <v>0</v>
      </c>
      <c r="O76" s="418" t="e">
        <f t="shared" si="8"/>
        <v>#DIV/0!</v>
      </c>
      <c r="P76" s="299"/>
      <c r="Q76" s="395">
        <f>IFERROR(((StormWeight(E76:J76, A76,S76))*W76),0)</f>
        <v>0</v>
      </c>
      <c r="R76" s="395">
        <f t="shared" si="9"/>
        <v>0</v>
      </c>
      <c r="S76" s="300">
        <f>IF(ISNUMBER(SEARCH("Diameter",J76)), IF(T76=0,H76,VLOOKUP(F76,Info!$AJ$3:$AL$10,3,FALSE)),IF(T76=0,E76,VLOOKUP(F76,Info!$AJ$3:$AL$10,2,FALSE)))</f>
        <v>-0.67</v>
      </c>
      <c r="T76" s="301">
        <f>_xlfn.IFNA(IF(E76&lt;VLOOKUP(F76,Info!$AJ$3:$AK$10,2,FALSE),1,0),0)</f>
        <v>0</v>
      </c>
      <c r="U76" s="300" t="b">
        <f t="shared" si="14"/>
        <v>0</v>
      </c>
      <c r="V76" s="301">
        <f t="shared" si="15"/>
        <v>1</v>
      </c>
      <c r="W76" s="301">
        <f t="shared" si="16"/>
        <v>1</v>
      </c>
    </row>
    <row r="77" spans="1:23" x14ac:dyDescent="0.25">
      <c r="A77" s="8"/>
      <c r="B77" s="17"/>
      <c r="C77" s="14"/>
      <c r="D77" s="14"/>
      <c r="E77" s="295">
        <f t="shared" si="11"/>
        <v>-0.67</v>
      </c>
      <c r="F77" s="292"/>
      <c r="G77" s="292"/>
      <c r="H77" s="11">
        <f t="shared" si="12"/>
        <v>0</v>
      </c>
      <c r="I77" s="296">
        <f t="shared" si="2"/>
        <v>0</v>
      </c>
      <c r="J77" s="297"/>
      <c r="K77" s="298">
        <f t="shared" si="5"/>
        <v>0</v>
      </c>
      <c r="L77" s="299">
        <f>IFERROR(((StormPrice(E77:J77, A77,S77)+P77)*W77)*V77,0)</f>
        <v>0</v>
      </c>
      <c r="M77" s="408">
        <f t="shared" si="13"/>
        <v>0</v>
      </c>
      <c r="N77" s="418">
        <f t="shared" si="7"/>
        <v>0</v>
      </c>
      <c r="O77" s="418" t="e">
        <f t="shared" si="8"/>
        <v>#DIV/0!</v>
      </c>
      <c r="P77" s="299"/>
      <c r="Q77" s="395">
        <f>IFERROR(((StormWeight(E77:J77, A77,S77))*W77),0)</f>
        <v>0</v>
      </c>
      <c r="R77" s="395">
        <f t="shared" si="9"/>
        <v>0</v>
      </c>
      <c r="S77" s="300">
        <f>IF(ISNUMBER(SEARCH("Diameter",J77)), IF(T77=0,H77,VLOOKUP(F77,Info!$AJ$3:$AL$10,3,FALSE)),IF(T77=0,E77,VLOOKUP(F77,Info!$AJ$3:$AL$10,2,FALSE)))</f>
        <v>-0.67</v>
      </c>
      <c r="T77" s="301">
        <f>_xlfn.IFNA(IF(E77&lt;VLOOKUP(F77,Info!$AJ$3:$AK$10,2,FALSE),1,0),0)</f>
        <v>0</v>
      </c>
      <c r="U77" s="300" t="b">
        <f t="shared" si="14"/>
        <v>0</v>
      </c>
      <c r="V77" s="301">
        <f t="shared" si="15"/>
        <v>1</v>
      </c>
      <c r="W77" s="301">
        <f t="shared" si="16"/>
        <v>1</v>
      </c>
    </row>
    <row r="78" spans="1:23" x14ac:dyDescent="0.25">
      <c r="A78" s="8"/>
      <c r="B78" s="17"/>
      <c r="C78" s="14"/>
      <c r="D78" s="14"/>
      <c r="E78" s="295">
        <f t="shared" si="11"/>
        <v>-0.67</v>
      </c>
      <c r="F78" s="292"/>
      <c r="G78" s="292"/>
      <c r="H78" s="11">
        <f t="shared" si="12"/>
        <v>0</v>
      </c>
      <c r="I78" s="296">
        <f t="shared" si="2"/>
        <v>0</v>
      </c>
      <c r="J78" s="297"/>
      <c r="K78" s="298">
        <f t="shared" si="5"/>
        <v>0</v>
      </c>
      <c r="L78" s="299">
        <f>IFERROR(((StormPrice(E78:J78, A78,S78)+P78)*W78)*V78,0)</f>
        <v>0</v>
      </c>
      <c r="M78" s="408">
        <f t="shared" si="13"/>
        <v>0</v>
      </c>
      <c r="N78" s="418">
        <f t="shared" si="7"/>
        <v>0</v>
      </c>
      <c r="O78" s="418" t="e">
        <f t="shared" si="8"/>
        <v>#DIV/0!</v>
      </c>
      <c r="P78" s="299"/>
      <c r="Q78" s="395">
        <f>IFERROR(((StormWeight(E78:J78, A78,S78))*W78),0)</f>
        <v>0</v>
      </c>
      <c r="R78" s="395">
        <f t="shared" si="9"/>
        <v>0</v>
      </c>
      <c r="S78" s="300">
        <f>IF(ISNUMBER(SEARCH("Diameter",J78)), IF(T78=0,H78,VLOOKUP(F78,Info!$AJ$3:$AL$10,3,FALSE)),IF(T78=0,E78,VLOOKUP(F78,Info!$AJ$3:$AL$10,2,FALSE)))</f>
        <v>-0.67</v>
      </c>
      <c r="T78" s="301">
        <f>_xlfn.IFNA(IF(E78&lt;VLOOKUP(F78,Info!$AJ$3:$AK$10,2,FALSE),1,0),0)</f>
        <v>0</v>
      </c>
      <c r="U78" s="300" t="b">
        <f t="shared" si="14"/>
        <v>0</v>
      </c>
      <c r="V78" s="301">
        <f t="shared" si="15"/>
        <v>1</v>
      </c>
      <c r="W78" s="301">
        <f t="shared" si="16"/>
        <v>1</v>
      </c>
    </row>
    <row r="79" spans="1:23" x14ac:dyDescent="0.25">
      <c r="A79" s="8"/>
      <c r="B79" s="17"/>
      <c r="C79" s="14"/>
      <c r="D79" s="14"/>
      <c r="E79" s="145"/>
      <c r="F79" s="47"/>
      <c r="G79" s="47"/>
      <c r="H79" s="11"/>
      <c r="J79" s="12"/>
      <c r="K79" s="43"/>
      <c r="L79" s="42"/>
      <c r="M79" s="408">
        <f t="shared" si="13"/>
        <v>0</v>
      </c>
      <c r="N79" s="418">
        <f t="shared" si="7"/>
        <v>0</v>
      </c>
      <c r="O79" s="418" t="e">
        <f t="shared" si="8"/>
        <v>#DIV/0!</v>
      </c>
      <c r="P79" s="42"/>
      <c r="Q79" s="384"/>
      <c r="R79" s="384"/>
      <c r="S79" s="283"/>
      <c r="T79" s="188"/>
      <c r="U79" s="188"/>
      <c r="V79" s="42"/>
      <c r="W79" s="42"/>
    </row>
    <row r="80" spans="1:23" x14ac:dyDescent="0.25">
      <c r="A80" s="8"/>
      <c r="B80" s="17"/>
      <c r="C80" s="14"/>
      <c r="D80" s="14"/>
      <c r="E80" s="47"/>
      <c r="F80" s="47"/>
      <c r="G80" s="47"/>
      <c r="H80" s="11"/>
      <c r="J80" s="12"/>
      <c r="K80" s="43"/>
      <c r="L80" s="42"/>
      <c r="M80" s="408">
        <f t="shared" si="13"/>
        <v>0</v>
      </c>
      <c r="N80" s="418">
        <f t="shared" si="7"/>
        <v>0</v>
      </c>
      <c r="O80" s="418" t="e">
        <f t="shared" si="8"/>
        <v>#DIV/0!</v>
      </c>
      <c r="P80" s="42"/>
      <c r="Q80" s="384"/>
      <c r="R80" s="384"/>
      <c r="S80" s="283"/>
      <c r="T80" s="188"/>
      <c r="U80" s="188"/>
      <c r="V80" s="42"/>
      <c r="W80" s="42"/>
    </row>
    <row r="81" spans="1:23" x14ac:dyDescent="0.25">
      <c r="A81" s="150"/>
      <c r="B81" s="17"/>
      <c r="C81" s="14"/>
      <c r="D81" s="14"/>
      <c r="E81" s="61" t="s">
        <v>175</v>
      </c>
      <c r="F81" s="47"/>
      <c r="G81" s="47"/>
      <c r="H81" s="11"/>
      <c r="I81" s="62">
        <f>SUM(I17:I80)</f>
        <v>0</v>
      </c>
      <c r="J81" s="12"/>
      <c r="K81" s="43"/>
      <c r="L81" s="42"/>
      <c r="M81" s="408">
        <f t="shared" si="13"/>
        <v>0</v>
      </c>
      <c r="N81" s="418">
        <f t="shared" si="7"/>
        <v>0</v>
      </c>
      <c r="O81" s="418" t="e">
        <f t="shared" si="8"/>
        <v>#DIV/0!</v>
      </c>
      <c r="P81" s="42"/>
      <c r="Q81" s="384"/>
      <c r="R81" s="384"/>
      <c r="S81" s="283"/>
      <c r="T81" s="188"/>
      <c r="U81" s="188"/>
      <c r="V81" s="42"/>
      <c r="W81" s="42"/>
    </row>
    <row r="82" spans="1:23" x14ac:dyDescent="0.25">
      <c r="A82" s="61"/>
      <c r="B82" s="17"/>
      <c r="C82" s="14"/>
      <c r="D82" s="14"/>
      <c r="E82" s="47"/>
      <c r="F82" s="47"/>
      <c r="G82" s="47"/>
      <c r="H82" s="11"/>
      <c r="I82" s="48"/>
      <c r="J82" s="12"/>
      <c r="K82" s="43"/>
      <c r="L82" s="42"/>
      <c r="M82" s="408">
        <f t="shared" si="13"/>
        <v>0</v>
      </c>
      <c r="N82" s="418">
        <f t="shared" ref="N82:N121" si="19">R82/8</f>
        <v>0</v>
      </c>
      <c r="O82" s="418" t="e">
        <f t="shared" ref="O82:O121" si="20">M82/N82</f>
        <v>#DIV/0!</v>
      </c>
      <c r="P82" s="42"/>
      <c r="Q82" s="384"/>
      <c r="R82" s="384"/>
      <c r="S82" s="283"/>
      <c r="T82" s="188"/>
      <c r="U82" s="188"/>
      <c r="V82" s="42"/>
      <c r="W82" s="42"/>
    </row>
    <row r="83" spans="1:23" x14ac:dyDescent="0.25">
      <c r="A83" s="8"/>
      <c r="B83" s="17"/>
      <c r="C83" s="14"/>
      <c r="D83" s="14"/>
      <c r="E83" s="47"/>
      <c r="F83" s="47"/>
      <c r="G83" s="47"/>
      <c r="H83" s="11"/>
      <c r="J83" s="12"/>
      <c r="K83" s="43"/>
      <c r="L83" s="42"/>
      <c r="M83" s="408"/>
      <c r="N83" s="418"/>
      <c r="O83" s="418"/>
      <c r="P83" s="42"/>
      <c r="Q83" s="384"/>
      <c r="R83" s="384"/>
      <c r="S83" s="283"/>
      <c r="T83" s="188"/>
      <c r="U83" s="188"/>
      <c r="V83" s="42"/>
      <c r="W83" s="42"/>
    </row>
    <row r="84" spans="1:23" ht="18.75" thickBot="1" x14ac:dyDescent="0.3">
      <c r="A84" s="199" t="s">
        <v>174</v>
      </c>
      <c r="B84" s="16"/>
      <c r="C84" s="13"/>
      <c r="D84" s="13"/>
      <c r="E84" s="136"/>
      <c r="F84" s="136"/>
      <c r="G84" s="136"/>
      <c r="H84" s="4"/>
      <c r="I84" s="47"/>
      <c r="J84" s="2"/>
      <c r="K84" s="43" t="s">
        <v>94</v>
      </c>
      <c r="L84" s="42"/>
      <c r="M84" s="408"/>
      <c r="N84" s="418"/>
      <c r="O84" s="418"/>
      <c r="P84" s="42"/>
      <c r="Q84" s="384"/>
      <c r="R84" s="384"/>
      <c r="S84" s="283"/>
      <c r="T84" s="188"/>
      <c r="U84" s="188"/>
      <c r="V84" s="42"/>
      <c r="W84" s="42"/>
    </row>
    <row r="85" spans="1:23" ht="32.25" thickBot="1" x14ac:dyDescent="0.3">
      <c r="A85" s="58" t="s">
        <v>0</v>
      </c>
      <c r="B85" s="59" t="s">
        <v>1</v>
      </c>
      <c r="C85" s="58" t="s">
        <v>6</v>
      </c>
      <c r="D85" s="58" t="s">
        <v>7</v>
      </c>
      <c r="E85" s="134" t="s">
        <v>100</v>
      </c>
      <c r="F85" s="58" t="s">
        <v>178</v>
      </c>
      <c r="G85" s="134" t="s">
        <v>130</v>
      </c>
      <c r="H85" s="58" t="s">
        <v>2</v>
      </c>
      <c r="I85" s="60" t="s">
        <v>3</v>
      </c>
      <c r="J85" s="58" t="s">
        <v>27</v>
      </c>
      <c r="K85" s="128">
        <f>$K$16</f>
        <v>0.08</v>
      </c>
      <c r="L85" s="44" t="s">
        <v>8</v>
      </c>
      <c r="M85" s="408" t="e">
        <f t="shared" si="13"/>
        <v>#VALUE!</v>
      </c>
      <c r="N85" s="418" t="e">
        <f t="shared" si="19"/>
        <v>#VALUE!</v>
      </c>
      <c r="O85" s="418" t="e">
        <f t="shared" si="20"/>
        <v>#VALUE!</v>
      </c>
      <c r="P85" s="44" t="s">
        <v>122</v>
      </c>
      <c r="Q85" s="385" t="s">
        <v>486</v>
      </c>
      <c r="R85" s="385" t="s">
        <v>560</v>
      </c>
      <c r="S85" s="284"/>
      <c r="T85" s="274"/>
      <c r="U85" s="274"/>
      <c r="V85" s="44"/>
      <c r="W85" s="200" t="s">
        <v>167</v>
      </c>
    </row>
    <row r="86" spans="1:23" x14ac:dyDescent="0.25">
      <c r="A86" s="8"/>
      <c r="B86" s="17"/>
      <c r="C86" s="14"/>
      <c r="D86" s="14"/>
      <c r="E86" s="145">
        <f t="shared" ref="E86" si="21">H86-0.3</f>
        <v>-0.3</v>
      </c>
      <c r="F86" s="47"/>
      <c r="G86" s="47"/>
      <c r="H86" s="11">
        <f t="shared" ref="H86" si="22">SUM(C86-D86)</f>
        <v>0</v>
      </c>
      <c r="I86" s="3">
        <f t="shared" ref="I86:I110" si="23">ROUNDUP(K86,0)</f>
        <v>0</v>
      </c>
      <c r="J86" s="12"/>
      <c r="K86" s="43">
        <f>PRODUCT(L86*(1+$K$16))</f>
        <v>0</v>
      </c>
      <c r="L86" s="42">
        <f>IFERROR(SewerPrice(E86:J86)+P86+IF(ISNUMBER(SEARCH("Diameter",J86)),VLOOKUP(G86,BootTable,2,FALSE)*F86,0),0)</f>
        <v>0</v>
      </c>
      <c r="M86" s="408">
        <f t="shared" si="13"/>
        <v>0</v>
      </c>
      <c r="N86" s="418">
        <f t="shared" si="19"/>
        <v>0</v>
      </c>
      <c r="O86" s="418" t="e">
        <f t="shared" si="20"/>
        <v>#DIV/0!</v>
      </c>
      <c r="P86" s="42"/>
      <c r="Q86" s="395">
        <f>IFERROR(((StormWeight(E86:J86, A86,H86))),0)</f>
        <v>0</v>
      </c>
      <c r="R86" s="395">
        <f>Q86/4050</f>
        <v>0</v>
      </c>
      <c r="S86" s="283"/>
      <c r="T86" s="188"/>
      <c r="U86" s="188"/>
      <c r="V86" s="42"/>
      <c r="W86" s="188">
        <f t="shared" ref="W86:W120" si="24">IF(H86=0, 0, IF(H86&gt;=16,3,IF(H86&lt;=9,1,2)))</f>
        <v>0</v>
      </c>
    </row>
    <row r="87" spans="1:23" x14ac:dyDescent="0.25">
      <c r="A87" s="8"/>
      <c r="B87" s="17"/>
      <c r="C87" s="14"/>
      <c r="D87" s="14"/>
      <c r="E87" s="145">
        <f t="shared" ref="E87:E120" si="25">H87-0.3</f>
        <v>-0.3</v>
      </c>
      <c r="F87" s="47"/>
      <c r="G87" s="47"/>
      <c r="H87" s="11">
        <f t="shared" ref="H87:H120" si="26">SUM(C87-D87)</f>
        <v>0</v>
      </c>
      <c r="I87" s="3">
        <f t="shared" si="23"/>
        <v>0</v>
      </c>
      <c r="J87" s="12"/>
      <c r="K87" s="43">
        <f t="shared" ref="K87:K120" si="27">PRODUCT(L87*(1+$K$16))</f>
        <v>0</v>
      </c>
      <c r="L87" s="42">
        <f>IFERROR(SewerPrice(E87:J87)+P87+IF(ISNUMBER(SEARCH("Diameter",J87)),VLOOKUP(G87,BootTable,2,FALSE)*F87,0),0)</f>
        <v>0</v>
      </c>
      <c r="M87" s="408">
        <f t="shared" si="13"/>
        <v>0</v>
      </c>
      <c r="N87" s="418">
        <f t="shared" si="19"/>
        <v>0</v>
      </c>
      <c r="O87" s="418" t="e">
        <f t="shared" si="20"/>
        <v>#DIV/0!</v>
      </c>
      <c r="P87" s="42"/>
      <c r="Q87" s="395">
        <f>IFERROR(((StormWeight(E87:J87, A87,H87))),0)</f>
        <v>0</v>
      </c>
      <c r="R87" s="395">
        <f t="shared" ref="R87:R120" si="28">Q87/4050</f>
        <v>0</v>
      </c>
      <c r="S87" s="283"/>
      <c r="T87" s="188"/>
      <c r="U87" s="188"/>
      <c r="V87" s="42"/>
      <c r="W87" s="188">
        <f t="shared" si="24"/>
        <v>0</v>
      </c>
    </row>
    <row r="88" spans="1:23" x14ac:dyDescent="0.25">
      <c r="A88" s="8"/>
      <c r="B88" s="17"/>
      <c r="C88" s="14"/>
      <c r="D88" s="14"/>
      <c r="E88" s="145">
        <f t="shared" si="25"/>
        <v>-0.3</v>
      </c>
      <c r="F88" s="47"/>
      <c r="G88" s="47"/>
      <c r="H88" s="11">
        <f t="shared" si="26"/>
        <v>0</v>
      </c>
      <c r="I88" s="3">
        <f t="shared" si="23"/>
        <v>0</v>
      </c>
      <c r="J88" s="12"/>
      <c r="K88" s="43">
        <f t="shared" si="27"/>
        <v>0</v>
      </c>
      <c r="L88" s="42">
        <f>IFERROR(SewerPrice(E88:J88)+P88+IF(ISNUMBER(SEARCH("Diameter",J88)),VLOOKUP(G88,BootTable,2,FALSE)*F88,0),0)</f>
        <v>0</v>
      </c>
      <c r="M88" s="408">
        <f t="shared" si="13"/>
        <v>0</v>
      </c>
      <c r="N88" s="418">
        <f t="shared" si="19"/>
        <v>0</v>
      </c>
      <c r="O88" s="418" t="e">
        <f t="shared" si="20"/>
        <v>#DIV/0!</v>
      </c>
      <c r="P88" s="42"/>
      <c r="Q88" s="395">
        <f>IFERROR(((StormWeight(E88:J88, A88,H88))),0)</f>
        <v>0</v>
      </c>
      <c r="R88" s="395">
        <f t="shared" si="28"/>
        <v>0</v>
      </c>
      <c r="S88" s="283"/>
      <c r="T88" s="188"/>
      <c r="U88" s="188"/>
      <c r="V88" s="42"/>
      <c r="W88" s="188">
        <f t="shared" si="24"/>
        <v>0</v>
      </c>
    </row>
    <row r="89" spans="1:23" x14ac:dyDescent="0.25">
      <c r="A89" s="8"/>
      <c r="B89" s="17"/>
      <c r="C89" s="14"/>
      <c r="D89" s="14"/>
      <c r="E89" s="145">
        <f t="shared" si="25"/>
        <v>-0.3</v>
      </c>
      <c r="F89" s="47"/>
      <c r="G89" s="47"/>
      <c r="H89" s="11">
        <f t="shared" si="26"/>
        <v>0</v>
      </c>
      <c r="I89" s="3">
        <f t="shared" si="23"/>
        <v>0</v>
      </c>
      <c r="J89" s="12"/>
      <c r="K89" s="43">
        <f t="shared" si="27"/>
        <v>0</v>
      </c>
      <c r="L89" s="42">
        <f>IFERROR(SewerPrice(E89:J89)+P89+IF(ISNUMBER(SEARCH("Diameter",J89)),VLOOKUP(G89,BootTable,2,FALSE)*F89,0),0)</f>
        <v>0</v>
      </c>
      <c r="M89" s="408">
        <f t="shared" ref="M89:M121" si="29">K89-L89</f>
        <v>0</v>
      </c>
      <c r="N89" s="418">
        <f t="shared" si="19"/>
        <v>0</v>
      </c>
      <c r="O89" s="418" t="e">
        <f t="shared" si="20"/>
        <v>#DIV/0!</v>
      </c>
      <c r="P89" s="42"/>
      <c r="Q89" s="395">
        <f>IFERROR(((StormWeight(E89:J89, A89,H89))),0)</f>
        <v>0</v>
      </c>
      <c r="R89" s="395">
        <f t="shared" si="28"/>
        <v>0</v>
      </c>
      <c r="S89" s="283"/>
      <c r="T89" s="188"/>
      <c r="U89" s="188"/>
      <c r="V89" s="42"/>
      <c r="W89" s="188">
        <f t="shared" si="24"/>
        <v>0</v>
      </c>
    </row>
    <row r="90" spans="1:23" x14ac:dyDescent="0.25">
      <c r="A90" s="8"/>
      <c r="B90" s="17"/>
      <c r="C90" s="14"/>
      <c r="D90" s="14"/>
      <c r="E90" s="145">
        <f t="shared" si="25"/>
        <v>-0.3</v>
      </c>
      <c r="F90" s="47"/>
      <c r="G90" s="47"/>
      <c r="H90" s="11">
        <f t="shared" si="26"/>
        <v>0</v>
      </c>
      <c r="I90" s="3">
        <f t="shared" si="23"/>
        <v>0</v>
      </c>
      <c r="J90" s="12"/>
      <c r="K90" s="43">
        <f t="shared" si="27"/>
        <v>0</v>
      </c>
      <c r="L90" s="42">
        <f>IFERROR(SewerPrice(E90:J90)+P90+IF(ISNUMBER(SEARCH("Diameter",J90)),VLOOKUP(G90,BootTable,2,FALSE)*F90,0),0)</f>
        <v>0</v>
      </c>
      <c r="M90" s="408">
        <f t="shared" si="29"/>
        <v>0</v>
      </c>
      <c r="N90" s="418">
        <f t="shared" si="19"/>
        <v>0</v>
      </c>
      <c r="O90" s="418" t="e">
        <f t="shared" si="20"/>
        <v>#DIV/0!</v>
      </c>
      <c r="P90" s="42"/>
      <c r="Q90" s="395">
        <f>IFERROR(((StormWeight(E90:J90, A90,H90))),0)</f>
        <v>0</v>
      </c>
      <c r="R90" s="395">
        <f t="shared" si="28"/>
        <v>0</v>
      </c>
      <c r="S90" s="283"/>
      <c r="T90" s="188"/>
      <c r="U90" s="188"/>
      <c r="V90" s="42"/>
      <c r="W90" s="188">
        <f t="shared" si="24"/>
        <v>0</v>
      </c>
    </row>
    <row r="91" spans="1:23" x14ac:dyDescent="0.25">
      <c r="A91" s="8"/>
      <c r="B91" s="17"/>
      <c r="C91" s="14"/>
      <c r="D91" s="14"/>
      <c r="E91" s="145">
        <f t="shared" si="25"/>
        <v>-0.3</v>
      </c>
      <c r="F91" s="47"/>
      <c r="G91" s="47"/>
      <c r="H91" s="11">
        <f t="shared" si="26"/>
        <v>0</v>
      </c>
      <c r="I91" s="3">
        <f t="shared" si="23"/>
        <v>0</v>
      </c>
      <c r="J91" s="12"/>
      <c r="K91" s="43">
        <f t="shared" si="27"/>
        <v>0</v>
      </c>
      <c r="L91" s="42">
        <f>IFERROR(SewerPrice(E91:J91)+P91+IF(ISNUMBER(SEARCH("Diameter",J91)),VLOOKUP(G91,BootTable,2,FALSE)*F91,0),0)</f>
        <v>0</v>
      </c>
      <c r="M91" s="408">
        <f t="shared" si="29"/>
        <v>0</v>
      </c>
      <c r="N91" s="418">
        <f t="shared" si="19"/>
        <v>0</v>
      </c>
      <c r="O91" s="418" t="e">
        <f t="shared" si="20"/>
        <v>#DIV/0!</v>
      </c>
      <c r="P91" s="42"/>
      <c r="Q91" s="395">
        <f>IFERROR(((StormWeight(E91:J91, A91,H91))),0)</f>
        <v>0</v>
      </c>
      <c r="R91" s="395">
        <f t="shared" si="28"/>
        <v>0</v>
      </c>
      <c r="S91" s="283"/>
      <c r="T91" s="188"/>
      <c r="U91" s="188"/>
      <c r="V91" s="42"/>
      <c r="W91" s="188">
        <f t="shared" si="24"/>
        <v>0</v>
      </c>
    </row>
    <row r="92" spans="1:23" x14ac:dyDescent="0.25">
      <c r="A92" s="8"/>
      <c r="B92" s="17"/>
      <c r="C92" s="14"/>
      <c r="D92" s="14"/>
      <c r="E92" s="145">
        <f t="shared" si="25"/>
        <v>-0.3</v>
      </c>
      <c r="F92" s="47"/>
      <c r="G92" s="47"/>
      <c r="H92" s="11">
        <f t="shared" si="26"/>
        <v>0</v>
      </c>
      <c r="I92" s="3">
        <f t="shared" si="23"/>
        <v>0</v>
      </c>
      <c r="J92" s="12"/>
      <c r="K92" s="43">
        <f t="shared" si="27"/>
        <v>0</v>
      </c>
      <c r="L92" s="42">
        <f>IFERROR(SewerPrice(E92:J92)+P92+IF(ISNUMBER(SEARCH("Diameter",J92)),VLOOKUP(G92,BootTable,2,FALSE)*F92,0),0)</f>
        <v>0</v>
      </c>
      <c r="M92" s="408">
        <f t="shared" si="29"/>
        <v>0</v>
      </c>
      <c r="N92" s="418">
        <f t="shared" si="19"/>
        <v>0</v>
      </c>
      <c r="O92" s="418" t="e">
        <f t="shared" si="20"/>
        <v>#DIV/0!</v>
      </c>
      <c r="P92" s="42"/>
      <c r="Q92" s="395">
        <f>IFERROR(((StormWeight(E92:J92, A92,H92))),0)</f>
        <v>0</v>
      </c>
      <c r="R92" s="395">
        <f t="shared" si="28"/>
        <v>0</v>
      </c>
      <c r="S92" s="283"/>
      <c r="T92" s="188"/>
      <c r="U92" s="188"/>
      <c r="V92" s="42"/>
      <c r="W92" s="188">
        <f t="shared" si="24"/>
        <v>0</v>
      </c>
    </row>
    <row r="93" spans="1:23" x14ac:dyDescent="0.25">
      <c r="A93" s="8"/>
      <c r="B93" s="17"/>
      <c r="C93" s="14"/>
      <c r="D93" s="14"/>
      <c r="E93" s="145">
        <f t="shared" si="25"/>
        <v>-0.3</v>
      </c>
      <c r="F93" s="47"/>
      <c r="G93" s="47"/>
      <c r="H93" s="11">
        <f t="shared" si="26"/>
        <v>0</v>
      </c>
      <c r="I93" s="3">
        <f t="shared" si="23"/>
        <v>0</v>
      </c>
      <c r="J93" s="12"/>
      <c r="K93" s="43">
        <f t="shared" si="27"/>
        <v>0</v>
      </c>
      <c r="L93" s="42">
        <f>IFERROR(SewerPrice(E93:J93)+P93+IF(ISNUMBER(SEARCH("Diameter",J93)),VLOOKUP(G93,BootTable,2,FALSE)*F93,0),0)</f>
        <v>0</v>
      </c>
      <c r="M93" s="408">
        <f t="shared" si="29"/>
        <v>0</v>
      </c>
      <c r="N93" s="418">
        <f t="shared" si="19"/>
        <v>0</v>
      </c>
      <c r="O93" s="418" t="e">
        <f t="shared" si="20"/>
        <v>#DIV/0!</v>
      </c>
      <c r="P93" s="42"/>
      <c r="Q93" s="395">
        <f>IFERROR(((StormWeight(E93:J93, A93,H93))),0)</f>
        <v>0</v>
      </c>
      <c r="R93" s="395">
        <f t="shared" si="28"/>
        <v>0</v>
      </c>
      <c r="S93" s="283"/>
      <c r="T93" s="188"/>
      <c r="U93" s="188"/>
      <c r="V93" s="42"/>
      <c r="W93" s="188">
        <f t="shared" si="24"/>
        <v>0</v>
      </c>
    </row>
    <row r="94" spans="1:23" x14ac:dyDescent="0.25">
      <c r="A94" s="8"/>
      <c r="B94" s="17"/>
      <c r="C94" s="14"/>
      <c r="D94" s="14"/>
      <c r="E94" s="145">
        <f t="shared" si="25"/>
        <v>-0.3</v>
      </c>
      <c r="F94" s="47"/>
      <c r="G94" s="47"/>
      <c r="H94" s="11">
        <f t="shared" si="26"/>
        <v>0</v>
      </c>
      <c r="I94" s="3">
        <f t="shared" si="23"/>
        <v>0</v>
      </c>
      <c r="J94" s="12"/>
      <c r="K94" s="43">
        <f t="shared" si="27"/>
        <v>0</v>
      </c>
      <c r="L94" s="42">
        <f>IFERROR(SewerPrice(E94:J94)+P94+IF(ISNUMBER(SEARCH("Diameter",J94)),VLOOKUP(G94,BootTable,2,FALSE)*F94,0),0)</f>
        <v>0</v>
      </c>
      <c r="M94" s="408">
        <f t="shared" si="29"/>
        <v>0</v>
      </c>
      <c r="N94" s="418">
        <f t="shared" si="19"/>
        <v>0</v>
      </c>
      <c r="O94" s="418" t="e">
        <f t="shared" si="20"/>
        <v>#DIV/0!</v>
      </c>
      <c r="P94" s="42"/>
      <c r="Q94" s="395">
        <f>IFERROR(((StormWeight(E94:J94, A94,H94))),0)</f>
        <v>0</v>
      </c>
      <c r="R94" s="395">
        <f t="shared" si="28"/>
        <v>0</v>
      </c>
      <c r="S94" s="283"/>
      <c r="T94" s="188"/>
      <c r="U94" s="188"/>
      <c r="V94" s="42"/>
      <c r="W94" s="188">
        <f t="shared" si="24"/>
        <v>0</v>
      </c>
    </row>
    <row r="95" spans="1:23" x14ac:dyDescent="0.25">
      <c r="A95" s="8"/>
      <c r="B95" s="17"/>
      <c r="C95" s="14"/>
      <c r="D95" s="14"/>
      <c r="E95" s="145">
        <f t="shared" si="25"/>
        <v>-0.3</v>
      </c>
      <c r="F95" s="47"/>
      <c r="G95" s="47"/>
      <c r="H95" s="11">
        <f t="shared" si="26"/>
        <v>0</v>
      </c>
      <c r="I95" s="3">
        <f t="shared" si="23"/>
        <v>0</v>
      </c>
      <c r="J95" s="12"/>
      <c r="K95" s="43">
        <f t="shared" si="27"/>
        <v>0</v>
      </c>
      <c r="L95" s="42">
        <f>IFERROR(SewerPrice(E95:J95)+P95+IF(ISNUMBER(SEARCH("Diameter",J95)),VLOOKUP(G95,BootTable,2,FALSE)*F95,0),0)</f>
        <v>0</v>
      </c>
      <c r="M95" s="408">
        <f t="shared" si="29"/>
        <v>0</v>
      </c>
      <c r="N95" s="418">
        <f t="shared" si="19"/>
        <v>0</v>
      </c>
      <c r="O95" s="418" t="e">
        <f t="shared" si="20"/>
        <v>#DIV/0!</v>
      </c>
      <c r="P95" s="42"/>
      <c r="Q95" s="395">
        <f>IFERROR(((StormWeight(E95:J95, A95,H95))),0)</f>
        <v>0</v>
      </c>
      <c r="R95" s="395">
        <f t="shared" si="28"/>
        <v>0</v>
      </c>
      <c r="S95" s="283"/>
      <c r="T95" s="188"/>
      <c r="U95" s="188"/>
      <c r="V95" s="42"/>
      <c r="W95" s="188">
        <f t="shared" si="24"/>
        <v>0</v>
      </c>
    </row>
    <row r="96" spans="1:23" x14ac:dyDescent="0.25">
      <c r="A96" s="8"/>
      <c r="B96" s="17"/>
      <c r="C96" s="14"/>
      <c r="D96" s="14"/>
      <c r="E96" s="145">
        <f t="shared" si="25"/>
        <v>-0.3</v>
      </c>
      <c r="F96" s="47"/>
      <c r="G96" s="47"/>
      <c r="H96" s="11">
        <f t="shared" si="26"/>
        <v>0</v>
      </c>
      <c r="I96" s="3">
        <f t="shared" si="23"/>
        <v>0</v>
      </c>
      <c r="J96" s="12"/>
      <c r="K96" s="43">
        <f t="shared" si="27"/>
        <v>0</v>
      </c>
      <c r="L96" s="42">
        <f>IFERROR(SewerPrice(E96:J96)+P96+IF(ISNUMBER(SEARCH("Diameter",J96)),VLOOKUP(G96,BootTable,2,FALSE)*F96,0),0)</f>
        <v>0</v>
      </c>
      <c r="M96" s="408">
        <f t="shared" si="29"/>
        <v>0</v>
      </c>
      <c r="N96" s="418">
        <f t="shared" si="19"/>
        <v>0</v>
      </c>
      <c r="O96" s="418" t="e">
        <f t="shared" si="20"/>
        <v>#DIV/0!</v>
      </c>
      <c r="P96" s="42"/>
      <c r="Q96" s="395">
        <f>IFERROR(((StormWeight(E96:J96, A96,H96))),0)</f>
        <v>0</v>
      </c>
      <c r="R96" s="395">
        <f t="shared" si="28"/>
        <v>0</v>
      </c>
      <c r="S96" s="283"/>
      <c r="T96" s="188"/>
      <c r="U96" s="188"/>
      <c r="V96" s="42"/>
      <c r="W96" s="188">
        <f t="shared" si="24"/>
        <v>0</v>
      </c>
    </row>
    <row r="97" spans="1:23" x14ac:dyDescent="0.25">
      <c r="A97" s="8"/>
      <c r="B97" s="17"/>
      <c r="C97" s="14"/>
      <c r="D97" s="14"/>
      <c r="E97" s="145">
        <f t="shared" si="25"/>
        <v>-0.3</v>
      </c>
      <c r="F97" s="47"/>
      <c r="G97" s="47"/>
      <c r="H97" s="11">
        <f t="shared" si="26"/>
        <v>0</v>
      </c>
      <c r="I97" s="3">
        <f t="shared" si="23"/>
        <v>0</v>
      </c>
      <c r="J97" s="12"/>
      <c r="K97" s="43">
        <f t="shared" si="27"/>
        <v>0</v>
      </c>
      <c r="L97" s="42">
        <f>IFERROR(SewerPrice(E97:J97)+P97+IF(ISNUMBER(SEARCH("Diameter",J97)),VLOOKUP(G97,BootTable,2,FALSE)*F97,0),0)</f>
        <v>0</v>
      </c>
      <c r="M97" s="408">
        <f t="shared" si="29"/>
        <v>0</v>
      </c>
      <c r="N97" s="418">
        <f t="shared" si="19"/>
        <v>0</v>
      </c>
      <c r="O97" s="418" t="e">
        <f t="shared" si="20"/>
        <v>#DIV/0!</v>
      </c>
      <c r="P97" s="42"/>
      <c r="Q97" s="395">
        <f>IFERROR(((StormWeight(E97:J97, A97,H97))),0)</f>
        <v>0</v>
      </c>
      <c r="R97" s="395">
        <f t="shared" si="28"/>
        <v>0</v>
      </c>
      <c r="S97" s="283"/>
      <c r="T97" s="188"/>
      <c r="U97" s="188"/>
      <c r="V97" s="42"/>
      <c r="W97" s="188">
        <f t="shared" si="24"/>
        <v>0</v>
      </c>
    </row>
    <row r="98" spans="1:23" x14ac:dyDescent="0.25">
      <c r="A98" s="8"/>
      <c r="B98" s="17"/>
      <c r="C98" s="14"/>
      <c r="D98" s="14"/>
      <c r="E98" s="145">
        <f t="shared" si="25"/>
        <v>-0.3</v>
      </c>
      <c r="F98" s="47"/>
      <c r="G98" s="47"/>
      <c r="H98" s="11">
        <f t="shared" si="26"/>
        <v>0</v>
      </c>
      <c r="I98" s="3">
        <f t="shared" si="23"/>
        <v>0</v>
      </c>
      <c r="J98" s="12"/>
      <c r="K98" s="43">
        <f t="shared" si="27"/>
        <v>0</v>
      </c>
      <c r="L98" s="42">
        <f>IFERROR(SewerPrice(E98:J98)+P98+IF(ISNUMBER(SEARCH("Diameter",J98)),VLOOKUP(G98,BootTable,2,FALSE)*F98,0),0)</f>
        <v>0</v>
      </c>
      <c r="M98" s="408">
        <f t="shared" si="29"/>
        <v>0</v>
      </c>
      <c r="N98" s="418">
        <f t="shared" si="19"/>
        <v>0</v>
      </c>
      <c r="O98" s="418" t="e">
        <f t="shared" si="20"/>
        <v>#DIV/0!</v>
      </c>
      <c r="P98" s="42"/>
      <c r="Q98" s="395">
        <f>IFERROR(((StormWeight(E98:J98, A98,H98))),0)</f>
        <v>0</v>
      </c>
      <c r="R98" s="395">
        <f t="shared" si="28"/>
        <v>0</v>
      </c>
      <c r="S98" s="283"/>
      <c r="T98" s="188"/>
      <c r="U98" s="188"/>
      <c r="V98" s="42"/>
      <c r="W98" s="188">
        <f t="shared" si="24"/>
        <v>0</v>
      </c>
    </row>
    <row r="99" spans="1:23" x14ac:dyDescent="0.25">
      <c r="A99" s="8"/>
      <c r="B99" s="17"/>
      <c r="C99" s="14"/>
      <c r="D99" s="14"/>
      <c r="E99" s="145">
        <f t="shared" si="25"/>
        <v>-0.3</v>
      </c>
      <c r="F99" s="47"/>
      <c r="G99" s="47"/>
      <c r="H99" s="11">
        <f t="shared" si="26"/>
        <v>0</v>
      </c>
      <c r="I99" s="3">
        <f t="shared" si="23"/>
        <v>0</v>
      </c>
      <c r="J99" s="12"/>
      <c r="K99" s="43">
        <f t="shared" si="27"/>
        <v>0</v>
      </c>
      <c r="L99" s="42">
        <f>IFERROR(SewerPrice(E99:J99)+P99+IF(ISNUMBER(SEARCH("Diameter",J99)),VLOOKUP(G99,BootTable,2,FALSE)*F99,0),0)</f>
        <v>0</v>
      </c>
      <c r="M99" s="408">
        <f t="shared" si="29"/>
        <v>0</v>
      </c>
      <c r="N99" s="418">
        <f t="shared" si="19"/>
        <v>0</v>
      </c>
      <c r="O99" s="418" t="e">
        <f t="shared" si="20"/>
        <v>#DIV/0!</v>
      </c>
      <c r="P99" s="42"/>
      <c r="Q99" s="395">
        <f>IFERROR(((StormWeight(E99:J99, A99,H99))),0)</f>
        <v>0</v>
      </c>
      <c r="R99" s="395">
        <f t="shared" si="28"/>
        <v>0</v>
      </c>
      <c r="S99" s="283"/>
      <c r="T99" s="188"/>
      <c r="U99" s="188"/>
      <c r="V99" s="42"/>
      <c r="W99" s="188">
        <f t="shared" si="24"/>
        <v>0</v>
      </c>
    </row>
    <row r="100" spans="1:23" x14ac:dyDescent="0.25">
      <c r="A100" s="8"/>
      <c r="B100" s="17"/>
      <c r="C100" s="14"/>
      <c r="D100" s="14"/>
      <c r="E100" s="145">
        <f t="shared" si="25"/>
        <v>-0.3</v>
      </c>
      <c r="F100" s="47"/>
      <c r="G100" s="47"/>
      <c r="H100" s="11">
        <f t="shared" si="26"/>
        <v>0</v>
      </c>
      <c r="I100" s="3">
        <f t="shared" si="23"/>
        <v>0</v>
      </c>
      <c r="J100" s="12"/>
      <c r="K100" s="43">
        <f t="shared" si="27"/>
        <v>0</v>
      </c>
      <c r="L100" s="42">
        <f>IFERROR(SewerPrice(E100:J100)+P100+IF(ISNUMBER(SEARCH("Diameter",J100)),VLOOKUP(G100,BootTable,2,FALSE)*F100,0),0)</f>
        <v>0</v>
      </c>
      <c r="M100" s="408">
        <f t="shared" si="29"/>
        <v>0</v>
      </c>
      <c r="N100" s="418">
        <f t="shared" si="19"/>
        <v>0</v>
      </c>
      <c r="O100" s="418" t="e">
        <f t="shared" si="20"/>
        <v>#DIV/0!</v>
      </c>
      <c r="P100" s="42"/>
      <c r="Q100" s="395">
        <f>IFERROR(((StormWeight(E100:J100, A100,H100))),0)</f>
        <v>0</v>
      </c>
      <c r="R100" s="395">
        <f t="shared" si="28"/>
        <v>0</v>
      </c>
      <c r="S100" s="283"/>
      <c r="T100" s="188"/>
      <c r="U100" s="188"/>
      <c r="V100" s="42"/>
      <c r="W100" s="188">
        <f t="shared" si="24"/>
        <v>0</v>
      </c>
    </row>
    <row r="101" spans="1:23" x14ac:dyDescent="0.25">
      <c r="A101" s="8"/>
      <c r="B101" s="17"/>
      <c r="C101" s="14"/>
      <c r="D101" s="14"/>
      <c r="E101" s="145">
        <f t="shared" si="25"/>
        <v>-0.3</v>
      </c>
      <c r="F101" s="47"/>
      <c r="G101" s="47"/>
      <c r="H101" s="11">
        <f t="shared" si="26"/>
        <v>0</v>
      </c>
      <c r="I101" s="3">
        <f t="shared" si="23"/>
        <v>0</v>
      </c>
      <c r="J101" s="12"/>
      <c r="K101" s="43">
        <f t="shared" si="27"/>
        <v>0</v>
      </c>
      <c r="L101" s="42">
        <f>IFERROR(SewerPrice(E101:J101)+P101+IF(ISNUMBER(SEARCH("Diameter",J101)),VLOOKUP(G101,BootTable,2,FALSE)*F101,0),0)</f>
        <v>0</v>
      </c>
      <c r="M101" s="408">
        <f t="shared" si="29"/>
        <v>0</v>
      </c>
      <c r="N101" s="418">
        <f t="shared" si="19"/>
        <v>0</v>
      </c>
      <c r="O101" s="418" t="e">
        <f t="shared" si="20"/>
        <v>#DIV/0!</v>
      </c>
      <c r="P101" s="42"/>
      <c r="Q101" s="395">
        <f>IFERROR(((StormWeight(E101:J101, A101,H101))),0)</f>
        <v>0</v>
      </c>
      <c r="R101" s="395">
        <f t="shared" si="28"/>
        <v>0</v>
      </c>
      <c r="S101" s="283"/>
      <c r="T101" s="188"/>
      <c r="U101" s="188"/>
      <c r="V101" s="42"/>
      <c r="W101" s="188">
        <f t="shared" si="24"/>
        <v>0</v>
      </c>
    </row>
    <row r="102" spans="1:23" x14ac:dyDescent="0.25">
      <c r="A102" s="8"/>
      <c r="B102" s="17"/>
      <c r="C102" s="14"/>
      <c r="D102" s="14"/>
      <c r="E102" s="145">
        <f t="shared" si="25"/>
        <v>-0.3</v>
      </c>
      <c r="F102" s="47"/>
      <c r="G102" s="47"/>
      <c r="H102" s="11">
        <f t="shared" si="26"/>
        <v>0</v>
      </c>
      <c r="I102" s="3">
        <f t="shared" si="23"/>
        <v>0</v>
      </c>
      <c r="J102" s="12"/>
      <c r="K102" s="43">
        <f t="shared" si="27"/>
        <v>0</v>
      </c>
      <c r="L102" s="42">
        <f>IFERROR(SewerPrice(E102:J102)+P102+IF(ISNUMBER(SEARCH("Diameter",J102)),VLOOKUP(G102,BootTable,2,FALSE)*F102,0),0)</f>
        <v>0</v>
      </c>
      <c r="M102" s="408">
        <f t="shared" si="29"/>
        <v>0</v>
      </c>
      <c r="N102" s="418">
        <f t="shared" si="19"/>
        <v>0</v>
      </c>
      <c r="O102" s="418" t="e">
        <f t="shared" si="20"/>
        <v>#DIV/0!</v>
      </c>
      <c r="P102" s="42"/>
      <c r="Q102" s="395">
        <f>IFERROR(((StormWeight(E102:J102, A102,H102))),0)</f>
        <v>0</v>
      </c>
      <c r="R102" s="395">
        <f t="shared" si="28"/>
        <v>0</v>
      </c>
      <c r="S102" s="283"/>
      <c r="T102" s="188"/>
      <c r="U102" s="188"/>
      <c r="V102" s="42"/>
      <c r="W102" s="188">
        <f t="shared" si="24"/>
        <v>0</v>
      </c>
    </row>
    <row r="103" spans="1:23" x14ac:dyDescent="0.25">
      <c r="A103" s="8"/>
      <c r="B103" s="17"/>
      <c r="C103" s="14"/>
      <c r="D103" s="14"/>
      <c r="E103" s="145">
        <f t="shared" si="25"/>
        <v>-0.3</v>
      </c>
      <c r="F103" s="47"/>
      <c r="G103" s="47"/>
      <c r="H103" s="11">
        <f t="shared" si="26"/>
        <v>0</v>
      </c>
      <c r="I103" s="3">
        <f t="shared" si="23"/>
        <v>0</v>
      </c>
      <c r="J103" s="12"/>
      <c r="K103" s="43">
        <f t="shared" si="27"/>
        <v>0</v>
      </c>
      <c r="L103" s="42">
        <f>IFERROR(SewerPrice(E103:J103)+P103+IF(ISNUMBER(SEARCH("Diameter",J103)),VLOOKUP(G103,BootTable,2,FALSE)*F103,0),0)</f>
        <v>0</v>
      </c>
      <c r="M103" s="408">
        <f t="shared" si="29"/>
        <v>0</v>
      </c>
      <c r="N103" s="418">
        <f t="shared" si="19"/>
        <v>0</v>
      </c>
      <c r="O103" s="418" t="e">
        <f t="shared" si="20"/>
        <v>#DIV/0!</v>
      </c>
      <c r="P103" s="42"/>
      <c r="Q103" s="395">
        <f>IFERROR(((StormWeight(E103:J103, A103,H103))),0)</f>
        <v>0</v>
      </c>
      <c r="R103" s="395">
        <f t="shared" si="28"/>
        <v>0</v>
      </c>
      <c r="S103" s="283"/>
      <c r="T103" s="188"/>
      <c r="U103" s="188"/>
      <c r="V103" s="42"/>
      <c r="W103" s="188">
        <f t="shared" si="24"/>
        <v>0</v>
      </c>
    </row>
    <row r="104" spans="1:23" x14ac:dyDescent="0.25">
      <c r="A104" s="8"/>
      <c r="B104" s="17"/>
      <c r="C104" s="14"/>
      <c r="D104" s="14"/>
      <c r="E104" s="145">
        <f t="shared" si="25"/>
        <v>-0.3</v>
      </c>
      <c r="F104" s="47"/>
      <c r="G104" s="47"/>
      <c r="H104" s="11">
        <f t="shared" si="26"/>
        <v>0</v>
      </c>
      <c r="I104" s="3">
        <f t="shared" si="23"/>
        <v>0</v>
      </c>
      <c r="J104" s="12"/>
      <c r="K104" s="43">
        <f t="shared" si="27"/>
        <v>0</v>
      </c>
      <c r="L104" s="42">
        <f>IFERROR(SewerPrice(E104:J104)+P104+IF(ISNUMBER(SEARCH("Diameter",J104)),VLOOKUP(G104,BootTable,2,FALSE)*F104,0),0)</f>
        <v>0</v>
      </c>
      <c r="M104" s="408">
        <f t="shared" si="29"/>
        <v>0</v>
      </c>
      <c r="N104" s="418">
        <f t="shared" si="19"/>
        <v>0</v>
      </c>
      <c r="O104" s="418" t="e">
        <f t="shared" si="20"/>
        <v>#DIV/0!</v>
      </c>
      <c r="P104" s="42"/>
      <c r="Q104" s="395">
        <f>IFERROR(((StormWeight(E104:J104, A104,H104))),0)</f>
        <v>0</v>
      </c>
      <c r="R104" s="395">
        <f t="shared" si="28"/>
        <v>0</v>
      </c>
      <c r="S104" s="283"/>
      <c r="T104" s="188"/>
      <c r="U104" s="188"/>
      <c r="V104" s="42"/>
      <c r="W104" s="188">
        <f t="shared" si="24"/>
        <v>0</v>
      </c>
    </row>
    <row r="105" spans="1:23" x14ac:dyDescent="0.25">
      <c r="A105" s="8"/>
      <c r="B105" s="17"/>
      <c r="C105" s="14"/>
      <c r="D105" s="14"/>
      <c r="E105" s="145">
        <f t="shared" si="25"/>
        <v>-0.3</v>
      </c>
      <c r="F105" s="47"/>
      <c r="G105" s="47"/>
      <c r="H105" s="11">
        <f t="shared" si="26"/>
        <v>0</v>
      </c>
      <c r="I105" s="3">
        <f t="shared" si="23"/>
        <v>0</v>
      </c>
      <c r="J105" s="12"/>
      <c r="K105" s="43">
        <f t="shared" si="27"/>
        <v>0</v>
      </c>
      <c r="L105" s="42">
        <f>IFERROR(SewerPrice(E105:J105)+P105+IF(ISNUMBER(SEARCH("Diameter",J105)),VLOOKUP(G105,BootTable,2,FALSE)*F105,0),0)</f>
        <v>0</v>
      </c>
      <c r="M105" s="408">
        <f t="shared" si="29"/>
        <v>0</v>
      </c>
      <c r="N105" s="418">
        <f t="shared" si="19"/>
        <v>0</v>
      </c>
      <c r="O105" s="418" t="e">
        <f t="shared" si="20"/>
        <v>#DIV/0!</v>
      </c>
      <c r="P105" s="42"/>
      <c r="Q105" s="395">
        <f>IFERROR(((StormWeight(E105:J105, A105,H105))),0)</f>
        <v>0</v>
      </c>
      <c r="R105" s="395">
        <f t="shared" si="28"/>
        <v>0</v>
      </c>
      <c r="S105" s="283"/>
      <c r="T105" s="188"/>
      <c r="U105" s="188"/>
      <c r="V105" s="42"/>
      <c r="W105" s="188">
        <f t="shared" si="24"/>
        <v>0</v>
      </c>
    </row>
    <row r="106" spans="1:23" x14ac:dyDescent="0.25">
      <c r="A106" s="8"/>
      <c r="B106" s="17"/>
      <c r="C106" s="14"/>
      <c r="D106" s="14"/>
      <c r="E106" s="145">
        <f t="shared" si="25"/>
        <v>-0.3</v>
      </c>
      <c r="F106" s="47"/>
      <c r="G106" s="47"/>
      <c r="H106" s="11">
        <f t="shared" si="26"/>
        <v>0</v>
      </c>
      <c r="I106" s="3">
        <f t="shared" si="23"/>
        <v>0</v>
      </c>
      <c r="J106" s="12"/>
      <c r="K106" s="43">
        <f t="shared" si="27"/>
        <v>0</v>
      </c>
      <c r="L106" s="42">
        <f>IFERROR(SewerPrice(E106:J106)+P106+IF(ISNUMBER(SEARCH("Diameter",J106)),VLOOKUP(G106,BootTable,2,FALSE)*F106,0),0)</f>
        <v>0</v>
      </c>
      <c r="M106" s="408">
        <f t="shared" si="29"/>
        <v>0</v>
      </c>
      <c r="N106" s="418">
        <f t="shared" si="19"/>
        <v>0</v>
      </c>
      <c r="O106" s="418" t="e">
        <f t="shared" si="20"/>
        <v>#DIV/0!</v>
      </c>
      <c r="P106" s="42"/>
      <c r="Q106" s="395">
        <f>IFERROR(((StormWeight(E106:J106, A106,H106))),0)</f>
        <v>0</v>
      </c>
      <c r="R106" s="395">
        <f t="shared" si="28"/>
        <v>0</v>
      </c>
      <c r="S106" s="283"/>
      <c r="T106" s="188"/>
      <c r="U106" s="188"/>
      <c r="V106" s="42"/>
      <c r="W106" s="188">
        <f t="shared" si="24"/>
        <v>0</v>
      </c>
    </row>
    <row r="107" spans="1:23" x14ac:dyDescent="0.25">
      <c r="A107" s="8"/>
      <c r="B107" s="17"/>
      <c r="C107" s="14"/>
      <c r="D107" s="14"/>
      <c r="E107" s="145">
        <f t="shared" si="25"/>
        <v>-0.3</v>
      </c>
      <c r="F107" s="47"/>
      <c r="G107" s="47"/>
      <c r="H107" s="11">
        <f t="shared" si="26"/>
        <v>0</v>
      </c>
      <c r="I107" s="3">
        <f t="shared" si="23"/>
        <v>0</v>
      </c>
      <c r="J107" s="12"/>
      <c r="K107" s="43">
        <f t="shared" si="27"/>
        <v>0</v>
      </c>
      <c r="L107" s="42">
        <f>IFERROR(SewerPrice(E107:J107)+P107+IF(ISNUMBER(SEARCH("Diameter",J107)),VLOOKUP(G107,BootTable,2,FALSE)*F107,0),0)</f>
        <v>0</v>
      </c>
      <c r="M107" s="408">
        <f t="shared" si="29"/>
        <v>0</v>
      </c>
      <c r="N107" s="418">
        <f t="shared" si="19"/>
        <v>0</v>
      </c>
      <c r="O107" s="418" t="e">
        <f t="shared" si="20"/>
        <v>#DIV/0!</v>
      </c>
      <c r="P107" s="42"/>
      <c r="Q107" s="395">
        <f>IFERROR(((StormWeight(E107:J107, A107,H107))),0)</f>
        <v>0</v>
      </c>
      <c r="R107" s="395">
        <f t="shared" si="28"/>
        <v>0</v>
      </c>
      <c r="S107" s="283"/>
      <c r="T107" s="188"/>
      <c r="U107" s="188"/>
      <c r="V107" s="42"/>
      <c r="W107" s="188">
        <f t="shared" si="24"/>
        <v>0</v>
      </c>
    </row>
    <row r="108" spans="1:23" x14ac:dyDescent="0.25">
      <c r="A108" s="8"/>
      <c r="B108" s="17"/>
      <c r="C108" s="14"/>
      <c r="D108" s="14"/>
      <c r="E108" s="145">
        <f t="shared" si="25"/>
        <v>-0.3</v>
      </c>
      <c r="F108" s="47"/>
      <c r="G108" s="47"/>
      <c r="H108" s="11">
        <f t="shared" si="26"/>
        <v>0</v>
      </c>
      <c r="I108" s="3">
        <f t="shared" si="23"/>
        <v>0</v>
      </c>
      <c r="J108" s="12"/>
      <c r="K108" s="43">
        <f t="shared" si="27"/>
        <v>0</v>
      </c>
      <c r="L108" s="42">
        <f>IFERROR(SewerPrice(E108:J108)+P108+IF(ISNUMBER(SEARCH("Diameter",J108)),VLOOKUP(G108,BootTable,2,FALSE)*F108,0),0)</f>
        <v>0</v>
      </c>
      <c r="M108" s="408">
        <f t="shared" si="29"/>
        <v>0</v>
      </c>
      <c r="N108" s="418">
        <f t="shared" si="19"/>
        <v>0</v>
      </c>
      <c r="O108" s="418" t="e">
        <f t="shared" si="20"/>
        <v>#DIV/0!</v>
      </c>
      <c r="P108" s="42"/>
      <c r="Q108" s="395">
        <f>IFERROR(((StormWeight(E108:J108, A108,H108))),0)</f>
        <v>0</v>
      </c>
      <c r="R108" s="395">
        <f t="shared" si="28"/>
        <v>0</v>
      </c>
      <c r="S108" s="283"/>
      <c r="T108" s="188"/>
      <c r="U108" s="188"/>
      <c r="V108" s="42"/>
      <c r="W108" s="188">
        <f t="shared" si="24"/>
        <v>0</v>
      </c>
    </row>
    <row r="109" spans="1:23" x14ac:dyDescent="0.25">
      <c r="A109" s="8"/>
      <c r="B109" s="17"/>
      <c r="C109" s="14"/>
      <c r="D109" s="14"/>
      <c r="E109" s="145">
        <f t="shared" si="25"/>
        <v>-0.3</v>
      </c>
      <c r="F109" s="47"/>
      <c r="G109" s="47"/>
      <c r="H109" s="11">
        <f t="shared" si="26"/>
        <v>0</v>
      </c>
      <c r="I109" s="3">
        <f t="shared" si="23"/>
        <v>0</v>
      </c>
      <c r="J109" s="12"/>
      <c r="K109" s="43">
        <f t="shared" si="27"/>
        <v>0</v>
      </c>
      <c r="L109" s="42">
        <f>IFERROR(SewerPrice(E109:J109)+P109+IF(ISNUMBER(SEARCH("Diameter",J109)),VLOOKUP(G109,BootTable,2,FALSE)*F109,0),0)</f>
        <v>0</v>
      </c>
      <c r="M109" s="408">
        <f t="shared" si="29"/>
        <v>0</v>
      </c>
      <c r="N109" s="418">
        <f t="shared" si="19"/>
        <v>0</v>
      </c>
      <c r="O109" s="418" t="e">
        <f t="shared" si="20"/>
        <v>#DIV/0!</v>
      </c>
      <c r="P109" s="42"/>
      <c r="Q109" s="395">
        <f>IFERROR(((StormWeight(E109:J109, A109,H109))),0)</f>
        <v>0</v>
      </c>
      <c r="R109" s="395">
        <f t="shared" si="28"/>
        <v>0</v>
      </c>
      <c r="S109" s="283"/>
      <c r="T109" s="188"/>
      <c r="U109" s="188"/>
      <c r="V109" s="42"/>
      <c r="W109" s="188">
        <f t="shared" si="24"/>
        <v>0</v>
      </c>
    </row>
    <row r="110" spans="1:23" x14ac:dyDescent="0.25">
      <c r="A110" s="8"/>
      <c r="B110" s="17"/>
      <c r="C110" s="14"/>
      <c r="D110" s="14"/>
      <c r="E110" s="145">
        <f t="shared" si="25"/>
        <v>-0.3</v>
      </c>
      <c r="F110" s="47"/>
      <c r="G110" s="47"/>
      <c r="H110" s="11">
        <f t="shared" si="26"/>
        <v>0</v>
      </c>
      <c r="I110" s="3">
        <f t="shared" si="23"/>
        <v>0</v>
      </c>
      <c r="J110" s="12"/>
      <c r="K110" s="43">
        <f t="shared" si="27"/>
        <v>0</v>
      </c>
      <c r="L110" s="42">
        <f>IFERROR(SewerPrice(E110:J110)+P110+IF(ISNUMBER(SEARCH("Diameter",J110)),VLOOKUP(G110,BootTable,2,FALSE)*F110,0),0)</f>
        <v>0</v>
      </c>
      <c r="M110" s="408">
        <f t="shared" si="29"/>
        <v>0</v>
      </c>
      <c r="N110" s="418">
        <f t="shared" si="19"/>
        <v>0</v>
      </c>
      <c r="O110" s="418" t="e">
        <f t="shared" si="20"/>
        <v>#DIV/0!</v>
      </c>
      <c r="P110" s="42"/>
      <c r="Q110" s="395">
        <f>IFERROR(((StormWeight(E110:J110, A110,H110))),0)</f>
        <v>0</v>
      </c>
      <c r="R110" s="395">
        <f t="shared" si="28"/>
        <v>0</v>
      </c>
      <c r="S110" s="283"/>
      <c r="T110" s="188"/>
      <c r="U110" s="188"/>
      <c r="V110" s="42"/>
      <c r="W110" s="188">
        <f t="shared" si="24"/>
        <v>0</v>
      </c>
    </row>
    <row r="111" spans="1:23" x14ac:dyDescent="0.25">
      <c r="A111" s="8"/>
      <c r="B111" s="17"/>
      <c r="C111" s="14"/>
      <c r="D111" s="14"/>
      <c r="E111" s="145">
        <f t="shared" si="25"/>
        <v>-0.3</v>
      </c>
      <c r="F111" s="47"/>
      <c r="G111" s="47"/>
      <c r="H111" s="11">
        <f t="shared" si="26"/>
        <v>0</v>
      </c>
      <c r="I111" s="3">
        <f t="shared" ref="I111:I120" si="30">ROUNDUP(K111,0)</f>
        <v>0</v>
      </c>
      <c r="J111" s="12"/>
      <c r="K111" s="43">
        <f t="shared" si="27"/>
        <v>0</v>
      </c>
      <c r="L111" s="42">
        <f>IFERROR(SewerPrice(E111:J111)+P111+IF(ISNUMBER(SEARCH("Diameter",J111)),VLOOKUP(G111,BootTable,2,FALSE)*F111,0),0)</f>
        <v>0</v>
      </c>
      <c r="M111" s="408">
        <f t="shared" si="29"/>
        <v>0</v>
      </c>
      <c r="N111" s="418">
        <f t="shared" si="19"/>
        <v>0</v>
      </c>
      <c r="O111" s="418" t="e">
        <f t="shared" si="20"/>
        <v>#DIV/0!</v>
      </c>
      <c r="P111" s="42"/>
      <c r="Q111" s="395">
        <f>IFERROR(((StormWeight(E111:J111, A111,H111))),0)</f>
        <v>0</v>
      </c>
      <c r="R111" s="395">
        <f t="shared" si="28"/>
        <v>0</v>
      </c>
      <c r="S111" s="283"/>
      <c r="T111" s="188"/>
      <c r="U111" s="188"/>
      <c r="V111" s="42"/>
      <c r="W111" s="188">
        <f t="shared" si="24"/>
        <v>0</v>
      </c>
    </row>
    <row r="112" spans="1:23" x14ac:dyDescent="0.25">
      <c r="A112" s="8"/>
      <c r="B112" s="17"/>
      <c r="C112" s="14"/>
      <c r="D112" s="14"/>
      <c r="E112" s="145">
        <f t="shared" si="25"/>
        <v>-0.3</v>
      </c>
      <c r="F112" s="47"/>
      <c r="G112" s="47"/>
      <c r="H112" s="11">
        <f t="shared" si="26"/>
        <v>0</v>
      </c>
      <c r="I112" s="3">
        <f t="shared" si="30"/>
        <v>0</v>
      </c>
      <c r="J112" s="12"/>
      <c r="K112" s="43">
        <f t="shared" si="27"/>
        <v>0</v>
      </c>
      <c r="L112" s="42">
        <f>IFERROR(SewerPrice(E112:J112)+P112+IF(ISNUMBER(SEARCH("Diameter",J112)),VLOOKUP(G112,BootTable,2,FALSE)*F112,0),0)</f>
        <v>0</v>
      </c>
      <c r="M112" s="408">
        <f t="shared" si="29"/>
        <v>0</v>
      </c>
      <c r="N112" s="418">
        <f t="shared" si="19"/>
        <v>0</v>
      </c>
      <c r="O112" s="418" t="e">
        <f t="shared" si="20"/>
        <v>#DIV/0!</v>
      </c>
      <c r="P112" s="42"/>
      <c r="Q112" s="395">
        <f>IFERROR(((StormWeight(E112:J112, A112,H112))),0)</f>
        <v>0</v>
      </c>
      <c r="R112" s="395">
        <f t="shared" si="28"/>
        <v>0</v>
      </c>
      <c r="S112" s="283"/>
      <c r="T112" s="188"/>
      <c r="U112" s="188"/>
      <c r="V112" s="42"/>
      <c r="W112" s="188">
        <f t="shared" si="24"/>
        <v>0</v>
      </c>
    </row>
    <row r="113" spans="1:23" x14ac:dyDescent="0.25">
      <c r="A113" s="8"/>
      <c r="B113" s="17"/>
      <c r="C113" s="14"/>
      <c r="D113" s="14"/>
      <c r="E113" s="145">
        <f t="shared" si="25"/>
        <v>-0.3</v>
      </c>
      <c r="F113" s="47"/>
      <c r="G113" s="47"/>
      <c r="H113" s="11">
        <f t="shared" si="26"/>
        <v>0</v>
      </c>
      <c r="I113" s="3">
        <f t="shared" si="30"/>
        <v>0</v>
      </c>
      <c r="J113" s="12"/>
      <c r="K113" s="43">
        <f t="shared" si="27"/>
        <v>0</v>
      </c>
      <c r="L113" s="42">
        <f>IFERROR(SewerPrice(E113:J113)+P113+IF(ISNUMBER(SEARCH("Diameter",J113)),VLOOKUP(G113,BootTable,2,FALSE)*F113,0),0)</f>
        <v>0</v>
      </c>
      <c r="M113" s="408">
        <f t="shared" si="29"/>
        <v>0</v>
      </c>
      <c r="N113" s="418">
        <f t="shared" si="19"/>
        <v>0</v>
      </c>
      <c r="O113" s="418" t="e">
        <f t="shared" si="20"/>
        <v>#DIV/0!</v>
      </c>
      <c r="P113" s="42"/>
      <c r="Q113" s="395">
        <f>IFERROR(((StormWeight(E113:J113, A113,H113))),0)</f>
        <v>0</v>
      </c>
      <c r="R113" s="395">
        <f t="shared" si="28"/>
        <v>0</v>
      </c>
      <c r="S113" s="283"/>
      <c r="T113" s="188"/>
      <c r="U113" s="188"/>
      <c r="V113" s="42"/>
      <c r="W113" s="188">
        <f t="shared" si="24"/>
        <v>0</v>
      </c>
    </row>
    <row r="114" spans="1:23" x14ac:dyDescent="0.25">
      <c r="A114" s="8"/>
      <c r="B114" s="17"/>
      <c r="C114" s="14"/>
      <c r="D114" s="14"/>
      <c r="E114" s="145">
        <f t="shared" si="25"/>
        <v>-0.3</v>
      </c>
      <c r="F114" s="47"/>
      <c r="G114" s="47"/>
      <c r="H114" s="11">
        <f t="shared" si="26"/>
        <v>0</v>
      </c>
      <c r="I114" s="3">
        <f t="shared" si="30"/>
        <v>0</v>
      </c>
      <c r="J114" s="12"/>
      <c r="K114" s="43">
        <f t="shared" si="27"/>
        <v>0</v>
      </c>
      <c r="L114" s="42">
        <f>IFERROR(SewerPrice(E114:J114)+P114+IF(ISNUMBER(SEARCH("Diameter",J114)),VLOOKUP(G114,BootTable,2,FALSE)*F114,0),0)</f>
        <v>0</v>
      </c>
      <c r="M114" s="408">
        <f t="shared" si="29"/>
        <v>0</v>
      </c>
      <c r="N114" s="418">
        <f t="shared" si="19"/>
        <v>0</v>
      </c>
      <c r="O114" s="418" t="e">
        <f t="shared" si="20"/>
        <v>#DIV/0!</v>
      </c>
      <c r="P114" s="42"/>
      <c r="Q114" s="395">
        <f>IFERROR(((StormWeight(E114:J114, A114,H114))),0)</f>
        <v>0</v>
      </c>
      <c r="R114" s="395">
        <f t="shared" si="28"/>
        <v>0</v>
      </c>
      <c r="S114" s="283"/>
      <c r="T114" s="188"/>
      <c r="U114" s="188"/>
      <c r="V114" s="42"/>
      <c r="W114" s="188">
        <f t="shared" si="24"/>
        <v>0</v>
      </c>
    </row>
    <row r="115" spans="1:23" x14ac:dyDescent="0.25">
      <c r="A115" s="8"/>
      <c r="B115" s="17"/>
      <c r="C115" s="14"/>
      <c r="D115" s="14"/>
      <c r="E115" s="145">
        <f t="shared" si="25"/>
        <v>-0.3</v>
      </c>
      <c r="F115" s="47"/>
      <c r="G115" s="47"/>
      <c r="H115" s="11">
        <f t="shared" si="26"/>
        <v>0</v>
      </c>
      <c r="I115" s="3">
        <f t="shared" si="30"/>
        <v>0</v>
      </c>
      <c r="J115" s="205"/>
      <c r="K115" s="43">
        <f t="shared" si="27"/>
        <v>0</v>
      </c>
      <c r="L115" s="42">
        <f>IFERROR(SewerPrice(E115:J115)+P115+IF(ISNUMBER(SEARCH("Diameter",J115)),VLOOKUP(G115,BootTable,2,FALSE)*F115,0),0)</f>
        <v>0</v>
      </c>
      <c r="M115" s="408">
        <f t="shared" si="29"/>
        <v>0</v>
      </c>
      <c r="N115" s="418">
        <f t="shared" si="19"/>
        <v>0</v>
      </c>
      <c r="O115" s="418" t="e">
        <f t="shared" si="20"/>
        <v>#DIV/0!</v>
      </c>
      <c r="P115" s="42"/>
      <c r="Q115" s="395">
        <f>IFERROR(((StormWeight(E115:J115, A115,H115))),0)</f>
        <v>0</v>
      </c>
      <c r="R115" s="395">
        <f t="shared" si="28"/>
        <v>0</v>
      </c>
      <c r="S115" s="283"/>
      <c r="T115" s="188"/>
      <c r="U115" s="188"/>
      <c r="V115" s="42"/>
      <c r="W115" s="188">
        <f t="shared" si="24"/>
        <v>0</v>
      </c>
    </row>
    <row r="116" spans="1:23" x14ac:dyDescent="0.25">
      <c r="A116" s="8"/>
      <c r="B116" s="17"/>
      <c r="C116" s="14"/>
      <c r="D116" s="14"/>
      <c r="E116" s="145">
        <f t="shared" si="25"/>
        <v>-0.3</v>
      </c>
      <c r="F116" s="47"/>
      <c r="G116" s="47"/>
      <c r="H116" s="11">
        <f t="shared" si="26"/>
        <v>0</v>
      </c>
      <c r="I116" s="3">
        <f t="shared" si="30"/>
        <v>0</v>
      </c>
      <c r="J116" s="12"/>
      <c r="K116" s="43">
        <f t="shared" si="27"/>
        <v>0</v>
      </c>
      <c r="L116" s="42">
        <f>IFERROR(SewerPrice(E116:J116)+P116+IF(ISNUMBER(SEARCH("Diameter",J116)),VLOOKUP(G116,BootTable,2,FALSE)*F116,0),0)</f>
        <v>0</v>
      </c>
      <c r="M116" s="408">
        <f t="shared" si="29"/>
        <v>0</v>
      </c>
      <c r="N116" s="418">
        <f t="shared" si="19"/>
        <v>0</v>
      </c>
      <c r="O116" s="418" t="e">
        <f t="shared" si="20"/>
        <v>#DIV/0!</v>
      </c>
      <c r="P116" s="42"/>
      <c r="Q116" s="395">
        <f>IFERROR(((StormWeight(E116:J116, A116,H116))),0)</f>
        <v>0</v>
      </c>
      <c r="R116" s="395">
        <f t="shared" si="28"/>
        <v>0</v>
      </c>
      <c r="S116" s="283"/>
      <c r="T116" s="188"/>
      <c r="U116" s="188"/>
      <c r="V116" s="42"/>
      <c r="W116" s="188">
        <f t="shared" si="24"/>
        <v>0</v>
      </c>
    </row>
    <row r="117" spans="1:23" x14ac:dyDescent="0.25">
      <c r="A117" s="8"/>
      <c r="B117" s="17"/>
      <c r="C117" s="14"/>
      <c r="D117" s="14"/>
      <c r="E117" s="145">
        <f t="shared" si="25"/>
        <v>-0.3</v>
      </c>
      <c r="F117" s="47"/>
      <c r="G117" s="47"/>
      <c r="H117" s="11">
        <f t="shared" si="26"/>
        <v>0</v>
      </c>
      <c r="I117" s="3">
        <f t="shared" si="30"/>
        <v>0</v>
      </c>
      <c r="J117" s="12"/>
      <c r="K117" s="43">
        <f t="shared" si="27"/>
        <v>0</v>
      </c>
      <c r="L117" s="42">
        <f>IFERROR(SewerPrice(E117:J117)+P117+IF(ISNUMBER(SEARCH("Diameter",J117)),VLOOKUP(G117,BootTable,2,FALSE)*F117,0),0)</f>
        <v>0</v>
      </c>
      <c r="M117" s="408">
        <f t="shared" si="29"/>
        <v>0</v>
      </c>
      <c r="N117" s="418">
        <f t="shared" si="19"/>
        <v>0</v>
      </c>
      <c r="O117" s="418" t="e">
        <f t="shared" si="20"/>
        <v>#DIV/0!</v>
      </c>
      <c r="P117" s="42"/>
      <c r="Q117" s="395">
        <f>IFERROR(((StormWeight(E117:J117, A117,H117))),0)</f>
        <v>0</v>
      </c>
      <c r="R117" s="395">
        <f t="shared" si="28"/>
        <v>0</v>
      </c>
      <c r="S117" s="283"/>
      <c r="T117" s="188"/>
      <c r="U117" s="188"/>
      <c r="V117" s="42"/>
      <c r="W117" s="188">
        <f t="shared" si="24"/>
        <v>0</v>
      </c>
    </row>
    <row r="118" spans="1:23" x14ac:dyDescent="0.25">
      <c r="A118" s="8"/>
      <c r="B118" s="17"/>
      <c r="C118" s="14"/>
      <c r="D118" s="14"/>
      <c r="E118" s="145">
        <f t="shared" si="25"/>
        <v>-0.3</v>
      </c>
      <c r="F118" s="47"/>
      <c r="G118" s="47"/>
      <c r="H118" s="11">
        <f t="shared" si="26"/>
        <v>0</v>
      </c>
      <c r="I118" s="3">
        <f t="shared" si="30"/>
        <v>0</v>
      </c>
      <c r="J118" s="12"/>
      <c r="K118" s="43">
        <f t="shared" si="27"/>
        <v>0</v>
      </c>
      <c r="L118" s="42">
        <f>IFERROR(SewerPrice(E118:J118)+P118+IF(ISNUMBER(SEARCH("Diameter",J118)),VLOOKUP(G118,BootTable,2,FALSE)*F118,0),0)</f>
        <v>0</v>
      </c>
      <c r="M118" s="408">
        <f t="shared" si="29"/>
        <v>0</v>
      </c>
      <c r="N118" s="418">
        <f t="shared" si="19"/>
        <v>0</v>
      </c>
      <c r="O118" s="418" t="e">
        <f t="shared" si="20"/>
        <v>#DIV/0!</v>
      </c>
      <c r="P118" s="42"/>
      <c r="Q118" s="395">
        <f>IFERROR(((StormWeight(E118:J118, A118,H118))),0)</f>
        <v>0</v>
      </c>
      <c r="R118" s="395">
        <f t="shared" si="28"/>
        <v>0</v>
      </c>
      <c r="S118" s="283"/>
      <c r="T118" s="188"/>
      <c r="U118" s="188"/>
      <c r="V118" s="42"/>
      <c r="W118" s="188">
        <f t="shared" si="24"/>
        <v>0</v>
      </c>
    </row>
    <row r="119" spans="1:23" x14ac:dyDescent="0.25">
      <c r="A119" s="8"/>
      <c r="B119" s="17"/>
      <c r="C119" s="14"/>
      <c r="D119" s="14"/>
      <c r="E119" s="145">
        <f t="shared" si="25"/>
        <v>-0.3</v>
      </c>
      <c r="F119" s="47"/>
      <c r="G119" s="47"/>
      <c r="H119" s="11">
        <f t="shared" si="26"/>
        <v>0</v>
      </c>
      <c r="I119" s="3">
        <f t="shared" si="30"/>
        <v>0</v>
      </c>
      <c r="J119" s="205"/>
      <c r="K119" s="43">
        <f t="shared" si="27"/>
        <v>0</v>
      </c>
      <c r="L119" s="42">
        <f>IFERROR(SewerPrice(E119:J119)+P119+IF(ISNUMBER(SEARCH("Diameter",J119)),VLOOKUP(G119,BootTable,2,FALSE)*F119,0),0)</f>
        <v>0</v>
      </c>
      <c r="M119" s="408">
        <f t="shared" si="29"/>
        <v>0</v>
      </c>
      <c r="N119" s="418">
        <f t="shared" si="19"/>
        <v>0</v>
      </c>
      <c r="O119" s="418" t="e">
        <f t="shared" si="20"/>
        <v>#DIV/0!</v>
      </c>
      <c r="P119" s="42"/>
      <c r="Q119" s="395">
        <f>IFERROR(((StormWeight(E119:J119, A119,H119))),0)</f>
        <v>0</v>
      </c>
      <c r="R119" s="395">
        <f t="shared" si="28"/>
        <v>0</v>
      </c>
      <c r="S119" s="283"/>
      <c r="T119" s="188"/>
      <c r="U119" s="188"/>
      <c r="V119" s="42"/>
      <c r="W119" s="188">
        <f t="shared" si="24"/>
        <v>0</v>
      </c>
    </row>
    <row r="120" spans="1:23" x14ac:dyDescent="0.25">
      <c r="A120" s="8"/>
      <c r="B120" s="17"/>
      <c r="C120" s="14"/>
      <c r="D120" s="14"/>
      <c r="E120" s="145">
        <f t="shared" si="25"/>
        <v>-0.3</v>
      </c>
      <c r="F120" s="47"/>
      <c r="G120" s="47"/>
      <c r="H120" s="11">
        <f t="shared" si="26"/>
        <v>0</v>
      </c>
      <c r="I120" s="3">
        <f t="shared" si="30"/>
        <v>0</v>
      </c>
      <c r="J120" s="12"/>
      <c r="K120" s="43">
        <f t="shared" si="27"/>
        <v>0</v>
      </c>
      <c r="L120" s="42">
        <f>IFERROR(SewerPrice(E120:J120)+P120+IF(ISNUMBER(SEARCH("Diameter",J120)),VLOOKUP(G120,BootTable,2,FALSE)*F120,0),0)</f>
        <v>0</v>
      </c>
      <c r="M120" s="408">
        <f t="shared" si="29"/>
        <v>0</v>
      </c>
      <c r="N120" s="418">
        <f t="shared" si="19"/>
        <v>0</v>
      </c>
      <c r="O120" s="418" t="e">
        <f t="shared" si="20"/>
        <v>#DIV/0!</v>
      </c>
      <c r="P120" s="42"/>
      <c r="Q120" s="395">
        <f>IFERROR(((StormWeight(E120:J120, A120,H120))),0)</f>
        <v>0</v>
      </c>
      <c r="R120" s="395">
        <f t="shared" si="28"/>
        <v>0</v>
      </c>
      <c r="S120" s="283"/>
      <c r="T120" s="188"/>
      <c r="U120" s="188"/>
      <c r="V120" s="42"/>
      <c r="W120" s="188">
        <f t="shared" si="24"/>
        <v>0</v>
      </c>
    </row>
    <row r="121" spans="1:23" x14ac:dyDescent="0.25">
      <c r="A121" s="8"/>
      <c r="B121" s="17"/>
      <c r="C121" s="14"/>
      <c r="D121" s="14"/>
      <c r="E121" s="145"/>
      <c r="F121" s="47"/>
      <c r="G121" s="47"/>
      <c r="H121" s="11"/>
      <c r="I121" s="3">
        <f>Info!B9*Itemized!W122</f>
        <v>0</v>
      </c>
      <c r="J121" s="12" t="str">
        <f>CONCATENATE("Outside wrap for all SSMH's (Qty = ", W122, ")")</f>
        <v>Outside wrap for all SSMH's (Qty = 0)</v>
      </c>
      <c r="K121" s="43"/>
      <c r="L121" s="42"/>
      <c r="M121" s="408">
        <f t="shared" si="29"/>
        <v>0</v>
      </c>
      <c r="N121" s="418">
        <f t="shared" si="19"/>
        <v>0</v>
      </c>
      <c r="O121" s="418" t="e">
        <f t="shared" si="20"/>
        <v>#DIV/0!</v>
      </c>
      <c r="P121" s="42"/>
      <c r="Q121" s="283"/>
      <c r="R121" s="283"/>
      <c r="S121" s="283"/>
      <c r="T121" s="188"/>
      <c r="U121" s="188"/>
      <c r="V121" s="42"/>
      <c r="W121" s="188"/>
    </row>
    <row r="122" spans="1:23" x14ac:dyDescent="0.25">
      <c r="A122" s="8"/>
      <c r="B122" s="17"/>
      <c r="C122" s="14"/>
      <c r="D122" s="14"/>
      <c r="E122" s="145"/>
      <c r="F122" s="47"/>
      <c r="G122" s="47"/>
      <c r="H122" s="11"/>
      <c r="J122" s="12"/>
      <c r="K122" s="43"/>
      <c r="L122" s="42"/>
      <c r="M122" s="406"/>
      <c r="N122" s="406"/>
      <c r="O122" s="406"/>
      <c r="P122" s="42"/>
      <c r="Q122" s="283"/>
      <c r="R122" s="283"/>
      <c r="S122" s="283"/>
      <c r="T122" s="188"/>
      <c r="U122" s="188"/>
      <c r="V122" s="42"/>
      <c r="W122" s="188">
        <f>SUM(W86:W121)</f>
        <v>0</v>
      </c>
    </row>
    <row r="123" spans="1:23" x14ac:dyDescent="0.25">
      <c r="A123" s="8"/>
      <c r="B123" s="17"/>
      <c r="C123" s="14"/>
      <c r="D123" s="14"/>
      <c r="E123" s="47"/>
      <c r="F123" s="47"/>
      <c r="G123" s="47"/>
      <c r="H123" s="11"/>
      <c r="J123" s="12"/>
      <c r="K123" s="43">
        <f>PRODUCT(L123*1.08)</f>
        <v>0</v>
      </c>
      <c r="L123" s="42"/>
      <c r="M123" s="406"/>
      <c r="N123" s="406"/>
      <c r="O123" s="406"/>
      <c r="P123" s="42"/>
      <c r="Q123" s="283"/>
      <c r="R123" s="283"/>
      <c r="S123" s="283"/>
      <c r="T123" s="188"/>
      <c r="U123" s="188"/>
      <c r="V123" s="42"/>
      <c r="W123" s="42"/>
    </row>
    <row r="124" spans="1:23" ht="16.5" customHeight="1" x14ac:dyDescent="0.25">
      <c r="A124" s="150"/>
      <c r="B124" s="17"/>
      <c r="C124" s="14"/>
      <c r="D124" s="14"/>
      <c r="E124" s="61" t="s">
        <v>176</v>
      </c>
      <c r="F124" s="47"/>
      <c r="G124" s="47"/>
      <c r="H124" s="11"/>
      <c r="I124" s="62">
        <f>SUM(I86:I122)</f>
        <v>0</v>
      </c>
      <c r="J124" s="12"/>
      <c r="K124" s="43"/>
      <c r="L124" s="42"/>
      <c r="M124" s="406"/>
      <c r="N124" s="406"/>
      <c r="O124" s="406"/>
      <c r="P124" s="42"/>
      <c r="Q124" s="283"/>
      <c r="R124" s="283"/>
      <c r="S124" s="283"/>
      <c r="T124" s="188"/>
      <c r="U124" s="188"/>
      <c r="V124" s="42"/>
      <c r="W124" s="42"/>
    </row>
    <row r="125" spans="1:23" x14ac:dyDescent="0.25">
      <c r="A125" s="8"/>
      <c r="B125" s="17"/>
      <c r="C125" s="150"/>
      <c r="D125" s="150"/>
      <c r="E125" s="150"/>
      <c r="F125" s="150"/>
      <c r="G125" s="150"/>
      <c r="H125" s="11"/>
      <c r="J125" s="12"/>
      <c r="K125" s="43"/>
      <c r="L125" s="42"/>
      <c r="M125" s="406"/>
      <c r="N125" s="406"/>
      <c r="O125" s="406"/>
      <c r="P125" s="42"/>
      <c r="Q125" s="283"/>
      <c r="R125" s="283"/>
      <c r="S125" s="283"/>
      <c r="T125" s="188"/>
      <c r="U125" s="188"/>
      <c r="V125" s="42"/>
      <c r="W125" s="42"/>
    </row>
    <row r="126" spans="1:23" x14ac:dyDescent="0.25">
      <c r="A126" s="8"/>
      <c r="B126" s="17"/>
      <c r="C126" s="150"/>
      <c r="D126" s="150"/>
      <c r="E126" s="150"/>
      <c r="F126" s="150"/>
      <c r="G126" s="391"/>
      <c r="H126" s="387" t="s">
        <v>486</v>
      </c>
      <c r="I126" s="388" t="s">
        <v>528</v>
      </c>
      <c r="J126" s="12"/>
      <c r="K126" s="43"/>
      <c r="L126" s="42"/>
      <c r="M126" s="406"/>
      <c r="N126" s="406"/>
      <c r="O126" s="406"/>
      <c r="P126" s="42"/>
      <c r="Q126" s="283"/>
      <c r="R126" s="283"/>
      <c r="S126" s="283"/>
      <c r="T126" s="188"/>
      <c r="U126" s="188"/>
      <c r="V126" s="42"/>
      <c r="W126" s="42"/>
    </row>
    <row r="127" spans="1:23" x14ac:dyDescent="0.25">
      <c r="A127" s="8"/>
      <c r="B127" s="17"/>
      <c r="C127" s="150"/>
      <c r="D127" s="150"/>
      <c r="E127" s="150"/>
      <c r="F127" s="150"/>
      <c r="G127" s="389" t="s">
        <v>136</v>
      </c>
      <c r="H127" s="394">
        <f>IFERROR(SUM(Q17:Q80),0)</f>
        <v>0</v>
      </c>
      <c r="I127" s="390">
        <f>ROUNDUP(H127/Info!B28,0)+1</f>
        <v>1</v>
      </c>
      <c r="J127" s="12"/>
      <c r="K127" s="43"/>
      <c r="L127" s="42"/>
      <c r="M127" s="406"/>
      <c r="N127" s="406"/>
      <c r="O127" s="406"/>
      <c r="P127" s="42"/>
      <c r="Q127" s="283"/>
      <c r="R127" s="283"/>
      <c r="S127" s="283"/>
      <c r="T127" s="188"/>
      <c r="U127" s="188"/>
      <c r="V127" s="42"/>
      <c r="W127" s="42"/>
    </row>
    <row r="128" spans="1:23" x14ac:dyDescent="0.25">
      <c r="A128" s="8"/>
      <c r="B128" s="17"/>
      <c r="C128" s="150"/>
      <c r="D128" s="150"/>
      <c r="E128" s="150"/>
      <c r="F128" s="150"/>
      <c r="G128" s="389" t="s">
        <v>137</v>
      </c>
      <c r="H128" s="394">
        <f>IFERROR(SUM(Q86:Q122),0)</f>
        <v>0</v>
      </c>
      <c r="I128" s="390">
        <f>ROUNDUP(H128/Info!B28,0)+1</f>
        <v>1</v>
      </c>
      <c r="J128" s="12"/>
      <c r="K128" s="43"/>
      <c r="L128" s="42"/>
      <c r="M128" s="406"/>
      <c r="N128" s="406"/>
      <c r="O128" s="406"/>
      <c r="P128" s="42"/>
      <c r="Q128" s="283"/>
      <c r="R128" s="283"/>
      <c r="S128" s="283"/>
      <c r="T128" s="188"/>
      <c r="U128" s="188"/>
      <c r="V128" s="42"/>
      <c r="W128" s="42"/>
    </row>
    <row r="129" spans="1:23" x14ac:dyDescent="0.25">
      <c r="A129" s="8"/>
      <c r="B129" s="17"/>
      <c r="C129" s="150"/>
      <c r="D129" s="150"/>
      <c r="E129" s="150"/>
      <c r="F129" s="150"/>
      <c r="G129" s="389" t="s">
        <v>117</v>
      </c>
      <c r="H129" s="394">
        <f>SUM(H127:H128)</f>
        <v>0</v>
      </c>
      <c r="I129" s="390">
        <f>SUM(I127:I128)</f>
        <v>2</v>
      </c>
      <c r="J129" s="12"/>
      <c r="K129" s="43"/>
      <c r="L129" s="42"/>
      <c r="M129" s="406"/>
      <c r="N129" s="406"/>
      <c r="O129" s="406"/>
      <c r="P129" s="42"/>
      <c r="Q129" s="283"/>
      <c r="R129" s="283"/>
      <c r="S129" s="283"/>
      <c r="T129" s="188"/>
      <c r="U129" s="188"/>
      <c r="V129" s="42"/>
      <c r="W129" s="42"/>
    </row>
    <row r="130" spans="1:23" x14ac:dyDescent="0.25">
      <c r="A130" s="8"/>
      <c r="B130" s="17"/>
      <c r="C130" s="150"/>
      <c r="D130" s="150"/>
      <c r="E130" s="150"/>
      <c r="F130" s="150"/>
      <c r="G130" s="150"/>
      <c r="H130" s="11"/>
      <c r="J130" s="12"/>
      <c r="K130" s="43"/>
      <c r="L130" s="42"/>
      <c r="M130" s="406"/>
      <c r="N130" s="406"/>
      <c r="O130" s="406"/>
      <c r="P130" s="42"/>
      <c r="Q130" s="283"/>
      <c r="R130" s="283"/>
      <c r="S130" s="283"/>
      <c r="T130" s="188"/>
      <c r="U130" s="188"/>
      <c r="V130" s="42"/>
      <c r="W130" s="42"/>
    </row>
    <row r="131" spans="1:23" ht="17.25" x14ac:dyDescent="0.25">
      <c r="A131" s="451" t="s">
        <v>678</v>
      </c>
      <c r="B131" s="451"/>
      <c r="C131" s="451"/>
      <c r="D131" s="451"/>
      <c r="E131" s="451"/>
      <c r="F131" s="451"/>
      <c r="G131" s="451"/>
      <c r="H131" s="451"/>
      <c r="I131" s="451"/>
      <c r="J131" s="451"/>
      <c r="P131" s="42"/>
      <c r="Q131" s="283"/>
      <c r="R131" s="283"/>
      <c r="S131" s="283"/>
      <c r="T131" s="188"/>
      <c r="U131" s="188"/>
      <c r="V131" s="42"/>
      <c r="W131" s="42"/>
    </row>
    <row r="132" spans="1:23" ht="18.75" x14ac:dyDescent="0.25">
      <c r="A132" s="322"/>
      <c r="B132" s="322"/>
      <c r="C132" s="322"/>
      <c r="D132" s="322"/>
      <c r="E132" s="322"/>
      <c r="F132" s="322"/>
      <c r="G132" s="322"/>
      <c r="H132" s="322"/>
      <c r="I132" s="322"/>
      <c r="J132" s="322"/>
      <c r="P132" s="42"/>
      <c r="Q132" s="283"/>
      <c r="R132" s="283"/>
      <c r="S132" s="283"/>
      <c r="T132" s="188"/>
      <c r="U132" s="188"/>
      <c r="V132" s="42"/>
      <c r="W132" s="42"/>
    </row>
    <row r="133" spans="1:23" x14ac:dyDescent="0.25">
      <c r="A133" s="323"/>
      <c r="B133" s="323"/>
      <c r="C133" s="323"/>
      <c r="D133" s="323"/>
      <c r="E133" s="323"/>
      <c r="F133" s="323"/>
      <c r="G133" s="323"/>
      <c r="H133" s="323"/>
      <c r="I133" s="323"/>
      <c r="J133" s="323"/>
      <c r="P133" s="42"/>
      <c r="Q133" s="283"/>
      <c r="R133" s="283"/>
      <c r="S133" s="283"/>
      <c r="T133" s="188"/>
      <c r="U133" s="188"/>
      <c r="V133" s="42"/>
      <c r="W133" s="42"/>
    </row>
    <row r="134" spans="1:23" s="25" customFormat="1" x14ac:dyDescent="0.25">
      <c r="A134" s="95" t="s">
        <v>58</v>
      </c>
      <c r="B134" s="206"/>
      <c r="C134" s="207"/>
      <c r="D134" s="207"/>
      <c r="E134" s="207"/>
      <c r="F134" s="207"/>
      <c r="G134" s="207"/>
      <c r="H134" s="207"/>
      <c r="I134" s="208"/>
      <c r="J134" s="209"/>
      <c r="K134" s="40"/>
      <c r="L134" s="41"/>
      <c r="M134" s="409"/>
      <c r="N134" s="409"/>
      <c r="O134" s="409"/>
      <c r="P134" s="42"/>
      <c r="Q134" s="283"/>
      <c r="R134" s="283"/>
      <c r="S134" s="283"/>
      <c r="T134" s="188"/>
      <c r="U134" s="188"/>
      <c r="V134" s="42"/>
      <c r="W134" s="42"/>
    </row>
    <row r="135" spans="1:23" s="25" customFormat="1" ht="15.6" customHeight="1" x14ac:dyDescent="0.25">
      <c r="A135" s="450" t="s">
        <v>59</v>
      </c>
      <c r="B135" s="450"/>
      <c r="C135" s="450"/>
      <c r="D135" s="450"/>
      <c r="E135" s="450"/>
      <c r="F135" s="450"/>
      <c r="G135" s="450"/>
      <c r="H135" s="450"/>
      <c r="I135" s="450"/>
      <c r="J135" s="450"/>
      <c r="K135" s="40"/>
      <c r="L135" s="41"/>
      <c r="M135" s="409"/>
      <c r="N135" s="409"/>
      <c r="O135" s="409"/>
      <c r="P135" s="42"/>
      <c r="Q135" s="283"/>
      <c r="R135" s="283"/>
      <c r="S135" s="283"/>
      <c r="T135" s="188"/>
      <c r="U135" s="188"/>
      <c r="V135" s="42"/>
      <c r="W135" s="42"/>
    </row>
    <row r="136" spans="1:23" s="25" customFormat="1" ht="15.6" customHeight="1" x14ac:dyDescent="0.25">
      <c r="A136" s="450" t="s">
        <v>120</v>
      </c>
      <c r="B136" s="450"/>
      <c r="C136" s="450"/>
      <c r="D136" s="450"/>
      <c r="E136" s="450"/>
      <c r="F136" s="450"/>
      <c r="G136" s="450"/>
      <c r="H136" s="450"/>
      <c r="I136" s="450"/>
      <c r="J136" s="450"/>
      <c r="K136" s="43"/>
      <c r="L136" s="42"/>
      <c r="M136" s="406"/>
      <c r="N136" s="406"/>
      <c r="O136" s="406"/>
      <c r="P136" s="42"/>
      <c r="Q136" s="283"/>
      <c r="R136" s="283"/>
      <c r="S136" s="283"/>
      <c r="T136" s="188"/>
      <c r="U136" s="188"/>
      <c r="V136" s="42"/>
      <c r="W136" s="42"/>
    </row>
    <row r="137" spans="1:23" s="25" customFormat="1" ht="15.6" customHeight="1" x14ac:dyDescent="0.25">
      <c r="A137" s="450" t="s">
        <v>80</v>
      </c>
      <c r="B137" s="450"/>
      <c r="C137" s="450"/>
      <c r="D137" s="450"/>
      <c r="E137" s="450"/>
      <c r="F137" s="450"/>
      <c r="G137" s="450"/>
      <c r="H137" s="450"/>
      <c r="I137" s="450"/>
      <c r="J137" s="450"/>
      <c r="K137" s="43"/>
      <c r="L137" s="42"/>
      <c r="M137" s="406"/>
      <c r="N137" s="406"/>
      <c r="O137" s="406"/>
      <c r="P137" s="42"/>
      <c r="Q137" s="283"/>
      <c r="R137" s="283"/>
      <c r="S137" s="283"/>
      <c r="T137" s="188"/>
      <c r="U137" s="188"/>
      <c r="V137" s="42"/>
      <c r="W137" s="42"/>
    </row>
    <row r="138" spans="1:23" s="25" customFormat="1" ht="15.6" customHeight="1" x14ac:dyDescent="0.25">
      <c r="A138" s="450" t="s">
        <v>471</v>
      </c>
      <c r="B138" s="450"/>
      <c r="C138" s="450"/>
      <c r="D138" s="450"/>
      <c r="E138" s="450"/>
      <c r="F138" s="450"/>
      <c r="G138" s="450"/>
      <c r="H138" s="450"/>
      <c r="I138" s="450"/>
      <c r="J138" s="450"/>
      <c r="K138" s="43"/>
      <c r="L138" s="42"/>
      <c r="M138" s="406"/>
      <c r="N138" s="406"/>
      <c r="O138" s="406"/>
      <c r="P138" s="42"/>
      <c r="Q138" s="283"/>
      <c r="R138" s="283"/>
      <c r="S138" s="283"/>
      <c r="T138" s="188"/>
      <c r="U138" s="188"/>
      <c r="V138" s="42"/>
      <c r="W138" s="42"/>
    </row>
    <row r="139" spans="1:23" s="25" customFormat="1" ht="15.6" customHeight="1" x14ac:dyDescent="0.25">
      <c r="A139" s="450" t="s">
        <v>60</v>
      </c>
      <c r="B139" s="450"/>
      <c r="C139" s="450"/>
      <c r="D139" s="450"/>
      <c r="E139" s="450"/>
      <c r="F139" s="450"/>
      <c r="G139" s="450"/>
      <c r="H139" s="450"/>
      <c r="I139" s="450"/>
      <c r="J139" s="450"/>
      <c r="K139" s="246"/>
      <c r="L139" s="246"/>
      <c r="M139" s="410"/>
      <c r="N139" s="410"/>
      <c r="O139" s="410"/>
      <c r="P139" s="210"/>
      <c r="Q139" s="285"/>
      <c r="R139" s="285"/>
      <c r="S139" s="285"/>
      <c r="T139" s="275"/>
      <c r="U139" s="275"/>
      <c r="V139" s="210"/>
      <c r="W139" s="81"/>
    </row>
    <row r="140" spans="1:23" s="25" customFormat="1" ht="15.6" customHeight="1" x14ac:dyDescent="0.25">
      <c r="A140" s="450" t="s">
        <v>428</v>
      </c>
      <c r="B140" s="450"/>
      <c r="C140" s="450"/>
      <c r="D140" s="450"/>
      <c r="E140" s="450"/>
      <c r="F140" s="450"/>
      <c r="G140" s="450"/>
      <c r="H140" s="450"/>
      <c r="I140" s="450"/>
      <c r="J140" s="450"/>
      <c r="K140" s="246"/>
      <c r="L140" s="246"/>
      <c r="M140" s="410"/>
      <c r="N140" s="410"/>
      <c r="O140" s="410"/>
      <c r="P140" s="210"/>
      <c r="Q140" s="285"/>
      <c r="R140" s="285"/>
      <c r="S140" s="285"/>
      <c r="T140" s="275"/>
      <c r="U140" s="275"/>
      <c r="V140" s="210"/>
      <c r="W140" s="81"/>
    </row>
    <row r="141" spans="1:23" s="25" customFormat="1" ht="15.75" customHeight="1" x14ac:dyDescent="0.25">
      <c r="A141" s="105"/>
      <c r="B141" s="211"/>
      <c r="C141" s="212"/>
      <c r="D141" s="212"/>
      <c r="E141" s="212"/>
      <c r="F141" s="212"/>
      <c r="G141" s="212"/>
      <c r="H141" s="212"/>
      <c r="I141" s="212"/>
      <c r="J141" s="209"/>
      <c r="K141" s="201"/>
      <c r="L141" s="213"/>
      <c r="M141" s="411"/>
      <c r="N141" s="411"/>
      <c r="O141" s="411"/>
      <c r="P141" s="210"/>
      <c r="Q141" s="285"/>
      <c r="R141" s="285"/>
      <c r="S141" s="285"/>
      <c r="T141" s="275"/>
      <c r="U141" s="275"/>
      <c r="V141" s="210"/>
      <c r="W141" s="81"/>
    </row>
    <row r="142" spans="1:23" s="25" customFormat="1" x14ac:dyDescent="0.25">
      <c r="A142" s="104" t="s">
        <v>61</v>
      </c>
      <c r="B142" s="214"/>
      <c r="C142" s="105"/>
      <c r="D142" s="105"/>
      <c r="E142" s="105"/>
      <c r="F142" s="105"/>
      <c r="G142" s="105"/>
      <c r="H142" s="105"/>
      <c r="I142" s="105"/>
      <c r="J142" s="209"/>
      <c r="K142" s="201"/>
      <c r="L142" s="213"/>
      <c r="M142" s="411"/>
      <c r="N142" s="411"/>
      <c r="O142" s="411"/>
      <c r="P142" s="210"/>
      <c r="Q142" s="285"/>
      <c r="R142" s="285"/>
      <c r="S142" s="285"/>
      <c r="T142" s="275"/>
      <c r="U142" s="275"/>
      <c r="V142" s="210"/>
      <c r="W142" s="81"/>
    </row>
    <row r="143" spans="1:23" s="25" customFormat="1" ht="15.6" customHeight="1" x14ac:dyDescent="0.25">
      <c r="A143" s="450" t="s">
        <v>62</v>
      </c>
      <c r="B143" s="450"/>
      <c r="C143" s="450"/>
      <c r="D143" s="450"/>
      <c r="E143" s="450"/>
      <c r="F143" s="450"/>
      <c r="G143" s="450"/>
      <c r="H143" s="450"/>
      <c r="I143" s="450"/>
      <c r="J143" s="450"/>
      <c r="K143" s="246"/>
      <c r="L143" s="246"/>
      <c r="M143" s="410"/>
      <c r="N143" s="410"/>
      <c r="O143" s="410"/>
      <c r="P143" s="210"/>
      <c r="Q143" s="285"/>
      <c r="R143" s="285"/>
      <c r="S143" s="285"/>
      <c r="T143" s="275"/>
      <c r="U143" s="275"/>
      <c r="V143" s="210"/>
      <c r="W143" s="81"/>
    </row>
    <row r="144" spans="1:23" s="25" customFormat="1" ht="15.6" customHeight="1" x14ac:dyDescent="0.25">
      <c r="A144" s="450" t="s">
        <v>63</v>
      </c>
      <c r="B144" s="450"/>
      <c r="C144" s="450"/>
      <c r="D144" s="450"/>
      <c r="E144" s="450"/>
      <c r="F144" s="450"/>
      <c r="G144" s="450"/>
      <c r="H144" s="450"/>
      <c r="I144" s="450"/>
      <c r="J144" s="450"/>
      <c r="K144" s="246"/>
      <c r="L144" s="246"/>
      <c r="M144" s="410"/>
      <c r="N144" s="410"/>
      <c r="O144" s="410"/>
      <c r="P144" s="210"/>
      <c r="Q144" s="285"/>
      <c r="R144" s="285"/>
      <c r="S144" s="285"/>
      <c r="T144" s="275"/>
      <c r="U144" s="275"/>
      <c r="V144" s="210"/>
      <c r="W144" s="81"/>
    </row>
    <row r="145" spans="1:24" s="25" customFormat="1" x14ac:dyDescent="0.25">
      <c r="A145" s="452" t="s">
        <v>81</v>
      </c>
      <c r="B145" s="452"/>
      <c r="C145" s="452"/>
      <c r="D145" s="452"/>
      <c r="E145" s="452"/>
      <c r="F145" s="452"/>
      <c r="G145" s="452"/>
      <c r="H145" s="452"/>
      <c r="I145" s="452"/>
      <c r="J145" s="452"/>
      <c r="K145" s="201"/>
      <c r="L145" s="213"/>
      <c r="M145" s="411"/>
      <c r="N145" s="411"/>
      <c r="O145" s="411"/>
      <c r="P145" s="210"/>
      <c r="Q145" s="285"/>
      <c r="R145" s="285"/>
      <c r="S145" s="285"/>
      <c r="T145" s="275"/>
      <c r="U145" s="275"/>
      <c r="V145" s="210"/>
      <c r="W145" s="81"/>
    </row>
    <row r="146" spans="1:24" s="25" customFormat="1" ht="15.6" customHeight="1" x14ac:dyDescent="0.25">
      <c r="A146" s="450" t="s">
        <v>64</v>
      </c>
      <c r="B146" s="450"/>
      <c r="C146" s="450"/>
      <c r="D146" s="450"/>
      <c r="E146" s="450"/>
      <c r="F146" s="450"/>
      <c r="G146" s="450"/>
      <c r="H146" s="450"/>
      <c r="I146" s="450"/>
      <c r="J146" s="450"/>
      <c r="K146" s="246"/>
      <c r="L146" s="246"/>
      <c r="M146" s="410"/>
      <c r="N146" s="410"/>
      <c r="O146" s="410"/>
      <c r="P146" s="210"/>
      <c r="Q146" s="285"/>
      <c r="R146" s="285"/>
      <c r="S146" s="285"/>
      <c r="T146" s="275"/>
      <c r="U146" s="275"/>
      <c r="V146" s="210"/>
      <c r="W146" s="81"/>
    </row>
    <row r="147" spans="1:24" s="25" customFormat="1" ht="15.6" customHeight="1" x14ac:dyDescent="0.25">
      <c r="A147" s="450" t="s">
        <v>65</v>
      </c>
      <c r="B147" s="450"/>
      <c r="C147" s="450"/>
      <c r="D147" s="450"/>
      <c r="E147" s="450"/>
      <c r="F147" s="450"/>
      <c r="G147" s="450"/>
      <c r="H147" s="450"/>
      <c r="I147" s="450"/>
      <c r="J147" s="450"/>
      <c r="K147" s="246"/>
      <c r="L147" s="246"/>
      <c r="M147" s="410"/>
      <c r="N147" s="410"/>
      <c r="O147" s="410"/>
      <c r="P147" s="210"/>
      <c r="Q147" s="285"/>
      <c r="R147" s="285"/>
      <c r="S147" s="285"/>
      <c r="T147" s="275"/>
      <c r="U147" s="275"/>
      <c r="V147" s="210"/>
      <c r="W147" s="81"/>
    </row>
    <row r="148" spans="1:24" s="25" customFormat="1" ht="15.6" customHeight="1" x14ac:dyDescent="0.25">
      <c r="A148" s="450" t="s">
        <v>66</v>
      </c>
      <c r="B148" s="450"/>
      <c r="C148" s="450"/>
      <c r="D148" s="450"/>
      <c r="E148" s="450"/>
      <c r="F148" s="450"/>
      <c r="G148" s="450"/>
      <c r="H148" s="450"/>
      <c r="I148" s="450"/>
      <c r="J148" s="450"/>
      <c r="K148" s="246"/>
      <c r="L148" s="246"/>
      <c r="M148" s="410"/>
      <c r="N148" s="410"/>
      <c r="O148" s="410"/>
      <c r="P148" s="210"/>
      <c r="Q148" s="285"/>
      <c r="R148" s="285"/>
      <c r="S148" s="285"/>
      <c r="T148" s="275"/>
      <c r="U148" s="275"/>
      <c r="V148" s="210"/>
      <c r="W148" s="81"/>
    </row>
    <row r="149" spans="1:24" s="25" customFormat="1" ht="15.6" customHeight="1" x14ac:dyDescent="0.25">
      <c r="A149" s="450" t="s">
        <v>67</v>
      </c>
      <c r="B149" s="450"/>
      <c r="C149" s="450"/>
      <c r="D149" s="450"/>
      <c r="E149" s="450"/>
      <c r="F149" s="450"/>
      <c r="G149" s="450"/>
      <c r="H149" s="450"/>
      <c r="I149" s="450"/>
      <c r="J149" s="450"/>
      <c r="K149" s="246"/>
      <c r="L149" s="246"/>
      <c r="M149" s="410"/>
      <c r="N149" s="410"/>
      <c r="O149" s="410"/>
      <c r="P149" s="210"/>
      <c r="Q149" s="285"/>
      <c r="R149" s="285"/>
      <c r="S149" s="285"/>
      <c r="T149" s="275"/>
      <c r="U149" s="275"/>
      <c r="V149" s="210"/>
      <c r="W149" s="81"/>
    </row>
    <row r="150" spans="1:24" s="25" customFormat="1" ht="15.6" customHeight="1" x14ac:dyDescent="0.25">
      <c r="A150" s="450" t="s">
        <v>68</v>
      </c>
      <c r="B150" s="450"/>
      <c r="C150" s="450"/>
      <c r="D150" s="450"/>
      <c r="E150" s="450"/>
      <c r="F150" s="450"/>
      <c r="G150" s="450"/>
      <c r="H150" s="450"/>
      <c r="I150" s="450"/>
      <c r="J150" s="450"/>
      <c r="K150" s="246"/>
      <c r="L150" s="246"/>
      <c r="M150" s="410"/>
      <c r="N150" s="410"/>
      <c r="O150" s="410"/>
      <c r="P150" s="210"/>
      <c r="Q150" s="285"/>
      <c r="R150" s="285"/>
      <c r="S150" s="285"/>
      <c r="T150" s="275"/>
      <c r="U150" s="275"/>
      <c r="V150" s="210"/>
      <c r="W150" s="81"/>
    </row>
    <row r="151" spans="1:24" s="25" customFormat="1" ht="15.6" customHeight="1" x14ac:dyDescent="0.25">
      <c r="A151" s="450" t="s">
        <v>179</v>
      </c>
      <c r="B151" s="450"/>
      <c r="C151" s="450"/>
      <c r="D151" s="450"/>
      <c r="E151" s="450"/>
      <c r="F151" s="450"/>
      <c r="G151" s="450"/>
      <c r="H151" s="450"/>
      <c r="I151" s="450"/>
      <c r="J151" s="450"/>
      <c r="K151" s="246"/>
      <c r="L151" s="246"/>
      <c r="M151" s="410"/>
      <c r="N151" s="410"/>
      <c r="O151" s="410"/>
      <c r="P151" s="210"/>
      <c r="Q151" s="285"/>
      <c r="R151" s="285"/>
      <c r="S151" s="285"/>
      <c r="T151" s="275"/>
      <c r="U151" s="275"/>
      <c r="V151" s="210"/>
      <c r="W151" s="81"/>
    </row>
    <row r="152" spans="1:24" s="25" customFormat="1" ht="15.6" customHeight="1" x14ac:dyDescent="0.25">
      <c r="A152" s="450" t="s">
        <v>82</v>
      </c>
      <c r="B152" s="450"/>
      <c r="C152" s="450"/>
      <c r="D152" s="450"/>
      <c r="E152" s="450"/>
      <c r="F152" s="450"/>
      <c r="G152" s="450"/>
      <c r="H152" s="450"/>
      <c r="I152" s="450"/>
      <c r="J152" s="450"/>
      <c r="K152" s="246"/>
      <c r="L152" s="246"/>
      <c r="M152" s="410"/>
      <c r="N152" s="410"/>
      <c r="O152" s="410"/>
      <c r="P152" s="210"/>
      <c r="Q152" s="285"/>
      <c r="R152" s="285"/>
      <c r="S152" s="285"/>
      <c r="T152" s="275"/>
      <c r="U152" s="275"/>
      <c r="V152" s="210"/>
      <c r="W152" s="81"/>
    </row>
    <row r="153" spans="1:24" s="25" customFormat="1" ht="15.6" customHeight="1" x14ac:dyDescent="0.25">
      <c r="A153" s="450" t="s">
        <v>315</v>
      </c>
      <c r="B153" s="450"/>
      <c r="C153" s="450"/>
      <c r="D153" s="450"/>
      <c r="E153" s="450"/>
      <c r="F153" s="450"/>
      <c r="G153" s="450"/>
      <c r="H153" s="450"/>
      <c r="I153" s="450"/>
      <c r="J153" s="450"/>
      <c r="K153" s="246"/>
      <c r="L153" s="246"/>
      <c r="M153" s="410"/>
      <c r="N153" s="410"/>
      <c r="O153" s="410"/>
      <c r="P153" s="210"/>
      <c r="Q153" s="285"/>
      <c r="R153" s="285"/>
      <c r="S153" s="285"/>
      <c r="T153" s="275"/>
      <c r="U153" s="275"/>
      <c r="V153" s="210"/>
      <c r="W153" s="81"/>
    </row>
    <row r="154" spans="1:24" ht="15.6" customHeight="1" x14ac:dyDescent="0.25">
      <c r="A154" s="450" t="s">
        <v>314</v>
      </c>
      <c r="B154" s="450"/>
      <c r="C154" s="450"/>
      <c r="D154" s="450"/>
      <c r="E154" s="450"/>
      <c r="F154" s="450"/>
      <c r="G154" s="450"/>
      <c r="H154" s="450"/>
      <c r="I154" s="450"/>
      <c r="J154" s="450"/>
      <c r="K154" s="246"/>
      <c r="L154" s="246"/>
      <c r="M154" s="410"/>
      <c r="N154" s="410"/>
      <c r="O154" s="410"/>
      <c r="P154" s="79"/>
      <c r="Q154" s="286"/>
      <c r="R154" s="286"/>
      <c r="S154" s="286"/>
      <c r="T154" s="276"/>
      <c r="U154" s="276"/>
      <c r="V154" s="79"/>
      <c r="W154" s="79"/>
      <c r="X154" s="255"/>
    </row>
    <row r="155" spans="1:24" x14ac:dyDescent="0.25">
      <c r="A155" s="450" t="s">
        <v>433</v>
      </c>
      <c r="B155" s="450"/>
      <c r="C155" s="450"/>
      <c r="D155" s="450"/>
      <c r="E155" s="450"/>
      <c r="F155" s="450"/>
      <c r="G155" s="450"/>
      <c r="H155" s="450"/>
      <c r="I155" s="450"/>
      <c r="J155" s="450"/>
      <c r="K155" s="246"/>
      <c r="L155" s="246"/>
      <c r="M155" s="410"/>
      <c r="N155" s="410"/>
      <c r="O155" s="410"/>
      <c r="P155" s="79"/>
      <c r="Q155" s="286"/>
      <c r="R155" s="286"/>
      <c r="S155" s="286"/>
      <c r="T155" s="276"/>
      <c r="U155" s="276"/>
      <c r="V155" s="79"/>
      <c r="W155" s="79"/>
      <c r="X155" s="255"/>
    </row>
    <row r="156" spans="1:24" s="25" customFormat="1" x14ac:dyDescent="0.25">
      <c r="A156" s="450" t="s">
        <v>435</v>
      </c>
      <c r="B156" s="450"/>
      <c r="C156" s="450"/>
      <c r="D156" s="450"/>
      <c r="E156" s="450"/>
      <c r="F156" s="450"/>
      <c r="G156" s="450"/>
      <c r="H156" s="450"/>
      <c r="I156" s="450"/>
      <c r="J156" s="450"/>
      <c r="K156" s="215"/>
      <c r="L156" s="215"/>
      <c r="M156" s="412"/>
      <c r="N156" s="412"/>
      <c r="O156" s="412"/>
      <c r="P156" s="210"/>
      <c r="Q156" s="285"/>
      <c r="R156" s="285"/>
      <c r="S156" s="285"/>
      <c r="T156" s="275"/>
      <c r="U156" s="275"/>
      <c r="V156" s="210"/>
      <c r="W156" s="81"/>
    </row>
    <row r="157" spans="1:24" s="25" customFormat="1" x14ac:dyDescent="0.25">
      <c r="A157" s="215"/>
      <c r="B157" s="215"/>
      <c r="C157" s="215"/>
      <c r="D157" s="215"/>
      <c r="E157" s="215"/>
      <c r="F157" s="215"/>
      <c r="G157" s="215"/>
      <c r="H157" s="215"/>
      <c r="I157" s="215"/>
      <c r="J157" s="215"/>
      <c r="K157" s="215"/>
      <c r="L157" s="215"/>
      <c r="M157" s="412"/>
      <c r="N157" s="412"/>
      <c r="O157" s="412"/>
      <c r="P157" s="210"/>
      <c r="Q157" s="285"/>
      <c r="R157" s="285"/>
      <c r="S157" s="285"/>
      <c r="T157" s="275"/>
      <c r="U157" s="275"/>
      <c r="V157" s="210"/>
      <c r="W157" s="81"/>
    </row>
    <row r="158" spans="1:24" s="25" customFormat="1" x14ac:dyDescent="0.25">
      <c r="A158" s="108" t="s">
        <v>69</v>
      </c>
      <c r="B158" s="215"/>
      <c r="C158" s="215"/>
      <c r="D158" s="215"/>
      <c r="E158" s="215"/>
      <c r="F158" s="215"/>
      <c r="G158" s="215"/>
      <c r="H158" s="215"/>
      <c r="I158" s="215"/>
      <c r="J158" s="215"/>
      <c r="K158" s="246"/>
      <c r="L158" s="246"/>
      <c r="M158" s="410"/>
      <c r="N158" s="410"/>
      <c r="O158" s="410"/>
      <c r="P158" s="210"/>
      <c r="Q158" s="285"/>
      <c r="R158" s="285"/>
      <c r="S158" s="285"/>
      <c r="T158" s="275"/>
      <c r="U158" s="275"/>
      <c r="V158" s="210"/>
      <c r="W158" s="81"/>
    </row>
    <row r="159" spans="1:24" s="25" customFormat="1" x14ac:dyDescent="0.25">
      <c r="A159" s="450" t="s">
        <v>70</v>
      </c>
      <c r="B159" s="450"/>
      <c r="C159" s="450"/>
      <c r="D159" s="450"/>
      <c r="E159" s="450"/>
      <c r="F159" s="450"/>
      <c r="G159" s="450"/>
      <c r="H159" s="450"/>
      <c r="I159" s="450"/>
      <c r="J159" s="450"/>
      <c r="K159" s="246"/>
      <c r="L159" s="246"/>
      <c r="M159" s="410"/>
      <c r="N159" s="410"/>
      <c r="O159" s="410"/>
      <c r="P159" s="210"/>
      <c r="Q159" s="285"/>
      <c r="R159" s="285"/>
      <c r="S159" s="285"/>
      <c r="T159" s="275"/>
      <c r="U159" s="275"/>
      <c r="V159" s="210"/>
      <c r="W159" s="81"/>
    </row>
    <row r="160" spans="1:24" s="25" customFormat="1" x14ac:dyDescent="0.25">
      <c r="A160" s="450" t="s">
        <v>71</v>
      </c>
      <c r="B160" s="450"/>
      <c r="C160" s="450"/>
      <c r="D160" s="450"/>
      <c r="E160" s="450"/>
      <c r="F160" s="450"/>
      <c r="G160" s="450"/>
      <c r="H160" s="450"/>
      <c r="I160" s="450"/>
      <c r="J160" s="450"/>
      <c r="K160" s="215"/>
      <c r="L160" s="215"/>
      <c r="M160" s="412"/>
      <c r="N160" s="412"/>
      <c r="O160" s="412"/>
      <c r="P160" s="210"/>
      <c r="Q160" s="285"/>
      <c r="R160" s="285"/>
      <c r="S160" s="285"/>
      <c r="T160" s="275"/>
      <c r="U160" s="275"/>
      <c r="V160" s="210"/>
      <c r="W160" s="81"/>
    </row>
    <row r="161" spans="1:23" s="25" customFormat="1" x14ac:dyDescent="0.25">
      <c r="A161" s="215"/>
      <c r="B161" s="215"/>
      <c r="C161" s="215"/>
      <c r="D161" s="215"/>
      <c r="E161" s="215"/>
      <c r="F161" s="215"/>
      <c r="G161" s="215"/>
      <c r="H161" s="215"/>
      <c r="I161" s="215"/>
      <c r="J161" s="215"/>
      <c r="K161" s="215"/>
      <c r="L161" s="215"/>
      <c r="M161" s="412"/>
      <c r="N161" s="412"/>
      <c r="O161" s="412"/>
      <c r="P161" s="210"/>
      <c r="Q161" s="285"/>
      <c r="R161" s="285"/>
      <c r="S161" s="285"/>
      <c r="T161" s="275"/>
      <c r="U161" s="275"/>
      <c r="V161" s="210"/>
      <c r="W161" s="81"/>
    </row>
    <row r="162" spans="1:23" s="25" customFormat="1" ht="15.6" customHeight="1" x14ac:dyDescent="0.25">
      <c r="A162" s="108" t="s">
        <v>72</v>
      </c>
      <c r="B162" s="215"/>
      <c r="C162" s="215"/>
      <c r="D162" s="215"/>
      <c r="E162" s="215"/>
      <c r="F162" s="215"/>
      <c r="G162" s="215"/>
      <c r="H162" s="215"/>
      <c r="I162" s="215"/>
      <c r="J162" s="215"/>
      <c r="K162" s="246"/>
      <c r="L162" s="246"/>
      <c r="M162" s="410"/>
      <c r="N162" s="410"/>
      <c r="O162" s="410"/>
      <c r="P162" s="210"/>
      <c r="Q162" s="285"/>
      <c r="R162" s="285"/>
      <c r="S162" s="285"/>
      <c r="T162" s="275"/>
      <c r="U162" s="275"/>
      <c r="V162" s="210"/>
      <c r="W162" s="81"/>
    </row>
    <row r="163" spans="1:23" s="25" customFormat="1" x14ac:dyDescent="0.25">
      <c r="A163" s="450" t="s">
        <v>83</v>
      </c>
      <c r="B163" s="450"/>
      <c r="C163" s="450"/>
      <c r="D163" s="450"/>
      <c r="E163" s="450"/>
      <c r="F163" s="450"/>
      <c r="G163" s="450"/>
      <c r="H163" s="450"/>
      <c r="I163" s="450"/>
      <c r="J163" s="450"/>
      <c r="K163" s="246"/>
      <c r="L163" s="246"/>
      <c r="M163" s="410"/>
      <c r="N163" s="410"/>
      <c r="O163" s="410"/>
      <c r="P163" s="210"/>
      <c r="Q163" s="285"/>
      <c r="R163" s="285"/>
      <c r="S163" s="285"/>
      <c r="T163" s="275"/>
      <c r="U163" s="275"/>
      <c r="V163" s="210"/>
      <c r="W163" s="81"/>
    </row>
    <row r="164" spans="1:23" s="25" customFormat="1" x14ac:dyDescent="0.25">
      <c r="A164" s="450" t="s">
        <v>439</v>
      </c>
      <c r="B164" s="450"/>
      <c r="C164" s="450"/>
      <c r="D164" s="450"/>
      <c r="E164" s="450"/>
      <c r="F164" s="450"/>
      <c r="G164" s="450"/>
      <c r="H164" s="450"/>
      <c r="I164" s="450"/>
      <c r="J164" s="450"/>
      <c r="K164" s="246"/>
      <c r="L164" s="246"/>
      <c r="M164" s="410"/>
      <c r="N164" s="410"/>
      <c r="O164" s="410"/>
      <c r="P164" s="210"/>
      <c r="Q164" s="285"/>
      <c r="R164" s="285"/>
      <c r="S164" s="285"/>
      <c r="T164" s="275"/>
      <c r="U164" s="275"/>
      <c r="V164" s="210"/>
      <c r="W164" s="81"/>
    </row>
    <row r="165" spans="1:23" s="25" customFormat="1" x14ac:dyDescent="0.25">
      <c r="A165" s="450" t="s">
        <v>568</v>
      </c>
      <c r="B165" s="450"/>
      <c r="C165" s="450"/>
      <c r="D165" s="450"/>
      <c r="E165" s="450"/>
      <c r="F165" s="450"/>
      <c r="G165" s="450"/>
      <c r="H165" s="450"/>
      <c r="I165" s="450"/>
      <c r="J165" s="450"/>
      <c r="K165" s="246"/>
      <c r="L165" s="246"/>
      <c r="M165" s="410"/>
      <c r="N165" s="410"/>
      <c r="O165" s="410"/>
      <c r="P165" s="210"/>
      <c r="Q165" s="285"/>
      <c r="R165" s="285"/>
      <c r="S165" s="285"/>
      <c r="T165" s="275"/>
      <c r="U165" s="275"/>
      <c r="V165" s="210"/>
      <c r="W165" s="81"/>
    </row>
    <row r="166" spans="1:23" s="25" customFormat="1" ht="15.6" customHeight="1" x14ac:dyDescent="0.25">
      <c r="A166" s="450" t="s">
        <v>73</v>
      </c>
      <c r="B166" s="450"/>
      <c r="C166" s="450"/>
      <c r="D166" s="450"/>
      <c r="E166" s="450"/>
      <c r="F166" s="450"/>
      <c r="G166" s="450"/>
      <c r="H166" s="450"/>
      <c r="I166" s="450"/>
      <c r="J166" s="450"/>
      <c r="K166" s="246"/>
      <c r="L166" s="246"/>
      <c r="M166" s="410"/>
      <c r="N166" s="410"/>
      <c r="O166" s="410"/>
      <c r="P166" s="210"/>
      <c r="Q166" s="285"/>
      <c r="R166" s="285"/>
      <c r="S166" s="285"/>
      <c r="T166" s="275"/>
      <c r="U166" s="275"/>
      <c r="V166" s="210"/>
      <c r="W166" s="81"/>
    </row>
    <row r="167" spans="1:23" s="25" customFormat="1" ht="30.75" customHeight="1" x14ac:dyDescent="0.25">
      <c r="A167" s="450" t="s">
        <v>538</v>
      </c>
      <c r="B167" s="450"/>
      <c r="C167" s="450"/>
      <c r="D167" s="450"/>
      <c r="E167" s="450"/>
      <c r="F167" s="450"/>
      <c r="G167" s="450"/>
      <c r="H167" s="450"/>
      <c r="I167" s="450"/>
      <c r="J167" s="450"/>
      <c r="K167" s="246"/>
      <c r="L167" s="246"/>
      <c r="M167" s="410"/>
      <c r="N167" s="410"/>
      <c r="O167" s="410"/>
      <c r="P167" s="210"/>
      <c r="Q167" s="285"/>
      <c r="R167" s="285"/>
      <c r="S167" s="285"/>
      <c r="T167" s="275"/>
      <c r="U167" s="275"/>
      <c r="V167" s="210"/>
      <c r="W167" s="81"/>
    </row>
    <row r="168" spans="1:23" s="25" customFormat="1" ht="30.75" customHeight="1" x14ac:dyDescent="0.25">
      <c r="A168" s="450" t="s">
        <v>540</v>
      </c>
      <c r="B168" s="450"/>
      <c r="C168" s="450"/>
      <c r="D168" s="450"/>
      <c r="E168" s="450"/>
      <c r="F168" s="450"/>
      <c r="G168" s="450"/>
      <c r="H168" s="450"/>
      <c r="I168" s="450"/>
      <c r="J168" s="450"/>
      <c r="K168" s="246"/>
      <c r="L168" s="246"/>
      <c r="M168" s="410"/>
      <c r="N168" s="410"/>
      <c r="O168" s="410"/>
      <c r="P168" s="210"/>
      <c r="Q168" s="285"/>
      <c r="R168" s="285"/>
      <c r="S168" s="285"/>
      <c r="T168" s="275"/>
      <c r="U168" s="275"/>
      <c r="V168" s="210"/>
      <c r="W168" s="81"/>
    </row>
    <row r="169" spans="1:23" s="25" customFormat="1" ht="15.6" customHeight="1" x14ac:dyDescent="0.25">
      <c r="A169" s="450" t="s">
        <v>467</v>
      </c>
      <c r="B169" s="450"/>
      <c r="C169" s="450"/>
      <c r="D169" s="450"/>
      <c r="E169" s="450"/>
      <c r="F169" s="450"/>
      <c r="G169" s="450"/>
      <c r="H169" s="450"/>
      <c r="I169" s="450"/>
      <c r="J169" s="450"/>
      <c r="K169" s="246"/>
      <c r="L169" s="246"/>
      <c r="M169" s="410"/>
      <c r="N169" s="410"/>
      <c r="O169" s="410"/>
      <c r="P169" s="210"/>
      <c r="Q169" s="285"/>
      <c r="R169" s="285"/>
      <c r="S169" s="285"/>
      <c r="T169" s="275"/>
      <c r="U169" s="275"/>
      <c r="V169" s="210"/>
      <c r="W169" s="81"/>
    </row>
    <row r="170" spans="1:23" s="25" customFormat="1" x14ac:dyDescent="0.25">
      <c r="A170" s="450" t="s">
        <v>74</v>
      </c>
      <c r="B170" s="450"/>
      <c r="C170" s="450"/>
      <c r="D170" s="450"/>
      <c r="E170" s="450"/>
      <c r="F170" s="450"/>
      <c r="G170" s="450"/>
      <c r="H170" s="450"/>
      <c r="I170" s="450"/>
      <c r="J170" s="450"/>
      <c r="K170" s="215"/>
      <c r="L170" s="215"/>
      <c r="M170" s="412"/>
      <c r="N170" s="412"/>
      <c r="O170" s="412"/>
      <c r="P170" s="210"/>
      <c r="Q170" s="285"/>
      <c r="R170" s="285"/>
      <c r="S170" s="285"/>
      <c r="T170" s="275"/>
      <c r="U170" s="275"/>
      <c r="V170" s="210"/>
      <c r="W170" s="81"/>
    </row>
    <row r="171" spans="1:23" s="25" customFormat="1" ht="30.75" customHeight="1" x14ac:dyDescent="0.25">
      <c r="A171" s="450" t="s">
        <v>539</v>
      </c>
      <c r="B171" s="450"/>
      <c r="C171" s="450"/>
      <c r="D171" s="450"/>
      <c r="E171" s="450"/>
      <c r="F171" s="450"/>
      <c r="G171" s="450"/>
      <c r="H171" s="450"/>
      <c r="I171" s="450"/>
      <c r="J171" s="450"/>
      <c r="K171" s="361"/>
      <c r="L171" s="361"/>
      <c r="M171" s="412"/>
      <c r="N171" s="412"/>
      <c r="O171" s="412"/>
      <c r="P171" s="210"/>
      <c r="Q171" s="285"/>
      <c r="R171" s="285"/>
      <c r="S171" s="285"/>
      <c r="T171" s="275"/>
      <c r="U171" s="275"/>
      <c r="V171" s="210"/>
      <c r="W171" s="81"/>
    </row>
    <row r="172" spans="1:23" s="25" customFormat="1" x14ac:dyDescent="0.25">
      <c r="A172" s="450" t="s">
        <v>546</v>
      </c>
      <c r="B172" s="450"/>
      <c r="C172" s="450"/>
      <c r="D172" s="450"/>
      <c r="E172" s="450"/>
      <c r="F172" s="450"/>
      <c r="G172" s="450"/>
      <c r="H172" s="450"/>
      <c r="I172" s="450"/>
      <c r="J172" s="450"/>
      <c r="K172" s="247"/>
      <c r="L172" s="247"/>
      <c r="M172" s="413"/>
      <c r="N172" s="413"/>
      <c r="O172" s="413"/>
      <c r="P172" s="247"/>
      <c r="Q172" s="287"/>
      <c r="R172" s="287"/>
      <c r="S172" s="287"/>
      <c r="T172" s="277"/>
      <c r="U172" s="277"/>
      <c r="V172" s="247"/>
    </row>
    <row r="173" spans="1:23" s="25" customFormat="1" ht="64.5" customHeight="1" x14ac:dyDescent="0.25">
      <c r="A173" s="450" t="s">
        <v>547</v>
      </c>
      <c r="B173" s="450"/>
      <c r="C173" s="450"/>
      <c r="D173" s="450"/>
      <c r="E173" s="450"/>
      <c r="F173" s="450"/>
      <c r="G173" s="450"/>
      <c r="H173" s="450"/>
      <c r="I173" s="450"/>
      <c r="J173" s="450"/>
      <c r="K173" s="247"/>
      <c r="L173" s="247"/>
      <c r="M173" s="413"/>
      <c r="N173" s="413"/>
      <c r="O173" s="413"/>
      <c r="P173" s="247"/>
      <c r="Q173" s="287"/>
      <c r="R173" s="287"/>
      <c r="S173" s="287"/>
      <c r="T173" s="277"/>
      <c r="U173" s="277"/>
      <c r="V173" s="247"/>
    </row>
    <row r="174" spans="1:23" s="25" customFormat="1" ht="31.5" customHeight="1" x14ac:dyDescent="0.25">
      <c r="A174" s="450" t="s">
        <v>567</v>
      </c>
      <c r="B174" s="450"/>
      <c r="C174" s="450"/>
      <c r="D174" s="450"/>
      <c r="E174" s="450"/>
      <c r="F174" s="450"/>
      <c r="G174" s="450"/>
      <c r="H174" s="450"/>
      <c r="I174" s="450"/>
      <c r="J174" s="450"/>
      <c r="K174" s="247"/>
      <c r="L174" s="247"/>
      <c r="M174" s="413"/>
      <c r="N174" s="413"/>
      <c r="O174" s="413"/>
      <c r="P174" s="247"/>
      <c r="Q174" s="287"/>
      <c r="R174" s="287"/>
      <c r="S174" s="287"/>
      <c r="T174" s="277"/>
      <c r="U174" s="277"/>
      <c r="V174" s="247"/>
    </row>
    <row r="175" spans="1:23" s="25" customFormat="1" ht="15" customHeight="1" x14ac:dyDescent="0.25">
      <c r="A175" s="215"/>
      <c r="B175" s="215"/>
      <c r="C175" s="215"/>
      <c r="D175" s="215"/>
      <c r="E175" s="215"/>
      <c r="F175" s="215"/>
      <c r="G175" s="215"/>
      <c r="H175" s="215"/>
      <c r="I175" s="215"/>
      <c r="J175" s="215"/>
      <c r="K175" s="245"/>
      <c r="L175" s="245"/>
      <c r="M175" s="414"/>
      <c r="N175" s="414"/>
      <c r="O175" s="414"/>
      <c r="P175" s="245"/>
      <c r="Q175" s="288"/>
      <c r="R175" s="288"/>
      <c r="S175" s="288"/>
      <c r="T175" s="278"/>
      <c r="U175" s="278"/>
      <c r="V175" s="251"/>
    </row>
    <row r="176" spans="1:23" s="25" customFormat="1" x14ac:dyDescent="0.25">
      <c r="A176" s="247" t="s">
        <v>40</v>
      </c>
      <c r="B176" s="247"/>
      <c r="C176" s="247"/>
      <c r="D176" s="247"/>
      <c r="E176" s="247"/>
      <c r="F176" s="247"/>
      <c r="G176" s="247"/>
      <c r="H176" s="247"/>
      <c r="I176" s="247"/>
      <c r="J176" s="247"/>
      <c r="K176" s="245"/>
      <c r="L176" s="245"/>
      <c r="M176" s="414"/>
      <c r="N176" s="414"/>
      <c r="O176" s="414"/>
      <c r="P176" s="245"/>
      <c r="Q176" s="288"/>
      <c r="R176" s="288"/>
      <c r="S176" s="288"/>
      <c r="T176" s="278"/>
      <c r="U176" s="278"/>
      <c r="V176" s="251"/>
    </row>
    <row r="177" spans="1:266" s="25" customFormat="1" x14ac:dyDescent="0.25">
      <c r="A177" s="463" t="s">
        <v>41</v>
      </c>
      <c r="B177" s="463"/>
      <c r="C177" s="463"/>
      <c r="D177" s="463"/>
      <c r="E177" s="463"/>
      <c r="F177" s="463"/>
      <c r="G177" s="245"/>
      <c r="H177" s="245"/>
      <c r="I177" s="245"/>
      <c r="J177" s="245"/>
      <c r="K177" s="245"/>
      <c r="L177" s="245"/>
      <c r="M177" s="414"/>
      <c r="N177" s="414"/>
      <c r="O177" s="414"/>
      <c r="P177" s="245"/>
      <c r="Q177" s="288"/>
      <c r="R177" s="288"/>
      <c r="S177" s="288"/>
      <c r="T177" s="278"/>
      <c r="U177" s="278"/>
      <c r="V177" s="251"/>
    </row>
    <row r="178" spans="1:266" s="25" customFormat="1" ht="12.75" customHeight="1" x14ac:dyDescent="0.25">
      <c r="A178" s="452"/>
      <c r="B178" s="452"/>
      <c r="C178" s="452"/>
      <c r="D178" s="452"/>
      <c r="E178" s="452"/>
      <c r="F178" s="452"/>
      <c r="G178" s="244"/>
      <c r="H178" s="245"/>
      <c r="I178" s="464" t="s">
        <v>121</v>
      </c>
      <c r="J178" s="464"/>
      <c r="K178" s="248"/>
      <c r="L178" s="248"/>
      <c r="M178" s="415"/>
      <c r="N178" s="415"/>
      <c r="O178" s="415"/>
      <c r="P178" s="248"/>
      <c r="Q178" s="289"/>
      <c r="R178" s="289"/>
      <c r="S178" s="289"/>
      <c r="T178" s="279"/>
      <c r="U178" s="279"/>
      <c r="V178" s="248"/>
    </row>
    <row r="179" spans="1:266" s="25" customFormat="1" x14ac:dyDescent="0.25">
      <c r="A179" s="452"/>
      <c r="B179" s="452"/>
      <c r="C179" s="452"/>
      <c r="D179" s="452"/>
      <c r="E179" s="452"/>
      <c r="F179" s="452"/>
      <c r="G179" s="244"/>
      <c r="H179" s="245"/>
      <c r="I179" s="464"/>
      <c r="J179" s="464"/>
      <c r="K179" s="249"/>
      <c r="L179" s="249"/>
      <c r="M179" s="416"/>
      <c r="N179" s="416"/>
      <c r="O179" s="416"/>
      <c r="P179" s="250"/>
      <c r="Q179" s="290"/>
      <c r="R179" s="290"/>
      <c r="S179" s="290"/>
      <c r="T179" s="280"/>
      <c r="U179" s="280"/>
      <c r="V179" s="250"/>
      <c r="W179" s="86"/>
      <c r="X179" s="46"/>
      <c r="Y179" s="46"/>
      <c r="Z179" s="46"/>
      <c r="AA179" s="46"/>
      <c r="AB179" s="46"/>
      <c r="AC179" s="46"/>
      <c r="AD179" s="46"/>
      <c r="AE179" s="46"/>
      <c r="AF179" s="46"/>
      <c r="AG179" s="46"/>
      <c r="AH179" s="46"/>
      <c r="AI179" s="46"/>
      <c r="AJ179" s="46"/>
      <c r="AK179" s="46"/>
      <c r="AL179" s="46"/>
      <c r="AM179" s="46"/>
      <c r="AN179" s="46"/>
      <c r="AO179" s="46"/>
      <c r="AP179" s="46"/>
      <c r="AQ179" s="46"/>
      <c r="AR179" s="46"/>
      <c r="AS179" s="46"/>
      <c r="AT179" s="46"/>
      <c r="AU179" s="46"/>
      <c r="AV179" s="46"/>
      <c r="AW179" s="46"/>
      <c r="AX179" s="46"/>
      <c r="AY179" s="46"/>
      <c r="AZ179" s="46"/>
      <c r="BA179" s="46"/>
      <c r="BB179" s="46"/>
      <c r="BC179" s="46"/>
      <c r="BD179" s="46"/>
      <c r="BE179" s="46"/>
      <c r="BF179" s="46"/>
      <c r="BG179" s="46"/>
      <c r="BH179" s="46"/>
      <c r="BI179" s="46"/>
      <c r="BJ179" s="46"/>
      <c r="BK179" s="46"/>
      <c r="BL179" s="46"/>
      <c r="BM179" s="46"/>
      <c r="BN179" s="46"/>
      <c r="BO179" s="46"/>
      <c r="BP179" s="46"/>
      <c r="BQ179" s="46"/>
      <c r="BR179" s="46"/>
      <c r="BS179" s="46"/>
      <c r="BT179" s="46"/>
      <c r="BU179" s="46"/>
      <c r="BV179" s="46"/>
      <c r="BW179" s="46"/>
      <c r="BX179" s="46"/>
      <c r="BY179" s="46"/>
      <c r="BZ179" s="46"/>
      <c r="CA179" s="46"/>
      <c r="CB179" s="46"/>
      <c r="CC179" s="46"/>
      <c r="CD179" s="46"/>
      <c r="CE179" s="46"/>
      <c r="CF179" s="46"/>
      <c r="CG179" s="46"/>
      <c r="CH179" s="46"/>
      <c r="CI179" s="46"/>
      <c r="CJ179" s="46"/>
      <c r="CK179" s="46"/>
      <c r="CL179" s="46"/>
      <c r="CM179" s="46"/>
      <c r="CN179" s="46"/>
      <c r="CO179" s="46"/>
      <c r="CP179" s="46"/>
      <c r="CQ179" s="46"/>
      <c r="CR179" s="46"/>
      <c r="CS179" s="46"/>
      <c r="CT179" s="46"/>
      <c r="CU179" s="46"/>
      <c r="CV179" s="46"/>
      <c r="CW179" s="46"/>
      <c r="CX179" s="46"/>
      <c r="CY179" s="46"/>
      <c r="CZ179" s="46"/>
      <c r="DA179" s="46"/>
      <c r="DB179" s="46"/>
      <c r="DC179" s="46"/>
      <c r="DD179" s="46"/>
      <c r="DE179" s="46"/>
      <c r="DF179" s="46"/>
      <c r="DG179" s="46"/>
      <c r="DH179" s="46"/>
      <c r="DI179" s="46"/>
      <c r="DJ179" s="46"/>
      <c r="DK179" s="46"/>
      <c r="DL179" s="46"/>
      <c r="DM179" s="46"/>
      <c r="DN179" s="46"/>
      <c r="DO179" s="46"/>
      <c r="DP179" s="46"/>
      <c r="DQ179" s="46"/>
      <c r="DR179" s="46"/>
      <c r="DS179" s="46"/>
      <c r="DT179" s="46"/>
      <c r="DU179" s="46"/>
      <c r="DV179" s="46"/>
      <c r="DW179" s="46"/>
      <c r="DX179" s="46"/>
      <c r="DY179" s="46"/>
      <c r="DZ179" s="46"/>
      <c r="EA179" s="46"/>
      <c r="EB179" s="46"/>
      <c r="EC179" s="46"/>
      <c r="ED179" s="46"/>
      <c r="EE179" s="46"/>
      <c r="EF179" s="46"/>
      <c r="EG179" s="46"/>
      <c r="EH179" s="46"/>
      <c r="EI179" s="46"/>
      <c r="EJ179" s="46"/>
      <c r="EK179" s="46"/>
      <c r="EL179" s="46"/>
      <c r="EM179" s="46"/>
      <c r="EN179" s="46"/>
      <c r="EO179" s="46"/>
      <c r="EP179" s="46"/>
      <c r="EQ179" s="46"/>
      <c r="ER179" s="46"/>
      <c r="ES179" s="46"/>
      <c r="ET179" s="46"/>
      <c r="EU179" s="46"/>
      <c r="EV179" s="46"/>
      <c r="EW179" s="46"/>
      <c r="EX179" s="46"/>
      <c r="EY179" s="46"/>
      <c r="EZ179" s="46"/>
      <c r="FA179" s="46"/>
      <c r="FB179" s="46"/>
      <c r="FC179" s="46"/>
      <c r="FD179" s="46"/>
      <c r="FE179" s="46"/>
      <c r="FF179" s="46"/>
      <c r="FG179" s="46"/>
      <c r="FH179" s="46"/>
      <c r="FI179" s="46"/>
      <c r="FJ179" s="46"/>
      <c r="FK179" s="46"/>
      <c r="FL179" s="46"/>
      <c r="FM179" s="46"/>
      <c r="FN179" s="46"/>
      <c r="FO179" s="46"/>
      <c r="FP179" s="46"/>
      <c r="FQ179" s="46"/>
      <c r="FR179" s="46"/>
      <c r="FS179" s="46"/>
      <c r="FT179" s="46"/>
      <c r="FU179" s="46"/>
      <c r="FV179" s="46"/>
      <c r="FW179" s="46"/>
      <c r="FX179" s="46"/>
      <c r="FY179" s="46"/>
      <c r="FZ179" s="46"/>
      <c r="GA179" s="46"/>
      <c r="GB179" s="46"/>
      <c r="GC179" s="46"/>
      <c r="GD179" s="46"/>
      <c r="GE179" s="46"/>
      <c r="GF179" s="46"/>
      <c r="GG179" s="46"/>
      <c r="GH179" s="46"/>
      <c r="GI179" s="46"/>
      <c r="GJ179" s="46"/>
      <c r="GK179" s="46"/>
      <c r="GL179" s="46"/>
      <c r="GM179" s="46"/>
      <c r="GN179" s="46"/>
      <c r="GO179" s="46"/>
      <c r="GP179" s="46"/>
      <c r="GQ179" s="46"/>
      <c r="GR179" s="46"/>
      <c r="GS179" s="46"/>
      <c r="GT179" s="46"/>
      <c r="GU179" s="46"/>
      <c r="GV179" s="46"/>
      <c r="GW179" s="46"/>
      <c r="GX179" s="46"/>
      <c r="GY179" s="46"/>
      <c r="GZ179" s="46"/>
      <c r="HA179" s="46"/>
      <c r="HB179" s="46"/>
      <c r="HC179" s="46"/>
      <c r="HD179" s="46"/>
      <c r="HE179" s="46"/>
      <c r="HF179" s="46"/>
      <c r="HG179" s="46"/>
      <c r="HH179" s="46"/>
      <c r="HI179" s="46"/>
      <c r="HJ179" s="46"/>
      <c r="HK179" s="46"/>
      <c r="HL179" s="46"/>
      <c r="HM179" s="46"/>
      <c r="HN179" s="46"/>
      <c r="HO179" s="46"/>
      <c r="HP179" s="46"/>
      <c r="HQ179" s="46"/>
      <c r="HR179" s="46"/>
      <c r="HS179" s="46"/>
      <c r="HT179" s="46"/>
      <c r="HU179" s="46"/>
      <c r="HV179" s="46"/>
      <c r="HW179" s="46"/>
      <c r="HX179" s="46"/>
      <c r="HY179" s="46"/>
      <c r="HZ179" s="46"/>
      <c r="IA179" s="46"/>
      <c r="IB179" s="46"/>
      <c r="IC179" s="46"/>
      <c r="ID179" s="46"/>
      <c r="IE179" s="46"/>
      <c r="IF179" s="46"/>
      <c r="IG179" s="46"/>
      <c r="IH179" s="46"/>
      <c r="II179" s="46"/>
      <c r="IJ179" s="46"/>
      <c r="IK179" s="46"/>
      <c r="IL179" s="46"/>
      <c r="IM179" s="46"/>
      <c r="IN179" s="46"/>
      <c r="IO179" s="46"/>
      <c r="IP179" s="46"/>
      <c r="IQ179" s="46"/>
      <c r="IR179" s="46"/>
      <c r="IS179" s="46"/>
      <c r="IT179" s="46"/>
      <c r="IU179" s="46"/>
      <c r="IV179" s="46"/>
      <c r="IW179" s="46"/>
      <c r="IX179" s="46"/>
      <c r="IY179" s="46"/>
      <c r="IZ179" s="46"/>
      <c r="JA179" s="46"/>
      <c r="JB179" s="46"/>
      <c r="JC179" s="46"/>
      <c r="JD179" s="46"/>
      <c r="JE179" s="46"/>
      <c r="JF179" s="46"/>
    </row>
    <row r="180" spans="1:266" x14ac:dyDescent="0.25">
      <c r="A180" s="462"/>
      <c r="B180" s="462"/>
      <c r="C180" s="462"/>
      <c r="D180" s="462"/>
      <c r="E180" s="462"/>
      <c r="F180" s="462"/>
      <c r="G180" s="216"/>
      <c r="H180" s="245"/>
      <c r="I180" s="465"/>
      <c r="J180" s="465"/>
      <c r="K180" s="247"/>
      <c r="L180" s="247"/>
      <c r="M180" s="413"/>
      <c r="N180" s="413"/>
      <c r="O180" s="413"/>
      <c r="P180" s="247"/>
      <c r="Q180" s="287"/>
      <c r="R180" s="287"/>
      <c r="S180" s="287"/>
      <c r="T180" s="277"/>
      <c r="U180" s="277"/>
      <c r="V180" s="247"/>
    </row>
    <row r="181" spans="1:266" x14ac:dyDescent="0.25">
      <c r="A181" s="217" t="s">
        <v>42</v>
      </c>
      <c r="B181" s="194"/>
      <c r="C181" s="194"/>
      <c r="D181" s="218"/>
      <c r="E181" s="218"/>
      <c r="F181" s="219"/>
      <c r="G181" s="219"/>
      <c r="H181" s="194"/>
      <c r="I181" s="219" t="s">
        <v>26</v>
      </c>
      <c r="J181" s="194"/>
      <c r="K181" s="247"/>
      <c r="L181" s="247"/>
      <c r="M181" s="413"/>
      <c r="N181" s="413"/>
      <c r="O181" s="413"/>
      <c r="P181" s="247"/>
      <c r="Q181" s="287"/>
      <c r="R181" s="287"/>
      <c r="S181" s="287"/>
      <c r="T181" s="277"/>
      <c r="U181" s="277"/>
      <c r="V181" s="247"/>
    </row>
    <row r="182" spans="1:266" s="144" customFormat="1" ht="24.75" customHeight="1" x14ac:dyDescent="0.25">
      <c r="A182" s="461"/>
      <c r="B182" s="461"/>
      <c r="C182" s="461"/>
      <c r="D182" s="461"/>
      <c r="E182" s="461"/>
      <c r="F182" s="461"/>
      <c r="G182" s="194"/>
      <c r="H182" s="194"/>
      <c r="I182" s="247"/>
      <c r="J182" s="247"/>
      <c r="K182" s="142"/>
      <c r="L182" s="143"/>
      <c r="M182" s="409"/>
      <c r="N182" s="409"/>
      <c r="O182" s="409"/>
      <c r="Q182" s="291"/>
      <c r="R182" s="291"/>
      <c r="S182" s="291"/>
      <c r="T182" s="281"/>
      <c r="U182" s="281"/>
    </row>
    <row r="183" spans="1:266" x14ac:dyDescent="0.25">
      <c r="A183" s="461"/>
      <c r="B183" s="461"/>
      <c r="C183" s="461"/>
      <c r="D183" s="461"/>
      <c r="E183" s="461"/>
      <c r="F183" s="461"/>
      <c r="G183" s="149"/>
      <c r="H183" s="82"/>
      <c r="I183" s="247"/>
      <c r="J183" s="247"/>
      <c r="K183" s="45"/>
      <c r="L183" s="46"/>
      <c r="M183" s="417"/>
      <c r="N183" s="417"/>
      <c r="O183" s="417"/>
    </row>
    <row r="184" spans="1:266" x14ac:dyDescent="0.25">
      <c r="A184" s="137"/>
      <c r="B184" s="138"/>
      <c r="C184" s="139"/>
      <c r="D184" s="139"/>
      <c r="E184" s="139"/>
      <c r="F184" s="139"/>
      <c r="G184" s="139"/>
      <c r="H184" s="139"/>
      <c r="I184" s="140"/>
      <c r="J184" s="141"/>
      <c r="K184" s="43"/>
    </row>
    <row r="185" spans="1:266" x14ac:dyDescent="0.25">
      <c r="A185" s="46"/>
      <c r="B185" s="49"/>
      <c r="C185" s="46"/>
      <c r="D185" s="46"/>
      <c r="E185" s="46"/>
      <c r="F185" s="46"/>
      <c r="G185" s="46"/>
      <c r="H185" s="46"/>
      <c r="I185" s="46"/>
      <c r="J185" s="46"/>
      <c r="K185" s="43"/>
    </row>
    <row r="186" spans="1:266" x14ac:dyDescent="0.25">
      <c r="A186" s="1"/>
      <c r="B186" s="16"/>
      <c r="C186" s="136"/>
      <c r="D186" s="136"/>
      <c r="E186" s="136"/>
      <c r="F186" s="136"/>
      <c r="G186" s="136"/>
      <c r="H186" s="7"/>
      <c r="I186" s="24"/>
      <c r="K186" s="43"/>
    </row>
    <row r="187" spans="1:266" x14ac:dyDescent="0.25">
      <c r="A187" s="1"/>
      <c r="B187" s="16"/>
      <c r="C187" s="136"/>
      <c r="D187" s="136"/>
      <c r="E187" s="136"/>
      <c r="F187" s="136"/>
      <c r="G187" s="136"/>
      <c r="H187" s="7"/>
      <c r="I187" s="24"/>
    </row>
    <row r="188" spans="1:266" x14ac:dyDescent="0.25">
      <c r="A188" t="s">
        <v>468</v>
      </c>
      <c r="C188" s="25"/>
      <c r="D188" s="25"/>
      <c r="E188" s="25"/>
      <c r="F188" s="25"/>
      <c r="G188" s="25"/>
      <c r="I188" s="24"/>
    </row>
    <row r="189" spans="1:266" x14ac:dyDescent="0.25">
      <c r="C189" s="25"/>
      <c r="D189" s="25"/>
      <c r="E189" s="25"/>
      <c r="F189" s="25"/>
      <c r="G189" s="25"/>
    </row>
    <row r="190" spans="1:266" x14ac:dyDescent="0.25">
      <c r="C190" s="25"/>
      <c r="D190" s="25"/>
      <c r="E190" s="25"/>
      <c r="F190" s="25"/>
      <c r="G190" s="25"/>
    </row>
    <row r="191" spans="1:266" x14ac:dyDescent="0.25">
      <c r="C191" s="25"/>
      <c r="D191" s="25"/>
      <c r="E191" s="25"/>
      <c r="F191" s="25"/>
      <c r="G191" s="25"/>
    </row>
    <row r="192" spans="1:266" x14ac:dyDescent="0.25">
      <c r="C192" s="25"/>
      <c r="D192" s="25"/>
      <c r="E192" s="25"/>
      <c r="F192" s="25"/>
      <c r="G192" s="25"/>
    </row>
    <row r="193" spans="3:7" x14ac:dyDescent="0.25">
      <c r="C193" s="25"/>
      <c r="D193" s="25"/>
      <c r="E193" s="25"/>
      <c r="F193" s="25"/>
      <c r="G193" s="25"/>
    </row>
    <row r="194" spans="3:7" x14ac:dyDescent="0.25">
      <c r="C194" s="25"/>
      <c r="D194" s="25"/>
      <c r="E194" s="25"/>
      <c r="F194" s="25"/>
      <c r="G194" s="25"/>
    </row>
    <row r="195" spans="3:7" x14ac:dyDescent="0.25">
      <c r="C195" s="25"/>
      <c r="D195" s="25"/>
      <c r="E195" s="25"/>
      <c r="F195" s="25"/>
      <c r="G195" s="25"/>
    </row>
    <row r="196" spans="3:7" x14ac:dyDescent="0.25">
      <c r="C196" s="25"/>
      <c r="D196" s="25"/>
      <c r="E196" s="25"/>
      <c r="F196" s="25"/>
      <c r="G196" s="25"/>
    </row>
    <row r="197" spans="3:7" x14ac:dyDescent="0.25">
      <c r="C197" s="25"/>
      <c r="D197" s="25"/>
      <c r="E197" s="25"/>
      <c r="F197" s="25"/>
      <c r="G197" s="25"/>
    </row>
    <row r="198" spans="3:7" x14ac:dyDescent="0.25">
      <c r="C198" s="25"/>
      <c r="D198" s="25"/>
      <c r="E198" s="25"/>
      <c r="F198" s="25"/>
      <c r="G198" s="25"/>
    </row>
    <row r="199" spans="3:7" x14ac:dyDescent="0.25">
      <c r="C199" s="25"/>
      <c r="D199" s="25"/>
      <c r="E199" s="25"/>
      <c r="F199" s="25"/>
      <c r="G199" s="25"/>
    </row>
    <row r="200" spans="3:7" x14ac:dyDescent="0.25">
      <c r="C200" s="25"/>
      <c r="D200" s="25"/>
      <c r="E200" s="25"/>
      <c r="F200" s="25"/>
      <c r="G200" s="25"/>
    </row>
    <row r="201" spans="3:7" x14ac:dyDescent="0.25">
      <c r="C201" s="25"/>
      <c r="D201" s="25"/>
      <c r="E201" s="25"/>
      <c r="F201" s="25"/>
      <c r="G201" s="25"/>
    </row>
    <row r="202" spans="3:7" x14ac:dyDescent="0.25">
      <c r="C202" s="25"/>
      <c r="D202" s="25"/>
      <c r="E202" s="25"/>
      <c r="F202" s="25"/>
      <c r="G202" s="25"/>
    </row>
    <row r="203" spans="3:7" x14ac:dyDescent="0.25">
      <c r="C203" s="25"/>
      <c r="D203" s="25"/>
      <c r="E203" s="25"/>
      <c r="F203" s="25"/>
      <c r="G203" s="25"/>
    </row>
    <row r="204" spans="3:7" x14ac:dyDescent="0.25">
      <c r="C204" s="25"/>
      <c r="D204" s="25"/>
      <c r="E204" s="25"/>
      <c r="F204" s="25"/>
      <c r="G204" s="25"/>
    </row>
    <row r="205" spans="3:7" x14ac:dyDescent="0.25">
      <c r="C205" s="25"/>
      <c r="D205" s="25"/>
      <c r="E205" s="25"/>
      <c r="F205" s="25"/>
      <c r="G205" s="25"/>
    </row>
    <row r="206" spans="3:7" x14ac:dyDescent="0.25">
      <c r="C206" s="25"/>
      <c r="D206" s="25"/>
      <c r="E206" s="25"/>
      <c r="F206" s="25"/>
      <c r="G206" s="25"/>
    </row>
    <row r="207" spans="3:7" x14ac:dyDescent="0.25">
      <c r="C207" s="25"/>
      <c r="D207" s="25"/>
      <c r="E207" s="25"/>
      <c r="F207" s="25"/>
      <c r="G207" s="25"/>
    </row>
    <row r="208" spans="3:7" x14ac:dyDescent="0.25">
      <c r="C208" s="25"/>
      <c r="D208" s="25"/>
      <c r="E208" s="25"/>
      <c r="F208" s="25"/>
      <c r="G208" s="25"/>
    </row>
    <row r="209" spans="3:7" x14ac:dyDescent="0.25">
      <c r="C209" s="25"/>
      <c r="D209" s="25"/>
      <c r="E209" s="25"/>
      <c r="F209" s="25"/>
      <c r="G209" s="25"/>
    </row>
    <row r="210" spans="3:7" x14ac:dyDescent="0.25">
      <c r="C210" s="25"/>
      <c r="D210" s="25"/>
      <c r="E210" s="25"/>
      <c r="F210" s="25"/>
      <c r="G210" s="25"/>
    </row>
    <row r="211" spans="3:7" x14ac:dyDescent="0.25">
      <c r="C211" s="25"/>
      <c r="D211" s="25"/>
      <c r="E211" s="25"/>
      <c r="F211" s="25"/>
      <c r="G211" s="25"/>
    </row>
    <row r="212" spans="3:7" x14ac:dyDescent="0.25">
      <c r="C212" s="25"/>
      <c r="D212" s="25"/>
      <c r="E212" s="25"/>
      <c r="F212" s="25"/>
      <c r="G212" s="25"/>
    </row>
    <row r="213" spans="3:7" x14ac:dyDescent="0.25">
      <c r="C213" s="25"/>
      <c r="D213" s="25"/>
      <c r="E213" s="25"/>
      <c r="F213" s="25"/>
      <c r="G213" s="25"/>
    </row>
    <row r="214" spans="3:7" x14ac:dyDescent="0.25">
      <c r="C214" s="25"/>
      <c r="D214" s="25"/>
      <c r="E214" s="25"/>
      <c r="F214" s="25"/>
      <c r="G214" s="25"/>
    </row>
    <row r="215" spans="3:7" x14ac:dyDescent="0.25">
      <c r="C215" s="25"/>
      <c r="D215" s="25"/>
      <c r="E215" s="25"/>
      <c r="F215" s="25"/>
      <c r="G215" s="25"/>
    </row>
    <row r="216" spans="3:7" x14ac:dyDescent="0.25">
      <c r="C216" s="25"/>
      <c r="D216" s="25"/>
      <c r="E216" s="25"/>
      <c r="F216" s="25"/>
      <c r="G216" s="25"/>
    </row>
    <row r="217" spans="3:7" x14ac:dyDescent="0.25">
      <c r="C217" s="25"/>
      <c r="D217" s="25"/>
      <c r="E217" s="25"/>
      <c r="F217" s="25"/>
      <c r="G217" s="25"/>
    </row>
    <row r="218" spans="3:7" x14ac:dyDescent="0.25">
      <c r="C218" s="25"/>
      <c r="D218" s="25"/>
      <c r="E218" s="25"/>
      <c r="F218" s="25"/>
      <c r="G218" s="25"/>
    </row>
    <row r="219" spans="3:7" x14ac:dyDescent="0.25">
      <c r="C219" s="25"/>
      <c r="D219" s="25"/>
      <c r="E219" s="25"/>
      <c r="F219" s="25"/>
      <c r="G219" s="25"/>
    </row>
    <row r="220" spans="3:7" x14ac:dyDescent="0.25">
      <c r="C220" s="25"/>
      <c r="D220" s="25"/>
      <c r="E220" s="25"/>
      <c r="F220" s="25"/>
      <c r="G220" s="25"/>
    </row>
    <row r="221" spans="3:7" x14ac:dyDescent="0.25">
      <c r="C221" s="25"/>
      <c r="D221" s="25"/>
      <c r="E221" s="25"/>
      <c r="F221" s="25"/>
      <c r="G221" s="25"/>
    </row>
    <row r="222" spans="3:7" x14ac:dyDescent="0.25">
      <c r="C222" s="25"/>
      <c r="D222" s="25"/>
      <c r="E222" s="25"/>
      <c r="F222" s="25"/>
      <c r="G222" s="25"/>
    </row>
    <row r="223" spans="3:7" x14ac:dyDescent="0.25">
      <c r="C223" s="25"/>
      <c r="D223" s="25"/>
      <c r="E223" s="25"/>
      <c r="F223" s="25"/>
      <c r="G223" s="25"/>
    </row>
    <row r="224" spans="3:7" x14ac:dyDescent="0.25">
      <c r="C224" s="25"/>
      <c r="D224" s="25"/>
      <c r="E224" s="25"/>
      <c r="F224" s="25"/>
      <c r="G224" s="25"/>
    </row>
    <row r="225" spans="3:7" x14ac:dyDescent="0.25">
      <c r="C225" s="25"/>
      <c r="D225" s="25"/>
      <c r="E225" s="25"/>
      <c r="F225" s="25"/>
      <c r="G225" s="25"/>
    </row>
    <row r="226" spans="3:7" x14ac:dyDescent="0.25">
      <c r="C226" s="25"/>
      <c r="D226" s="25"/>
      <c r="E226" s="25"/>
      <c r="F226" s="25"/>
      <c r="G226" s="25"/>
    </row>
    <row r="227" spans="3:7" x14ac:dyDescent="0.25">
      <c r="C227" s="25"/>
      <c r="D227" s="25"/>
      <c r="E227" s="25"/>
      <c r="F227" s="25"/>
      <c r="G227" s="25"/>
    </row>
    <row r="228" spans="3:7" x14ac:dyDescent="0.25">
      <c r="C228" s="25"/>
      <c r="D228" s="25"/>
      <c r="E228" s="25"/>
      <c r="F228" s="25"/>
      <c r="G228" s="25"/>
    </row>
    <row r="229" spans="3:7" x14ac:dyDescent="0.25">
      <c r="C229" s="25"/>
      <c r="D229" s="25"/>
      <c r="E229" s="25"/>
      <c r="F229" s="25"/>
      <c r="G229" s="25"/>
    </row>
    <row r="230" spans="3:7" x14ac:dyDescent="0.25">
      <c r="C230" s="25"/>
      <c r="D230" s="25"/>
      <c r="E230" s="25"/>
      <c r="F230" s="25"/>
      <c r="G230" s="25"/>
    </row>
    <row r="231" spans="3:7" x14ac:dyDescent="0.25">
      <c r="C231" s="25"/>
      <c r="D231" s="25"/>
      <c r="E231" s="25"/>
      <c r="F231" s="25"/>
      <c r="G231" s="25"/>
    </row>
    <row r="232" spans="3:7" x14ac:dyDescent="0.25">
      <c r="C232" s="25"/>
      <c r="D232" s="25"/>
      <c r="E232" s="25"/>
      <c r="F232" s="25"/>
      <c r="G232" s="25"/>
    </row>
    <row r="233" spans="3:7" x14ac:dyDescent="0.25">
      <c r="C233" s="25"/>
      <c r="D233" s="25"/>
      <c r="E233" s="25"/>
      <c r="F233" s="25"/>
      <c r="G233" s="25"/>
    </row>
    <row r="234" spans="3:7" x14ac:dyDescent="0.25">
      <c r="C234" s="25"/>
      <c r="D234" s="25"/>
      <c r="E234" s="25"/>
      <c r="F234" s="25"/>
      <c r="G234" s="25"/>
    </row>
    <row r="235" spans="3:7" x14ac:dyDescent="0.25">
      <c r="C235" s="25"/>
      <c r="D235" s="25"/>
      <c r="E235" s="25"/>
      <c r="F235" s="25"/>
      <c r="G235" s="25"/>
    </row>
    <row r="236" spans="3:7" x14ac:dyDescent="0.25">
      <c r="C236" s="25"/>
      <c r="D236" s="25"/>
      <c r="E236" s="25"/>
      <c r="F236" s="25"/>
      <c r="G236" s="25"/>
    </row>
    <row r="237" spans="3:7" x14ac:dyDescent="0.25">
      <c r="C237" s="25"/>
      <c r="D237" s="25"/>
      <c r="E237" s="25"/>
      <c r="F237" s="25"/>
      <c r="G237" s="25"/>
    </row>
    <row r="238" spans="3:7" x14ac:dyDescent="0.25">
      <c r="C238" s="25"/>
      <c r="D238" s="25"/>
      <c r="E238" s="25"/>
      <c r="F238" s="25"/>
      <c r="G238" s="25"/>
    </row>
    <row r="239" spans="3:7" x14ac:dyDescent="0.25">
      <c r="C239" s="25"/>
      <c r="D239" s="25"/>
      <c r="E239" s="25"/>
      <c r="F239" s="25"/>
      <c r="G239" s="25"/>
    </row>
    <row r="240" spans="3:7" x14ac:dyDescent="0.25">
      <c r="C240" s="25"/>
      <c r="D240" s="25"/>
      <c r="E240" s="25"/>
      <c r="F240" s="25"/>
      <c r="G240" s="25"/>
    </row>
    <row r="241" spans="3:7" x14ac:dyDescent="0.25">
      <c r="C241" s="25"/>
      <c r="D241" s="25"/>
      <c r="E241" s="25"/>
      <c r="F241" s="25"/>
      <c r="G241" s="25"/>
    </row>
    <row r="242" spans="3:7" x14ac:dyDescent="0.25">
      <c r="C242" s="25"/>
      <c r="D242" s="25"/>
      <c r="E242" s="25"/>
      <c r="F242" s="25"/>
      <c r="G242" s="25"/>
    </row>
    <row r="243" spans="3:7" x14ac:dyDescent="0.25">
      <c r="C243" s="25"/>
      <c r="D243" s="25"/>
      <c r="E243" s="25"/>
      <c r="F243" s="25"/>
      <c r="G243" s="25"/>
    </row>
    <row r="244" spans="3:7" x14ac:dyDescent="0.25">
      <c r="C244" s="25"/>
      <c r="D244" s="25"/>
      <c r="E244" s="25"/>
      <c r="F244" s="25"/>
      <c r="G244" s="25"/>
    </row>
    <row r="245" spans="3:7" x14ac:dyDescent="0.25">
      <c r="C245" s="25"/>
      <c r="D245" s="25"/>
      <c r="E245" s="25"/>
      <c r="F245" s="25"/>
      <c r="G245" s="25"/>
    </row>
    <row r="246" spans="3:7" x14ac:dyDescent="0.25">
      <c r="C246" s="25"/>
      <c r="D246" s="25"/>
      <c r="E246" s="25"/>
      <c r="F246" s="25"/>
      <c r="G246" s="25"/>
    </row>
    <row r="247" spans="3:7" x14ac:dyDescent="0.25">
      <c r="C247" s="25"/>
      <c r="D247" s="25"/>
      <c r="E247" s="25"/>
      <c r="F247" s="25"/>
      <c r="G247" s="25"/>
    </row>
    <row r="248" spans="3:7" x14ac:dyDescent="0.25">
      <c r="C248" s="25"/>
      <c r="D248" s="25"/>
      <c r="E248" s="25"/>
      <c r="F248" s="25"/>
      <c r="G248" s="25"/>
    </row>
    <row r="249" spans="3:7" x14ac:dyDescent="0.25">
      <c r="C249" s="25"/>
      <c r="D249" s="25"/>
      <c r="E249" s="25"/>
      <c r="F249" s="25"/>
      <c r="G249" s="25"/>
    </row>
    <row r="250" spans="3:7" x14ac:dyDescent="0.25">
      <c r="C250" s="25"/>
      <c r="D250" s="25"/>
      <c r="E250" s="25"/>
      <c r="F250" s="25"/>
      <c r="G250" s="25"/>
    </row>
    <row r="251" spans="3:7" x14ac:dyDescent="0.25">
      <c r="C251" s="25"/>
      <c r="D251" s="25"/>
      <c r="E251" s="25"/>
      <c r="F251" s="25"/>
      <c r="G251" s="25"/>
    </row>
    <row r="252" spans="3:7" x14ac:dyDescent="0.25">
      <c r="C252" s="25"/>
      <c r="D252" s="25"/>
      <c r="E252" s="25"/>
      <c r="F252" s="25"/>
      <c r="G252" s="25"/>
    </row>
    <row r="253" spans="3:7" x14ac:dyDescent="0.25">
      <c r="C253" s="25"/>
      <c r="D253" s="25"/>
      <c r="E253" s="25"/>
      <c r="F253" s="25"/>
      <c r="G253" s="25"/>
    </row>
    <row r="254" spans="3:7" x14ac:dyDescent="0.25">
      <c r="C254" s="25"/>
      <c r="D254" s="25"/>
      <c r="E254" s="25"/>
      <c r="F254" s="25"/>
      <c r="G254" s="25"/>
    </row>
    <row r="255" spans="3:7" x14ac:dyDescent="0.25">
      <c r="C255" s="25"/>
      <c r="D255" s="25"/>
      <c r="E255" s="25"/>
      <c r="F255" s="25"/>
      <c r="G255" s="25"/>
    </row>
    <row r="256" spans="3:7" x14ac:dyDescent="0.25">
      <c r="C256" s="25"/>
      <c r="D256" s="25"/>
      <c r="E256" s="25"/>
      <c r="F256" s="25"/>
      <c r="G256" s="25"/>
    </row>
    <row r="257" spans="3:7" x14ac:dyDescent="0.25">
      <c r="C257" s="25"/>
      <c r="D257" s="25"/>
      <c r="E257" s="25"/>
      <c r="F257" s="25"/>
      <c r="G257" s="25"/>
    </row>
    <row r="258" spans="3:7" x14ac:dyDescent="0.25">
      <c r="C258" s="25"/>
      <c r="D258" s="25"/>
      <c r="E258" s="25"/>
      <c r="F258" s="25"/>
      <c r="G258" s="25"/>
    </row>
    <row r="259" spans="3:7" x14ac:dyDescent="0.25">
      <c r="C259" s="25"/>
      <c r="D259" s="25"/>
      <c r="E259" s="25"/>
      <c r="F259" s="25"/>
      <c r="G259" s="25"/>
    </row>
    <row r="260" spans="3:7" x14ac:dyDescent="0.25">
      <c r="C260" s="25"/>
      <c r="D260" s="25"/>
      <c r="E260" s="25"/>
      <c r="F260" s="25"/>
      <c r="G260" s="25"/>
    </row>
    <row r="261" spans="3:7" x14ac:dyDescent="0.25">
      <c r="C261" s="25"/>
      <c r="D261" s="25"/>
      <c r="E261" s="25"/>
      <c r="F261" s="25"/>
      <c r="G261" s="25"/>
    </row>
    <row r="262" spans="3:7" x14ac:dyDescent="0.25">
      <c r="C262" s="25"/>
      <c r="D262" s="25"/>
      <c r="E262" s="25"/>
      <c r="F262" s="25"/>
      <c r="G262" s="25"/>
    </row>
    <row r="263" spans="3:7" x14ac:dyDescent="0.25">
      <c r="C263" s="25"/>
      <c r="D263" s="25"/>
      <c r="E263" s="25"/>
      <c r="F263" s="25"/>
      <c r="G263" s="25"/>
    </row>
    <row r="264" spans="3:7" x14ac:dyDescent="0.25">
      <c r="C264" s="25"/>
      <c r="D264" s="25"/>
      <c r="E264" s="25"/>
      <c r="F264" s="25"/>
      <c r="G264" s="25"/>
    </row>
    <row r="265" spans="3:7" x14ac:dyDescent="0.25">
      <c r="C265" s="25"/>
      <c r="D265" s="25"/>
      <c r="E265" s="25"/>
      <c r="F265" s="25"/>
      <c r="G265" s="25"/>
    </row>
    <row r="266" spans="3:7" x14ac:dyDescent="0.25">
      <c r="C266" s="25"/>
      <c r="D266" s="25"/>
      <c r="E266" s="25"/>
      <c r="F266" s="25"/>
      <c r="G266" s="25"/>
    </row>
    <row r="267" spans="3:7" x14ac:dyDescent="0.25">
      <c r="C267" s="25"/>
      <c r="D267" s="25"/>
      <c r="E267" s="25"/>
      <c r="F267" s="25"/>
      <c r="G267" s="25"/>
    </row>
    <row r="268" spans="3:7" x14ac:dyDescent="0.25">
      <c r="C268" s="25"/>
      <c r="D268" s="25"/>
      <c r="E268" s="25"/>
      <c r="F268" s="25"/>
      <c r="G268" s="25"/>
    </row>
    <row r="269" spans="3:7" x14ac:dyDescent="0.25">
      <c r="C269" s="25"/>
      <c r="D269" s="25"/>
      <c r="E269" s="25"/>
      <c r="F269" s="25"/>
      <c r="G269" s="25"/>
    </row>
    <row r="270" spans="3:7" x14ac:dyDescent="0.25">
      <c r="C270" s="25"/>
      <c r="D270" s="25"/>
      <c r="E270" s="25"/>
      <c r="F270" s="25"/>
      <c r="G270" s="25"/>
    </row>
    <row r="271" spans="3:7" x14ac:dyDescent="0.25">
      <c r="C271" s="25"/>
      <c r="D271" s="25"/>
      <c r="E271" s="25"/>
      <c r="F271" s="25"/>
      <c r="G271" s="25"/>
    </row>
    <row r="272" spans="3:7" x14ac:dyDescent="0.25">
      <c r="C272" s="25"/>
      <c r="D272" s="25"/>
      <c r="E272" s="25"/>
      <c r="F272" s="25"/>
      <c r="G272" s="25"/>
    </row>
    <row r="273" spans="3:7" x14ac:dyDescent="0.25">
      <c r="C273" s="25"/>
      <c r="D273" s="25"/>
      <c r="E273" s="25"/>
      <c r="F273" s="25"/>
      <c r="G273" s="25"/>
    </row>
    <row r="274" spans="3:7" x14ac:dyDescent="0.25">
      <c r="C274" s="25"/>
      <c r="D274" s="25"/>
      <c r="E274" s="25"/>
      <c r="F274" s="25"/>
      <c r="G274" s="25"/>
    </row>
    <row r="275" spans="3:7" x14ac:dyDescent="0.25">
      <c r="C275" s="25"/>
      <c r="D275" s="25"/>
      <c r="E275" s="25"/>
      <c r="F275" s="25"/>
      <c r="G275" s="25"/>
    </row>
    <row r="276" spans="3:7" x14ac:dyDescent="0.25">
      <c r="C276" s="25"/>
      <c r="D276" s="25"/>
      <c r="E276" s="25"/>
      <c r="F276" s="25"/>
      <c r="G276" s="25"/>
    </row>
    <row r="277" spans="3:7" x14ac:dyDescent="0.25">
      <c r="C277" s="25"/>
      <c r="D277" s="25"/>
      <c r="E277" s="25"/>
      <c r="F277" s="25"/>
      <c r="G277" s="25"/>
    </row>
    <row r="278" spans="3:7" x14ac:dyDescent="0.25">
      <c r="C278" s="25"/>
      <c r="D278" s="25"/>
      <c r="E278" s="25"/>
      <c r="F278" s="25"/>
      <c r="G278" s="25"/>
    </row>
    <row r="279" spans="3:7" x14ac:dyDescent="0.25">
      <c r="C279" s="25"/>
      <c r="D279" s="25"/>
      <c r="E279" s="25"/>
      <c r="F279" s="25"/>
      <c r="G279" s="25"/>
    </row>
    <row r="280" spans="3:7" x14ac:dyDescent="0.25">
      <c r="C280" s="25"/>
      <c r="D280" s="25"/>
      <c r="E280" s="25"/>
      <c r="F280" s="25"/>
      <c r="G280" s="25"/>
    </row>
    <row r="281" spans="3:7" x14ac:dyDescent="0.25">
      <c r="C281" s="25"/>
      <c r="D281" s="25"/>
      <c r="E281" s="25"/>
      <c r="F281" s="25"/>
      <c r="G281" s="25"/>
    </row>
    <row r="282" spans="3:7" x14ac:dyDescent="0.25">
      <c r="C282" s="25"/>
      <c r="D282" s="25"/>
      <c r="E282" s="25"/>
      <c r="F282" s="25"/>
      <c r="G282" s="25"/>
    </row>
    <row r="283" spans="3:7" x14ac:dyDescent="0.25">
      <c r="C283" s="25"/>
      <c r="D283" s="25"/>
      <c r="E283" s="25"/>
      <c r="F283" s="25"/>
      <c r="G283" s="25"/>
    </row>
    <row r="284" spans="3:7" x14ac:dyDescent="0.25">
      <c r="C284" s="25"/>
      <c r="D284" s="25"/>
      <c r="E284" s="25"/>
      <c r="F284" s="25"/>
      <c r="G284" s="25"/>
    </row>
    <row r="285" spans="3:7" x14ac:dyDescent="0.25">
      <c r="C285" s="25"/>
      <c r="D285" s="25"/>
      <c r="E285" s="25"/>
      <c r="F285" s="25"/>
      <c r="G285" s="25"/>
    </row>
    <row r="286" spans="3:7" x14ac:dyDescent="0.25">
      <c r="C286" s="25"/>
      <c r="D286" s="25"/>
      <c r="E286" s="25"/>
      <c r="F286" s="25"/>
      <c r="G286" s="25"/>
    </row>
    <row r="287" spans="3:7" x14ac:dyDescent="0.25">
      <c r="C287" s="25"/>
      <c r="D287" s="25"/>
      <c r="E287" s="25"/>
      <c r="F287" s="25"/>
      <c r="G287" s="25"/>
    </row>
    <row r="288" spans="3:7" x14ac:dyDescent="0.25">
      <c r="C288" s="25"/>
      <c r="D288" s="25"/>
      <c r="E288" s="25"/>
      <c r="F288" s="25"/>
      <c r="G288" s="25"/>
    </row>
    <row r="289" spans="3:7" x14ac:dyDescent="0.25">
      <c r="C289" s="25"/>
      <c r="D289" s="25"/>
      <c r="E289" s="25"/>
      <c r="F289" s="25"/>
      <c r="G289" s="25"/>
    </row>
    <row r="290" spans="3:7" x14ac:dyDescent="0.25">
      <c r="C290" s="25"/>
      <c r="D290" s="25"/>
      <c r="E290" s="25"/>
      <c r="F290" s="25"/>
      <c r="G290" s="25"/>
    </row>
    <row r="291" spans="3:7" x14ac:dyDescent="0.25">
      <c r="C291" s="25"/>
      <c r="D291" s="25"/>
      <c r="E291" s="25"/>
      <c r="F291" s="25"/>
      <c r="G291" s="25"/>
    </row>
    <row r="292" spans="3:7" x14ac:dyDescent="0.25">
      <c r="C292" s="25"/>
      <c r="D292" s="25"/>
      <c r="E292" s="25"/>
      <c r="F292" s="25"/>
      <c r="G292" s="25"/>
    </row>
    <row r="293" spans="3:7" x14ac:dyDescent="0.25">
      <c r="C293" s="25"/>
      <c r="D293" s="25"/>
      <c r="E293" s="25"/>
      <c r="F293" s="25"/>
      <c r="G293" s="25"/>
    </row>
    <row r="294" spans="3:7" x14ac:dyDescent="0.25">
      <c r="C294" s="25"/>
      <c r="D294" s="25"/>
      <c r="E294" s="25"/>
      <c r="F294" s="25"/>
      <c r="G294" s="25"/>
    </row>
    <row r="295" spans="3:7" x14ac:dyDescent="0.25">
      <c r="C295" s="25"/>
      <c r="D295" s="25"/>
      <c r="E295" s="25"/>
      <c r="F295" s="25"/>
      <c r="G295" s="25"/>
    </row>
    <row r="296" spans="3:7" x14ac:dyDescent="0.25">
      <c r="C296" s="25"/>
      <c r="D296" s="25"/>
      <c r="E296" s="25"/>
      <c r="F296" s="25"/>
      <c r="G296" s="25"/>
    </row>
    <row r="297" spans="3:7" x14ac:dyDescent="0.25">
      <c r="C297" s="25"/>
      <c r="D297" s="25"/>
      <c r="E297" s="25"/>
      <c r="F297" s="25"/>
      <c r="G297" s="25"/>
    </row>
    <row r="298" spans="3:7" x14ac:dyDescent="0.25">
      <c r="C298" s="25"/>
      <c r="D298" s="25"/>
      <c r="E298" s="25"/>
      <c r="F298" s="25"/>
      <c r="G298" s="25"/>
    </row>
    <row r="299" spans="3:7" x14ac:dyDescent="0.25">
      <c r="C299" s="25"/>
      <c r="D299" s="25"/>
      <c r="E299" s="25"/>
      <c r="F299" s="25"/>
      <c r="G299" s="25"/>
    </row>
    <row r="300" spans="3:7" x14ac:dyDescent="0.25">
      <c r="C300" s="25"/>
      <c r="D300" s="25"/>
      <c r="E300" s="25"/>
      <c r="F300" s="25"/>
      <c r="G300" s="25"/>
    </row>
    <row r="301" spans="3:7" x14ac:dyDescent="0.25">
      <c r="C301" s="25"/>
      <c r="D301" s="25"/>
      <c r="E301" s="25"/>
      <c r="F301" s="25"/>
      <c r="G301" s="25"/>
    </row>
    <row r="302" spans="3:7" x14ac:dyDescent="0.25">
      <c r="C302" s="25"/>
      <c r="D302" s="25"/>
      <c r="E302" s="25"/>
      <c r="F302" s="25"/>
      <c r="G302" s="25"/>
    </row>
    <row r="303" spans="3:7" x14ac:dyDescent="0.25">
      <c r="C303" s="25"/>
      <c r="D303" s="25"/>
      <c r="E303" s="25"/>
      <c r="F303" s="25"/>
      <c r="G303" s="25"/>
    </row>
    <row r="304" spans="3:7" x14ac:dyDescent="0.25">
      <c r="C304" s="25"/>
      <c r="D304" s="25"/>
      <c r="E304" s="25"/>
      <c r="F304" s="25"/>
      <c r="G304" s="25"/>
    </row>
    <row r="305" spans="3:7" x14ac:dyDescent="0.25">
      <c r="C305" s="25"/>
      <c r="D305" s="25"/>
      <c r="E305" s="25"/>
      <c r="F305" s="25"/>
      <c r="G305" s="25"/>
    </row>
    <row r="306" spans="3:7" x14ac:dyDescent="0.25">
      <c r="C306" s="25"/>
      <c r="D306" s="25"/>
      <c r="E306" s="25"/>
      <c r="F306" s="25"/>
      <c r="G306" s="25"/>
    </row>
    <row r="307" spans="3:7" x14ac:dyDescent="0.25">
      <c r="C307" s="25"/>
      <c r="D307" s="25"/>
      <c r="E307" s="25"/>
      <c r="F307" s="25"/>
      <c r="G307" s="25"/>
    </row>
    <row r="308" spans="3:7" x14ac:dyDescent="0.25">
      <c r="C308" s="25"/>
      <c r="D308" s="25"/>
      <c r="E308" s="25"/>
      <c r="F308" s="25"/>
      <c r="G308" s="25"/>
    </row>
    <row r="309" spans="3:7" x14ac:dyDescent="0.25">
      <c r="C309" s="25"/>
      <c r="D309" s="25"/>
      <c r="E309" s="25"/>
      <c r="F309" s="25"/>
      <c r="G309" s="25"/>
    </row>
    <row r="310" spans="3:7" x14ac:dyDescent="0.25">
      <c r="C310" s="25"/>
      <c r="D310" s="25"/>
      <c r="E310" s="25"/>
      <c r="F310" s="25"/>
      <c r="G310" s="25"/>
    </row>
    <row r="311" spans="3:7" x14ac:dyDescent="0.25">
      <c r="C311" s="25"/>
      <c r="D311" s="25"/>
      <c r="E311" s="25"/>
      <c r="F311" s="25"/>
      <c r="G311" s="25"/>
    </row>
    <row r="312" spans="3:7" x14ac:dyDescent="0.25">
      <c r="C312" s="25"/>
      <c r="D312" s="25"/>
      <c r="E312" s="25"/>
      <c r="F312" s="25"/>
      <c r="G312" s="25"/>
    </row>
    <row r="313" spans="3:7" x14ac:dyDescent="0.25">
      <c r="C313" s="25"/>
      <c r="D313" s="25"/>
      <c r="E313" s="25"/>
      <c r="F313" s="25"/>
      <c r="G313" s="25"/>
    </row>
    <row r="314" spans="3:7" x14ac:dyDescent="0.25">
      <c r="C314" s="25"/>
      <c r="D314" s="25"/>
      <c r="E314" s="25"/>
      <c r="F314" s="25"/>
      <c r="G314" s="25"/>
    </row>
    <row r="315" spans="3:7" x14ac:dyDescent="0.25">
      <c r="C315" s="25"/>
      <c r="D315" s="25"/>
      <c r="E315" s="25"/>
      <c r="F315" s="25"/>
      <c r="G315" s="25"/>
    </row>
    <row r="316" spans="3:7" x14ac:dyDescent="0.25">
      <c r="C316" s="25"/>
      <c r="D316" s="25"/>
      <c r="E316" s="25"/>
      <c r="F316" s="25"/>
      <c r="G316" s="25"/>
    </row>
    <row r="317" spans="3:7" x14ac:dyDescent="0.25">
      <c r="C317" s="25"/>
      <c r="D317" s="25"/>
      <c r="E317" s="25"/>
      <c r="F317" s="25"/>
      <c r="G317" s="25"/>
    </row>
    <row r="318" spans="3:7" x14ac:dyDescent="0.25">
      <c r="C318" s="25"/>
      <c r="D318" s="25"/>
      <c r="E318" s="25"/>
      <c r="F318" s="25"/>
      <c r="G318" s="25"/>
    </row>
    <row r="319" spans="3:7" x14ac:dyDescent="0.25">
      <c r="C319" s="25"/>
      <c r="D319" s="25"/>
      <c r="E319" s="25"/>
      <c r="F319" s="25"/>
      <c r="G319" s="25"/>
    </row>
    <row r="320" spans="3:7" x14ac:dyDescent="0.25">
      <c r="C320" s="25"/>
      <c r="D320" s="25"/>
      <c r="E320" s="25"/>
      <c r="F320" s="25"/>
      <c r="G320" s="25"/>
    </row>
    <row r="321" spans="3:7" x14ac:dyDescent="0.25">
      <c r="C321" s="25"/>
      <c r="D321" s="25"/>
      <c r="E321" s="25"/>
      <c r="F321" s="25"/>
      <c r="G321" s="25"/>
    </row>
    <row r="322" spans="3:7" x14ac:dyDescent="0.25">
      <c r="C322" s="25"/>
      <c r="D322" s="25"/>
      <c r="E322" s="25"/>
      <c r="F322" s="25"/>
      <c r="G322" s="25"/>
    </row>
    <row r="323" spans="3:7" x14ac:dyDescent="0.25">
      <c r="C323" s="25"/>
      <c r="D323" s="25"/>
      <c r="E323" s="25"/>
      <c r="F323" s="25"/>
      <c r="G323" s="25"/>
    </row>
    <row r="324" spans="3:7" x14ac:dyDescent="0.25">
      <c r="C324" s="25"/>
      <c r="D324" s="25"/>
      <c r="E324" s="25"/>
      <c r="F324" s="25"/>
      <c r="G324" s="25"/>
    </row>
    <row r="325" spans="3:7" x14ac:dyDescent="0.25">
      <c r="C325" s="25"/>
      <c r="D325" s="25"/>
      <c r="E325" s="25"/>
      <c r="F325" s="25"/>
      <c r="G325" s="25"/>
    </row>
    <row r="326" spans="3:7" x14ac:dyDescent="0.25">
      <c r="C326" s="25"/>
      <c r="D326" s="25"/>
      <c r="E326" s="25"/>
      <c r="F326" s="25"/>
      <c r="G326" s="25"/>
    </row>
    <row r="327" spans="3:7" x14ac:dyDescent="0.25">
      <c r="C327" s="25"/>
      <c r="D327" s="25"/>
      <c r="E327" s="25"/>
      <c r="F327" s="25"/>
      <c r="G327" s="25"/>
    </row>
    <row r="328" spans="3:7" x14ac:dyDescent="0.25">
      <c r="C328" s="25"/>
      <c r="D328" s="25"/>
      <c r="E328" s="25"/>
      <c r="F328" s="25"/>
      <c r="G328" s="25"/>
    </row>
    <row r="329" spans="3:7" x14ac:dyDescent="0.25">
      <c r="C329" s="25"/>
      <c r="D329" s="25"/>
      <c r="E329" s="25"/>
      <c r="F329" s="25"/>
      <c r="G329" s="25"/>
    </row>
    <row r="330" spans="3:7" x14ac:dyDescent="0.25">
      <c r="C330" s="25"/>
      <c r="D330" s="25"/>
      <c r="E330" s="25"/>
      <c r="F330" s="25"/>
      <c r="G330" s="25"/>
    </row>
    <row r="331" spans="3:7" x14ac:dyDescent="0.25">
      <c r="C331" s="25"/>
      <c r="D331" s="25"/>
      <c r="E331" s="25"/>
      <c r="F331" s="25"/>
      <c r="G331" s="25"/>
    </row>
    <row r="332" spans="3:7" x14ac:dyDescent="0.25">
      <c r="C332" s="25"/>
      <c r="D332" s="25"/>
      <c r="E332" s="25"/>
      <c r="F332" s="25"/>
      <c r="G332" s="25"/>
    </row>
    <row r="333" spans="3:7" x14ac:dyDescent="0.25">
      <c r="C333" s="25"/>
      <c r="D333" s="25"/>
      <c r="E333" s="25"/>
      <c r="F333" s="25"/>
      <c r="G333" s="25"/>
    </row>
    <row r="334" spans="3:7" x14ac:dyDescent="0.25">
      <c r="C334" s="25"/>
      <c r="D334" s="25"/>
      <c r="E334" s="25"/>
      <c r="F334" s="25"/>
      <c r="G334" s="25"/>
    </row>
    <row r="335" spans="3:7" x14ac:dyDescent="0.25">
      <c r="C335" s="25"/>
      <c r="D335" s="25"/>
      <c r="E335" s="25"/>
      <c r="F335" s="25"/>
      <c r="G335" s="25"/>
    </row>
    <row r="336" spans="3:7" x14ac:dyDescent="0.25">
      <c r="C336" s="25"/>
      <c r="D336" s="25"/>
      <c r="E336" s="25"/>
      <c r="F336" s="25"/>
      <c r="G336" s="25"/>
    </row>
    <row r="337" spans="3:7" x14ac:dyDescent="0.25">
      <c r="C337" s="25"/>
      <c r="D337" s="25"/>
      <c r="E337" s="25"/>
      <c r="F337" s="25"/>
      <c r="G337" s="25"/>
    </row>
    <row r="338" spans="3:7" x14ac:dyDescent="0.25">
      <c r="C338" s="25"/>
      <c r="D338" s="25"/>
      <c r="E338" s="25"/>
      <c r="F338" s="25"/>
      <c r="G338" s="25"/>
    </row>
    <row r="339" spans="3:7" x14ac:dyDescent="0.25">
      <c r="C339" s="25"/>
      <c r="D339" s="25"/>
      <c r="E339" s="25"/>
      <c r="F339" s="25"/>
      <c r="G339" s="25"/>
    </row>
    <row r="340" spans="3:7" x14ac:dyDescent="0.25">
      <c r="C340" s="25"/>
      <c r="D340" s="25"/>
      <c r="E340" s="25"/>
      <c r="F340" s="25"/>
      <c r="G340" s="25"/>
    </row>
    <row r="341" spans="3:7" x14ac:dyDescent="0.25">
      <c r="C341" s="25"/>
      <c r="D341" s="25"/>
      <c r="E341" s="25"/>
      <c r="F341" s="25"/>
      <c r="G341" s="25"/>
    </row>
    <row r="342" spans="3:7" x14ac:dyDescent="0.25">
      <c r="C342" s="25"/>
      <c r="D342" s="25"/>
      <c r="E342" s="25"/>
      <c r="F342" s="25"/>
      <c r="G342" s="25"/>
    </row>
    <row r="343" spans="3:7" x14ac:dyDescent="0.25">
      <c r="C343" s="25"/>
      <c r="D343" s="25"/>
      <c r="E343" s="25"/>
      <c r="F343" s="25"/>
      <c r="G343" s="25"/>
    </row>
    <row r="344" spans="3:7" x14ac:dyDescent="0.25">
      <c r="C344" s="25"/>
      <c r="D344" s="25"/>
      <c r="E344" s="25"/>
      <c r="F344" s="25"/>
      <c r="G344" s="25"/>
    </row>
    <row r="345" spans="3:7" x14ac:dyDescent="0.25">
      <c r="C345" s="25"/>
      <c r="D345" s="25"/>
      <c r="E345" s="25"/>
      <c r="F345" s="25"/>
      <c r="G345" s="25"/>
    </row>
    <row r="346" spans="3:7" x14ac:dyDescent="0.25">
      <c r="C346" s="25"/>
      <c r="D346" s="25"/>
      <c r="E346" s="25"/>
      <c r="F346" s="25"/>
      <c r="G346" s="25"/>
    </row>
    <row r="347" spans="3:7" x14ac:dyDescent="0.25">
      <c r="C347" s="25"/>
      <c r="D347" s="25"/>
      <c r="E347" s="25"/>
      <c r="F347" s="25"/>
      <c r="G347" s="25"/>
    </row>
    <row r="348" spans="3:7" x14ac:dyDescent="0.25">
      <c r="C348" s="25"/>
      <c r="D348" s="25"/>
      <c r="E348" s="25"/>
      <c r="F348" s="25"/>
      <c r="G348" s="25"/>
    </row>
    <row r="349" spans="3:7" x14ac:dyDescent="0.25">
      <c r="C349" s="25"/>
      <c r="D349" s="25"/>
      <c r="E349" s="25"/>
      <c r="F349" s="25"/>
      <c r="G349" s="25"/>
    </row>
    <row r="350" spans="3:7" x14ac:dyDescent="0.25">
      <c r="C350" s="25"/>
      <c r="D350" s="25"/>
      <c r="E350" s="25"/>
      <c r="F350" s="25"/>
      <c r="G350" s="25"/>
    </row>
    <row r="351" spans="3:7" x14ac:dyDescent="0.25">
      <c r="C351" s="25"/>
      <c r="D351" s="25"/>
      <c r="E351" s="25"/>
      <c r="F351" s="25"/>
      <c r="G351" s="25"/>
    </row>
    <row r="352" spans="3:7" x14ac:dyDescent="0.25">
      <c r="C352" s="25"/>
      <c r="D352" s="25"/>
      <c r="E352" s="25"/>
      <c r="F352" s="25"/>
      <c r="G352" s="25"/>
    </row>
    <row r="353" spans="3:7" x14ac:dyDescent="0.25">
      <c r="C353" s="25"/>
      <c r="D353" s="25"/>
      <c r="E353" s="25"/>
      <c r="F353" s="25"/>
      <c r="G353" s="25"/>
    </row>
    <row r="354" spans="3:7" x14ac:dyDescent="0.25">
      <c r="C354" s="25"/>
      <c r="D354" s="25"/>
      <c r="E354" s="25"/>
      <c r="F354" s="25"/>
      <c r="G354" s="25"/>
    </row>
    <row r="355" spans="3:7" x14ac:dyDescent="0.25">
      <c r="C355" s="25"/>
      <c r="D355" s="25"/>
      <c r="E355" s="25"/>
      <c r="F355" s="25"/>
      <c r="G355" s="25"/>
    </row>
    <row r="356" spans="3:7" x14ac:dyDescent="0.25">
      <c r="C356" s="25"/>
      <c r="D356" s="25"/>
      <c r="E356" s="25"/>
      <c r="F356" s="25"/>
      <c r="G356" s="25"/>
    </row>
    <row r="357" spans="3:7" x14ac:dyDescent="0.25">
      <c r="C357" s="25"/>
      <c r="D357" s="25"/>
      <c r="E357" s="25"/>
      <c r="F357" s="25"/>
      <c r="G357" s="25"/>
    </row>
    <row r="358" spans="3:7" x14ac:dyDescent="0.25">
      <c r="C358" s="25"/>
      <c r="D358" s="25"/>
      <c r="E358" s="25"/>
      <c r="F358" s="25"/>
      <c r="G358" s="25"/>
    </row>
    <row r="359" spans="3:7" x14ac:dyDescent="0.25">
      <c r="C359" s="25"/>
      <c r="D359" s="25"/>
      <c r="E359" s="25"/>
      <c r="F359" s="25"/>
      <c r="G359" s="25"/>
    </row>
    <row r="360" spans="3:7" x14ac:dyDescent="0.25">
      <c r="C360" s="25"/>
      <c r="D360" s="25"/>
      <c r="E360" s="25"/>
      <c r="F360" s="25"/>
      <c r="G360" s="25"/>
    </row>
    <row r="361" spans="3:7" x14ac:dyDescent="0.25">
      <c r="C361" s="25"/>
      <c r="D361" s="25"/>
      <c r="E361" s="25"/>
      <c r="F361" s="25"/>
      <c r="G361" s="25"/>
    </row>
    <row r="362" spans="3:7" x14ac:dyDescent="0.25">
      <c r="C362" s="25"/>
      <c r="D362" s="25"/>
      <c r="E362" s="25"/>
      <c r="F362" s="25"/>
      <c r="G362" s="25"/>
    </row>
    <row r="363" spans="3:7" x14ac:dyDescent="0.25">
      <c r="C363" s="25"/>
      <c r="D363" s="25"/>
      <c r="E363" s="25"/>
      <c r="F363" s="25"/>
      <c r="G363" s="25"/>
    </row>
    <row r="364" spans="3:7" x14ac:dyDescent="0.25">
      <c r="C364" s="25"/>
      <c r="D364" s="25"/>
      <c r="E364" s="25"/>
      <c r="F364" s="25"/>
      <c r="G364" s="25"/>
    </row>
    <row r="365" spans="3:7" x14ac:dyDescent="0.25">
      <c r="C365" s="25"/>
      <c r="D365" s="25"/>
      <c r="E365" s="25"/>
      <c r="F365" s="25"/>
      <c r="G365" s="25"/>
    </row>
    <row r="366" spans="3:7" x14ac:dyDescent="0.25">
      <c r="C366" s="25"/>
      <c r="D366" s="25"/>
      <c r="E366" s="25"/>
      <c r="F366" s="25"/>
      <c r="G366" s="25"/>
    </row>
    <row r="367" spans="3:7" x14ac:dyDescent="0.25">
      <c r="C367" s="25"/>
      <c r="D367" s="25"/>
      <c r="E367" s="25"/>
      <c r="F367" s="25"/>
      <c r="G367" s="25"/>
    </row>
    <row r="368" spans="3:7" x14ac:dyDescent="0.25">
      <c r="C368" s="25"/>
      <c r="D368" s="25"/>
      <c r="E368" s="25"/>
      <c r="F368" s="25"/>
      <c r="G368" s="25"/>
    </row>
    <row r="369" spans="3:7" x14ac:dyDescent="0.25">
      <c r="C369" s="25"/>
      <c r="D369" s="25"/>
      <c r="E369" s="25"/>
      <c r="F369" s="25"/>
      <c r="G369" s="25"/>
    </row>
    <row r="370" spans="3:7" x14ac:dyDescent="0.25">
      <c r="C370" s="25"/>
      <c r="D370" s="25"/>
      <c r="E370" s="25"/>
      <c r="F370" s="25"/>
      <c r="G370" s="25"/>
    </row>
    <row r="371" spans="3:7" x14ac:dyDescent="0.25">
      <c r="C371" s="25"/>
      <c r="D371" s="25"/>
      <c r="E371" s="25"/>
      <c r="F371" s="25"/>
      <c r="G371" s="25"/>
    </row>
    <row r="372" spans="3:7" x14ac:dyDescent="0.25">
      <c r="C372" s="25"/>
      <c r="D372" s="25"/>
      <c r="E372" s="25"/>
      <c r="F372" s="25"/>
      <c r="G372" s="25"/>
    </row>
    <row r="373" spans="3:7" x14ac:dyDescent="0.25">
      <c r="C373" s="25"/>
      <c r="D373" s="25"/>
      <c r="E373" s="25"/>
      <c r="F373" s="25"/>
      <c r="G373" s="25"/>
    </row>
    <row r="374" spans="3:7" x14ac:dyDescent="0.25">
      <c r="C374" s="25"/>
      <c r="D374" s="25"/>
      <c r="E374" s="25"/>
      <c r="F374" s="25"/>
      <c r="G374" s="25"/>
    </row>
    <row r="375" spans="3:7" x14ac:dyDescent="0.25">
      <c r="C375" s="25"/>
      <c r="D375" s="25"/>
      <c r="E375" s="25"/>
      <c r="F375" s="25"/>
      <c r="G375" s="25"/>
    </row>
    <row r="376" spans="3:7" x14ac:dyDescent="0.25">
      <c r="C376" s="25"/>
      <c r="D376" s="25"/>
      <c r="E376" s="25"/>
      <c r="F376" s="25"/>
      <c r="G376" s="25"/>
    </row>
    <row r="377" spans="3:7" x14ac:dyDescent="0.25">
      <c r="C377" s="25"/>
      <c r="D377" s="25"/>
      <c r="E377" s="25"/>
      <c r="F377" s="25"/>
      <c r="G377" s="25"/>
    </row>
    <row r="378" spans="3:7" x14ac:dyDescent="0.25">
      <c r="C378" s="25"/>
      <c r="D378" s="25"/>
      <c r="E378" s="25"/>
      <c r="F378" s="25"/>
      <c r="G378" s="25"/>
    </row>
    <row r="379" spans="3:7" x14ac:dyDescent="0.25">
      <c r="C379" s="25"/>
      <c r="D379" s="25"/>
      <c r="E379" s="25"/>
      <c r="F379" s="25"/>
      <c r="G379" s="25"/>
    </row>
    <row r="380" spans="3:7" x14ac:dyDescent="0.25">
      <c r="C380" s="25"/>
      <c r="D380" s="25"/>
      <c r="E380" s="25"/>
      <c r="F380" s="25"/>
      <c r="G380" s="25"/>
    </row>
    <row r="381" spans="3:7" x14ac:dyDescent="0.25">
      <c r="C381" s="25"/>
      <c r="D381" s="25"/>
      <c r="E381" s="25"/>
      <c r="F381" s="25"/>
      <c r="G381" s="25"/>
    </row>
    <row r="382" spans="3:7" x14ac:dyDescent="0.25">
      <c r="C382" s="25"/>
      <c r="D382" s="25"/>
      <c r="E382" s="25"/>
      <c r="F382" s="25"/>
      <c r="G382" s="25"/>
    </row>
    <row r="383" spans="3:7" x14ac:dyDescent="0.25">
      <c r="C383" s="25"/>
      <c r="D383" s="25"/>
      <c r="E383" s="25"/>
      <c r="F383" s="25"/>
      <c r="G383" s="25"/>
    </row>
    <row r="384" spans="3:7" x14ac:dyDescent="0.25">
      <c r="C384" s="25"/>
      <c r="D384" s="25"/>
      <c r="E384" s="25"/>
      <c r="F384" s="25"/>
      <c r="G384" s="25"/>
    </row>
    <row r="385" spans="3:7" x14ac:dyDescent="0.25">
      <c r="C385" s="25"/>
      <c r="D385" s="25"/>
      <c r="E385" s="25"/>
      <c r="F385" s="25"/>
      <c r="G385" s="25"/>
    </row>
    <row r="386" spans="3:7" x14ac:dyDescent="0.25">
      <c r="C386" s="25"/>
      <c r="D386" s="25"/>
      <c r="E386" s="25"/>
      <c r="F386" s="25"/>
      <c r="G386" s="25"/>
    </row>
    <row r="387" spans="3:7" x14ac:dyDescent="0.25">
      <c r="C387" s="25"/>
      <c r="D387" s="25"/>
      <c r="E387" s="25"/>
      <c r="F387" s="25"/>
      <c r="G387" s="25"/>
    </row>
    <row r="388" spans="3:7" x14ac:dyDescent="0.25">
      <c r="C388" s="25"/>
      <c r="D388" s="25"/>
      <c r="E388" s="25"/>
      <c r="F388" s="25"/>
      <c r="G388" s="25"/>
    </row>
    <row r="389" spans="3:7" x14ac:dyDescent="0.25">
      <c r="C389" s="25"/>
      <c r="D389" s="25"/>
      <c r="E389" s="25"/>
      <c r="F389" s="25"/>
      <c r="G389" s="25"/>
    </row>
    <row r="390" spans="3:7" x14ac:dyDescent="0.25">
      <c r="C390" s="25"/>
      <c r="D390" s="25"/>
      <c r="E390" s="25"/>
      <c r="F390" s="25"/>
      <c r="G390" s="25"/>
    </row>
    <row r="391" spans="3:7" x14ac:dyDescent="0.25">
      <c r="C391" s="25"/>
      <c r="D391" s="25"/>
      <c r="E391" s="25"/>
      <c r="F391" s="25"/>
      <c r="G391" s="25"/>
    </row>
    <row r="392" spans="3:7" x14ac:dyDescent="0.25">
      <c r="C392" s="25"/>
      <c r="D392" s="25"/>
      <c r="E392" s="25"/>
      <c r="F392" s="25"/>
      <c r="G392" s="25"/>
    </row>
    <row r="393" spans="3:7" x14ac:dyDescent="0.25">
      <c r="C393" s="25"/>
      <c r="D393" s="25"/>
      <c r="E393" s="25"/>
      <c r="F393" s="25"/>
      <c r="G393" s="25"/>
    </row>
    <row r="394" spans="3:7" x14ac:dyDescent="0.25">
      <c r="C394" s="25"/>
      <c r="D394" s="25"/>
      <c r="E394" s="25"/>
      <c r="F394" s="25"/>
      <c r="G394" s="25"/>
    </row>
    <row r="395" spans="3:7" x14ac:dyDescent="0.25">
      <c r="C395" s="25"/>
      <c r="D395" s="25"/>
      <c r="E395" s="25"/>
      <c r="F395" s="25"/>
      <c r="G395" s="25"/>
    </row>
    <row r="396" spans="3:7" x14ac:dyDescent="0.25">
      <c r="C396" s="25"/>
      <c r="D396" s="25"/>
      <c r="E396" s="25"/>
      <c r="F396" s="25"/>
      <c r="G396" s="25"/>
    </row>
    <row r="397" spans="3:7" x14ac:dyDescent="0.25">
      <c r="C397" s="25"/>
      <c r="D397" s="25"/>
      <c r="E397" s="25"/>
      <c r="F397" s="25"/>
      <c r="G397" s="25"/>
    </row>
    <row r="398" spans="3:7" x14ac:dyDescent="0.25">
      <c r="C398" s="25"/>
      <c r="D398" s="25"/>
      <c r="E398" s="25"/>
      <c r="F398" s="25"/>
      <c r="G398" s="25"/>
    </row>
    <row r="399" spans="3:7" x14ac:dyDescent="0.25">
      <c r="C399" s="25"/>
      <c r="D399" s="25"/>
      <c r="E399" s="25"/>
      <c r="F399" s="25"/>
      <c r="G399" s="25"/>
    </row>
    <row r="400" spans="3:7" x14ac:dyDescent="0.25">
      <c r="C400" s="25"/>
      <c r="D400" s="25"/>
      <c r="E400" s="25"/>
      <c r="F400" s="25"/>
      <c r="G400" s="25"/>
    </row>
    <row r="401" spans="3:7" x14ac:dyDescent="0.25">
      <c r="C401" s="25"/>
      <c r="D401" s="25"/>
      <c r="E401" s="25"/>
      <c r="F401" s="25"/>
      <c r="G401" s="25"/>
    </row>
    <row r="402" spans="3:7" x14ac:dyDescent="0.25">
      <c r="C402" s="25"/>
      <c r="D402" s="25"/>
      <c r="E402" s="25"/>
      <c r="F402" s="25"/>
      <c r="G402" s="25"/>
    </row>
    <row r="403" spans="3:7" x14ac:dyDescent="0.25">
      <c r="C403" s="25"/>
      <c r="D403" s="25"/>
      <c r="E403" s="25"/>
      <c r="F403" s="25"/>
      <c r="G403" s="25"/>
    </row>
    <row r="404" spans="3:7" x14ac:dyDescent="0.25">
      <c r="C404" s="25"/>
      <c r="D404" s="25"/>
      <c r="E404" s="25"/>
      <c r="F404" s="25"/>
      <c r="G404" s="25"/>
    </row>
    <row r="405" spans="3:7" x14ac:dyDescent="0.25">
      <c r="C405" s="25"/>
      <c r="D405" s="25"/>
      <c r="E405" s="25"/>
      <c r="F405" s="25"/>
      <c r="G405" s="25"/>
    </row>
    <row r="406" spans="3:7" x14ac:dyDescent="0.25">
      <c r="C406" s="25"/>
      <c r="D406" s="25"/>
      <c r="E406" s="25"/>
      <c r="F406" s="25"/>
      <c r="G406" s="25"/>
    </row>
    <row r="407" spans="3:7" x14ac:dyDescent="0.25">
      <c r="C407" s="25"/>
      <c r="D407" s="25"/>
      <c r="E407" s="25"/>
      <c r="F407" s="25"/>
      <c r="G407" s="25"/>
    </row>
    <row r="408" spans="3:7" x14ac:dyDescent="0.25">
      <c r="C408" s="25"/>
      <c r="D408" s="25"/>
      <c r="E408" s="25"/>
      <c r="F408" s="25"/>
      <c r="G408" s="25"/>
    </row>
    <row r="409" spans="3:7" x14ac:dyDescent="0.25">
      <c r="C409" s="25"/>
      <c r="D409" s="25"/>
      <c r="E409" s="25"/>
      <c r="F409" s="25"/>
      <c r="G409" s="25"/>
    </row>
    <row r="410" spans="3:7" x14ac:dyDescent="0.25">
      <c r="C410" s="25"/>
      <c r="D410" s="25"/>
      <c r="E410" s="25"/>
      <c r="F410" s="25"/>
      <c r="G410" s="25"/>
    </row>
    <row r="411" spans="3:7" x14ac:dyDescent="0.25">
      <c r="C411" s="25"/>
      <c r="D411" s="25"/>
      <c r="E411" s="25"/>
      <c r="F411" s="25"/>
      <c r="G411" s="25"/>
    </row>
    <row r="412" spans="3:7" x14ac:dyDescent="0.25">
      <c r="C412" s="25"/>
      <c r="D412" s="25"/>
      <c r="E412" s="25"/>
      <c r="F412" s="25"/>
      <c r="G412" s="25"/>
    </row>
    <row r="413" spans="3:7" x14ac:dyDescent="0.25">
      <c r="C413" s="25"/>
      <c r="D413" s="25"/>
      <c r="E413" s="25"/>
      <c r="F413" s="25"/>
      <c r="G413" s="25"/>
    </row>
    <row r="414" spans="3:7" x14ac:dyDescent="0.25">
      <c r="C414" s="25"/>
      <c r="D414" s="25"/>
      <c r="E414" s="25"/>
      <c r="F414" s="25"/>
      <c r="G414" s="25"/>
    </row>
    <row r="415" spans="3:7" x14ac:dyDescent="0.25">
      <c r="C415" s="25"/>
      <c r="D415" s="25"/>
      <c r="E415" s="25"/>
      <c r="F415" s="25"/>
      <c r="G415" s="25"/>
    </row>
    <row r="416" spans="3:7" x14ac:dyDescent="0.25">
      <c r="C416" s="25"/>
      <c r="D416" s="25"/>
      <c r="E416" s="25"/>
      <c r="F416" s="25"/>
      <c r="G416" s="25"/>
    </row>
    <row r="417" spans="3:7" x14ac:dyDescent="0.25">
      <c r="C417" s="25"/>
      <c r="D417" s="25"/>
      <c r="E417" s="25"/>
      <c r="F417" s="25"/>
      <c r="G417" s="25"/>
    </row>
    <row r="418" spans="3:7" x14ac:dyDescent="0.25">
      <c r="C418" s="25"/>
      <c r="D418" s="25"/>
      <c r="E418" s="25"/>
      <c r="F418" s="25"/>
      <c r="G418" s="25"/>
    </row>
    <row r="419" spans="3:7" x14ac:dyDescent="0.25">
      <c r="C419" s="25"/>
      <c r="D419" s="25"/>
      <c r="E419" s="25"/>
      <c r="F419" s="25"/>
      <c r="G419" s="25"/>
    </row>
    <row r="420" spans="3:7" x14ac:dyDescent="0.25">
      <c r="C420" s="25"/>
      <c r="D420" s="25"/>
      <c r="E420" s="25"/>
      <c r="F420" s="25"/>
      <c r="G420" s="25"/>
    </row>
    <row r="421" spans="3:7" x14ac:dyDescent="0.25">
      <c r="C421" s="25"/>
      <c r="D421" s="25"/>
      <c r="E421" s="25"/>
      <c r="F421" s="25"/>
      <c r="G421" s="25"/>
    </row>
    <row r="422" spans="3:7" x14ac:dyDescent="0.25">
      <c r="C422" s="25"/>
      <c r="D422" s="25"/>
      <c r="E422" s="25"/>
      <c r="F422" s="25"/>
      <c r="G422" s="25"/>
    </row>
    <row r="423" spans="3:7" x14ac:dyDescent="0.25">
      <c r="C423" s="25"/>
      <c r="D423" s="25"/>
      <c r="E423" s="25"/>
      <c r="F423" s="25"/>
      <c r="G423" s="25"/>
    </row>
    <row r="424" spans="3:7" x14ac:dyDescent="0.25">
      <c r="C424" s="25"/>
      <c r="D424" s="25"/>
      <c r="E424" s="25"/>
      <c r="F424" s="25"/>
      <c r="G424" s="25"/>
    </row>
    <row r="425" spans="3:7" x14ac:dyDescent="0.25">
      <c r="C425" s="25"/>
      <c r="D425" s="25"/>
      <c r="E425" s="25"/>
      <c r="F425" s="25"/>
      <c r="G425" s="25"/>
    </row>
    <row r="426" spans="3:7" x14ac:dyDescent="0.25">
      <c r="C426" s="25"/>
      <c r="D426" s="25"/>
      <c r="E426" s="25"/>
      <c r="F426" s="25"/>
      <c r="G426" s="25"/>
    </row>
    <row r="427" spans="3:7" x14ac:dyDescent="0.25">
      <c r="C427" s="25"/>
      <c r="D427" s="25"/>
      <c r="E427" s="25"/>
      <c r="F427" s="25"/>
      <c r="G427" s="25"/>
    </row>
    <row r="428" spans="3:7" x14ac:dyDescent="0.25">
      <c r="C428" s="25"/>
      <c r="D428" s="25"/>
      <c r="E428" s="25"/>
      <c r="F428" s="25"/>
      <c r="G428" s="25"/>
    </row>
    <row r="429" spans="3:7" x14ac:dyDescent="0.25">
      <c r="C429" s="25"/>
      <c r="D429" s="25"/>
      <c r="E429" s="25"/>
      <c r="F429" s="25"/>
      <c r="G429" s="25"/>
    </row>
    <row r="430" spans="3:7" x14ac:dyDescent="0.25">
      <c r="C430" s="25"/>
      <c r="D430" s="25"/>
      <c r="E430" s="25"/>
      <c r="F430" s="25"/>
      <c r="G430" s="25"/>
    </row>
    <row r="431" spans="3:7" x14ac:dyDescent="0.25">
      <c r="C431" s="25"/>
      <c r="D431" s="25"/>
      <c r="E431" s="25"/>
      <c r="F431" s="25"/>
      <c r="G431" s="25"/>
    </row>
    <row r="432" spans="3:7" x14ac:dyDescent="0.25">
      <c r="C432" s="25"/>
      <c r="D432" s="25"/>
      <c r="E432" s="25"/>
      <c r="F432" s="25"/>
      <c r="G432" s="25"/>
    </row>
    <row r="433" spans="3:7" x14ac:dyDescent="0.25">
      <c r="C433" s="25"/>
      <c r="D433" s="25"/>
      <c r="E433" s="25"/>
      <c r="F433" s="25"/>
      <c r="G433" s="25"/>
    </row>
    <row r="434" spans="3:7" x14ac:dyDescent="0.25">
      <c r="C434" s="25"/>
      <c r="D434" s="25"/>
      <c r="E434" s="25"/>
      <c r="F434" s="25"/>
      <c r="G434" s="25"/>
    </row>
    <row r="435" spans="3:7" x14ac:dyDescent="0.25">
      <c r="C435" s="25"/>
      <c r="D435" s="25"/>
      <c r="E435" s="25"/>
      <c r="F435" s="25"/>
      <c r="G435" s="25"/>
    </row>
    <row r="436" spans="3:7" x14ac:dyDescent="0.25">
      <c r="C436" s="25"/>
      <c r="D436" s="25"/>
      <c r="E436" s="25"/>
      <c r="F436" s="25"/>
      <c r="G436" s="25"/>
    </row>
    <row r="437" spans="3:7" x14ac:dyDescent="0.25">
      <c r="C437" s="25"/>
      <c r="D437" s="25"/>
      <c r="E437" s="25"/>
      <c r="F437" s="25"/>
      <c r="G437" s="25"/>
    </row>
    <row r="438" spans="3:7" x14ac:dyDescent="0.25">
      <c r="C438" s="25"/>
      <c r="D438" s="25"/>
      <c r="E438" s="25"/>
      <c r="F438" s="25"/>
      <c r="G438" s="25"/>
    </row>
    <row r="439" spans="3:7" x14ac:dyDescent="0.25">
      <c r="C439" s="25"/>
      <c r="D439" s="25"/>
      <c r="E439" s="25"/>
      <c r="F439" s="25"/>
      <c r="G439" s="25"/>
    </row>
    <row r="440" spans="3:7" x14ac:dyDescent="0.25">
      <c r="C440" s="25"/>
      <c r="D440" s="25"/>
      <c r="E440" s="25"/>
      <c r="F440" s="25"/>
      <c r="G440" s="25"/>
    </row>
    <row r="441" spans="3:7" x14ac:dyDescent="0.25">
      <c r="C441" s="25"/>
      <c r="D441" s="25"/>
      <c r="E441" s="25"/>
      <c r="F441" s="25"/>
      <c r="G441" s="25"/>
    </row>
    <row r="442" spans="3:7" x14ac:dyDescent="0.25">
      <c r="C442" s="25"/>
      <c r="D442" s="25"/>
      <c r="E442" s="25"/>
      <c r="F442" s="25"/>
      <c r="G442" s="25"/>
    </row>
    <row r="443" spans="3:7" x14ac:dyDescent="0.25">
      <c r="C443" s="25"/>
      <c r="D443" s="25"/>
      <c r="E443" s="25"/>
      <c r="F443" s="25"/>
      <c r="G443" s="25"/>
    </row>
    <row r="444" spans="3:7" x14ac:dyDescent="0.25">
      <c r="C444" s="25"/>
      <c r="D444" s="25"/>
      <c r="E444" s="25"/>
      <c r="F444" s="25"/>
      <c r="G444" s="25"/>
    </row>
    <row r="445" spans="3:7" x14ac:dyDescent="0.25">
      <c r="C445" s="25"/>
      <c r="D445" s="25"/>
      <c r="E445" s="25"/>
      <c r="F445" s="25"/>
      <c r="G445" s="25"/>
    </row>
    <row r="446" spans="3:7" x14ac:dyDescent="0.25">
      <c r="C446" s="25"/>
      <c r="D446" s="25"/>
      <c r="E446" s="25"/>
      <c r="F446" s="25"/>
      <c r="G446" s="25"/>
    </row>
    <row r="447" spans="3:7" x14ac:dyDescent="0.25">
      <c r="C447" s="25"/>
      <c r="D447" s="25"/>
      <c r="E447" s="25"/>
      <c r="F447" s="25"/>
      <c r="G447" s="25"/>
    </row>
    <row r="448" spans="3:7" x14ac:dyDescent="0.25">
      <c r="C448" s="25"/>
      <c r="D448" s="25"/>
      <c r="E448" s="25"/>
      <c r="F448" s="25"/>
      <c r="G448" s="25"/>
    </row>
    <row r="449" spans="3:7" x14ac:dyDescent="0.25">
      <c r="C449" s="25"/>
      <c r="D449" s="25"/>
      <c r="E449" s="25"/>
      <c r="F449" s="25"/>
      <c r="G449" s="25"/>
    </row>
    <row r="450" spans="3:7" x14ac:dyDescent="0.25">
      <c r="C450" s="25"/>
      <c r="D450" s="25"/>
      <c r="E450" s="25"/>
      <c r="F450" s="25"/>
      <c r="G450" s="25"/>
    </row>
    <row r="451" spans="3:7" x14ac:dyDescent="0.25">
      <c r="C451" s="25"/>
      <c r="D451" s="25"/>
      <c r="E451" s="25"/>
      <c r="F451" s="25"/>
      <c r="G451" s="25"/>
    </row>
    <row r="452" spans="3:7" x14ac:dyDescent="0.25">
      <c r="C452" s="25"/>
      <c r="D452" s="25"/>
      <c r="E452" s="25"/>
      <c r="F452" s="25"/>
      <c r="G452" s="25"/>
    </row>
    <row r="453" spans="3:7" x14ac:dyDescent="0.25">
      <c r="C453" s="25"/>
      <c r="D453" s="25"/>
      <c r="E453" s="25"/>
      <c r="F453" s="25"/>
      <c r="G453" s="25"/>
    </row>
    <row r="454" spans="3:7" x14ac:dyDescent="0.25">
      <c r="C454" s="25"/>
      <c r="D454" s="25"/>
      <c r="E454" s="25"/>
      <c r="F454" s="25"/>
      <c r="G454" s="25"/>
    </row>
    <row r="455" spans="3:7" x14ac:dyDescent="0.25">
      <c r="C455" s="25"/>
      <c r="D455" s="25"/>
      <c r="E455" s="25"/>
      <c r="F455" s="25"/>
      <c r="G455" s="25"/>
    </row>
    <row r="456" spans="3:7" x14ac:dyDescent="0.25">
      <c r="C456" s="25"/>
      <c r="D456" s="25"/>
      <c r="E456" s="25"/>
      <c r="F456" s="25"/>
      <c r="G456" s="25"/>
    </row>
    <row r="457" spans="3:7" x14ac:dyDescent="0.25">
      <c r="C457" s="25"/>
      <c r="D457" s="25"/>
      <c r="E457" s="25"/>
      <c r="F457" s="25"/>
      <c r="G457" s="25"/>
    </row>
    <row r="458" spans="3:7" x14ac:dyDescent="0.25">
      <c r="C458" s="25"/>
      <c r="D458" s="25"/>
      <c r="E458" s="25"/>
      <c r="F458" s="25"/>
      <c r="G458" s="25"/>
    </row>
    <row r="459" spans="3:7" x14ac:dyDescent="0.25">
      <c r="C459" s="25"/>
      <c r="D459" s="25"/>
      <c r="E459" s="25"/>
      <c r="F459" s="25"/>
      <c r="G459" s="25"/>
    </row>
    <row r="460" spans="3:7" x14ac:dyDescent="0.25">
      <c r="C460" s="25"/>
      <c r="D460" s="25"/>
      <c r="E460" s="25"/>
      <c r="F460" s="25"/>
      <c r="G460" s="25"/>
    </row>
    <row r="461" spans="3:7" x14ac:dyDescent="0.25">
      <c r="C461" s="25"/>
      <c r="D461" s="25"/>
      <c r="E461" s="25"/>
      <c r="F461" s="25"/>
      <c r="G461" s="25"/>
    </row>
    <row r="462" spans="3:7" x14ac:dyDescent="0.25">
      <c r="C462" s="25"/>
      <c r="D462" s="25"/>
      <c r="E462" s="25"/>
      <c r="F462" s="25"/>
      <c r="G462" s="25"/>
    </row>
    <row r="463" spans="3:7" x14ac:dyDescent="0.25">
      <c r="C463" s="25"/>
      <c r="D463" s="25"/>
      <c r="E463" s="25"/>
      <c r="F463" s="25"/>
      <c r="G463" s="25"/>
    </row>
    <row r="464" spans="3:7" x14ac:dyDescent="0.25">
      <c r="C464" s="25"/>
      <c r="D464" s="25"/>
      <c r="E464" s="25"/>
      <c r="F464" s="25"/>
      <c r="G464" s="25"/>
    </row>
    <row r="465" spans="3:7" x14ac:dyDescent="0.25">
      <c r="C465" s="25"/>
      <c r="D465" s="25"/>
      <c r="E465" s="25"/>
      <c r="F465" s="25"/>
      <c r="G465" s="25"/>
    </row>
    <row r="466" spans="3:7" x14ac:dyDescent="0.25">
      <c r="C466" s="25"/>
      <c r="D466" s="25"/>
      <c r="E466" s="25"/>
      <c r="F466" s="25"/>
      <c r="G466" s="25"/>
    </row>
    <row r="467" spans="3:7" x14ac:dyDescent="0.25">
      <c r="C467" s="25"/>
      <c r="D467" s="25"/>
      <c r="E467" s="25"/>
      <c r="F467" s="25"/>
      <c r="G467" s="25"/>
    </row>
    <row r="468" spans="3:7" x14ac:dyDescent="0.25">
      <c r="C468" s="25"/>
      <c r="D468" s="25"/>
      <c r="E468" s="25"/>
      <c r="F468" s="25"/>
      <c r="G468" s="25"/>
    </row>
    <row r="469" spans="3:7" x14ac:dyDescent="0.25">
      <c r="C469" s="25"/>
      <c r="D469" s="25"/>
      <c r="E469" s="25"/>
      <c r="F469" s="25"/>
      <c r="G469" s="25"/>
    </row>
    <row r="470" spans="3:7" x14ac:dyDescent="0.25">
      <c r="C470" s="25"/>
      <c r="D470" s="25"/>
      <c r="E470" s="25"/>
      <c r="F470" s="25"/>
      <c r="G470" s="25"/>
    </row>
    <row r="471" spans="3:7" x14ac:dyDescent="0.25">
      <c r="C471" s="25"/>
      <c r="D471" s="25"/>
      <c r="E471" s="25"/>
      <c r="F471" s="25"/>
      <c r="G471" s="25"/>
    </row>
    <row r="472" spans="3:7" x14ac:dyDescent="0.25">
      <c r="C472" s="25"/>
      <c r="D472" s="25"/>
      <c r="E472" s="25"/>
      <c r="F472" s="25"/>
      <c r="G472" s="25"/>
    </row>
    <row r="473" spans="3:7" x14ac:dyDescent="0.25">
      <c r="C473" s="25"/>
      <c r="D473" s="25"/>
      <c r="E473" s="25"/>
      <c r="F473" s="25"/>
      <c r="G473" s="25"/>
    </row>
    <row r="474" spans="3:7" x14ac:dyDescent="0.25">
      <c r="C474" s="25"/>
      <c r="D474" s="25"/>
      <c r="E474" s="25"/>
      <c r="F474" s="25"/>
      <c r="G474" s="25"/>
    </row>
    <row r="475" spans="3:7" x14ac:dyDescent="0.25">
      <c r="C475" s="25"/>
      <c r="D475" s="25"/>
      <c r="E475" s="25"/>
      <c r="F475" s="25"/>
      <c r="G475" s="25"/>
    </row>
    <row r="476" spans="3:7" x14ac:dyDescent="0.25">
      <c r="C476" s="25"/>
      <c r="D476" s="25"/>
      <c r="E476" s="25"/>
      <c r="F476" s="25"/>
      <c r="G476" s="25"/>
    </row>
    <row r="477" spans="3:7" x14ac:dyDescent="0.25">
      <c r="C477" s="25"/>
      <c r="D477" s="25"/>
      <c r="E477" s="25"/>
      <c r="F477" s="25"/>
      <c r="G477" s="25"/>
    </row>
    <row r="478" spans="3:7" x14ac:dyDescent="0.25">
      <c r="C478" s="25"/>
      <c r="D478" s="25"/>
      <c r="E478" s="25"/>
      <c r="F478" s="25"/>
      <c r="G478" s="25"/>
    </row>
    <row r="479" spans="3:7" x14ac:dyDescent="0.25">
      <c r="C479" s="25"/>
      <c r="D479" s="25"/>
      <c r="E479" s="25"/>
      <c r="F479" s="25"/>
      <c r="G479" s="25"/>
    </row>
    <row r="480" spans="3:7" x14ac:dyDescent="0.25">
      <c r="C480" s="25"/>
      <c r="D480" s="25"/>
      <c r="E480" s="25"/>
      <c r="F480" s="25"/>
      <c r="G480" s="25"/>
    </row>
    <row r="481" spans="3:7" x14ac:dyDescent="0.25">
      <c r="C481" s="25"/>
      <c r="D481" s="25"/>
      <c r="E481" s="25"/>
      <c r="F481" s="25"/>
      <c r="G481" s="25"/>
    </row>
    <row r="482" spans="3:7" x14ac:dyDescent="0.25">
      <c r="C482" s="25"/>
      <c r="D482" s="25"/>
      <c r="E482" s="25"/>
      <c r="F482" s="25"/>
      <c r="G482" s="25"/>
    </row>
    <row r="483" spans="3:7" x14ac:dyDescent="0.25">
      <c r="C483" s="25"/>
      <c r="D483" s="25"/>
      <c r="E483" s="25"/>
      <c r="F483" s="25"/>
      <c r="G483" s="25"/>
    </row>
    <row r="484" spans="3:7" x14ac:dyDescent="0.25">
      <c r="C484" s="25"/>
      <c r="D484" s="25"/>
      <c r="E484" s="25"/>
      <c r="F484" s="25"/>
      <c r="G484" s="25"/>
    </row>
    <row r="485" spans="3:7" x14ac:dyDescent="0.25">
      <c r="C485" s="25"/>
      <c r="D485" s="25"/>
      <c r="E485" s="25"/>
      <c r="F485" s="25"/>
      <c r="G485" s="25"/>
    </row>
    <row r="486" spans="3:7" x14ac:dyDescent="0.25">
      <c r="C486" s="25"/>
      <c r="D486" s="25"/>
      <c r="E486" s="25"/>
      <c r="F486" s="25"/>
      <c r="G486" s="25"/>
    </row>
    <row r="487" spans="3:7" x14ac:dyDescent="0.25">
      <c r="C487" s="25"/>
      <c r="D487" s="25"/>
      <c r="E487" s="25"/>
      <c r="F487" s="25"/>
      <c r="G487" s="25"/>
    </row>
    <row r="488" spans="3:7" x14ac:dyDescent="0.25">
      <c r="C488" s="25"/>
      <c r="D488" s="25"/>
      <c r="E488" s="25"/>
      <c r="F488" s="25"/>
      <c r="G488" s="25"/>
    </row>
    <row r="489" spans="3:7" x14ac:dyDescent="0.25">
      <c r="C489" s="25"/>
      <c r="D489" s="25"/>
      <c r="E489" s="25"/>
      <c r="F489" s="25"/>
      <c r="G489" s="25"/>
    </row>
    <row r="490" spans="3:7" x14ac:dyDescent="0.25">
      <c r="C490" s="25"/>
      <c r="D490" s="25"/>
      <c r="E490" s="25"/>
      <c r="F490" s="25"/>
      <c r="G490" s="25"/>
    </row>
    <row r="491" spans="3:7" x14ac:dyDescent="0.25">
      <c r="C491" s="25"/>
      <c r="D491" s="25"/>
      <c r="E491" s="25"/>
      <c r="F491" s="25"/>
      <c r="G491" s="25"/>
    </row>
    <row r="492" spans="3:7" x14ac:dyDescent="0.25">
      <c r="C492" s="25"/>
      <c r="D492" s="25"/>
      <c r="E492" s="25"/>
      <c r="F492" s="25"/>
      <c r="G492" s="25"/>
    </row>
    <row r="493" spans="3:7" x14ac:dyDescent="0.25">
      <c r="C493" s="25"/>
      <c r="D493" s="25"/>
      <c r="E493" s="25"/>
      <c r="F493" s="25"/>
      <c r="G493" s="25"/>
    </row>
    <row r="494" spans="3:7" x14ac:dyDescent="0.25">
      <c r="C494" s="25"/>
      <c r="D494" s="25"/>
      <c r="E494" s="25"/>
      <c r="F494" s="25"/>
      <c r="G494" s="25"/>
    </row>
    <row r="495" spans="3:7" x14ac:dyDescent="0.25">
      <c r="C495" s="25"/>
      <c r="D495" s="25"/>
      <c r="E495" s="25"/>
      <c r="F495" s="25"/>
      <c r="G495" s="25"/>
    </row>
    <row r="496" spans="3:7" x14ac:dyDescent="0.25">
      <c r="C496" s="25"/>
      <c r="D496" s="25"/>
      <c r="E496" s="25"/>
      <c r="F496" s="25"/>
      <c r="G496" s="25"/>
    </row>
    <row r="497" spans="3:7" x14ac:dyDescent="0.25">
      <c r="C497" s="25"/>
      <c r="D497" s="25"/>
      <c r="E497" s="25"/>
      <c r="F497" s="25"/>
      <c r="G497" s="25"/>
    </row>
    <row r="498" spans="3:7" x14ac:dyDescent="0.25">
      <c r="C498" s="25"/>
      <c r="D498" s="25"/>
      <c r="E498" s="25"/>
      <c r="F498" s="25"/>
      <c r="G498" s="25"/>
    </row>
    <row r="499" spans="3:7" x14ac:dyDescent="0.25">
      <c r="C499" s="25"/>
      <c r="D499" s="25"/>
      <c r="E499" s="25"/>
      <c r="F499" s="25"/>
      <c r="G499" s="25"/>
    </row>
    <row r="500" spans="3:7" x14ac:dyDescent="0.25">
      <c r="C500" s="25"/>
      <c r="D500" s="25"/>
      <c r="E500" s="25"/>
      <c r="F500" s="25"/>
      <c r="G500" s="25"/>
    </row>
    <row r="501" spans="3:7" x14ac:dyDescent="0.25">
      <c r="C501" s="25"/>
      <c r="D501" s="25"/>
      <c r="E501" s="25"/>
      <c r="F501" s="25"/>
      <c r="G501" s="25"/>
    </row>
    <row r="502" spans="3:7" x14ac:dyDescent="0.25">
      <c r="C502" s="25"/>
      <c r="D502" s="25"/>
      <c r="E502" s="25"/>
      <c r="F502" s="25"/>
      <c r="G502" s="25"/>
    </row>
    <row r="503" spans="3:7" x14ac:dyDescent="0.25">
      <c r="C503" s="25"/>
      <c r="D503" s="25"/>
      <c r="E503" s="25"/>
      <c r="F503" s="25"/>
      <c r="G503" s="25"/>
    </row>
    <row r="504" spans="3:7" x14ac:dyDescent="0.25">
      <c r="C504" s="25"/>
      <c r="D504" s="25"/>
      <c r="E504" s="25"/>
      <c r="F504" s="25"/>
      <c r="G504" s="25"/>
    </row>
    <row r="505" spans="3:7" x14ac:dyDescent="0.25">
      <c r="C505" s="25"/>
      <c r="D505" s="25"/>
      <c r="E505" s="25"/>
      <c r="F505" s="25"/>
      <c r="G505" s="25"/>
    </row>
    <row r="506" spans="3:7" x14ac:dyDescent="0.25">
      <c r="C506" s="25"/>
      <c r="D506" s="25"/>
      <c r="E506" s="25"/>
      <c r="F506" s="25"/>
      <c r="G506" s="25"/>
    </row>
    <row r="507" spans="3:7" x14ac:dyDescent="0.25">
      <c r="C507" s="25"/>
      <c r="D507" s="25"/>
      <c r="E507" s="25"/>
      <c r="F507" s="25"/>
      <c r="G507" s="25"/>
    </row>
    <row r="508" spans="3:7" x14ac:dyDescent="0.25">
      <c r="C508" s="25"/>
      <c r="D508" s="25"/>
      <c r="E508" s="25"/>
      <c r="F508" s="25"/>
      <c r="G508" s="25"/>
    </row>
    <row r="509" spans="3:7" x14ac:dyDescent="0.25">
      <c r="C509" s="25"/>
      <c r="D509" s="25"/>
      <c r="E509" s="25"/>
      <c r="F509" s="25"/>
      <c r="G509" s="25"/>
    </row>
    <row r="510" spans="3:7" x14ac:dyDescent="0.25">
      <c r="C510" s="25"/>
      <c r="D510" s="25"/>
      <c r="E510" s="25"/>
      <c r="F510" s="25"/>
      <c r="G510" s="25"/>
    </row>
    <row r="511" spans="3:7" x14ac:dyDescent="0.25">
      <c r="C511" s="25"/>
      <c r="D511" s="25"/>
      <c r="E511" s="25"/>
      <c r="F511" s="25"/>
      <c r="G511" s="25"/>
    </row>
    <row r="512" spans="3:7" x14ac:dyDescent="0.25">
      <c r="C512" s="25"/>
      <c r="D512" s="25"/>
      <c r="E512" s="25"/>
      <c r="F512" s="25"/>
      <c r="G512" s="25"/>
    </row>
    <row r="513" spans="3:7" x14ac:dyDescent="0.25">
      <c r="C513" s="25"/>
      <c r="D513" s="25"/>
      <c r="E513" s="25"/>
      <c r="F513" s="25"/>
      <c r="G513" s="25"/>
    </row>
    <row r="514" spans="3:7" x14ac:dyDescent="0.25">
      <c r="C514" s="25"/>
      <c r="D514" s="25"/>
      <c r="E514" s="25"/>
      <c r="F514" s="25"/>
      <c r="G514" s="25"/>
    </row>
    <row r="515" spans="3:7" x14ac:dyDescent="0.25">
      <c r="C515" s="25"/>
      <c r="D515" s="25"/>
      <c r="E515" s="25"/>
      <c r="F515" s="25"/>
      <c r="G515" s="25"/>
    </row>
    <row r="516" spans="3:7" x14ac:dyDescent="0.25">
      <c r="C516" s="25"/>
      <c r="D516" s="25"/>
      <c r="E516" s="25"/>
      <c r="F516" s="25"/>
      <c r="G516" s="25"/>
    </row>
    <row r="517" spans="3:7" x14ac:dyDescent="0.25">
      <c r="C517" s="25"/>
      <c r="D517" s="25"/>
      <c r="E517" s="25"/>
      <c r="F517" s="25"/>
      <c r="G517" s="25"/>
    </row>
    <row r="518" spans="3:7" x14ac:dyDescent="0.25">
      <c r="C518" s="25"/>
      <c r="D518" s="25"/>
      <c r="E518" s="25"/>
      <c r="F518" s="25"/>
      <c r="G518" s="25"/>
    </row>
    <row r="519" spans="3:7" x14ac:dyDescent="0.25">
      <c r="C519" s="25"/>
      <c r="D519" s="25"/>
      <c r="E519" s="25"/>
      <c r="F519" s="25"/>
      <c r="G519" s="25"/>
    </row>
    <row r="520" spans="3:7" x14ac:dyDescent="0.25">
      <c r="C520" s="25"/>
      <c r="D520" s="25"/>
      <c r="E520" s="25"/>
      <c r="F520" s="25"/>
      <c r="G520" s="25"/>
    </row>
    <row r="521" spans="3:7" x14ac:dyDescent="0.25">
      <c r="C521" s="25"/>
      <c r="D521" s="25"/>
      <c r="E521" s="25"/>
      <c r="F521" s="25"/>
      <c r="G521" s="25"/>
    </row>
    <row r="522" spans="3:7" x14ac:dyDescent="0.25">
      <c r="C522" s="25"/>
      <c r="D522" s="25"/>
      <c r="E522" s="25"/>
      <c r="F522" s="25"/>
      <c r="G522" s="25"/>
    </row>
    <row r="523" spans="3:7" x14ac:dyDescent="0.25">
      <c r="C523" s="25"/>
      <c r="D523" s="25"/>
      <c r="E523" s="25"/>
      <c r="F523" s="25"/>
      <c r="G523" s="25"/>
    </row>
    <row r="524" spans="3:7" x14ac:dyDescent="0.25">
      <c r="C524" s="25"/>
      <c r="D524" s="25"/>
      <c r="E524" s="25"/>
      <c r="F524" s="25"/>
      <c r="G524" s="25"/>
    </row>
    <row r="525" spans="3:7" x14ac:dyDescent="0.25">
      <c r="C525" s="25"/>
      <c r="D525" s="25"/>
      <c r="E525" s="25"/>
      <c r="F525" s="25"/>
      <c r="G525" s="25"/>
    </row>
    <row r="526" spans="3:7" x14ac:dyDescent="0.25">
      <c r="C526" s="25"/>
      <c r="D526" s="25"/>
      <c r="E526" s="25"/>
      <c r="F526" s="25"/>
      <c r="G526" s="25"/>
    </row>
    <row r="527" spans="3:7" x14ac:dyDescent="0.25">
      <c r="C527" s="25"/>
      <c r="D527" s="25"/>
      <c r="E527" s="25"/>
      <c r="F527" s="25"/>
      <c r="G527" s="25"/>
    </row>
    <row r="528" spans="3:7" x14ac:dyDescent="0.25">
      <c r="C528" s="25"/>
      <c r="D528" s="25"/>
      <c r="E528" s="25"/>
      <c r="F528" s="25"/>
      <c r="G528" s="25"/>
    </row>
    <row r="529" spans="3:7" x14ac:dyDescent="0.25">
      <c r="C529" s="25"/>
      <c r="D529" s="25"/>
      <c r="E529" s="25"/>
      <c r="F529" s="25"/>
      <c r="G529" s="25"/>
    </row>
    <row r="530" spans="3:7" x14ac:dyDescent="0.25">
      <c r="C530" s="25"/>
      <c r="D530" s="25"/>
      <c r="E530" s="25"/>
      <c r="F530" s="25"/>
      <c r="G530" s="25"/>
    </row>
    <row r="531" spans="3:7" x14ac:dyDescent="0.25">
      <c r="C531" s="25"/>
      <c r="D531" s="25"/>
      <c r="E531" s="25"/>
      <c r="F531" s="25"/>
      <c r="G531" s="25"/>
    </row>
    <row r="532" spans="3:7" x14ac:dyDescent="0.25">
      <c r="C532" s="25"/>
      <c r="D532" s="25"/>
      <c r="E532" s="25"/>
      <c r="F532" s="25"/>
      <c r="G532" s="25"/>
    </row>
    <row r="533" spans="3:7" x14ac:dyDescent="0.25">
      <c r="C533" s="25"/>
      <c r="D533" s="25"/>
      <c r="E533" s="25"/>
      <c r="F533" s="25"/>
      <c r="G533" s="25"/>
    </row>
    <row r="534" spans="3:7" x14ac:dyDescent="0.25">
      <c r="C534" s="25"/>
      <c r="D534" s="25"/>
      <c r="E534" s="25"/>
      <c r="F534" s="25"/>
      <c r="G534" s="25"/>
    </row>
    <row r="535" spans="3:7" x14ac:dyDescent="0.25">
      <c r="C535" s="25"/>
      <c r="D535" s="25"/>
      <c r="E535" s="25"/>
      <c r="F535" s="25"/>
      <c r="G535" s="25"/>
    </row>
    <row r="536" spans="3:7" x14ac:dyDescent="0.25">
      <c r="C536" s="25"/>
      <c r="D536" s="25"/>
      <c r="E536" s="25"/>
      <c r="F536" s="25"/>
      <c r="G536" s="25"/>
    </row>
    <row r="537" spans="3:7" x14ac:dyDescent="0.25">
      <c r="C537" s="25"/>
      <c r="D537" s="25"/>
      <c r="E537" s="25"/>
      <c r="F537" s="25"/>
      <c r="G537" s="25"/>
    </row>
    <row r="538" spans="3:7" x14ac:dyDescent="0.25">
      <c r="C538" s="25"/>
      <c r="D538" s="25"/>
      <c r="E538" s="25"/>
      <c r="F538" s="25"/>
      <c r="G538" s="25"/>
    </row>
    <row r="539" spans="3:7" x14ac:dyDescent="0.25">
      <c r="C539" s="25"/>
      <c r="D539" s="25"/>
      <c r="E539" s="25"/>
      <c r="F539" s="25"/>
      <c r="G539" s="25"/>
    </row>
    <row r="540" spans="3:7" x14ac:dyDescent="0.25">
      <c r="C540" s="25"/>
      <c r="D540" s="25"/>
      <c r="E540" s="25"/>
      <c r="F540" s="25"/>
      <c r="G540" s="25"/>
    </row>
    <row r="541" spans="3:7" x14ac:dyDescent="0.25">
      <c r="C541" s="25"/>
      <c r="D541" s="25"/>
      <c r="E541" s="25"/>
      <c r="F541" s="25"/>
      <c r="G541" s="25"/>
    </row>
    <row r="542" spans="3:7" x14ac:dyDescent="0.25">
      <c r="C542" s="25"/>
      <c r="D542" s="25"/>
      <c r="E542" s="25"/>
      <c r="F542" s="25"/>
      <c r="G542" s="25"/>
    </row>
    <row r="543" spans="3:7" x14ac:dyDescent="0.25">
      <c r="C543" s="25"/>
      <c r="D543" s="25"/>
      <c r="E543" s="25"/>
      <c r="F543" s="25"/>
      <c r="G543" s="25"/>
    </row>
    <row r="544" spans="3:7" x14ac:dyDescent="0.25">
      <c r="C544" s="25"/>
      <c r="D544" s="25"/>
      <c r="E544" s="25"/>
      <c r="F544" s="25"/>
      <c r="G544" s="25"/>
    </row>
    <row r="545" spans="3:7" x14ac:dyDescent="0.25">
      <c r="C545" s="25"/>
      <c r="D545" s="25"/>
      <c r="E545" s="25"/>
      <c r="F545" s="25"/>
      <c r="G545" s="25"/>
    </row>
    <row r="546" spans="3:7" x14ac:dyDescent="0.25">
      <c r="C546" s="25"/>
      <c r="D546" s="25"/>
      <c r="E546" s="25"/>
      <c r="F546" s="25"/>
      <c r="G546" s="25"/>
    </row>
    <row r="547" spans="3:7" x14ac:dyDescent="0.25">
      <c r="C547" s="25"/>
      <c r="D547" s="25"/>
      <c r="E547" s="25"/>
      <c r="F547" s="25"/>
      <c r="G547" s="25"/>
    </row>
    <row r="548" spans="3:7" x14ac:dyDescent="0.25">
      <c r="C548" s="25"/>
      <c r="D548" s="25"/>
      <c r="E548" s="25"/>
      <c r="F548" s="25"/>
      <c r="G548" s="25"/>
    </row>
    <row r="549" spans="3:7" x14ac:dyDescent="0.25">
      <c r="C549" s="25"/>
      <c r="D549" s="25"/>
      <c r="E549" s="25"/>
      <c r="F549" s="25"/>
      <c r="G549" s="25"/>
    </row>
    <row r="550" spans="3:7" x14ac:dyDescent="0.25">
      <c r="C550" s="25"/>
      <c r="D550" s="25"/>
      <c r="E550" s="25"/>
      <c r="F550" s="25"/>
      <c r="G550" s="25"/>
    </row>
    <row r="551" spans="3:7" x14ac:dyDescent="0.25">
      <c r="C551" s="25"/>
      <c r="D551" s="25"/>
      <c r="E551" s="25"/>
      <c r="F551" s="25"/>
      <c r="G551" s="25"/>
    </row>
    <row r="552" spans="3:7" x14ac:dyDescent="0.25">
      <c r="C552" s="25"/>
      <c r="D552" s="25"/>
      <c r="E552" s="25"/>
      <c r="F552" s="25"/>
      <c r="G552" s="25"/>
    </row>
    <row r="553" spans="3:7" x14ac:dyDescent="0.25">
      <c r="C553" s="25"/>
      <c r="D553" s="25"/>
      <c r="E553" s="25"/>
      <c r="F553" s="25"/>
      <c r="G553" s="25"/>
    </row>
    <row r="554" spans="3:7" x14ac:dyDescent="0.25">
      <c r="C554" s="25"/>
      <c r="D554" s="25"/>
      <c r="E554" s="25"/>
      <c r="F554" s="25"/>
      <c r="G554" s="25"/>
    </row>
    <row r="555" spans="3:7" x14ac:dyDescent="0.25">
      <c r="C555" s="25"/>
      <c r="D555" s="25"/>
      <c r="E555" s="25"/>
      <c r="F555" s="25"/>
      <c r="G555" s="25"/>
    </row>
    <row r="556" spans="3:7" x14ac:dyDescent="0.25">
      <c r="C556" s="25"/>
      <c r="D556" s="25"/>
      <c r="E556" s="25"/>
      <c r="F556" s="25"/>
      <c r="G556" s="25"/>
    </row>
    <row r="557" spans="3:7" x14ac:dyDescent="0.25">
      <c r="C557" s="25"/>
      <c r="D557" s="25"/>
      <c r="E557" s="25"/>
      <c r="F557" s="25"/>
      <c r="G557" s="25"/>
    </row>
    <row r="558" spans="3:7" x14ac:dyDescent="0.25">
      <c r="C558" s="25"/>
      <c r="D558" s="25"/>
      <c r="E558" s="25"/>
      <c r="F558" s="25"/>
      <c r="G558" s="25"/>
    </row>
    <row r="559" spans="3:7" x14ac:dyDescent="0.25">
      <c r="C559" s="25"/>
      <c r="D559" s="25"/>
      <c r="E559" s="25"/>
      <c r="F559" s="25"/>
      <c r="G559" s="25"/>
    </row>
    <row r="560" spans="3:7" x14ac:dyDescent="0.25">
      <c r="C560" s="25"/>
      <c r="D560" s="25"/>
      <c r="E560" s="25"/>
      <c r="F560" s="25"/>
      <c r="G560" s="25"/>
    </row>
    <row r="561" spans="3:7" x14ac:dyDescent="0.25">
      <c r="C561" s="25"/>
      <c r="D561" s="25"/>
      <c r="E561" s="25"/>
      <c r="F561" s="25"/>
      <c r="G561" s="25"/>
    </row>
    <row r="562" spans="3:7" x14ac:dyDescent="0.25">
      <c r="C562" s="25"/>
      <c r="D562" s="25"/>
      <c r="E562" s="25"/>
      <c r="F562" s="25"/>
      <c r="G562" s="25"/>
    </row>
    <row r="563" spans="3:7" x14ac:dyDescent="0.25">
      <c r="C563" s="25"/>
      <c r="D563" s="25"/>
      <c r="E563" s="25"/>
      <c r="F563" s="25"/>
      <c r="G563" s="25"/>
    </row>
    <row r="564" spans="3:7" x14ac:dyDescent="0.25">
      <c r="C564" s="25"/>
      <c r="D564" s="25"/>
      <c r="E564" s="25"/>
      <c r="F564" s="25"/>
      <c r="G564" s="25"/>
    </row>
    <row r="565" spans="3:7" x14ac:dyDescent="0.25">
      <c r="C565" s="25"/>
      <c r="D565" s="25"/>
      <c r="E565" s="25"/>
      <c r="F565" s="25"/>
      <c r="G565" s="25"/>
    </row>
    <row r="566" spans="3:7" x14ac:dyDescent="0.25">
      <c r="C566" s="25"/>
      <c r="D566" s="25"/>
      <c r="E566" s="25"/>
      <c r="F566" s="25"/>
      <c r="G566" s="25"/>
    </row>
    <row r="567" spans="3:7" x14ac:dyDescent="0.25">
      <c r="C567" s="25"/>
      <c r="D567" s="25"/>
      <c r="E567" s="25"/>
      <c r="F567" s="25"/>
      <c r="G567" s="25"/>
    </row>
    <row r="568" spans="3:7" x14ac:dyDescent="0.25">
      <c r="C568" s="25"/>
      <c r="D568" s="25"/>
      <c r="E568" s="25"/>
      <c r="F568" s="25"/>
      <c r="G568" s="25"/>
    </row>
    <row r="569" spans="3:7" x14ac:dyDescent="0.25">
      <c r="C569" s="25"/>
      <c r="D569" s="25"/>
      <c r="E569" s="25"/>
      <c r="F569" s="25"/>
      <c r="G569" s="25"/>
    </row>
    <row r="570" spans="3:7" x14ac:dyDescent="0.25">
      <c r="C570" s="25"/>
      <c r="D570" s="25"/>
      <c r="E570" s="25"/>
      <c r="F570" s="25"/>
      <c r="G570" s="25"/>
    </row>
    <row r="571" spans="3:7" x14ac:dyDescent="0.25">
      <c r="C571" s="25"/>
      <c r="D571" s="25"/>
      <c r="E571" s="25"/>
      <c r="F571" s="25"/>
      <c r="G571" s="25"/>
    </row>
    <row r="572" spans="3:7" x14ac:dyDescent="0.25">
      <c r="C572" s="25"/>
      <c r="D572" s="25"/>
      <c r="E572" s="25"/>
      <c r="F572" s="25"/>
      <c r="G572" s="25"/>
    </row>
    <row r="573" spans="3:7" x14ac:dyDescent="0.25">
      <c r="C573" s="25"/>
      <c r="D573" s="25"/>
      <c r="E573" s="25"/>
      <c r="F573" s="25"/>
      <c r="G573" s="25"/>
    </row>
    <row r="574" spans="3:7" x14ac:dyDescent="0.25">
      <c r="C574" s="25"/>
      <c r="D574" s="25"/>
      <c r="E574" s="25"/>
      <c r="F574" s="25"/>
      <c r="G574" s="25"/>
    </row>
    <row r="575" spans="3:7" x14ac:dyDescent="0.25">
      <c r="C575" s="25"/>
      <c r="D575" s="25"/>
      <c r="E575" s="25"/>
      <c r="F575" s="25"/>
      <c r="G575" s="25"/>
    </row>
    <row r="576" spans="3:7" x14ac:dyDescent="0.25">
      <c r="C576" s="25"/>
      <c r="D576" s="25"/>
      <c r="E576" s="25"/>
      <c r="F576" s="25"/>
      <c r="G576" s="25"/>
    </row>
    <row r="577" spans="3:7" x14ac:dyDescent="0.25">
      <c r="C577" s="25"/>
      <c r="D577" s="25"/>
      <c r="E577" s="25"/>
      <c r="F577" s="25"/>
      <c r="G577" s="25"/>
    </row>
    <row r="578" spans="3:7" x14ac:dyDescent="0.25">
      <c r="C578" s="25"/>
      <c r="D578" s="25"/>
      <c r="E578" s="25"/>
      <c r="F578" s="25"/>
      <c r="G578" s="25"/>
    </row>
    <row r="579" spans="3:7" x14ac:dyDescent="0.25">
      <c r="C579" s="25"/>
      <c r="D579" s="25"/>
      <c r="E579" s="25"/>
      <c r="F579" s="25"/>
      <c r="G579" s="25"/>
    </row>
    <row r="580" spans="3:7" x14ac:dyDescent="0.25">
      <c r="C580" s="25"/>
      <c r="D580" s="25"/>
      <c r="E580" s="25"/>
      <c r="F580" s="25"/>
      <c r="G580" s="25"/>
    </row>
    <row r="581" spans="3:7" x14ac:dyDescent="0.25">
      <c r="C581" s="25"/>
      <c r="D581" s="25"/>
      <c r="E581" s="25"/>
      <c r="F581" s="25"/>
      <c r="G581" s="25"/>
    </row>
    <row r="582" spans="3:7" x14ac:dyDescent="0.25">
      <c r="C582" s="25"/>
      <c r="D582" s="25"/>
      <c r="E582" s="25"/>
      <c r="F582" s="25"/>
      <c r="G582" s="25"/>
    </row>
    <row r="583" spans="3:7" x14ac:dyDescent="0.25">
      <c r="C583" s="25"/>
      <c r="D583" s="25"/>
      <c r="E583" s="25"/>
      <c r="F583" s="25"/>
      <c r="G583" s="25"/>
    </row>
    <row r="584" spans="3:7" x14ac:dyDescent="0.25">
      <c r="C584" s="25"/>
      <c r="D584" s="25"/>
      <c r="E584" s="25"/>
      <c r="F584" s="25"/>
      <c r="G584" s="25"/>
    </row>
    <row r="585" spans="3:7" x14ac:dyDescent="0.25">
      <c r="C585" s="25"/>
      <c r="D585" s="25"/>
      <c r="E585" s="25"/>
      <c r="F585" s="25"/>
      <c r="G585" s="25"/>
    </row>
    <row r="586" spans="3:7" x14ac:dyDescent="0.25">
      <c r="C586" s="25"/>
      <c r="D586" s="25"/>
      <c r="E586" s="25"/>
      <c r="F586" s="25"/>
      <c r="G586" s="25"/>
    </row>
    <row r="587" spans="3:7" x14ac:dyDescent="0.25">
      <c r="C587" s="25"/>
      <c r="D587" s="25"/>
      <c r="E587" s="25"/>
      <c r="F587" s="25"/>
      <c r="G587" s="25"/>
    </row>
    <row r="588" spans="3:7" x14ac:dyDescent="0.25">
      <c r="C588" s="25"/>
      <c r="D588" s="25"/>
      <c r="E588" s="25"/>
      <c r="F588" s="25"/>
      <c r="G588" s="25"/>
    </row>
    <row r="589" spans="3:7" x14ac:dyDescent="0.25">
      <c r="C589" s="25"/>
      <c r="D589" s="25"/>
      <c r="E589" s="25"/>
      <c r="F589" s="25"/>
      <c r="G589" s="25"/>
    </row>
    <row r="590" spans="3:7" x14ac:dyDescent="0.25">
      <c r="C590" s="25"/>
      <c r="D590" s="25"/>
      <c r="E590" s="25"/>
      <c r="F590" s="25"/>
      <c r="G590" s="25"/>
    </row>
    <row r="591" spans="3:7" x14ac:dyDescent="0.25">
      <c r="C591" s="25"/>
      <c r="D591" s="25"/>
      <c r="E591" s="25"/>
      <c r="F591" s="25"/>
      <c r="G591" s="25"/>
    </row>
    <row r="592" spans="3:7" x14ac:dyDescent="0.25">
      <c r="C592" s="25"/>
      <c r="D592" s="25"/>
      <c r="E592" s="25"/>
      <c r="F592" s="25"/>
      <c r="G592" s="25"/>
    </row>
    <row r="593" spans="3:7" x14ac:dyDescent="0.25">
      <c r="C593" s="25"/>
      <c r="D593" s="25"/>
      <c r="E593" s="25"/>
      <c r="F593" s="25"/>
      <c r="G593" s="25"/>
    </row>
    <row r="594" spans="3:7" x14ac:dyDescent="0.25">
      <c r="C594" s="25"/>
      <c r="D594" s="25"/>
      <c r="E594" s="25"/>
      <c r="F594" s="25"/>
      <c r="G594" s="25"/>
    </row>
    <row r="595" spans="3:7" x14ac:dyDescent="0.25">
      <c r="C595" s="25"/>
      <c r="D595" s="25"/>
      <c r="E595" s="25"/>
      <c r="F595" s="25"/>
      <c r="G595" s="25"/>
    </row>
    <row r="596" spans="3:7" x14ac:dyDescent="0.25">
      <c r="C596" s="25"/>
      <c r="D596" s="25"/>
      <c r="E596" s="25"/>
      <c r="F596" s="25"/>
      <c r="G596" s="25"/>
    </row>
    <row r="597" spans="3:7" x14ac:dyDescent="0.25">
      <c r="C597" s="25"/>
      <c r="D597" s="25"/>
      <c r="E597" s="25"/>
      <c r="F597" s="25"/>
      <c r="G597" s="25"/>
    </row>
    <row r="598" spans="3:7" x14ac:dyDescent="0.25">
      <c r="C598" s="25"/>
      <c r="D598" s="25"/>
      <c r="E598" s="25"/>
      <c r="F598" s="25"/>
      <c r="G598" s="25"/>
    </row>
    <row r="599" spans="3:7" x14ac:dyDescent="0.25">
      <c r="C599" s="25"/>
      <c r="D599" s="25"/>
      <c r="E599" s="25"/>
      <c r="F599" s="25"/>
      <c r="G599" s="25"/>
    </row>
    <row r="600" spans="3:7" x14ac:dyDescent="0.25">
      <c r="C600" s="25"/>
      <c r="D600" s="25"/>
      <c r="E600" s="25"/>
      <c r="F600" s="25"/>
      <c r="G600" s="25"/>
    </row>
    <row r="601" spans="3:7" x14ac:dyDescent="0.25">
      <c r="C601" s="25"/>
      <c r="D601" s="25"/>
      <c r="E601" s="25"/>
      <c r="F601" s="25"/>
      <c r="G601" s="25"/>
    </row>
    <row r="602" spans="3:7" x14ac:dyDescent="0.25">
      <c r="C602" s="25"/>
      <c r="D602" s="25"/>
      <c r="E602" s="25"/>
      <c r="F602" s="25"/>
      <c r="G602" s="25"/>
    </row>
    <row r="603" spans="3:7" x14ac:dyDescent="0.25">
      <c r="C603" s="25"/>
      <c r="D603" s="25"/>
      <c r="E603" s="25"/>
      <c r="F603" s="25"/>
      <c r="G603" s="25"/>
    </row>
    <row r="604" spans="3:7" x14ac:dyDescent="0.25">
      <c r="C604" s="25"/>
      <c r="D604" s="25"/>
      <c r="E604" s="25"/>
      <c r="F604" s="25"/>
      <c r="G604" s="25"/>
    </row>
    <row r="605" spans="3:7" x14ac:dyDescent="0.25">
      <c r="C605" s="25"/>
      <c r="D605" s="25"/>
      <c r="E605" s="25"/>
      <c r="F605" s="25"/>
      <c r="G605" s="25"/>
    </row>
    <row r="606" spans="3:7" x14ac:dyDescent="0.25">
      <c r="C606" s="25"/>
      <c r="D606" s="25"/>
      <c r="E606" s="25"/>
      <c r="F606" s="25"/>
      <c r="G606" s="25"/>
    </row>
    <row r="607" spans="3:7" x14ac:dyDescent="0.25">
      <c r="C607" s="25"/>
      <c r="D607" s="25"/>
      <c r="E607" s="25"/>
      <c r="F607" s="25"/>
      <c r="G607" s="25"/>
    </row>
    <row r="608" spans="3:7" x14ac:dyDescent="0.25">
      <c r="C608" s="25"/>
      <c r="D608" s="25"/>
      <c r="E608" s="25"/>
      <c r="F608" s="25"/>
      <c r="G608" s="25"/>
    </row>
    <row r="609" spans="3:7" x14ac:dyDescent="0.25">
      <c r="C609" s="25"/>
      <c r="D609" s="25"/>
      <c r="E609" s="25"/>
      <c r="F609" s="25"/>
      <c r="G609" s="25"/>
    </row>
    <row r="610" spans="3:7" x14ac:dyDescent="0.25">
      <c r="C610" s="25"/>
      <c r="D610" s="25"/>
      <c r="E610" s="25"/>
      <c r="F610" s="25"/>
      <c r="G610" s="25"/>
    </row>
  </sheetData>
  <dataConsolidate/>
  <mergeCells count="49">
    <mergeCell ref="A182:F182"/>
    <mergeCell ref="A183:F183"/>
    <mergeCell ref="A178:F180"/>
    <mergeCell ref="A177:F177"/>
    <mergeCell ref="A150:J150"/>
    <mergeCell ref="A151:J151"/>
    <mergeCell ref="A152:J152"/>
    <mergeCell ref="A153:J153"/>
    <mergeCell ref="A159:J159"/>
    <mergeCell ref="A170:J170"/>
    <mergeCell ref="I178:J180"/>
    <mergeCell ref="A163:J163"/>
    <mergeCell ref="A164:J164"/>
    <mergeCell ref="A172:J172"/>
    <mergeCell ref="A173:J173"/>
    <mergeCell ref="A174:J174"/>
    <mergeCell ref="A1:J1"/>
    <mergeCell ref="A2:B2"/>
    <mergeCell ref="E5:J5"/>
    <mergeCell ref="B9:H9"/>
    <mergeCell ref="B6:H6"/>
    <mergeCell ref="B7:H7"/>
    <mergeCell ref="B8:H8"/>
    <mergeCell ref="A144:J144"/>
    <mergeCell ref="A171:J171"/>
    <mergeCell ref="A165:J165"/>
    <mergeCell ref="A166:J166"/>
    <mergeCell ref="A167:J167"/>
    <mergeCell ref="A145:J145"/>
    <mergeCell ref="A155:J155"/>
    <mergeCell ref="A156:J156"/>
    <mergeCell ref="A146:J146"/>
    <mergeCell ref="A147:J147"/>
    <mergeCell ref="A148:J148"/>
    <mergeCell ref="A149:J149"/>
    <mergeCell ref="A154:J154"/>
    <mergeCell ref="A160:J160"/>
    <mergeCell ref="A168:J168"/>
    <mergeCell ref="A169:J169"/>
    <mergeCell ref="A143:J143"/>
    <mergeCell ref="A140:J140"/>
    <mergeCell ref="A135:J135"/>
    <mergeCell ref="A131:J131"/>
    <mergeCell ref="A136:J136"/>
    <mergeCell ref="B10:H10"/>
    <mergeCell ref="B11:H11"/>
    <mergeCell ref="A137:J137"/>
    <mergeCell ref="A138:J138"/>
    <mergeCell ref="A139:J139"/>
  </mergeCells>
  <phoneticPr fontId="0" type="noConversion"/>
  <conditionalFormatting sqref="Q86:R120 A17:W17 A18:M24 P18:W78 N18:O121 A25:L78 M25:M121">
    <cfRule type="expression" dxfId="1" priority="3">
      <formula>$T17</formula>
    </cfRule>
    <cfRule type="expression" dxfId="0" priority="5">
      <formula>$U17</formula>
    </cfRule>
  </conditionalFormatting>
  <dataValidations count="1">
    <dataValidation allowBlank="1" showErrorMessage="1" sqref="G17:G78" xr:uid="{4239CE11-B6F5-45E5-99D0-1A06BD5926FE}"/>
  </dataValidations>
  <printOptions horizontalCentered="1" verticalCentered="1"/>
  <pageMargins left="0.4" right="0.4" top="0.25" bottom="0.5" header="0" footer="0.2"/>
  <pageSetup scale="49" fitToHeight="0" orientation="portrait" r:id="rId1"/>
  <headerFooter differentFirst="1">
    <oddFooter>&amp;L&amp;D&amp;R&amp;N</oddFooter>
  </headerFooter>
  <drawing r:id="rId2"/>
  <extLst>
    <ext xmlns:x14="http://schemas.microsoft.com/office/spreadsheetml/2009/9/main" uri="{CCE6A557-97BC-4b89-ADB6-D9C93CAAB3DF}">
      <x14:dataValidations xmlns:xm="http://schemas.microsoft.com/office/excel/2006/main" count="4">
        <x14:dataValidation type="list" allowBlank="1" showErrorMessage="1" errorTitle="No" error="NO" xr:uid="{E2B561A5-7466-4D04-9656-52AA880FFAD8}">
          <x14:formula1>
            <xm:f>Info!$AR$2:$AR$13</xm:f>
          </x14:formula1>
          <xm:sqref>G86:G120</xm:sqref>
        </x14:dataValidation>
        <x14:dataValidation type="list" allowBlank="1" showInputMessage="1" xr:uid="{D6447988-85B1-490E-B264-0328D7321DEA}">
          <x14:formula1>
            <xm:f>Info!$AQ$2:$AQ$19</xm:f>
          </x14:formula1>
          <xm:sqref>J17:J78</xm:sqref>
        </x14:dataValidation>
        <x14:dataValidation type="list" allowBlank="1" showInputMessage="1" xr:uid="{0BE19092-86C8-4E28-8E03-A8E64B08A094}">
          <x14:formula1>
            <xm:f>Info!$AQ$20:$AQ$24</xm:f>
          </x14:formula1>
          <xm:sqref>J86:J121</xm:sqref>
        </x14:dataValidation>
        <x14:dataValidation type="list" allowBlank="1" xr:uid="{0AD67636-6D1A-4D37-9F89-B4EFC7A2AEEC}">
          <x14:formula1>
            <xm:f>Info!$AV$1:$AV$6</xm:f>
          </x14:formula1>
          <xm:sqref>B11:H14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051B9-E86B-4D3B-B3D9-2622D32D108E}">
  <sheetPr codeName="Sheet7"/>
  <dimension ref="A1"/>
  <sheetViews>
    <sheetView workbookViewId="0">
      <selection activeCell="I10" sqref="I10"/>
    </sheetView>
  </sheetViews>
  <sheetFormatPr defaultRowHeight="12.75" x14ac:dyDescent="0.2"/>
  <sheetData/>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0</xdr:col>
                <xdr:colOff>447675</xdr:colOff>
                <xdr:row>1</xdr:row>
                <xdr:rowOff>38100</xdr:rowOff>
              </from>
              <to>
                <xdr:col>4</xdr:col>
                <xdr:colOff>38100</xdr:colOff>
                <xdr:row>7</xdr:row>
                <xdr:rowOff>47625</xdr:rowOff>
              </to>
            </anchor>
          </controlPr>
        </control>
      </mc:Choice>
      <mc:Fallback>
        <control shapeId="7169" r:id="rId4" name="CommandButton1"/>
      </mc:Fallback>
    </mc:AlternateContent>
    <mc:AlternateContent xmlns:mc="http://schemas.openxmlformats.org/markup-compatibility/2006">
      <mc:Choice Requires="x14">
        <control shapeId="7173" r:id="rId6" name="CommandButton2">
          <controlPr defaultSize="0" autoLine="0" r:id="rId7">
            <anchor moveWithCells="1">
              <from>
                <xdr:col>24</xdr:col>
                <xdr:colOff>390525</xdr:colOff>
                <xdr:row>1</xdr:row>
                <xdr:rowOff>123825</xdr:rowOff>
              </from>
              <to>
                <xdr:col>29</xdr:col>
                <xdr:colOff>180975</xdr:colOff>
                <xdr:row>11</xdr:row>
                <xdr:rowOff>38100</xdr:rowOff>
              </to>
            </anchor>
          </controlPr>
        </control>
      </mc:Choice>
      <mc:Fallback>
        <control shapeId="7173" r:id="rId6"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R94"/>
  <sheetViews>
    <sheetView topLeftCell="A27" zoomScale="140" zoomScaleNormal="140" workbookViewId="0">
      <selection activeCell="M46" sqref="M46"/>
    </sheetView>
  </sheetViews>
  <sheetFormatPr defaultColWidth="9.140625" defaultRowHeight="15.75" x14ac:dyDescent="0.25"/>
  <cols>
    <col min="1" max="1" width="20.5703125" style="26" customWidth="1"/>
    <col min="2" max="2" width="75" style="26" customWidth="1"/>
    <col min="3" max="3" width="10" style="26" customWidth="1"/>
    <col min="4" max="4" width="14.42578125" style="29" customWidth="1"/>
    <col min="5" max="5" width="22.28515625" style="24" customWidth="1"/>
    <col min="6" max="6" width="21" style="37" hidden="1" customWidth="1"/>
    <col min="7" max="7" width="14.28515625" style="27" hidden="1" customWidth="1"/>
    <col min="8" max="11" width="0" style="26" hidden="1" customWidth="1"/>
    <col min="12" max="13" width="9.140625" style="26"/>
    <col min="14" max="14" width="9.7109375" style="26" bestFit="1" customWidth="1"/>
    <col min="15" max="16384" width="9.140625" style="26"/>
  </cols>
  <sheetData>
    <row r="1" spans="1:16" ht="90" customHeight="1" x14ac:dyDescent="0.2">
      <c r="A1" s="466"/>
      <c r="B1" s="466"/>
      <c r="C1" s="466"/>
      <c r="D1" s="466"/>
      <c r="E1" s="466"/>
      <c r="G1" s="93"/>
      <c r="H1" s="94"/>
      <c r="I1" s="94"/>
      <c r="J1" s="94"/>
      <c r="K1" s="94"/>
    </row>
    <row r="2" spans="1:16" ht="18" customHeight="1" x14ac:dyDescent="0.25">
      <c r="A2" s="28" t="s">
        <v>4</v>
      </c>
      <c r="B2" s="28"/>
      <c r="C2" s="28"/>
      <c r="E2" s="30" t="s">
        <v>39</v>
      </c>
      <c r="G2" s="31"/>
    </row>
    <row r="3" spans="1:16" ht="18" customHeight="1" x14ac:dyDescent="0.25">
      <c r="A3" s="28" t="s">
        <v>47</v>
      </c>
      <c r="B3" s="28"/>
      <c r="C3" s="28"/>
      <c r="E3" s="30" t="s">
        <v>46</v>
      </c>
      <c r="G3" s="31"/>
    </row>
    <row r="4" spans="1:16" ht="18" customHeight="1" thickBot="1" x14ac:dyDescent="0.25">
      <c r="A4" s="32" t="s">
        <v>43</v>
      </c>
      <c r="B4" s="32"/>
      <c r="C4" s="32"/>
      <c r="D4" s="32" t="s">
        <v>87</v>
      </c>
      <c r="E4" s="33"/>
      <c r="P4" s="114"/>
    </row>
    <row r="5" spans="1:16" ht="21.75" thickTop="1" thickBot="1" x14ac:dyDescent="0.35">
      <c r="A5" s="28"/>
      <c r="B5" s="197" t="s">
        <v>170</v>
      </c>
      <c r="C5" s="66"/>
      <c r="E5" s="333" t="s">
        <v>617</v>
      </c>
      <c r="N5" s="253"/>
    </row>
    <row r="6" spans="1:16" ht="16.5" thickTop="1" x14ac:dyDescent="0.25">
      <c r="A6" s="69" t="s">
        <v>31</v>
      </c>
      <c r="B6" s="112"/>
      <c r="C6" s="112"/>
      <c r="D6" s="70" t="s">
        <v>32</v>
      </c>
      <c r="E6" s="399" t="s">
        <v>495</v>
      </c>
      <c r="G6" s="31"/>
      <c r="H6" s="29"/>
      <c r="I6" s="29"/>
      <c r="J6" s="29"/>
      <c r="K6" s="29"/>
      <c r="L6" s="29"/>
      <c r="M6" s="29"/>
      <c r="N6" s="254"/>
    </row>
    <row r="7" spans="1:16" x14ac:dyDescent="0.25">
      <c r="A7" s="71" t="s">
        <v>119</v>
      </c>
      <c r="B7" s="113"/>
      <c r="C7" s="113"/>
      <c r="D7" s="72" t="s">
        <v>33</v>
      </c>
      <c r="E7" s="73" t="s">
        <v>34</v>
      </c>
      <c r="G7" s="31"/>
      <c r="H7" s="29"/>
      <c r="I7" s="29"/>
      <c r="J7" s="29"/>
      <c r="K7" s="29"/>
      <c r="L7" s="29"/>
      <c r="M7" s="29"/>
      <c r="N7" s="29"/>
    </row>
    <row r="8" spans="1:16" x14ac:dyDescent="0.25">
      <c r="A8" s="71" t="s">
        <v>35</v>
      </c>
      <c r="B8" s="113"/>
      <c r="C8" s="113"/>
      <c r="D8" s="72" t="s">
        <v>36</v>
      </c>
      <c r="E8" s="73" t="s">
        <v>37</v>
      </c>
      <c r="F8" s="63"/>
      <c r="G8" s="31"/>
      <c r="H8" s="29"/>
      <c r="I8" s="29"/>
      <c r="J8" s="29"/>
      <c r="K8" s="29"/>
      <c r="L8" s="29"/>
      <c r="M8" s="29"/>
      <c r="N8" s="29"/>
    </row>
    <row r="9" spans="1:16" x14ac:dyDescent="0.25">
      <c r="A9" s="71" t="s">
        <v>38</v>
      </c>
      <c r="B9" s="113"/>
      <c r="C9" s="113"/>
      <c r="D9" s="72" t="s">
        <v>177</v>
      </c>
      <c r="E9" s="73"/>
      <c r="F9" s="63"/>
      <c r="G9" s="31"/>
      <c r="H9" s="29"/>
      <c r="I9" s="29"/>
      <c r="J9" s="29"/>
      <c r="K9" s="29"/>
      <c r="L9" s="29"/>
      <c r="M9" s="29"/>
      <c r="N9" s="29"/>
    </row>
    <row r="10" spans="1:16" ht="16.5" thickBot="1" x14ac:dyDescent="0.3">
      <c r="A10" s="80" t="s">
        <v>49</v>
      </c>
      <c r="B10" s="115"/>
      <c r="C10" s="115"/>
      <c r="D10" s="74" t="s">
        <v>50</v>
      </c>
      <c r="E10" s="75"/>
      <c r="F10" s="63"/>
      <c r="G10" s="31"/>
      <c r="H10" s="29"/>
      <c r="I10" s="29"/>
      <c r="J10" s="29"/>
      <c r="K10" s="29"/>
      <c r="L10" s="29"/>
      <c r="M10" s="29"/>
      <c r="N10" s="29"/>
    </row>
    <row r="11" spans="1:16" ht="16.5" thickTop="1" x14ac:dyDescent="0.25">
      <c r="A11" s="329"/>
      <c r="B11" s="330"/>
      <c r="C11" s="330"/>
      <c r="D11" s="331"/>
      <c r="E11" s="332"/>
      <c r="F11" s="63"/>
      <c r="G11" s="31"/>
      <c r="H11" s="29"/>
      <c r="I11" s="29"/>
      <c r="J11" s="29"/>
      <c r="K11" s="29"/>
      <c r="L11" s="29"/>
      <c r="M11" s="29"/>
      <c r="N11" s="29"/>
    </row>
    <row r="12" spans="1:16" x14ac:dyDescent="0.25">
      <c r="A12" s="329"/>
      <c r="B12" s="330"/>
      <c r="C12" s="330"/>
      <c r="D12" s="331"/>
      <c r="E12" s="332"/>
      <c r="F12" s="63"/>
      <c r="G12" s="31"/>
      <c r="H12" s="29"/>
      <c r="I12" s="29"/>
      <c r="J12" s="29"/>
      <c r="K12" s="29"/>
      <c r="L12" s="29"/>
      <c r="M12" s="29"/>
      <c r="N12" s="29"/>
    </row>
    <row r="13" spans="1:16" x14ac:dyDescent="0.25">
      <c r="A13" s="329"/>
      <c r="B13" s="330"/>
      <c r="C13" s="330"/>
      <c r="D13" s="331"/>
      <c r="E13" s="332"/>
      <c r="F13" s="63"/>
      <c r="G13" s="31"/>
      <c r="H13" s="29"/>
      <c r="I13" s="29"/>
      <c r="J13" s="29"/>
      <c r="K13" s="29"/>
      <c r="L13" s="29"/>
      <c r="M13" s="29"/>
      <c r="N13" s="29"/>
    </row>
    <row r="14" spans="1:16" ht="24" customHeight="1" thickBot="1" x14ac:dyDescent="0.3">
      <c r="A14" s="79"/>
      <c r="B14" s="79"/>
      <c r="C14" s="79"/>
      <c r="D14" s="79"/>
      <c r="E14" s="79"/>
      <c r="F14" s="64"/>
      <c r="G14" s="31"/>
      <c r="H14" s="29"/>
      <c r="I14" s="29"/>
      <c r="J14" s="29"/>
      <c r="K14" s="29"/>
      <c r="L14" s="29"/>
      <c r="M14" s="29"/>
      <c r="N14" s="29"/>
    </row>
    <row r="15" spans="1:16" ht="17.25" thickTop="1" thickBot="1" x14ac:dyDescent="0.3">
      <c r="A15" s="76" t="s">
        <v>48</v>
      </c>
      <c r="B15" s="76" t="s">
        <v>44</v>
      </c>
      <c r="C15" s="76" t="s">
        <v>116</v>
      </c>
      <c r="D15" s="77" t="s">
        <v>45</v>
      </c>
      <c r="E15" s="78" t="s">
        <v>117</v>
      </c>
      <c r="F15" s="65"/>
      <c r="G15" s="31"/>
      <c r="H15" s="29"/>
      <c r="I15" s="29"/>
      <c r="J15" s="29"/>
      <c r="K15" s="29"/>
      <c r="L15" s="29"/>
      <c r="M15" s="29"/>
      <c r="N15" s="29"/>
    </row>
    <row r="16" spans="1:16" ht="16.5" thickTop="1" x14ac:dyDescent="0.25">
      <c r="A16" s="34"/>
      <c r="B16" s="34"/>
      <c r="C16" s="34"/>
      <c r="D16" s="148"/>
      <c r="E16" s="24">
        <f>SUM(C16*D16)</f>
        <v>0</v>
      </c>
      <c r="F16" s="38">
        <f t="shared" ref="F16:F24" si="0">PRODUCT(D16*E16)</f>
        <v>0</v>
      </c>
      <c r="G16" s="31"/>
      <c r="H16" s="29"/>
      <c r="I16" s="29"/>
      <c r="J16" s="29"/>
      <c r="K16" s="29"/>
      <c r="L16" s="29"/>
      <c r="M16" s="29"/>
      <c r="N16" s="29"/>
    </row>
    <row r="17" spans="1:14" x14ac:dyDescent="0.25">
      <c r="A17" s="34"/>
      <c r="B17" s="34"/>
      <c r="C17" s="34"/>
      <c r="D17" s="148"/>
      <c r="E17" s="24">
        <f t="shared" ref="E17:E38" si="1">SUM(C17*D17)</f>
        <v>0</v>
      </c>
      <c r="F17" s="38">
        <f t="shared" si="0"/>
        <v>0</v>
      </c>
      <c r="G17" s="31"/>
      <c r="H17" s="29"/>
      <c r="I17" s="29"/>
      <c r="J17" s="29"/>
      <c r="K17" s="29"/>
      <c r="L17" s="29"/>
      <c r="M17" s="29"/>
      <c r="N17" s="29"/>
    </row>
    <row r="18" spans="1:14" x14ac:dyDescent="0.25">
      <c r="A18" s="34"/>
      <c r="B18" s="34"/>
      <c r="C18" s="34"/>
      <c r="D18" s="148"/>
      <c r="E18" s="24">
        <f t="shared" si="1"/>
        <v>0</v>
      </c>
      <c r="F18" s="38">
        <f t="shared" si="0"/>
        <v>0</v>
      </c>
      <c r="G18" s="31"/>
      <c r="H18" s="29"/>
      <c r="I18" s="29"/>
      <c r="J18" s="29"/>
      <c r="K18" s="29"/>
      <c r="L18" s="29"/>
      <c r="M18" s="29"/>
      <c r="N18" s="29"/>
    </row>
    <row r="19" spans="1:14" x14ac:dyDescent="0.25">
      <c r="A19" s="34"/>
      <c r="B19" s="34"/>
      <c r="C19" s="34"/>
      <c r="D19" s="148"/>
      <c r="E19" s="24">
        <f t="shared" si="1"/>
        <v>0</v>
      </c>
      <c r="F19" s="38">
        <f t="shared" si="0"/>
        <v>0</v>
      </c>
      <c r="G19" s="31"/>
      <c r="H19" s="29"/>
      <c r="I19" s="29"/>
      <c r="J19" s="29"/>
      <c r="K19" s="29"/>
      <c r="L19" s="29"/>
      <c r="M19" s="29"/>
      <c r="N19" s="29"/>
    </row>
    <row r="20" spans="1:14" x14ac:dyDescent="0.25">
      <c r="A20" s="34"/>
      <c r="B20" s="34"/>
      <c r="C20" s="34"/>
      <c r="D20" s="148"/>
      <c r="E20" s="24">
        <f t="shared" si="1"/>
        <v>0</v>
      </c>
      <c r="F20" s="38">
        <f t="shared" si="0"/>
        <v>0</v>
      </c>
      <c r="G20" s="31"/>
      <c r="H20" s="29"/>
      <c r="I20" s="29"/>
      <c r="J20" s="29"/>
      <c r="K20" s="29"/>
      <c r="L20" s="29"/>
      <c r="M20" s="29"/>
      <c r="N20" s="29"/>
    </row>
    <row r="21" spans="1:14" x14ac:dyDescent="0.25">
      <c r="A21" s="34"/>
      <c r="B21" s="34"/>
      <c r="C21" s="34"/>
      <c r="D21" s="148"/>
      <c r="E21" s="24">
        <f t="shared" si="1"/>
        <v>0</v>
      </c>
      <c r="F21" s="38">
        <f t="shared" si="0"/>
        <v>0</v>
      </c>
      <c r="G21" s="31"/>
      <c r="H21" s="29"/>
      <c r="I21" s="29"/>
      <c r="J21" s="29"/>
      <c r="K21" s="29"/>
      <c r="L21" s="29"/>
      <c r="M21" s="29"/>
      <c r="N21" s="29"/>
    </row>
    <row r="22" spans="1:14" x14ac:dyDescent="0.25">
      <c r="A22" s="34"/>
      <c r="B22" s="34"/>
      <c r="C22" s="34"/>
      <c r="D22" s="148"/>
      <c r="E22" s="24">
        <f t="shared" si="1"/>
        <v>0</v>
      </c>
      <c r="F22" s="38">
        <f t="shared" si="0"/>
        <v>0</v>
      </c>
      <c r="G22" s="31"/>
      <c r="H22" s="29"/>
      <c r="I22" s="29"/>
      <c r="J22" s="29"/>
      <c r="K22" s="29"/>
      <c r="L22" s="29"/>
      <c r="M22" s="29"/>
      <c r="N22" s="29"/>
    </row>
    <row r="23" spans="1:14" x14ac:dyDescent="0.25">
      <c r="A23" s="34"/>
      <c r="B23" s="34"/>
      <c r="C23" s="34"/>
      <c r="D23" s="148"/>
      <c r="E23" s="24">
        <f t="shared" si="1"/>
        <v>0</v>
      </c>
      <c r="F23" s="38">
        <f t="shared" si="0"/>
        <v>0</v>
      </c>
      <c r="G23" s="31"/>
      <c r="H23" s="29"/>
      <c r="I23" s="29"/>
      <c r="J23" s="29"/>
      <c r="K23" s="29"/>
      <c r="L23" s="29"/>
      <c r="M23" s="29"/>
      <c r="N23" s="29"/>
    </row>
    <row r="24" spans="1:14" x14ac:dyDescent="0.25">
      <c r="A24" s="34"/>
      <c r="B24" s="34"/>
      <c r="C24" s="34"/>
      <c r="D24" s="148"/>
      <c r="E24" s="24">
        <f t="shared" si="1"/>
        <v>0</v>
      </c>
      <c r="F24" s="38">
        <f t="shared" si="0"/>
        <v>0</v>
      </c>
      <c r="G24" s="31"/>
      <c r="H24" s="29"/>
      <c r="I24" s="29"/>
      <c r="J24" s="29"/>
      <c r="K24" s="29"/>
      <c r="L24" s="29"/>
      <c r="M24" s="29"/>
      <c r="N24" s="29"/>
    </row>
    <row r="25" spans="1:14" x14ac:dyDescent="0.25">
      <c r="A25" s="34"/>
      <c r="B25" s="34"/>
      <c r="C25" s="34"/>
      <c r="D25" s="148"/>
      <c r="E25" s="24">
        <f t="shared" si="1"/>
        <v>0</v>
      </c>
      <c r="F25" s="38"/>
      <c r="G25" s="31"/>
      <c r="H25" s="29"/>
      <c r="I25" s="29"/>
      <c r="J25" s="29"/>
      <c r="K25" s="29"/>
      <c r="L25" s="29"/>
      <c r="M25" s="29"/>
      <c r="N25" s="29"/>
    </row>
    <row r="26" spans="1:14" x14ac:dyDescent="0.25">
      <c r="A26" s="34"/>
      <c r="B26" s="34"/>
      <c r="C26" s="34"/>
      <c r="D26" s="148"/>
      <c r="E26" s="24">
        <f t="shared" si="1"/>
        <v>0</v>
      </c>
      <c r="F26" s="39">
        <f>SUM(F16:F25)</f>
        <v>0</v>
      </c>
      <c r="G26" s="31"/>
      <c r="H26" s="29"/>
      <c r="I26" s="29"/>
      <c r="J26" s="29"/>
      <c r="K26" s="29"/>
      <c r="L26" s="29"/>
      <c r="M26" s="29"/>
      <c r="N26" s="29"/>
    </row>
    <row r="27" spans="1:14" x14ac:dyDescent="0.25">
      <c r="A27" s="34"/>
      <c r="B27" s="34"/>
      <c r="C27" s="34"/>
      <c r="D27" s="148"/>
      <c r="E27" s="24">
        <f t="shared" si="1"/>
        <v>0</v>
      </c>
      <c r="F27" s="38"/>
      <c r="G27" s="31"/>
      <c r="H27" s="29"/>
      <c r="I27" s="29"/>
      <c r="J27" s="29"/>
      <c r="K27" s="29"/>
      <c r="L27" s="29"/>
      <c r="M27" s="29"/>
      <c r="N27" s="29"/>
    </row>
    <row r="28" spans="1:14" x14ac:dyDescent="0.25">
      <c r="A28" s="34"/>
      <c r="B28" s="34"/>
      <c r="C28" s="34"/>
      <c r="D28" s="148"/>
      <c r="E28" s="24">
        <f t="shared" si="1"/>
        <v>0</v>
      </c>
      <c r="F28" s="38"/>
      <c r="G28" s="31"/>
      <c r="H28" s="29"/>
      <c r="I28" s="29"/>
      <c r="J28" s="29"/>
      <c r="K28" s="29"/>
      <c r="L28" s="29"/>
      <c r="M28" s="29"/>
      <c r="N28" s="29"/>
    </row>
    <row r="29" spans="1:14" x14ac:dyDescent="0.25">
      <c r="A29" s="34"/>
      <c r="B29" s="34"/>
      <c r="C29" s="34"/>
      <c r="D29" s="148"/>
      <c r="E29" s="24">
        <f t="shared" si="1"/>
        <v>0</v>
      </c>
      <c r="F29" s="38"/>
      <c r="G29" s="31"/>
      <c r="H29" s="29"/>
      <c r="I29" s="29"/>
      <c r="J29" s="29"/>
      <c r="K29" s="29"/>
      <c r="L29" s="29"/>
      <c r="M29" s="29"/>
      <c r="N29" s="29"/>
    </row>
    <row r="30" spans="1:14" x14ac:dyDescent="0.25">
      <c r="A30" s="34"/>
      <c r="B30" s="34"/>
      <c r="C30" s="34"/>
      <c r="D30" s="148"/>
      <c r="E30" s="24">
        <f t="shared" si="1"/>
        <v>0</v>
      </c>
      <c r="F30" s="38"/>
      <c r="G30" s="31"/>
      <c r="H30" s="29"/>
      <c r="I30" s="29"/>
      <c r="J30" s="29"/>
      <c r="K30" s="29"/>
      <c r="L30" s="29"/>
      <c r="M30" s="29"/>
      <c r="N30" s="29"/>
    </row>
    <row r="31" spans="1:14" x14ac:dyDescent="0.25">
      <c r="A31" s="34"/>
      <c r="B31" s="34"/>
      <c r="C31" s="34"/>
      <c r="D31" s="148"/>
      <c r="E31" s="24">
        <f t="shared" si="1"/>
        <v>0</v>
      </c>
      <c r="F31" s="38"/>
      <c r="G31" s="31"/>
      <c r="H31" s="29"/>
      <c r="I31" s="29"/>
      <c r="J31" s="29"/>
      <c r="K31" s="29"/>
      <c r="L31" s="29"/>
      <c r="M31" s="29"/>
      <c r="N31" s="29"/>
    </row>
    <row r="32" spans="1:14" x14ac:dyDescent="0.25">
      <c r="A32" s="34"/>
      <c r="B32" s="34"/>
      <c r="C32" s="34"/>
      <c r="D32" s="148"/>
      <c r="E32" s="24">
        <f t="shared" si="1"/>
        <v>0</v>
      </c>
      <c r="F32" s="38"/>
      <c r="G32" s="31"/>
      <c r="H32" s="29"/>
      <c r="I32" s="29"/>
      <c r="J32" s="29"/>
      <c r="K32" s="29"/>
      <c r="L32" s="29"/>
      <c r="M32" s="29"/>
      <c r="N32" s="29"/>
    </row>
    <row r="33" spans="1:18" x14ac:dyDescent="0.25">
      <c r="A33" s="34"/>
      <c r="B33" s="34"/>
      <c r="C33" s="34"/>
      <c r="D33" s="148"/>
      <c r="E33" s="24">
        <f t="shared" si="1"/>
        <v>0</v>
      </c>
      <c r="F33" s="38"/>
      <c r="G33" s="31"/>
      <c r="H33" s="29"/>
      <c r="I33" s="29"/>
      <c r="J33" s="29"/>
      <c r="K33" s="29"/>
      <c r="L33" s="29"/>
      <c r="M33" s="29"/>
      <c r="N33" s="29"/>
    </row>
    <row r="34" spans="1:18" x14ac:dyDescent="0.25">
      <c r="A34" s="34"/>
      <c r="B34" s="34"/>
      <c r="C34" s="34"/>
      <c r="D34" s="148"/>
      <c r="E34" s="24">
        <f t="shared" si="1"/>
        <v>0</v>
      </c>
      <c r="F34" s="38"/>
      <c r="G34" s="31"/>
      <c r="H34" s="29"/>
      <c r="I34" s="29"/>
      <c r="J34" s="29"/>
      <c r="K34" s="29"/>
      <c r="L34" s="29"/>
      <c r="M34" s="29"/>
      <c r="N34" s="29"/>
    </row>
    <row r="35" spans="1:18" x14ac:dyDescent="0.25">
      <c r="A35" s="34"/>
      <c r="B35" s="34"/>
      <c r="C35" s="34"/>
      <c r="D35" s="148"/>
      <c r="E35" s="24">
        <f t="shared" si="1"/>
        <v>0</v>
      </c>
      <c r="F35" s="38"/>
      <c r="G35" s="31"/>
      <c r="H35" s="29"/>
      <c r="I35" s="29"/>
      <c r="J35" s="29"/>
      <c r="K35" s="29"/>
      <c r="L35" s="29"/>
      <c r="M35" s="29"/>
      <c r="N35" s="29"/>
    </row>
    <row r="36" spans="1:18" x14ac:dyDescent="0.25">
      <c r="A36" s="34"/>
      <c r="B36" s="34"/>
      <c r="C36" s="34"/>
      <c r="D36" s="148"/>
      <c r="E36" s="24">
        <f t="shared" si="1"/>
        <v>0</v>
      </c>
      <c r="F36" s="38"/>
      <c r="G36" s="31"/>
      <c r="H36" s="29"/>
      <c r="I36" s="29"/>
      <c r="J36" s="29"/>
      <c r="K36" s="29"/>
      <c r="L36" s="29"/>
      <c r="M36" s="29"/>
      <c r="N36" s="29"/>
    </row>
    <row r="37" spans="1:18" x14ac:dyDescent="0.25">
      <c r="A37" s="34"/>
      <c r="B37" s="34"/>
      <c r="C37" s="34"/>
      <c r="D37" s="148"/>
      <c r="E37" s="24">
        <f t="shared" si="1"/>
        <v>0</v>
      </c>
      <c r="F37" s="38"/>
      <c r="G37" s="31"/>
      <c r="H37" s="29"/>
      <c r="I37" s="29"/>
      <c r="J37" s="29"/>
      <c r="K37" s="29"/>
      <c r="L37" s="29"/>
      <c r="M37" s="29"/>
      <c r="N37" s="29"/>
    </row>
    <row r="38" spans="1:18" x14ac:dyDescent="0.25">
      <c r="A38" s="34"/>
      <c r="B38" s="34"/>
      <c r="C38" s="34"/>
      <c r="D38" s="148"/>
      <c r="E38" s="24">
        <f t="shared" si="1"/>
        <v>0</v>
      </c>
      <c r="F38" s="38"/>
      <c r="G38" s="31"/>
      <c r="H38" s="29"/>
      <c r="I38" s="29"/>
      <c r="J38" s="29"/>
      <c r="K38" s="29"/>
      <c r="L38" s="29"/>
      <c r="M38" s="29"/>
      <c r="N38" s="29"/>
    </row>
    <row r="39" spans="1:18" x14ac:dyDescent="0.25">
      <c r="A39" s="34"/>
      <c r="B39" s="34"/>
      <c r="C39" s="34"/>
      <c r="D39" s="148" t="s">
        <v>171</v>
      </c>
      <c r="E39" s="198">
        <f>SUM(E16:E38)</f>
        <v>0</v>
      </c>
      <c r="F39" s="38"/>
      <c r="G39" s="31"/>
      <c r="H39" s="29"/>
      <c r="I39" s="29"/>
      <c r="J39" s="29"/>
      <c r="K39" s="29"/>
      <c r="L39" s="29"/>
      <c r="M39" s="29"/>
      <c r="N39" s="29"/>
    </row>
    <row r="40" spans="1:18" x14ac:dyDescent="0.25">
      <c r="A40" s="34"/>
      <c r="B40" s="34"/>
      <c r="C40" s="34"/>
      <c r="D40" s="148"/>
      <c r="E40" s="324"/>
      <c r="F40" s="38"/>
      <c r="G40" s="31"/>
      <c r="H40" s="29"/>
      <c r="I40" s="29"/>
      <c r="J40" s="29"/>
      <c r="K40" s="29"/>
      <c r="L40" s="29"/>
      <c r="M40" s="29"/>
      <c r="N40" s="29"/>
    </row>
    <row r="41" spans="1:18" customFormat="1" ht="15.75" customHeight="1" x14ac:dyDescent="0.25">
      <c r="A41" s="451" t="s">
        <v>679</v>
      </c>
      <c r="B41" s="451"/>
      <c r="C41" s="451"/>
      <c r="D41" s="451"/>
      <c r="E41" s="451"/>
      <c r="F41" s="451"/>
      <c r="G41" s="451"/>
      <c r="H41" s="451"/>
      <c r="I41" s="451"/>
      <c r="J41" s="451"/>
      <c r="K41" s="40"/>
      <c r="L41" s="41"/>
      <c r="M41" s="42"/>
      <c r="N41" s="283"/>
      <c r="O41" s="283"/>
      <c r="P41" s="188"/>
      <c r="Q41" s="42"/>
      <c r="R41" s="42"/>
    </row>
    <row r="42" spans="1:18" x14ac:dyDescent="0.25">
      <c r="A42" s="34"/>
      <c r="B42" s="34"/>
      <c r="C42" s="34"/>
      <c r="D42" s="35"/>
      <c r="F42" s="38"/>
      <c r="G42" s="31"/>
      <c r="H42" s="29"/>
      <c r="I42" s="29"/>
      <c r="J42" s="29"/>
      <c r="K42" s="29"/>
      <c r="L42" s="29"/>
      <c r="M42" s="29"/>
      <c r="N42" s="29"/>
    </row>
    <row r="43" spans="1:18" x14ac:dyDescent="0.25">
      <c r="A43" s="95" t="s">
        <v>58</v>
      </c>
      <c r="B43" s="96"/>
      <c r="C43" s="96"/>
      <c r="D43" s="97"/>
      <c r="E43" s="98"/>
      <c r="F43" s="38"/>
      <c r="G43" s="31"/>
      <c r="H43" s="29"/>
      <c r="I43" s="29"/>
      <c r="J43" s="29"/>
      <c r="K43" s="29"/>
      <c r="L43" s="29"/>
      <c r="M43" s="29"/>
      <c r="N43" s="29"/>
    </row>
    <row r="44" spans="1:18" x14ac:dyDescent="0.25">
      <c r="A44" s="96" t="s">
        <v>59</v>
      </c>
      <c r="B44" s="99"/>
      <c r="C44" s="99"/>
      <c r="D44" s="97"/>
      <c r="E44" s="98"/>
      <c r="F44" s="38"/>
      <c r="G44" s="31"/>
      <c r="H44" s="29"/>
      <c r="I44" s="29"/>
      <c r="J44" s="29"/>
      <c r="K44" s="29"/>
      <c r="L44" s="29"/>
      <c r="M44" s="29"/>
      <c r="N44" s="29"/>
    </row>
    <row r="45" spans="1:18" x14ac:dyDescent="0.25">
      <c r="A45" s="96" t="s">
        <v>548</v>
      </c>
      <c r="B45" s="100"/>
      <c r="C45" s="100"/>
      <c r="D45" s="101"/>
      <c r="E45" s="102"/>
      <c r="F45" s="38"/>
      <c r="G45" s="31"/>
      <c r="H45" s="29"/>
      <c r="I45" s="29"/>
      <c r="J45" s="29"/>
      <c r="K45" s="29"/>
      <c r="L45" s="29"/>
      <c r="M45" s="29"/>
      <c r="N45" s="29"/>
    </row>
    <row r="46" spans="1:18" x14ac:dyDescent="0.25">
      <c r="A46" s="96" t="s">
        <v>80</v>
      </c>
      <c r="B46" s="99"/>
      <c r="C46" s="99"/>
      <c r="D46" s="103"/>
      <c r="E46" s="98"/>
      <c r="F46" s="38"/>
      <c r="G46" s="31"/>
      <c r="H46" s="29"/>
      <c r="I46" s="89"/>
      <c r="J46" s="89"/>
      <c r="K46" s="89"/>
      <c r="L46" s="29"/>
      <c r="M46" s="29"/>
      <c r="N46" s="29"/>
    </row>
    <row r="47" spans="1:18" x14ac:dyDescent="0.25">
      <c r="A47" s="96" t="s">
        <v>475</v>
      </c>
      <c r="B47" s="99"/>
      <c r="C47" s="99"/>
      <c r="D47" s="103"/>
      <c r="E47" s="98"/>
      <c r="F47" s="38"/>
      <c r="G47" s="36"/>
      <c r="H47" s="36"/>
      <c r="I47" s="90"/>
      <c r="J47" s="91"/>
      <c r="K47" s="92"/>
      <c r="L47" s="29"/>
      <c r="M47" s="29"/>
      <c r="N47" s="29"/>
    </row>
    <row r="48" spans="1:18" x14ac:dyDescent="0.25">
      <c r="A48" s="96" t="s">
        <v>474</v>
      </c>
      <c r="B48" s="99"/>
      <c r="C48" s="99"/>
      <c r="D48" s="103"/>
      <c r="E48" s="98"/>
      <c r="F48" s="38"/>
      <c r="G48" s="36"/>
      <c r="H48" s="36"/>
      <c r="I48" s="90"/>
      <c r="J48" s="91"/>
      <c r="K48" s="92"/>
      <c r="L48" s="29"/>
      <c r="M48" s="29"/>
      <c r="N48" s="29"/>
    </row>
    <row r="49" spans="1:14" x14ac:dyDescent="0.25">
      <c r="A49" s="96" t="s">
        <v>472</v>
      </c>
      <c r="B49" s="99"/>
      <c r="C49" s="99"/>
      <c r="D49" s="103"/>
      <c r="E49" s="98"/>
      <c r="F49" s="38"/>
      <c r="G49" s="31"/>
      <c r="H49" s="29"/>
      <c r="I49" s="29"/>
      <c r="J49" s="29"/>
      <c r="K49" s="29"/>
      <c r="L49" s="29"/>
      <c r="M49" s="29"/>
      <c r="N49" s="29"/>
    </row>
    <row r="50" spans="1:14" ht="30.75" customHeight="1" x14ac:dyDescent="0.25">
      <c r="A50" s="450" t="s">
        <v>473</v>
      </c>
      <c r="B50" s="450"/>
      <c r="C50" s="450"/>
      <c r="D50" s="450"/>
      <c r="E50" s="450"/>
      <c r="F50" s="450"/>
      <c r="G50" s="450"/>
      <c r="H50" s="450"/>
      <c r="I50" s="450"/>
      <c r="J50" s="450"/>
      <c r="K50" s="29"/>
      <c r="L50" s="29"/>
      <c r="M50" s="29"/>
      <c r="N50" s="29"/>
    </row>
    <row r="51" spans="1:14" x14ac:dyDescent="0.25">
      <c r="A51" s="99"/>
      <c r="B51" s="99"/>
      <c r="C51" s="99"/>
      <c r="D51" s="103"/>
      <c r="E51" s="98"/>
      <c r="F51" s="38"/>
      <c r="G51" s="31"/>
      <c r="H51" s="29"/>
      <c r="I51" s="29"/>
      <c r="J51" s="29"/>
      <c r="K51" s="29"/>
      <c r="L51" s="29"/>
      <c r="M51" s="29"/>
      <c r="N51" s="29"/>
    </row>
    <row r="52" spans="1:14" x14ac:dyDescent="0.25">
      <c r="A52" s="104" t="s">
        <v>61</v>
      </c>
      <c r="B52" s="99"/>
      <c r="C52" s="99"/>
      <c r="D52" s="103"/>
      <c r="E52" s="98"/>
      <c r="F52" s="38"/>
      <c r="G52" s="31"/>
      <c r="H52" s="29"/>
      <c r="I52" s="29"/>
      <c r="J52" s="29"/>
      <c r="K52" s="29"/>
      <c r="L52" s="29"/>
      <c r="M52" s="29"/>
      <c r="N52" s="29"/>
    </row>
    <row r="53" spans="1:14" x14ac:dyDescent="0.25">
      <c r="A53" s="105" t="s">
        <v>62</v>
      </c>
      <c r="B53" s="99"/>
      <c r="C53" s="99"/>
      <c r="D53" s="103"/>
      <c r="E53" s="98"/>
      <c r="F53" s="38"/>
      <c r="G53" s="31"/>
      <c r="H53" s="29"/>
      <c r="I53" s="29"/>
      <c r="J53" s="29"/>
      <c r="K53" s="29"/>
      <c r="L53" s="29"/>
      <c r="M53" s="29"/>
      <c r="N53" s="29"/>
    </row>
    <row r="54" spans="1:14" x14ac:dyDescent="0.25">
      <c r="A54" s="105" t="s">
        <v>63</v>
      </c>
      <c r="B54" s="99"/>
      <c r="C54" s="99"/>
      <c r="D54" s="103"/>
      <c r="E54" s="98"/>
      <c r="F54" s="38"/>
      <c r="G54" s="31"/>
      <c r="H54" s="29"/>
      <c r="I54" s="29"/>
      <c r="J54" s="29"/>
      <c r="K54" s="29"/>
      <c r="L54" s="29"/>
      <c r="M54" s="29"/>
      <c r="N54" s="29"/>
    </row>
    <row r="55" spans="1:14" x14ac:dyDescent="0.25">
      <c r="A55" s="105" t="s">
        <v>81</v>
      </c>
      <c r="B55" s="96"/>
      <c r="C55" s="96"/>
      <c r="D55" s="106"/>
      <c r="E55" s="107"/>
      <c r="F55" s="38"/>
      <c r="G55" s="31"/>
      <c r="H55" s="29"/>
      <c r="I55" s="29"/>
      <c r="J55" s="29"/>
      <c r="K55" s="29"/>
      <c r="L55" s="29"/>
      <c r="M55" s="29"/>
      <c r="N55" s="29"/>
    </row>
    <row r="56" spans="1:14" x14ac:dyDescent="0.25">
      <c r="A56" s="105" t="s">
        <v>64</v>
      </c>
      <c r="B56" s="96"/>
      <c r="C56" s="96"/>
      <c r="D56" s="106"/>
      <c r="E56" s="107"/>
      <c r="F56" s="38"/>
      <c r="G56" s="31"/>
      <c r="H56" s="29"/>
      <c r="I56" s="29"/>
      <c r="J56" s="29"/>
      <c r="K56" s="29"/>
      <c r="L56" s="29"/>
      <c r="M56" s="29"/>
      <c r="N56" s="29"/>
    </row>
    <row r="57" spans="1:14" x14ac:dyDescent="0.25">
      <c r="A57" s="105" t="s">
        <v>65</v>
      </c>
      <c r="B57" s="96"/>
      <c r="C57" s="96"/>
      <c r="D57" s="106"/>
      <c r="E57" s="107"/>
      <c r="F57" s="38"/>
      <c r="G57" s="31"/>
      <c r="H57" s="29"/>
      <c r="I57" s="29"/>
      <c r="J57" s="29"/>
      <c r="K57" s="29"/>
      <c r="L57" s="29"/>
      <c r="M57" s="29"/>
      <c r="N57" s="29"/>
    </row>
    <row r="58" spans="1:14" x14ac:dyDescent="0.25">
      <c r="A58" s="105" t="s">
        <v>75</v>
      </c>
      <c r="B58" s="96"/>
      <c r="C58" s="96"/>
      <c r="D58" s="106"/>
      <c r="E58" s="107"/>
      <c r="F58" s="38"/>
      <c r="G58" s="31"/>
      <c r="H58" s="29"/>
      <c r="I58" s="29"/>
      <c r="J58" s="29"/>
      <c r="K58" s="29"/>
      <c r="L58" s="29"/>
      <c r="M58" s="29"/>
      <c r="N58" s="29"/>
    </row>
    <row r="59" spans="1:14" x14ac:dyDescent="0.25">
      <c r="A59" s="105" t="s">
        <v>86</v>
      </c>
      <c r="B59" s="96"/>
      <c r="C59" s="96"/>
      <c r="D59" s="106"/>
      <c r="E59" s="107"/>
      <c r="F59" s="38"/>
      <c r="G59" s="31"/>
      <c r="H59" s="29"/>
      <c r="I59" s="29"/>
      <c r="J59" s="29"/>
      <c r="K59" s="29"/>
      <c r="L59" s="29"/>
      <c r="M59" s="29"/>
      <c r="N59" s="29"/>
    </row>
    <row r="60" spans="1:14" x14ac:dyDescent="0.25">
      <c r="A60" s="105" t="s">
        <v>68</v>
      </c>
      <c r="B60" s="96"/>
      <c r="C60" s="96"/>
      <c r="D60" s="106"/>
      <c r="E60" s="107"/>
      <c r="F60" s="38"/>
      <c r="G60" s="31"/>
      <c r="H60" s="29"/>
      <c r="I60" s="29"/>
      <c r="J60" s="29"/>
      <c r="K60" s="29"/>
      <c r="L60" s="29"/>
      <c r="M60" s="29"/>
      <c r="N60" s="29"/>
    </row>
    <row r="61" spans="1:14" x14ac:dyDescent="0.25">
      <c r="A61" s="105" t="s">
        <v>76</v>
      </c>
      <c r="B61" s="96"/>
      <c r="C61" s="96"/>
      <c r="D61" s="106"/>
      <c r="E61" s="107"/>
      <c r="F61" s="38"/>
      <c r="G61" s="31"/>
      <c r="H61" s="29"/>
      <c r="I61" s="29"/>
      <c r="J61" s="29"/>
      <c r="K61" s="29"/>
      <c r="L61" s="29"/>
      <c r="M61" s="29"/>
      <c r="N61" s="29"/>
    </row>
    <row r="62" spans="1:14" x14ac:dyDescent="0.25">
      <c r="A62" s="105" t="s">
        <v>82</v>
      </c>
      <c r="B62" s="96"/>
      <c r="C62" s="96"/>
      <c r="D62" s="106"/>
      <c r="E62" s="107"/>
      <c r="F62" s="38"/>
      <c r="G62" s="31"/>
      <c r="H62" s="29"/>
      <c r="I62" s="29"/>
      <c r="J62" s="29"/>
      <c r="K62" s="29"/>
      <c r="L62" s="29"/>
      <c r="M62" s="29"/>
      <c r="N62" s="29"/>
    </row>
    <row r="63" spans="1:14" x14ac:dyDescent="0.25">
      <c r="A63" s="105" t="s">
        <v>85</v>
      </c>
      <c r="B63" s="96"/>
      <c r="C63" s="96"/>
      <c r="D63" s="106"/>
      <c r="E63" s="107"/>
      <c r="F63" s="38"/>
      <c r="G63" s="31"/>
      <c r="H63" s="29"/>
      <c r="I63" s="29"/>
      <c r="J63" s="29"/>
      <c r="K63" s="29"/>
      <c r="L63" s="29"/>
      <c r="M63" s="29"/>
      <c r="N63" s="29"/>
    </row>
    <row r="64" spans="1:14" ht="32.25" customHeight="1" x14ac:dyDescent="0.25">
      <c r="A64" s="450" t="s">
        <v>314</v>
      </c>
      <c r="B64" s="450"/>
      <c r="C64" s="450"/>
      <c r="D64" s="450"/>
      <c r="E64" s="450"/>
      <c r="F64" s="450"/>
      <c r="G64" s="450"/>
      <c r="H64" s="450"/>
      <c r="I64" s="450"/>
      <c r="J64" s="450"/>
      <c r="K64" s="29"/>
      <c r="L64" s="29"/>
      <c r="M64" s="29"/>
      <c r="N64" s="29"/>
    </row>
    <row r="65" spans="1:14" ht="31.5" customHeight="1" x14ac:dyDescent="0.25">
      <c r="A65" s="450" t="s">
        <v>549</v>
      </c>
      <c r="B65" s="450"/>
      <c r="C65" s="450"/>
      <c r="D65" s="450"/>
      <c r="E65" s="450"/>
      <c r="F65" s="450"/>
      <c r="G65" s="450"/>
      <c r="H65" s="450"/>
      <c r="I65" s="450"/>
      <c r="J65" s="450"/>
      <c r="K65" s="29"/>
      <c r="L65" s="29"/>
      <c r="M65" s="29"/>
      <c r="N65" s="29"/>
    </row>
    <row r="66" spans="1:14" x14ac:dyDescent="0.25">
      <c r="A66" s="99"/>
      <c r="B66" s="99"/>
      <c r="C66" s="99"/>
      <c r="D66" s="103"/>
      <c r="E66" s="98"/>
      <c r="F66" s="38"/>
      <c r="G66" s="31"/>
      <c r="H66" s="29"/>
      <c r="I66" s="29"/>
      <c r="J66" s="29"/>
      <c r="K66" s="29"/>
      <c r="L66" s="29"/>
      <c r="M66" s="29"/>
      <c r="N66" s="29"/>
    </row>
    <row r="67" spans="1:14" x14ac:dyDescent="0.25">
      <c r="A67" s="108" t="s">
        <v>69</v>
      </c>
      <c r="B67" s="99"/>
      <c r="C67" s="99"/>
      <c r="D67" s="103"/>
      <c r="E67" s="98"/>
      <c r="F67" s="38"/>
      <c r="G67" s="31"/>
      <c r="H67" s="29"/>
      <c r="I67" s="29"/>
      <c r="J67" s="29"/>
      <c r="K67" s="29"/>
      <c r="L67" s="29"/>
      <c r="M67" s="29"/>
      <c r="N67" s="29"/>
    </row>
    <row r="68" spans="1:14" x14ac:dyDescent="0.25">
      <c r="A68" s="450">
        <v>1</v>
      </c>
      <c r="B68" s="450"/>
      <c r="C68" s="450"/>
      <c r="D68" s="450"/>
      <c r="E68" s="450"/>
      <c r="F68" s="450"/>
      <c r="G68" s="450"/>
      <c r="H68" s="450"/>
      <c r="I68" s="450"/>
      <c r="J68" s="450"/>
      <c r="K68" s="29"/>
      <c r="L68" s="29"/>
      <c r="M68" s="29"/>
      <c r="N68" s="29"/>
    </row>
    <row r="69" spans="1:14" x14ac:dyDescent="0.25">
      <c r="A69" s="450">
        <v>2</v>
      </c>
      <c r="B69" s="450"/>
      <c r="C69" s="450"/>
      <c r="D69" s="450"/>
      <c r="E69" s="450"/>
      <c r="F69" s="450"/>
      <c r="G69" s="450"/>
      <c r="H69" s="450"/>
      <c r="I69" s="450"/>
      <c r="J69" s="450"/>
      <c r="K69" s="29"/>
      <c r="L69" s="29"/>
      <c r="M69" s="29"/>
      <c r="N69" s="29"/>
    </row>
    <row r="70" spans="1:14" x14ac:dyDescent="0.25">
      <c r="A70" s="99"/>
      <c r="B70" s="96"/>
      <c r="C70" s="96"/>
      <c r="D70" s="97"/>
      <c r="E70" s="98"/>
      <c r="F70" s="38"/>
      <c r="G70" s="31"/>
      <c r="H70" s="29"/>
      <c r="I70" s="29"/>
      <c r="J70" s="29"/>
      <c r="K70" s="29"/>
      <c r="L70" s="29"/>
      <c r="M70" s="29"/>
      <c r="N70" s="29"/>
    </row>
    <row r="71" spans="1:14" x14ac:dyDescent="0.25">
      <c r="A71" s="108" t="s">
        <v>72</v>
      </c>
      <c r="B71" s="99"/>
      <c r="C71" s="99"/>
      <c r="D71" s="97"/>
      <c r="E71" s="98"/>
      <c r="F71" s="38"/>
      <c r="G71" s="31"/>
      <c r="H71" s="29"/>
      <c r="I71" s="29"/>
      <c r="J71" s="29"/>
      <c r="K71" s="29"/>
      <c r="L71" s="29"/>
      <c r="M71" s="29"/>
      <c r="N71" s="29"/>
    </row>
    <row r="72" spans="1:14" x14ac:dyDescent="0.25">
      <c r="A72" s="96" t="s">
        <v>83</v>
      </c>
      <c r="B72" s="99"/>
      <c r="C72" s="99"/>
      <c r="D72" s="103"/>
      <c r="E72" s="98"/>
      <c r="F72" s="38"/>
      <c r="G72" s="31"/>
      <c r="H72" s="29"/>
      <c r="I72" s="29"/>
      <c r="J72" s="29"/>
      <c r="K72" s="29"/>
      <c r="L72" s="29"/>
      <c r="M72" s="29"/>
      <c r="N72" s="29"/>
    </row>
    <row r="73" spans="1:14" x14ac:dyDescent="0.25">
      <c r="A73" s="96" t="s">
        <v>533</v>
      </c>
      <c r="B73" s="99"/>
      <c r="C73" s="99"/>
      <c r="D73" s="103"/>
      <c r="E73" s="98"/>
      <c r="F73" s="38"/>
      <c r="G73" s="31"/>
      <c r="H73" s="29"/>
      <c r="I73" s="29"/>
      <c r="J73" s="29"/>
      <c r="K73" s="29"/>
      <c r="L73" s="29"/>
      <c r="M73" s="29"/>
      <c r="N73" s="29"/>
    </row>
    <row r="74" spans="1:14" x14ac:dyDescent="0.25">
      <c r="A74" s="96" t="s">
        <v>77</v>
      </c>
      <c r="B74" s="96"/>
      <c r="C74" s="96"/>
      <c r="D74" s="106"/>
      <c r="E74" s="107"/>
      <c r="F74" s="38"/>
      <c r="G74" s="31"/>
      <c r="H74" s="29"/>
      <c r="I74" s="29"/>
      <c r="J74" s="29"/>
      <c r="K74" s="29"/>
      <c r="L74" s="29"/>
      <c r="M74" s="29"/>
      <c r="N74" s="29"/>
    </row>
    <row r="75" spans="1:14" ht="31.5" customHeight="1" x14ac:dyDescent="0.25">
      <c r="A75" s="450" t="s">
        <v>550</v>
      </c>
      <c r="B75" s="450"/>
      <c r="C75" s="450"/>
      <c r="D75" s="450"/>
      <c r="E75" s="450"/>
      <c r="F75" s="450"/>
      <c r="G75" s="450"/>
      <c r="H75" s="450"/>
      <c r="I75" s="450"/>
      <c r="J75" s="450"/>
      <c r="K75" s="29"/>
      <c r="L75" s="29"/>
      <c r="M75" s="29"/>
      <c r="N75" s="29"/>
    </row>
    <row r="76" spans="1:14" x14ac:dyDescent="0.25">
      <c r="A76" s="96" t="s">
        <v>78</v>
      </c>
      <c r="B76" s="96"/>
      <c r="C76" s="96"/>
      <c r="D76" s="109"/>
      <c r="E76" s="107"/>
      <c r="F76" s="38"/>
      <c r="G76" s="31"/>
      <c r="H76" s="29"/>
      <c r="I76" s="29"/>
      <c r="J76" s="29"/>
      <c r="K76" s="29"/>
      <c r="L76" s="29"/>
      <c r="M76" s="29"/>
      <c r="N76" s="29"/>
    </row>
    <row r="77" spans="1:14" x14ac:dyDescent="0.25">
      <c r="A77" s="96" t="s">
        <v>551</v>
      </c>
      <c r="B77" s="96"/>
      <c r="C77" s="96"/>
      <c r="D77" s="109"/>
      <c r="E77" s="107"/>
      <c r="F77" s="38"/>
      <c r="G77" s="31"/>
      <c r="H77" s="29"/>
      <c r="I77" s="29"/>
      <c r="J77" s="29"/>
      <c r="K77" s="29"/>
      <c r="L77" s="29"/>
      <c r="M77" s="29"/>
      <c r="N77" s="29"/>
    </row>
    <row r="78" spans="1:14" ht="30.75" customHeight="1" x14ac:dyDescent="0.25">
      <c r="A78" s="450" t="s">
        <v>544</v>
      </c>
      <c r="B78" s="450"/>
      <c r="C78" s="450"/>
      <c r="D78" s="450"/>
      <c r="E78" s="450"/>
      <c r="F78" s="450"/>
      <c r="G78" s="450"/>
      <c r="H78" s="450"/>
      <c r="I78" s="450"/>
      <c r="J78" s="450"/>
      <c r="K78" s="29"/>
      <c r="L78" s="29"/>
      <c r="M78" s="29"/>
      <c r="N78" s="29"/>
    </row>
    <row r="79" spans="1:14" x14ac:dyDescent="0.25">
      <c r="A79" s="96" t="s">
        <v>79</v>
      </c>
      <c r="B79" s="96"/>
      <c r="C79" s="96"/>
      <c r="D79" s="109"/>
      <c r="E79" s="107"/>
      <c r="F79" s="38"/>
      <c r="G79" s="31"/>
      <c r="H79" s="29"/>
      <c r="I79" s="29"/>
      <c r="J79" s="29"/>
      <c r="K79" s="29"/>
      <c r="L79" s="29"/>
      <c r="M79" s="29"/>
      <c r="N79" s="29"/>
    </row>
    <row r="80" spans="1:14" ht="30.75" customHeight="1" x14ac:dyDescent="0.25">
      <c r="A80" s="450" t="s">
        <v>534</v>
      </c>
      <c r="B80" s="450"/>
      <c r="C80" s="450"/>
      <c r="D80" s="450"/>
      <c r="E80" s="450"/>
      <c r="F80" s="450"/>
      <c r="G80" s="450"/>
      <c r="H80" s="450"/>
      <c r="I80" s="450"/>
      <c r="J80" s="450"/>
      <c r="K80" s="29"/>
      <c r="L80" s="29"/>
      <c r="M80" s="29"/>
      <c r="N80" s="29"/>
    </row>
    <row r="81" spans="1:14" ht="31.5" customHeight="1" x14ac:dyDescent="0.25">
      <c r="A81" s="450" t="s">
        <v>546</v>
      </c>
      <c r="B81" s="450"/>
      <c r="C81" s="450"/>
      <c r="D81" s="450"/>
      <c r="E81" s="450"/>
      <c r="F81" s="450"/>
      <c r="G81" s="450"/>
      <c r="H81" s="450"/>
      <c r="I81" s="450"/>
      <c r="J81" s="450"/>
      <c r="K81" s="29"/>
      <c r="L81" s="29"/>
      <c r="M81" s="29"/>
      <c r="N81" s="29"/>
    </row>
    <row r="82" spans="1:14" ht="93.75" customHeight="1" x14ac:dyDescent="0.25">
      <c r="A82" s="450" t="s">
        <v>553</v>
      </c>
      <c r="B82" s="450"/>
      <c r="C82" s="450"/>
      <c r="D82" s="450"/>
      <c r="E82" s="450"/>
      <c r="F82" s="450"/>
      <c r="G82" s="450"/>
      <c r="H82" s="450"/>
      <c r="I82" s="450"/>
      <c r="J82" s="450"/>
      <c r="K82" s="29"/>
      <c r="L82" s="29"/>
      <c r="M82" s="29"/>
      <c r="N82" s="29"/>
    </row>
    <row r="83" spans="1:14" ht="45.75" customHeight="1" x14ac:dyDescent="0.25">
      <c r="A83" s="450" t="s">
        <v>552</v>
      </c>
      <c r="B83" s="450"/>
      <c r="C83" s="450"/>
      <c r="D83" s="450"/>
      <c r="E83" s="450"/>
      <c r="F83" s="450"/>
      <c r="G83" s="450"/>
      <c r="H83" s="450"/>
      <c r="I83" s="450"/>
      <c r="J83" s="450"/>
      <c r="K83" s="29"/>
      <c r="L83" s="29"/>
      <c r="M83" s="29"/>
      <c r="N83" s="29"/>
    </row>
    <row r="84" spans="1:14" ht="21" customHeight="1" x14ac:dyDescent="0.25">
      <c r="A84" s="397"/>
      <c r="B84" s="397"/>
      <c r="C84" s="397"/>
      <c r="D84" s="397"/>
      <c r="E84" s="397"/>
      <c r="F84" s="397"/>
      <c r="G84" s="397"/>
      <c r="H84" s="397"/>
      <c r="I84" s="397"/>
      <c r="J84" s="397"/>
      <c r="K84" s="29"/>
      <c r="L84" s="29"/>
      <c r="M84" s="29"/>
      <c r="N84" s="29"/>
    </row>
    <row r="85" spans="1:14" x14ac:dyDescent="0.25">
      <c r="A85" s="96" t="s">
        <v>40</v>
      </c>
      <c r="B85" s="96"/>
      <c r="C85" s="96"/>
      <c r="D85" s="109"/>
      <c r="E85" s="107"/>
      <c r="F85" s="38"/>
      <c r="G85" s="31"/>
      <c r="H85" s="29"/>
      <c r="I85" s="29"/>
      <c r="J85" s="29"/>
      <c r="K85" s="29"/>
      <c r="L85" s="29"/>
      <c r="M85" s="29"/>
      <c r="N85" s="29"/>
    </row>
    <row r="86" spans="1:14" x14ac:dyDescent="0.25">
      <c r="A86" s="96" t="s">
        <v>41</v>
      </c>
      <c r="B86" s="96"/>
      <c r="C86" s="96"/>
      <c r="D86" s="109"/>
      <c r="E86" s="107"/>
      <c r="F86" s="38"/>
      <c r="G86" s="31"/>
      <c r="H86" s="29"/>
      <c r="I86" s="29"/>
      <c r="J86" s="29"/>
      <c r="K86" s="29"/>
      <c r="L86" s="29"/>
      <c r="M86" s="29"/>
      <c r="N86" s="29"/>
    </row>
    <row r="87" spans="1:14" x14ac:dyDescent="0.25">
      <c r="A87" s="96"/>
      <c r="B87" s="96"/>
      <c r="C87" s="96"/>
      <c r="D87" s="109"/>
      <c r="E87" s="107"/>
      <c r="F87" s="38"/>
      <c r="G87" s="31"/>
      <c r="H87" s="29"/>
      <c r="I87" s="29"/>
      <c r="J87" s="29"/>
      <c r="K87" s="29"/>
      <c r="L87" s="29"/>
      <c r="M87" s="29"/>
      <c r="N87" s="29"/>
    </row>
    <row r="88" spans="1:14" ht="16.5" thickBot="1" x14ac:dyDescent="0.3">
      <c r="A88" s="110"/>
      <c r="B88" s="110"/>
      <c r="C88" s="135"/>
      <c r="D88" s="109"/>
      <c r="E88" s="111" t="s">
        <v>51</v>
      </c>
      <c r="F88" s="38"/>
      <c r="G88" s="31"/>
      <c r="H88" s="29"/>
      <c r="I88" s="29"/>
      <c r="J88" s="29"/>
      <c r="K88" s="29"/>
      <c r="L88" s="29"/>
      <c r="M88" s="29"/>
      <c r="N88" s="29"/>
    </row>
    <row r="89" spans="1:14" x14ac:dyDescent="0.25">
      <c r="A89" s="96" t="s">
        <v>52</v>
      </c>
      <c r="B89" s="96"/>
      <c r="C89" s="96"/>
      <c r="D89" s="109"/>
      <c r="E89" s="107" t="s">
        <v>26</v>
      </c>
      <c r="F89" s="38"/>
      <c r="G89" s="31"/>
      <c r="H89" s="29"/>
      <c r="I89" s="29"/>
      <c r="J89" s="29"/>
      <c r="K89" s="29"/>
      <c r="L89" s="29"/>
      <c r="M89" s="29"/>
      <c r="N89" s="29"/>
    </row>
    <row r="90" spans="1:14" x14ac:dyDescent="0.25">
      <c r="A90" s="83" t="s">
        <v>84</v>
      </c>
      <c r="B90" s="83"/>
      <c r="C90" s="83"/>
      <c r="D90" s="85"/>
      <c r="E90" s="84"/>
      <c r="F90" s="38"/>
      <c r="G90" s="31"/>
      <c r="H90" s="29"/>
      <c r="I90" s="29"/>
      <c r="J90" s="29"/>
      <c r="K90" s="29"/>
      <c r="L90" s="29"/>
      <c r="M90" s="29"/>
      <c r="N90" s="29"/>
    </row>
    <row r="91" spans="1:14" x14ac:dyDescent="0.25">
      <c r="A91" s="83"/>
      <c r="B91" s="83"/>
      <c r="C91" s="83"/>
      <c r="D91" s="85"/>
      <c r="E91" s="84"/>
      <c r="F91" s="38"/>
      <c r="G91" s="31"/>
      <c r="H91" s="29"/>
      <c r="I91" s="29"/>
      <c r="J91" s="29"/>
      <c r="K91" s="29"/>
      <c r="L91" s="29"/>
      <c r="M91" s="29"/>
      <c r="N91" s="29"/>
    </row>
    <row r="92" spans="1:14" x14ac:dyDescent="0.25">
      <c r="A92" s="83"/>
      <c r="B92" s="83"/>
      <c r="C92" s="83"/>
      <c r="D92" s="85"/>
      <c r="E92" s="84"/>
      <c r="F92" s="38"/>
      <c r="G92" s="31"/>
      <c r="H92" s="29"/>
      <c r="I92" s="29"/>
      <c r="J92" s="29"/>
    </row>
    <row r="93" spans="1:14" x14ac:dyDescent="0.25">
      <c r="A93" s="29"/>
      <c r="B93" s="29"/>
      <c r="C93" s="29"/>
      <c r="D93" s="36"/>
    </row>
    <row r="94" spans="1:14" x14ac:dyDescent="0.25">
      <c r="A94" s="29"/>
      <c r="B94" s="29"/>
      <c r="C94" s="29"/>
      <c r="D94" s="36"/>
    </row>
  </sheetData>
  <mergeCells count="13">
    <mergeCell ref="A82:J82"/>
    <mergeCell ref="A83:J83"/>
    <mergeCell ref="A78:J78"/>
    <mergeCell ref="A68:J68"/>
    <mergeCell ref="A69:J69"/>
    <mergeCell ref="A81:J81"/>
    <mergeCell ref="A1:E1"/>
    <mergeCell ref="A64:J64"/>
    <mergeCell ref="A65:J65"/>
    <mergeCell ref="A50:J50"/>
    <mergeCell ref="A80:J80"/>
    <mergeCell ref="A75:J75"/>
    <mergeCell ref="A41:J41"/>
  </mergeCells>
  <pageMargins left="0.7" right="0.7" top="0.75" bottom="0.75" header="0.3" footer="0.3"/>
  <pageSetup scale="61" fitToHeight="0" orientation="portrait" r:id="rId1"/>
  <headerFooter differentFirst="1">
    <oddFooter>&amp;L&amp;D&amp;R&amp;N</oddFooter>
  </headerFooter>
  <rowBreaks count="1" manualBreakCount="1">
    <brk id="89" max="16383" man="1"/>
  </rowBreaks>
  <colBreaks count="1" manualBreakCount="1">
    <brk id="4" max="1048575" man="1"/>
  </colBreaks>
  <drawing r:id="rId2"/>
  <extLst>
    <ext xmlns:x14="http://schemas.microsoft.com/office/spreadsheetml/2009/9/main" uri="{CCE6A557-97BC-4b89-ADB6-D9C93CAAB3DF}">
      <x14:dataValidations xmlns:xm="http://schemas.microsoft.com/office/excel/2006/main" count="1">
        <x14:dataValidation type="list" allowBlank="1" xr:uid="{F4315446-F8D3-4719-B7FB-D8C1D100261A}">
          <x14:formula1>
            <xm:f>Info!$AV$1:$AV$6</xm:f>
          </x14:formula1>
          <xm:sqref>E10:E13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R41"/>
  <sheetViews>
    <sheetView topLeftCell="A13" zoomScaleNormal="100" workbookViewId="0">
      <selection activeCell="D29" sqref="D29"/>
    </sheetView>
  </sheetViews>
  <sheetFormatPr defaultRowHeight="12.75" x14ac:dyDescent="0.2"/>
  <cols>
    <col min="1" max="1" width="2.85546875" customWidth="1"/>
    <col min="3" max="3" width="45.85546875" customWidth="1"/>
    <col min="4" max="4" width="39.5703125" customWidth="1"/>
    <col min="5" max="5" width="34.85546875" customWidth="1"/>
    <col min="6" max="6" width="9.140625" hidden="1" customWidth="1"/>
    <col min="7" max="7" width="0.5703125" customWidth="1"/>
    <col min="8" max="8" width="38" customWidth="1"/>
    <col min="9" max="9" width="5.5703125" customWidth="1"/>
    <col min="10" max="10" width="0" hidden="1" customWidth="1"/>
  </cols>
  <sheetData>
    <row r="2" spans="1:18" ht="66.75" customHeight="1" x14ac:dyDescent="0.2"/>
    <row r="3" spans="1:18" ht="21" x14ac:dyDescent="0.35">
      <c r="A3" s="262"/>
      <c r="B3" s="129" t="s">
        <v>669</v>
      </c>
      <c r="C3" s="130"/>
      <c r="E3" s="363" t="s">
        <v>626</v>
      </c>
      <c r="R3" s="258" t="s">
        <v>577</v>
      </c>
    </row>
    <row r="4" spans="1:18" ht="19.5" thickBot="1" x14ac:dyDescent="0.35">
      <c r="A4" s="119"/>
      <c r="B4" s="362"/>
      <c r="C4" s="362"/>
      <c r="D4" s="121" t="s">
        <v>469</v>
      </c>
      <c r="E4" s="364"/>
    </row>
    <row r="5" spans="1:18" ht="16.5" thickBot="1" x14ac:dyDescent="0.3">
      <c r="A5" s="119"/>
      <c r="B5" s="131" t="s">
        <v>536</v>
      </c>
      <c r="C5" s="131" t="s">
        <v>668</v>
      </c>
      <c r="D5" s="131" t="s">
        <v>96</v>
      </c>
      <c r="E5" s="131" t="s">
        <v>97</v>
      </c>
    </row>
    <row r="6" spans="1:18" ht="36.75" customHeight="1" thickBot="1" x14ac:dyDescent="0.3">
      <c r="A6" s="119"/>
      <c r="B6" s="123">
        <v>1</v>
      </c>
      <c r="C6" s="123" t="s">
        <v>664</v>
      </c>
      <c r="D6" s="133" t="s">
        <v>663</v>
      </c>
      <c r="E6" s="133"/>
    </row>
    <row r="7" spans="1:18" ht="32.25" thickBot="1" x14ac:dyDescent="0.3">
      <c r="A7" s="119"/>
      <c r="B7" s="124">
        <v>2</v>
      </c>
      <c r="C7" s="124" t="s">
        <v>665</v>
      </c>
      <c r="D7" s="132" t="s">
        <v>660</v>
      </c>
      <c r="E7" s="132" t="s">
        <v>658</v>
      </c>
    </row>
    <row r="8" spans="1:18" ht="34.5" customHeight="1" thickBot="1" x14ac:dyDescent="0.3">
      <c r="A8" s="119"/>
      <c r="B8" s="123">
        <v>3</v>
      </c>
      <c r="C8" s="123" t="s">
        <v>666</v>
      </c>
      <c r="D8" s="133" t="s">
        <v>659</v>
      </c>
      <c r="E8" s="133" t="s">
        <v>661</v>
      </c>
    </row>
    <row r="9" spans="1:18" ht="32.25" thickBot="1" x14ac:dyDescent="0.3">
      <c r="A9" s="422"/>
      <c r="B9" s="124">
        <v>4</v>
      </c>
      <c r="C9" s="441" t="s">
        <v>657</v>
      </c>
      <c r="D9" s="132" t="s">
        <v>667</v>
      </c>
      <c r="E9" s="442" t="s">
        <v>662</v>
      </c>
    </row>
    <row r="10" spans="1:18" ht="16.5" thickBot="1" x14ac:dyDescent="0.3">
      <c r="A10" s="119"/>
      <c r="B10" s="439">
        <v>5</v>
      </c>
      <c r="C10" s="439" t="s">
        <v>98</v>
      </c>
      <c r="D10" s="440" t="s">
        <v>99</v>
      </c>
      <c r="E10" s="440" t="s">
        <v>99</v>
      </c>
    </row>
    <row r="11" spans="1:18" ht="15.75" x14ac:dyDescent="0.25">
      <c r="A11" s="119"/>
      <c r="B11" s="23"/>
      <c r="C11" s="23"/>
      <c r="D11" s="23"/>
      <c r="E11" s="23"/>
    </row>
    <row r="12" spans="1:18" ht="15.75" x14ac:dyDescent="0.25">
      <c r="A12" s="119"/>
      <c r="B12" s="260" t="s">
        <v>648</v>
      </c>
      <c r="C12" s="362"/>
      <c r="D12" s="23"/>
      <c r="E12" s="23"/>
    </row>
    <row r="13" spans="1:18" ht="15.75" x14ac:dyDescent="0.25">
      <c r="A13" s="119"/>
      <c r="B13" s="23"/>
      <c r="C13" s="23" t="s">
        <v>571</v>
      </c>
      <c r="D13" s="23"/>
      <c r="E13" s="23"/>
    </row>
    <row r="14" spans="1:18" ht="15.75" x14ac:dyDescent="0.25">
      <c r="A14" s="119"/>
      <c r="B14" s="23" t="s">
        <v>537</v>
      </c>
      <c r="C14" s="23"/>
      <c r="D14" s="23"/>
      <c r="E14" s="362"/>
    </row>
    <row r="15" spans="1:18" ht="15.75" x14ac:dyDescent="0.25">
      <c r="A15" s="396"/>
      <c r="B15" s="23"/>
      <c r="C15" s="23"/>
      <c r="D15" s="23"/>
      <c r="E15" s="396"/>
    </row>
    <row r="16" spans="1:18" ht="15.75" x14ac:dyDescent="0.25">
      <c r="A16" s="119"/>
      <c r="B16" s="257"/>
      <c r="C16" s="23"/>
      <c r="D16" s="23"/>
      <c r="E16" s="363" t="s">
        <v>619</v>
      </c>
    </row>
    <row r="17" spans="1:11" ht="19.5" thickBot="1" x14ac:dyDescent="0.35">
      <c r="A17" s="120"/>
      <c r="B17" s="121" t="s">
        <v>115</v>
      </c>
      <c r="C17" s="122"/>
      <c r="D17" s="252"/>
      <c r="E17" s="398" t="s">
        <v>543</v>
      </c>
      <c r="G17" s="424"/>
      <c r="H17" s="438" t="s">
        <v>619</v>
      </c>
    </row>
    <row r="18" spans="1:11" ht="16.5" thickBot="1" x14ac:dyDescent="0.3">
      <c r="A18" s="119"/>
      <c r="B18" s="429" t="s">
        <v>95</v>
      </c>
      <c r="C18" s="429" t="s">
        <v>639</v>
      </c>
      <c r="D18" s="429" t="s">
        <v>646</v>
      </c>
      <c r="E18" s="430" t="s">
        <v>635</v>
      </c>
      <c r="F18" s="431"/>
      <c r="G18" s="431"/>
      <c r="H18" s="431"/>
    </row>
    <row r="19" spans="1:11" ht="16.5" thickBot="1" x14ac:dyDescent="0.3">
      <c r="A19" s="421"/>
      <c r="B19" s="124" t="s">
        <v>578</v>
      </c>
      <c r="C19" s="434" t="s">
        <v>641</v>
      </c>
      <c r="D19" s="126" t="s">
        <v>644</v>
      </c>
      <c r="E19" s="435" t="s">
        <v>640</v>
      </c>
      <c r="F19" s="25"/>
      <c r="G19" s="25"/>
      <c r="H19" s="25"/>
    </row>
    <row r="20" spans="1:11" ht="16.5" thickBot="1" x14ac:dyDescent="0.3">
      <c r="A20" s="119"/>
      <c r="B20" s="123" t="s">
        <v>579</v>
      </c>
      <c r="C20" s="125" t="s">
        <v>642</v>
      </c>
      <c r="D20" s="443" t="s">
        <v>618</v>
      </c>
      <c r="E20" s="217" t="s">
        <v>625</v>
      </c>
    </row>
    <row r="21" spans="1:11" ht="18" customHeight="1" thickBot="1" x14ac:dyDescent="0.35">
      <c r="A21" s="119"/>
      <c r="B21" s="124" t="s">
        <v>580</v>
      </c>
      <c r="C21" s="127" t="s">
        <v>643</v>
      </c>
      <c r="D21" s="126" t="s">
        <v>636</v>
      </c>
      <c r="E21" s="217" t="s">
        <v>647</v>
      </c>
      <c r="I21" s="261"/>
    </row>
    <row r="22" spans="1:11" ht="18.75" thickBot="1" x14ac:dyDescent="0.3">
      <c r="A22" s="119"/>
      <c r="B22" s="123" t="s">
        <v>581</v>
      </c>
      <c r="C22" s="125" t="s">
        <v>585</v>
      </c>
      <c r="D22" s="443" t="s">
        <v>637</v>
      </c>
      <c r="E22" s="217" t="s">
        <v>631</v>
      </c>
      <c r="H22" s="199"/>
      <c r="I22" s="259" t="s">
        <v>429</v>
      </c>
    </row>
    <row r="23" spans="1:11" ht="18.75" thickBot="1" x14ac:dyDescent="0.3">
      <c r="A23" s="119"/>
      <c r="B23" s="124" t="s">
        <v>582</v>
      </c>
      <c r="C23" s="127" t="s">
        <v>589</v>
      </c>
      <c r="D23" s="126" t="s">
        <v>645</v>
      </c>
      <c r="E23" s="217" t="s">
        <v>627</v>
      </c>
      <c r="H23" s="199"/>
      <c r="I23" s="259"/>
    </row>
    <row r="24" spans="1:11" ht="18.75" thickBot="1" x14ac:dyDescent="0.3">
      <c r="A24" s="119"/>
      <c r="B24" s="123" t="s">
        <v>583</v>
      </c>
      <c r="C24" s="125" t="s">
        <v>590</v>
      </c>
      <c r="D24" s="443" t="s">
        <v>601</v>
      </c>
      <c r="E24" s="217" t="s">
        <v>671</v>
      </c>
      <c r="H24" s="199"/>
      <c r="I24" s="259"/>
    </row>
    <row r="25" spans="1:11" ht="18.75" thickBot="1" x14ac:dyDescent="0.3">
      <c r="A25" s="419"/>
      <c r="B25" s="124" t="s">
        <v>584</v>
      </c>
      <c r="C25" s="127" t="s">
        <v>591</v>
      </c>
      <c r="D25" s="126" t="s">
        <v>620</v>
      </c>
      <c r="E25" s="217" t="s">
        <v>670</v>
      </c>
      <c r="H25" s="199"/>
      <c r="I25" s="259"/>
    </row>
    <row r="26" spans="1:11" ht="18.75" thickBot="1" x14ac:dyDescent="0.3">
      <c r="A26" s="419"/>
      <c r="B26" s="123" t="s">
        <v>597</v>
      </c>
      <c r="C26" s="125" t="s">
        <v>592</v>
      </c>
      <c r="D26" s="443" t="s">
        <v>608</v>
      </c>
      <c r="E26" s="217" t="s">
        <v>628</v>
      </c>
      <c r="H26" s="199"/>
      <c r="I26" s="259"/>
    </row>
    <row r="27" spans="1:11" ht="18.75" thickBot="1" x14ac:dyDescent="0.3">
      <c r="A27" s="421"/>
      <c r="B27" s="124" t="s">
        <v>598</v>
      </c>
      <c r="C27" s="127" t="s">
        <v>593</v>
      </c>
      <c r="D27" s="126" t="s">
        <v>609</v>
      </c>
      <c r="E27" s="217" t="s">
        <v>629</v>
      </c>
      <c r="H27" s="199"/>
      <c r="I27" s="259"/>
    </row>
    <row r="28" spans="1:11" ht="18.75" thickBot="1" x14ac:dyDescent="0.3">
      <c r="A28" s="421"/>
      <c r="B28" s="123" t="s">
        <v>599</v>
      </c>
      <c r="C28" s="125" t="s">
        <v>594</v>
      </c>
      <c r="D28" s="443" t="s">
        <v>610</v>
      </c>
      <c r="E28" s="217"/>
      <c r="H28" s="199"/>
      <c r="I28" s="259"/>
    </row>
    <row r="29" spans="1:11" ht="18.75" thickBot="1" x14ac:dyDescent="0.3">
      <c r="A29" s="421"/>
      <c r="B29" s="124" t="s">
        <v>600</v>
      </c>
      <c r="C29" s="127" t="s">
        <v>595</v>
      </c>
      <c r="D29" s="126" t="s">
        <v>611</v>
      </c>
      <c r="E29" s="217"/>
      <c r="H29" s="199"/>
      <c r="I29" s="259"/>
    </row>
    <row r="30" spans="1:11" ht="18.75" thickBot="1" x14ac:dyDescent="0.3">
      <c r="A30" s="421"/>
      <c r="B30" s="433" t="s">
        <v>638</v>
      </c>
      <c r="C30" s="125" t="s">
        <v>596</v>
      </c>
      <c r="D30" s="443" t="s">
        <v>612</v>
      </c>
      <c r="E30" s="217"/>
      <c r="H30" s="199"/>
      <c r="I30" s="259"/>
    </row>
    <row r="31" spans="1:11" ht="8.25" customHeight="1" x14ac:dyDescent="0.25">
      <c r="A31" s="419"/>
      <c r="B31" s="331"/>
      <c r="C31" s="425"/>
      <c r="D31" s="426"/>
      <c r="E31" s="419"/>
      <c r="H31" s="199"/>
      <c r="I31" s="259"/>
    </row>
    <row r="32" spans="1:11" ht="18" x14ac:dyDescent="0.25">
      <c r="C32" s="436" t="s">
        <v>624</v>
      </c>
      <c r="D32" s="428" t="s">
        <v>621</v>
      </c>
      <c r="E32" s="25"/>
      <c r="H32" s="199"/>
      <c r="I32" s="259"/>
      <c r="K32" s="259"/>
    </row>
    <row r="33" spans="2:11" ht="18" x14ac:dyDescent="0.25">
      <c r="C33" s="437" t="s">
        <v>623</v>
      </c>
      <c r="D33" s="432" t="s">
        <v>622</v>
      </c>
      <c r="E33" s="427"/>
      <c r="H33" s="199"/>
      <c r="I33" s="259"/>
      <c r="K33" s="259"/>
    </row>
    <row r="34" spans="2:11" ht="7.5" customHeight="1" x14ac:dyDescent="0.25">
      <c r="C34" s="352"/>
      <c r="D34" s="432"/>
      <c r="E34" s="427"/>
      <c r="H34" s="199"/>
      <c r="I34" s="259"/>
      <c r="K34" s="259"/>
    </row>
    <row r="35" spans="2:11" ht="18.75" x14ac:dyDescent="0.3">
      <c r="B35" s="424"/>
      <c r="C35" s="121" t="s">
        <v>357</v>
      </c>
      <c r="D35" s="252"/>
    </row>
    <row r="36" spans="2:11" ht="15" x14ac:dyDescent="0.25">
      <c r="B36" s="258" t="s">
        <v>602</v>
      </c>
      <c r="C36" s="88" t="s">
        <v>349</v>
      </c>
      <c r="D36" s="263">
        <v>0</v>
      </c>
    </row>
    <row r="37" spans="2:11" ht="15" x14ac:dyDescent="0.25">
      <c r="B37" s="423" t="s">
        <v>603</v>
      </c>
      <c r="C37" s="264" t="s">
        <v>348</v>
      </c>
      <c r="D37" s="265">
        <v>0.1</v>
      </c>
    </row>
    <row r="38" spans="2:11" ht="15" x14ac:dyDescent="0.25">
      <c r="B38" s="258" t="s">
        <v>604</v>
      </c>
      <c r="C38" s="88" t="s">
        <v>347</v>
      </c>
      <c r="D38" s="263">
        <v>0.12</v>
      </c>
    </row>
    <row r="39" spans="2:11" ht="15" x14ac:dyDescent="0.25">
      <c r="B39" s="423" t="s">
        <v>605</v>
      </c>
      <c r="C39" s="264" t="s">
        <v>470</v>
      </c>
      <c r="D39" s="265">
        <v>0.13</v>
      </c>
    </row>
    <row r="40" spans="2:11" ht="15" x14ac:dyDescent="0.25">
      <c r="B40" s="258" t="s">
        <v>606</v>
      </c>
      <c r="C40" s="88" t="s">
        <v>630</v>
      </c>
      <c r="D40" s="263">
        <v>0.15</v>
      </c>
      <c r="E40" s="150"/>
    </row>
    <row r="41" spans="2:11" ht="15" x14ac:dyDescent="0.25">
      <c r="B41" s="423" t="s">
        <v>607</v>
      </c>
      <c r="C41" s="264" t="s">
        <v>633</v>
      </c>
      <c r="D41" s="265" t="s">
        <v>632</v>
      </c>
      <c r="E41" s="150" t="s">
        <v>634</v>
      </c>
    </row>
  </sheetData>
  <hyperlinks>
    <hyperlink ref="D33" r:id="rId1" xr:uid="{EE837FBB-01F0-4784-B109-060ECC1A6E74}"/>
  </hyperlinks>
  <pageMargins left="0.7" right="0.7" top="0.75" bottom="0.75" header="0.3" footer="0.3"/>
  <pageSetup orientation="landscape"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4E00-F5F5-4006-A332-E2B51606D417}">
  <sheetPr codeName="Sheet4"/>
  <dimension ref="A1:BP116"/>
  <sheetViews>
    <sheetView zoomScaleNormal="100" workbookViewId="0">
      <selection activeCell="F21" sqref="F21"/>
    </sheetView>
  </sheetViews>
  <sheetFormatPr defaultRowHeight="12.75" x14ac:dyDescent="0.2"/>
  <cols>
    <col min="1" max="1" width="36.5703125" customWidth="1"/>
    <col min="2" max="2" width="19" customWidth="1"/>
    <col min="3" max="3" width="10.42578125" customWidth="1"/>
    <col min="4" max="4" width="12.28515625" bestFit="1" customWidth="1"/>
    <col min="6" max="6" width="34.7109375" customWidth="1"/>
    <col min="7" max="7" width="14.7109375" customWidth="1"/>
    <col min="8" max="8" width="11.42578125" bestFit="1" customWidth="1"/>
    <col min="9" max="9" width="15.140625" customWidth="1"/>
    <col min="11" max="11" width="43.28515625" customWidth="1"/>
    <col min="12" max="12" width="12.5703125" customWidth="1"/>
    <col min="14" max="14" width="31.5703125" customWidth="1"/>
    <col min="15" max="15" width="17" style="233" customWidth="1"/>
    <col min="17" max="17" width="24.7109375" customWidth="1"/>
    <col min="18" max="18" width="9.140625" style="233"/>
    <col min="36" max="36" width="9.140625" style="25"/>
    <col min="37" max="37" width="13.42578125" style="25" bestFit="1" customWidth="1"/>
    <col min="38" max="42" width="9.140625" style="25"/>
    <col min="43" max="43" width="33.28515625" style="25" bestFit="1" customWidth="1"/>
    <col min="44" max="44" width="6.28515625" style="25" customWidth="1"/>
    <col min="45" max="45" width="18.140625" style="25" customWidth="1"/>
    <col min="46" max="47" width="9.140625" style="25"/>
    <col min="48" max="48" width="9.7109375" style="25" bestFit="1" customWidth="1"/>
    <col min="49" max="49" width="10.42578125" style="25" bestFit="1" customWidth="1"/>
    <col min="50" max="52" width="9.140625" style="25"/>
    <col min="55" max="55" width="9.140625" style="342"/>
    <col min="57" max="57" width="45.28515625" bestFit="1" customWidth="1"/>
  </cols>
  <sheetData>
    <row r="1" spans="1:68" ht="13.5" thickBot="1" x14ac:dyDescent="0.25">
      <c r="A1" s="476" t="s">
        <v>126</v>
      </c>
      <c r="B1" s="477"/>
      <c r="F1" s="221" t="s">
        <v>224</v>
      </c>
      <c r="G1" s="164" t="s">
        <v>225</v>
      </c>
      <c r="K1" s="467" t="s">
        <v>456</v>
      </c>
      <c r="L1" s="468"/>
      <c r="N1" s="467" t="s">
        <v>316</v>
      </c>
      <c r="O1" s="468"/>
      <c r="Q1" s="469" t="s">
        <v>407</v>
      </c>
      <c r="R1" s="470"/>
      <c r="AK1" s="475" t="s">
        <v>402</v>
      </c>
      <c r="AL1" s="475"/>
      <c r="AQ1" s="307" t="s">
        <v>125</v>
      </c>
      <c r="AR1" s="307" t="s">
        <v>125</v>
      </c>
      <c r="AS1" s="25" t="s">
        <v>210</v>
      </c>
      <c r="AT1" s="308">
        <f>B2</f>
        <v>399.24886048943864</v>
      </c>
      <c r="AV1" s="25" t="s">
        <v>226</v>
      </c>
      <c r="BE1" s="150" t="s">
        <v>486</v>
      </c>
      <c r="BG1" t="s">
        <v>490</v>
      </c>
      <c r="BH1" t="s">
        <v>491</v>
      </c>
      <c r="BI1" t="s">
        <v>489</v>
      </c>
      <c r="BK1" s="25"/>
      <c r="BL1" s="25"/>
      <c r="BM1" s="25"/>
      <c r="BN1" s="25"/>
      <c r="BP1" t="s">
        <v>492</v>
      </c>
    </row>
    <row r="2" spans="1:68" x14ac:dyDescent="0.2">
      <c r="A2" s="189" t="s">
        <v>127</v>
      </c>
      <c r="B2" s="230">
        <v>399.24886048943864</v>
      </c>
      <c r="F2" s="235" t="s">
        <v>23</v>
      </c>
      <c r="G2" s="237">
        <v>758.33870028557237</v>
      </c>
      <c r="K2" s="234" t="s">
        <v>317</v>
      </c>
      <c r="L2" s="238">
        <v>694.65408069565649</v>
      </c>
      <c r="N2" s="234" t="s">
        <v>227</v>
      </c>
      <c r="O2" s="238">
        <v>318.33914856246395</v>
      </c>
      <c r="Q2" s="269" t="s">
        <v>417</v>
      </c>
      <c r="R2" s="229">
        <v>790.98686897658331</v>
      </c>
      <c r="AJ2" s="303" t="s">
        <v>400</v>
      </c>
      <c r="AK2" s="303" t="s">
        <v>100</v>
      </c>
      <c r="AL2" s="304" t="s">
        <v>401</v>
      </c>
      <c r="AQ2" s="309" t="s">
        <v>9</v>
      </c>
      <c r="AR2" s="310">
        <v>4</v>
      </c>
      <c r="AS2" s="25" t="s">
        <v>212</v>
      </c>
      <c r="AT2" s="308">
        <f>B2</f>
        <v>399.24886048943864</v>
      </c>
      <c r="AV2" s="25" t="s">
        <v>123</v>
      </c>
      <c r="BE2" t="s">
        <v>9</v>
      </c>
      <c r="BF2" s="150" t="s">
        <v>487</v>
      </c>
      <c r="BG2">
        <v>0.34</v>
      </c>
      <c r="BH2">
        <v>0.45</v>
      </c>
      <c r="BI2">
        <v>0.21</v>
      </c>
      <c r="BJ2">
        <f>(BG2+BH2+(BI2*10))*4050</f>
        <v>11704.5</v>
      </c>
      <c r="BK2" s="25"/>
      <c r="BL2" s="25"/>
      <c r="BM2" s="25"/>
      <c r="BN2" s="25"/>
      <c r="BP2">
        <f>4050</f>
        <v>4050</v>
      </c>
    </row>
    <row r="3" spans="1:68" x14ac:dyDescent="0.2">
      <c r="A3" s="190" t="s">
        <v>344</v>
      </c>
      <c r="B3" s="231">
        <v>940.15955287232077</v>
      </c>
      <c r="F3" s="234" t="s">
        <v>24</v>
      </c>
      <c r="G3" s="238">
        <v>775.06659352260033</v>
      </c>
      <c r="K3" s="234" t="s">
        <v>318</v>
      </c>
      <c r="L3" s="238">
        <v>6.0379481331904739</v>
      </c>
      <c r="N3" s="234" t="s">
        <v>228</v>
      </c>
      <c r="O3" s="238">
        <v>401.78486134492351</v>
      </c>
      <c r="Q3" s="270" t="s">
        <v>418</v>
      </c>
      <c r="R3" s="225">
        <v>637.5916874744363</v>
      </c>
      <c r="AJ3" s="25">
        <v>15</v>
      </c>
      <c r="AK3" s="25">
        <v>2.67</v>
      </c>
      <c r="AL3" s="25">
        <v>3.34</v>
      </c>
      <c r="AQ3" s="311" t="s">
        <v>10</v>
      </c>
      <c r="AR3" s="312">
        <v>6</v>
      </c>
      <c r="AS3" s="25" t="s">
        <v>213</v>
      </c>
      <c r="AT3" s="308">
        <f>B2</f>
        <v>399.24886048943864</v>
      </c>
      <c r="AV3" s="25" t="s">
        <v>238</v>
      </c>
      <c r="BE3" t="s">
        <v>10</v>
      </c>
      <c r="BF3" t="s">
        <v>487</v>
      </c>
      <c r="BG3">
        <v>0.52</v>
      </c>
      <c r="BH3">
        <v>0.96</v>
      </c>
      <c r="BI3">
        <v>0.32</v>
      </c>
      <c r="BJ3">
        <f t="shared" ref="BJ3:BJ24" si="0">(BG3+BH3+(BI3*10))*4050</f>
        <v>18954</v>
      </c>
      <c r="BK3" s="25"/>
      <c r="BL3" s="25"/>
      <c r="BM3" s="25"/>
      <c r="BN3" s="25"/>
    </row>
    <row r="4" spans="1:68" x14ac:dyDescent="0.2">
      <c r="A4" s="190" t="s">
        <v>169</v>
      </c>
      <c r="B4" s="231">
        <v>635.09337437538181</v>
      </c>
      <c r="F4" s="234" t="s">
        <v>25</v>
      </c>
      <c r="G4" s="238">
        <v>588.55858733472496</v>
      </c>
      <c r="K4" s="234" t="s">
        <v>319</v>
      </c>
      <c r="L4" s="238">
        <v>542.01992507009845</v>
      </c>
      <c r="N4" s="234" t="s">
        <v>229</v>
      </c>
      <c r="O4" s="238">
        <v>661.31898863754145</v>
      </c>
      <c r="Q4" s="270" t="s">
        <v>419</v>
      </c>
      <c r="R4" s="225">
        <v>92.196224249276099</v>
      </c>
      <c r="AJ4" s="25">
        <v>18</v>
      </c>
      <c r="AK4" s="25">
        <v>2.67</v>
      </c>
      <c r="AL4" s="25">
        <v>3.34</v>
      </c>
      <c r="AQ4" s="311" t="s">
        <v>11</v>
      </c>
      <c r="AR4" s="312">
        <v>8</v>
      </c>
      <c r="AS4" s="25" t="s">
        <v>214</v>
      </c>
      <c r="AT4" s="308">
        <f>B3</f>
        <v>940.15955287232077</v>
      </c>
      <c r="AV4" s="25" t="s">
        <v>237</v>
      </c>
      <c r="BE4" t="s">
        <v>11</v>
      </c>
      <c r="BF4" t="s">
        <v>487</v>
      </c>
      <c r="BG4">
        <v>0.83</v>
      </c>
      <c r="BH4">
        <v>1.54</v>
      </c>
      <c r="BI4">
        <v>0.38</v>
      </c>
      <c r="BJ4">
        <f t="shared" si="0"/>
        <v>24988.5</v>
      </c>
      <c r="BK4" s="25"/>
      <c r="BL4" s="25"/>
      <c r="BM4" s="25"/>
      <c r="BN4" s="25"/>
    </row>
    <row r="5" spans="1:68" x14ac:dyDescent="0.2">
      <c r="A5" s="190" t="s">
        <v>128</v>
      </c>
      <c r="B5" s="231">
        <v>569.62218878834528</v>
      </c>
      <c r="F5" s="234" t="s">
        <v>109</v>
      </c>
      <c r="G5" s="238">
        <v>427.37267553107904</v>
      </c>
      <c r="K5" s="234" t="s">
        <v>320</v>
      </c>
      <c r="L5" s="238">
        <v>570.62668729423501</v>
      </c>
      <c r="N5" s="234" t="s">
        <v>230</v>
      </c>
      <c r="O5" s="238">
        <v>914.76133241042533</v>
      </c>
      <c r="Q5" s="270" t="s">
        <v>420</v>
      </c>
      <c r="R5" s="225">
        <v>609.53922348878564</v>
      </c>
      <c r="AJ5" s="25">
        <v>24</v>
      </c>
      <c r="AK5" s="25">
        <v>3.67</v>
      </c>
      <c r="AL5" s="25">
        <v>4.34</v>
      </c>
      <c r="AQ5" s="311" t="s">
        <v>12</v>
      </c>
      <c r="AR5" s="312">
        <v>10</v>
      </c>
      <c r="AS5" s="305" t="s">
        <v>215</v>
      </c>
      <c r="AT5" s="308">
        <f>B4</f>
        <v>635.09337437538181</v>
      </c>
      <c r="AV5" s="315" t="s">
        <v>559</v>
      </c>
      <c r="BE5" t="s">
        <v>12</v>
      </c>
      <c r="BF5" t="s">
        <v>487</v>
      </c>
      <c r="BG5">
        <v>2</v>
      </c>
      <c r="BH5">
        <v>2.5</v>
      </c>
      <c r="BI5">
        <v>0.67</v>
      </c>
      <c r="BJ5">
        <f t="shared" si="0"/>
        <v>45360</v>
      </c>
      <c r="BK5" s="25"/>
      <c r="BL5" s="25"/>
      <c r="BM5" s="25"/>
      <c r="BN5" s="25"/>
    </row>
    <row r="6" spans="1:68" ht="12.75" customHeight="1" thickBot="1" x14ac:dyDescent="0.25">
      <c r="A6" s="190" t="s">
        <v>572</v>
      </c>
      <c r="B6" s="231">
        <v>256.49236921809239</v>
      </c>
      <c r="C6" s="150"/>
      <c r="F6" s="234" t="s">
        <v>110</v>
      </c>
      <c r="G6" s="238">
        <v>979.50638250533234</v>
      </c>
      <c r="K6" s="234" t="s">
        <v>321</v>
      </c>
      <c r="L6" s="238">
        <v>797.76679764285836</v>
      </c>
      <c r="N6" s="234" t="s">
        <v>231</v>
      </c>
      <c r="O6" s="238">
        <v>709.04371903513163</v>
      </c>
      <c r="Q6" s="270" t="s">
        <v>421</v>
      </c>
      <c r="R6" s="225">
        <v>798.26938606748706</v>
      </c>
      <c r="AJ6" s="25">
        <v>30</v>
      </c>
      <c r="AK6" s="25">
        <v>4.67</v>
      </c>
      <c r="AL6" s="25">
        <v>5.34</v>
      </c>
      <c r="AQ6" s="311" t="s">
        <v>105</v>
      </c>
      <c r="AR6" s="311">
        <v>12</v>
      </c>
      <c r="AV6" s="25" t="s">
        <v>184</v>
      </c>
      <c r="BE6" t="s">
        <v>105</v>
      </c>
      <c r="BF6" t="s">
        <v>487</v>
      </c>
      <c r="BG6">
        <v>3.5</v>
      </c>
      <c r="BH6">
        <v>4</v>
      </c>
      <c r="BI6">
        <v>1.05</v>
      </c>
      <c r="BJ6">
        <f t="shared" si="0"/>
        <v>72900</v>
      </c>
      <c r="BK6" s="25"/>
      <c r="BL6" s="25"/>
      <c r="BM6" s="25"/>
      <c r="BN6" s="25"/>
    </row>
    <row r="7" spans="1:68" ht="13.5" thickBot="1" x14ac:dyDescent="0.25">
      <c r="A7" s="190" t="s">
        <v>151</v>
      </c>
      <c r="B7" s="231">
        <v>324.30161798192916</v>
      </c>
      <c r="F7" s="236" t="s">
        <v>111</v>
      </c>
      <c r="G7" s="239">
        <v>177.47771591056073</v>
      </c>
      <c r="K7" s="234" t="s">
        <v>322</v>
      </c>
      <c r="L7" s="238">
        <v>337.99359501896566</v>
      </c>
      <c r="N7" s="467" t="s">
        <v>382</v>
      </c>
      <c r="O7" s="468"/>
      <c r="Q7" s="270" t="s">
        <v>422</v>
      </c>
      <c r="R7" s="225">
        <v>864.06435991549745</v>
      </c>
      <c r="AJ7" s="25">
        <v>36</v>
      </c>
      <c r="AK7" s="25">
        <v>4.67</v>
      </c>
      <c r="AL7" s="25">
        <v>5.34</v>
      </c>
      <c r="AQ7" s="311" t="s">
        <v>107</v>
      </c>
      <c r="AR7" s="311">
        <v>15</v>
      </c>
      <c r="BE7" t="s">
        <v>107</v>
      </c>
      <c r="BF7" t="s">
        <v>487</v>
      </c>
      <c r="BG7">
        <v>4.5</v>
      </c>
      <c r="BH7">
        <v>5</v>
      </c>
      <c r="BI7">
        <v>1.51</v>
      </c>
      <c r="BJ7">
        <f t="shared" si="0"/>
        <v>99630</v>
      </c>
      <c r="BK7" s="25"/>
      <c r="BL7" s="25"/>
      <c r="BM7" s="25"/>
      <c r="BN7" s="25"/>
    </row>
    <row r="8" spans="1:68" ht="13.5" thickBot="1" x14ac:dyDescent="0.25">
      <c r="A8" s="190" t="s">
        <v>152</v>
      </c>
      <c r="B8" s="231">
        <v>266.0730187809861</v>
      </c>
      <c r="G8" s="150"/>
      <c r="K8" s="234" t="s">
        <v>323</v>
      </c>
      <c r="L8" s="238">
        <v>832.07465592785218</v>
      </c>
      <c r="N8" s="234" t="s">
        <v>227</v>
      </c>
      <c r="O8" s="238">
        <v>736.5067826540826</v>
      </c>
      <c r="Q8" s="271" t="s">
        <v>423</v>
      </c>
      <c r="R8" s="227">
        <v>862.10774920160497</v>
      </c>
      <c r="AJ8" s="25">
        <v>42</v>
      </c>
      <c r="AK8" s="25">
        <v>5.67</v>
      </c>
      <c r="AL8" s="25">
        <v>6.34</v>
      </c>
      <c r="AQ8" s="311" t="s">
        <v>208</v>
      </c>
      <c r="AR8" s="311">
        <v>16</v>
      </c>
      <c r="AS8" s="25" t="s">
        <v>203</v>
      </c>
      <c r="AT8" s="305" t="s">
        <v>207</v>
      </c>
      <c r="AU8" s="308"/>
      <c r="BE8" t="s">
        <v>208</v>
      </c>
      <c r="BF8" s="150" t="s">
        <v>487</v>
      </c>
      <c r="BG8">
        <v>0.24</v>
      </c>
      <c r="BH8">
        <v>0</v>
      </c>
      <c r="BI8">
        <v>0.22</v>
      </c>
      <c r="BJ8">
        <f t="shared" si="0"/>
        <v>9882.0000000000018</v>
      </c>
    </row>
    <row r="9" spans="1:68" ht="13.5" thickBot="1" x14ac:dyDescent="0.25">
      <c r="A9" s="191" t="s">
        <v>168</v>
      </c>
      <c r="B9" s="232">
        <v>585.60281953257834</v>
      </c>
      <c r="K9" s="234" t="s">
        <v>324</v>
      </c>
      <c r="L9" s="238">
        <v>558.00416043136227</v>
      </c>
      <c r="N9" s="234" t="s">
        <v>228</v>
      </c>
      <c r="O9" s="238">
        <v>650.83659191709557</v>
      </c>
      <c r="Q9" s="471" t="s">
        <v>406</v>
      </c>
      <c r="R9" s="472"/>
      <c r="AJ9" s="25">
        <v>48</v>
      </c>
      <c r="AK9" s="25">
        <v>6.67</v>
      </c>
      <c r="AL9" s="25">
        <v>7.34</v>
      </c>
      <c r="AQ9" s="311" t="s">
        <v>219</v>
      </c>
      <c r="AR9" s="311">
        <v>18</v>
      </c>
      <c r="AS9" s="25" t="s">
        <v>187</v>
      </c>
      <c r="AT9" s="25" t="s">
        <v>206</v>
      </c>
      <c r="AU9" s="308"/>
      <c r="BE9" t="s">
        <v>219</v>
      </c>
      <c r="BF9" t="s">
        <v>487</v>
      </c>
      <c r="BG9">
        <v>0.3</v>
      </c>
      <c r="BH9">
        <v>0.3</v>
      </c>
      <c r="BI9">
        <v>0.26</v>
      </c>
      <c r="BJ9">
        <f t="shared" si="0"/>
        <v>12960</v>
      </c>
    </row>
    <row r="10" spans="1:68" ht="13.5" thickBot="1" x14ac:dyDescent="0.25">
      <c r="K10" s="234" t="s">
        <v>325</v>
      </c>
      <c r="L10" s="238">
        <v>831.72439170998632</v>
      </c>
      <c r="N10" s="234" t="s">
        <v>229</v>
      </c>
      <c r="O10" s="238">
        <v>434.80881390680258</v>
      </c>
      <c r="Q10" s="269" t="s">
        <v>403</v>
      </c>
      <c r="R10" s="229">
        <v>493.38426063857423</v>
      </c>
      <c r="AJ10" s="25">
        <v>54</v>
      </c>
      <c r="AK10" s="25">
        <v>6.67</v>
      </c>
      <c r="AL10" s="25">
        <v>7.34</v>
      </c>
      <c r="AQ10" s="311" t="s">
        <v>220</v>
      </c>
      <c r="AR10" s="311">
        <v>20</v>
      </c>
      <c r="AS10" s="25" t="s">
        <v>188</v>
      </c>
      <c r="AT10" s="25" t="s">
        <v>206</v>
      </c>
      <c r="BE10" t="s">
        <v>220</v>
      </c>
      <c r="BF10" t="s">
        <v>487</v>
      </c>
      <c r="BG10">
        <v>0.37</v>
      </c>
      <c r="BH10">
        <v>0.37</v>
      </c>
      <c r="BI10">
        <v>0.3</v>
      </c>
      <c r="BJ10">
        <f t="shared" si="0"/>
        <v>15147</v>
      </c>
    </row>
    <row r="11" spans="1:68" ht="26.25" thickBot="1" x14ac:dyDescent="0.25">
      <c r="A11" s="152" t="s">
        <v>133</v>
      </c>
      <c r="B11" s="153" t="s">
        <v>129</v>
      </c>
      <c r="C11" s="153" t="s">
        <v>131</v>
      </c>
      <c r="D11" s="154" t="s">
        <v>132</v>
      </c>
      <c r="F11" s="221" t="s">
        <v>133</v>
      </c>
      <c r="G11" s="222" t="s">
        <v>129</v>
      </c>
      <c r="H11" s="222" t="s">
        <v>193</v>
      </c>
      <c r="I11" s="223" t="s">
        <v>131</v>
      </c>
      <c r="K11" s="234" t="s">
        <v>326</v>
      </c>
      <c r="L11" s="238">
        <v>330.13947173748772</v>
      </c>
      <c r="N11" s="234" t="s">
        <v>230</v>
      </c>
      <c r="O11" s="238">
        <v>773.7739729035377</v>
      </c>
      <c r="Q11" s="270" t="s">
        <v>404</v>
      </c>
      <c r="R11" s="225">
        <v>446.23834485810386</v>
      </c>
      <c r="AQ11" s="311" t="s">
        <v>221</v>
      </c>
      <c r="AR11" s="311">
        <v>24</v>
      </c>
      <c r="BE11" t="s">
        <v>221</v>
      </c>
      <c r="BF11" t="s">
        <v>487</v>
      </c>
      <c r="BG11">
        <v>0.46</v>
      </c>
      <c r="BH11">
        <v>0.46</v>
      </c>
      <c r="BI11">
        <v>0.32</v>
      </c>
      <c r="BJ11">
        <f t="shared" si="0"/>
        <v>16686</v>
      </c>
    </row>
    <row r="12" spans="1:68" ht="13.5" thickBot="1" x14ac:dyDescent="0.25">
      <c r="A12" s="467" t="s">
        <v>136</v>
      </c>
      <c r="B12" s="478"/>
      <c r="C12" s="478"/>
      <c r="D12" s="468"/>
      <c r="F12" s="467" t="s">
        <v>185</v>
      </c>
      <c r="G12" s="478"/>
      <c r="H12" s="478"/>
      <c r="I12" s="468"/>
      <c r="K12" s="234" t="s">
        <v>327</v>
      </c>
      <c r="L12" s="238">
        <v>358.75497892636764</v>
      </c>
      <c r="N12" s="234" t="s">
        <v>231</v>
      </c>
      <c r="O12" s="238">
        <v>937.58913976666486</v>
      </c>
      <c r="Q12" s="271" t="s">
        <v>405</v>
      </c>
      <c r="R12" s="227">
        <v>197.39740723398035</v>
      </c>
      <c r="AQ12" s="311" t="s">
        <v>222</v>
      </c>
      <c r="AR12" s="311">
        <v>30</v>
      </c>
      <c r="AS12" s="25" t="s">
        <v>199</v>
      </c>
      <c r="AT12" s="25" t="s">
        <v>207</v>
      </c>
      <c r="BE12" t="s">
        <v>222</v>
      </c>
      <c r="BF12" t="s">
        <v>487</v>
      </c>
      <c r="BG12">
        <v>0.67</v>
      </c>
      <c r="BH12">
        <v>0.67</v>
      </c>
      <c r="BI12">
        <v>0.4</v>
      </c>
      <c r="BJ12">
        <f t="shared" si="0"/>
        <v>21627</v>
      </c>
    </row>
    <row r="13" spans="1:68" ht="13.5" thickBot="1" x14ac:dyDescent="0.25">
      <c r="A13" s="240" t="s">
        <v>12</v>
      </c>
      <c r="B13" s="155" t="s">
        <v>198</v>
      </c>
      <c r="C13" s="241">
        <v>997.54676406164458</v>
      </c>
      <c r="D13" s="242">
        <v>116.43355767664299</v>
      </c>
      <c r="F13" s="243" t="s">
        <v>194</v>
      </c>
      <c r="G13" s="155" t="s">
        <v>186</v>
      </c>
      <c r="H13" s="241">
        <v>318.87392669951566</v>
      </c>
      <c r="I13" s="242">
        <v>565.19816720355368</v>
      </c>
      <c r="K13" s="234" t="s">
        <v>328</v>
      </c>
      <c r="L13" s="238">
        <v>869.59358828009147</v>
      </c>
      <c r="N13" s="469" t="s">
        <v>383</v>
      </c>
      <c r="O13" s="470"/>
      <c r="Q13" s="471" t="s">
        <v>384</v>
      </c>
      <c r="R13" s="472"/>
      <c r="AQ13" s="311" t="s">
        <v>223</v>
      </c>
      <c r="AR13" s="311">
        <v>42</v>
      </c>
      <c r="AS13" s="25" t="s">
        <v>200</v>
      </c>
      <c r="AT13" s="25" t="s">
        <v>207</v>
      </c>
      <c r="AU13" s="305" t="s">
        <v>240</v>
      </c>
      <c r="AV13" s="313">
        <f>O2</f>
        <v>318.33914856246395</v>
      </c>
      <c r="AW13" s="193">
        <f>O8</f>
        <v>736.5067826540826</v>
      </c>
      <c r="AX13" s="25">
        <v>3</v>
      </c>
      <c r="AY13" s="193">
        <f>O14</f>
        <v>550.45701631751717</v>
      </c>
      <c r="BE13" t="s">
        <v>223</v>
      </c>
      <c r="BF13" t="s">
        <v>487</v>
      </c>
      <c r="BG13">
        <v>0.91</v>
      </c>
      <c r="BH13">
        <v>0.91</v>
      </c>
      <c r="BI13">
        <v>0.48</v>
      </c>
      <c r="BJ13">
        <f t="shared" si="0"/>
        <v>26811</v>
      </c>
    </row>
    <row r="14" spans="1:68" x14ac:dyDescent="0.2">
      <c r="A14" s="158" t="s">
        <v>105</v>
      </c>
      <c r="B14" s="155" t="s">
        <v>199</v>
      </c>
      <c r="C14" s="224">
        <v>473.6150727562852</v>
      </c>
      <c r="D14" s="225">
        <v>569.72733838688396</v>
      </c>
      <c r="F14" s="234" t="s">
        <v>195</v>
      </c>
      <c r="G14" s="155" t="s">
        <v>187</v>
      </c>
      <c r="H14" s="224">
        <v>483.84641617303794</v>
      </c>
      <c r="I14" s="225">
        <v>416.98788482025549</v>
      </c>
      <c r="K14" s="234" t="s">
        <v>329</v>
      </c>
      <c r="L14" s="238">
        <v>323.32245305044285</v>
      </c>
      <c r="N14" s="269" t="s">
        <v>367</v>
      </c>
      <c r="O14" s="229">
        <v>550.45701631751717</v>
      </c>
      <c r="Q14" s="269" t="s">
        <v>374</v>
      </c>
      <c r="R14" s="229">
        <v>914.43901629668255</v>
      </c>
      <c r="AQ14" s="311" t="s">
        <v>101</v>
      </c>
      <c r="AR14" s="311"/>
      <c r="AS14" s="25" t="s">
        <v>208</v>
      </c>
      <c r="AT14" s="25" t="s">
        <v>209</v>
      </c>
      <c r="AU14" s="305" t="s">
        <v>241</v>
      </c>
      <c r="AV14" s="313">
        <f>O2</f>
        <v>318.33914856246395</v>
      </c>
      <c r="AW14" s="193">
        <f>O8</f>
        <v>736.5067826540826</v>
      </c>
      <c r="AX14" s="25">
        <v>3.5</v>
      </c>
      <c r="AY14" s="193">
        <f>O15</f>
        <v>257.75481384014256</v>
      </c>
      <c r="BE14" t="s">
        <v>101</v>
      </c>
      <c r="BF14" t="s">
        <v>487</v>
      </c>
      <c r="BG14">
        <v>0</v>
      </c>
      <c r="BH14">
        <v>0.45</v>
      </c>
      <c r="BI14">
        <v>0.21</v>
      </c>
      <c r="BJ14">
        <f t="shared" si="0"/>
        <v>10327.500000000002</v>
      </c>
    </row>
    <row r="15" spans="1:68" ht="13.5" thickBot="1" x14ac:dyDescent="0.25">
      <c r="A15" s="158" t="s">
        <v>107</v>
      </c>
      <c r="B15" s="155" t="s">
        <v>200</v>
      </c>
      <c r="C15" s="224">
        <v>428.53978769750012</v>
      </c>
      <c r="D15" s="225">
        <v>337.66246648648303</v>
      </c>
      <c r="F15" s="234" t="s">
        <v>196</v>
      </c>
      <c r="G15" s="155" t="s">
        <v>188</v>
      </c>
      <c r="H15" s="224">
        <v>788.08926282776213</v>
      </c>
      <c r="I15" s="225">
        <v>92.587091529397924</v>
      </c>
      <c r="K15" s="234" t="s">
        <v>330</v>
      </c>
      <c r="L15" s="238">
        <v>251.06345880604707</v>
      </c>
      <c r="N15" s="270" t="s">
        <v>368</v>
      </c>
      <c r="O15" s="225">
        <v>257.75481384014256</v>
      </c>
      <c r="Q15" s="270" t="s">
        <v>375</v>
      </c>
      <c r="R15" s="225">
        <v>526.70830708483163</v>
      </c>
      <c r="AQ15" s="311" t="s">
        <v>102</v>
      </c>
      <c r="AR15" s="311"/>
      <c r="AS15" s="25" t="s">
        <v>210</v>
      </c>
      <c r="AT15" s="25" t="s">
        <v>211</v>
      </c>
      <c r="AU15" s="305" t="s">
        <v>242</v>
      </c>
      <c r="AV15" s="313">
        <f>O3</f>
        <v>401.78486134492351</v>
      </c>
      <c r="AW15" s="193">
        <f>O9</f>
        <v>650.83659191709557</v>
      </c>
      <c r="AX15" s="25">
        <v>4</v>
      </c>
      <c r="AY15" s="193">
        <f>O16</f>
        <v>386.41436879039793</v>
      </c>
      <c r="BE15" t="s">
        <v>102</v>
      </c>
      <c r="BF15" t="s">
        <v>487</v>
      </c>
      <c r="BG15">
        <v>0</v>
      </c>
      <c r="BH15">
        <v>0.96</v>
      </c>
      <c r="BI15">
        <v>0.32</v>
      </c>
      <c r="BJ15">
        <f t="shared" si="0"/>
        <v>16848</v>
      </c>
    </row>
    <row r="16" spans="1:68" ht="13.5" thickBot="1" x14ac:dyDescent="0.25">
      <c r="A16" s="158" t="s">
        <v>101</v>
      </c>
      <c r="B16" s="155" t="s">
        <v>197</v>
      </c>
      <c r="C16" s="224">
        <v>633.28751145290312</v>
      </c>
      <c r="D16" s="225">
        <v>606.04282177774701</v>
      </c>
      <c r="F16" s="467" t="s">
        <v>189</v>
      </c>
      <c r="G16" s="478"/>
      <c r="H16" s="478"/>
      <c r="I16" s="468"/>
      <c r="K16" s="467" t="s">
        <v>232</v>
      </c>
      <c r="L16" s="468"/>
      <c r="N16" s="270" t="s">
        <v>369</v>
      </c>
      <c r="O16" s="225">
        <v>386.41436879039793</v>
      </c>
      <c r="Q16" s="270" t="s">
        <v>376</v>
      </c>
      <c r="R16" s="225">
        <v>297.85756719550818</v>
      </c>
      <c r="AQ16" s="311" t="s">
        <v>103</v>
      </c>
      <c r="AR16" s="311"/>
      <c r="AS16" s="25" t="s">
        <v>212</v>
      </c>
      <c r="AT16" s="25" t="s">
        <v>211</v>
      </c>
      <c r="AU16" s="305" t="s">
        <v>243</v>
      </c>
      <c r="AV16" s="313">
        <f>O4</f>
        <v>661.31898863754145</v>
      </c>
      <c r="AW16" s="193">
        <f>O10</f>
        <v>434.80881390680258</v>
      </c>
      <c r="AX16" s="25">
        <v>4.5</v>
      </c>
      <c r="AY16" s="193">
        <f>O17</f>
        <v>856.16411948010921</v>
      </c>
      <c r="BE16" t="s">
        <v>103</v>
      </c>
      <c r="BF16" t="s">
        <v>487</v>
      </c>
      <c r="BG16">
        <v>0</v>
      </c>
      <c r="BH16">
        <v>1.54</v>
      </c>
      <c r="BI16">
        <v>0.38</v>
      </c>
      <c r="BJ16">
        <f t="shared" si="0"/>
        <v>21627</v>
      </c>
    </row>
    <row r="17" spans="1:64" ht="13.5" thickBot="1" x14ac:dyDescent="0.25">
      <c r="A17" s="158" t="s">
        <v>102</v>
      </c>
      <c r="B17" s="155" t="s">
        <v>201</v>
      </c>
      <c r="C17" s="224">
        <v>686.36727259965323</v>
      </c>
      <c r="D17" s="225">
        <v>292.50334910731112</v>
      </c>
      <c r="F17" s="235" t="s">
        <v>190</v>
      </c>
      <c r="G17" s="155" t="s">
        <v>216</v>
      </c>
      <c r="H17" s="228">
        <v>715.99979289063947</v>
      </c>
      <c r="I17" s="242">
        <v>776.39375183106927</v>
      </c>
      <c r="K17" s="234" t="s">
        <v>289</v>
      </c>
      <c r="L17" s="238">
        <v>715.35215239000865</v>
      </c>
      <c r="N17" s="270" t="s">
        <v>370</v>
      </c>
      <c r="O17" s="225">
        <v>856.16411948010921</v>
      </c>
      <c r="Q17" s="271" t="s">
        <v>408</v>
      </c>
      <c r="R17" s="227">
        <v>693.13860634738114</v>
      </c>
      <c r="AJ17" s="305"/>
      <c r="AQ17" s="311" t="s">
        <v>104</v>
      </c>
      <c r="AR17" s="311"/>
      <c r="AS17" s="25" t="s">
        <v>213</v>
      </c>
      <c r="AT17" s="25" t="s">
        <v>211</v>
      </c>
      <c r="AU17" s="305" t="s">
        <v>244</v>
      </c>
      <c r="AV17" s="313">
        <f>O4</f>
        <v>661.31898863754145</v>
      </c>
      <c r="AW17" s="193">
        <f>O10</f>
        <v>434.80881390680258</v>
      </c>
      <c r="AX17" s="25">
        <v>5</v>
      </c>
      <c r="AY17" s="193">
        <f>O18</f>
        <v>44.050337983924436</v>
      </c>
      <c r="BE17" t="s">
        <v>104</v>
      </c>
      <c r="BF17" t="s">
        <v>487</v>
      </c>
      <c r="BG17">
        <v>0</v>
      </c>
      <c r="BH17">
        <v>2.96</v>
      </c>
      <c r="BI17">
        <v>0.67</v>
      </c>
      <c r="BJ17">
        <f t="shared" si="0"/>
        <v>39123</v>
      </c>
    </row>
    <row r="18" spans="1:64" ht="13.5" thickBot="1" x14ac:dyDescent="0.25">
      <c r="A18" s="158" t="s">
        <v>103</v>
      </c>
      <c r="B18" s="155" t="s">
        <v>202</v>
      </c>
      <c r="C18" s="224">
        <v>68.153324843517112</v>
      </c>
      <c r="D18" s="225">
        <v>932.05024685137255</v>
      </c>
      <c r="F18" s="234" t="s">
        <v>191</v>
      </c>
      <c r="G18" s="155" t="s">
        <v>217</v>
      </c>
      <c r="H18" s="224">
        <v>316.6538488446331</v>
      </c>
      <c r="I18" s="225">
        <v>427.24880940859356</v>
      </c>
      <c r="K18" s="234" t="s">
        <v>290</v>
      </c>
      <c r="L18" s="238">
        <v>140.13100231999275</v>
      </c>
      <c r="N18" s="270" t="s">
        <v>371</v>
      </c>
      <c r="O18" s="225">
        <v>44.050337983924436</v>
      </c>
      <c r="Q18" s="473" t="s">
        <v>385</v>
      </c>
      <c r="R18" s="474"/>
      <c r="AQ18" s="311" t="s">
        <v>106</v>
      </c>
      <c r="AR18" s="311"/>
      <c r="AS18" s="25" t="s">
        <v>214</v>
      </c>
      <c r="AT18" s="25" t="s">
        <v>211</v>
      </c>
      <c r="AU18" s="305" t="s">
        <v>245</v>
      </c>
      <c r="AV18" s="313">
        <f>O5</f>
        <v>914.76133241042533</v>
      </c>
      <c r="AW18" s="193">
        <f>O11</f>
        <v>773.7739729035377</v>
      </c>
      <c r="AY18" s="193"/>
      <c r="BE18" t="s">
        <v>106</v>
      </c>
      <c r="BF18" t="s">
        <v>487</v>
      </c>
      <c r="BG18">
        <v>0</v>
      </c>
      <c r="BH18">
        <v>5.94</v>
      </c>
      <c r="BI18">
        <v>1.05</v>
      </c>
      <c r="BJ18">
        <f t="shared" si="0"/>
        <v>66582</v>
      </c>
    </row>
    <row r="19" spans="1:64" ht="13.5" thickBot="1" x14ac:dyDescent="0.25">
      <c r="A19" s="158" t="s">
        <v>104</v>
      </c>
      <c r="B19" s="155" t="s">
        <v>203</v>
      </c>
      <c r="C19" s="224">
        <v>194.1661526940911</v>
      </c>
      <c r="D19" s="225">
        <v>526.3549281273863</v>
      </c>
      <c r="F19" s="236" t="s">
        <v>192</v>
      </c>
      <c r="G19" s="157" t="s">
        <v>218</v>
      </c>
      <c r="H19" s="226">
        <v>178.19275486790943</v>
      </c>
      <c r="I19" s="225">
        <v>530.90424836998568</v>
      </c>
      <c r="K19" s="234" t="s">
        <v>291</v>
      </c>
      <c r="L19" s="238">
        <v>196.91307267912129</v>
      </c>
      <c r="N19" s="270" t="s">
        <v>360</v>
      </c>
      <c r="O19" s="225">
        <v>82.460674076780379</v>
      </c>
      <c r="Q19" s="269" t="s">
        <v>377</v>
      </c>
      <c r="R19" s="229">
        <v>411.26690297428212</v>
      </c>
      <c r="AQ19" s="311" t="s">
        <v>108</v>
      </c>
      <c r="AR19" s="311"/>
      <c r="AS19" s="305" t="s">
        <v>215</v>
      </c>
      <c r="AT19" s="25" t="s">
        <v>211</v>
      </c>
      <c r="AU19" s="305" t="s">
        <v>246</v>
      </c>
      <c r="AV19" s="313">
        <f>O5</f>
        <v>914.76133241042533</v>
      </c>
      <c r="AW19" s="193">
        <f>O11</f>
        <v>773.7739729035377</v>
      </c>
      <c r="AX19" s="25">
        <v>3</v>
      </c>
      <c r="AY19" s="193">
        <f>O19</f>
        <v>82.460674076780379</v>
      </c>
      <c r="BE19" t="s">
        <v>108</v>
      </c>
      <c r="BF19" t="s">
        <v>487</v>
      </c>
      <c r="BG19">
        <v>0</v>
      </c>
      <c r="BH19">
        <v>8.5500000000000007</v>
      </c>
      <c r="BI19">
        <v>1.51</v>
      </c>
      <c r="BJ19">
        <f t="shared" si="0"/>
        <v>95782.5</v>
      </c>
    </row>
    <row r="20" spans="1:64" x14ac:dyDescent="0.2">
      <c r="A20" s="158" t="s">
        <v>106</v>
      </c>
      <c r="B20" s="155" t="s">
        <v>204</v>
      </c>
      <c r="C20" s="224">
        <v>0.82904083201751355</v>
      </c>
      <c r="D20" s="225">
        <v>749.89606982756391</v>
      </c>
      <c r="K20" s="234" t="s">
        <v>292</v>
      </c>
      <c r="L20" s="238">
        <v>236.57713667466805</v>
      </c>
      <c r="N20" s="270" t="s">
        <v>361</v>
      </c>
      <c r="O20" s="225">
        <v>652.72379838755478</v>
      </c>
      <c r="Q20" s="270" t="s">
        <v>378</v>
      </c>
      <c r="R20" s="225">
        <v>326.24865060777864</v>
      </c>
      <c r="AQ20" s="314" t="s">
        <v>134</v>
      </c>
      <c r="AR20" s="311"/>
      <c r="AS20" s="305" t="s">
        <v>416</v>
      </c>
      <c r="AT20" s="315" t="s">
        <v>211</v>
      </c>
      <c r="AU20" s="305" t="s">
        <v>247</v>
      </c>
      <c r="AV20" s="313">
        <f>O6</f>
        <v>709.04371903513163</v>
      </c>
      <c r="AW20" s="193">
        <f>O12</f>
        <v>937.58913976666486</v>
      </c>
      <c r="AX20" s="25">
        <v>3.5</v>
      </c>
      <c r="AY20" s="193">
        <f>O20</f>
        <v>652.72379838755478</v>
      </c>
      <c r="BE20" t="s">
        <v>134</v>
      </c>
      <c r="BF20" t="s">
        <v>487</v>
      </c>
      <c r="BG20">
        <v>0</v>
      </c>
      <c r="BH20">
        <v>0</v>
      </c>
      <c r="BI20">
        <v>0.21</v>
      </c>
      <c r="BJ20">
        <f t="shared" si="0"/>
        <v>8505</v>
      </c>
    </row>
    <row r="21" spans="1:64" ht="13.5" thickBot="1" x14ac:dyDescent="0.25">
      <c r="A21" s="159" t="s">
        <v>108</v>
      </c>
      <c r="B21" s="155" t="s">
        <v>205</v>
      </c>
      <c r="C21" s="226">
        <v>695.84172019280402</v>
      </c>
      <c r="D21" s="227">
        <v>244.66074476967202</v>
      </c>
      <c r="H21" s="233"/>
      <c r="K21" s="234" t="s">
        <v>293</v>
      </c>
      <c r="L21" s="238">
        <v>944.96676870475824</v>
      </c>
      <c r="N21" s="270" t="s">
        <v>362</v>
      </c>
      <c r="O21" s="225">
        <v>202.20349294157091</v>
      </c>
      <c r="Q21" s="270" t="s">
        <v>379</v>
      </c>
      <c r="R21" s="225">
        <v>550.14870426925506</v>
      </c>
      <c r="AJ21" s="306"/>
      <c r="AQ21" s="311" t="s">
        <v>112</v>
      </c>
      <c r="AR21" s="311"/>
      <c r="AS21" s="25" t="s">
        <v>197</v>
      </c>
      <c r="AT21" s="25" t="s">
        <v>207</v>
      </c>
      <c r="AU21" s="305" t="s">
        <v>248</v>
      </c>
      <c r="AV21" s="313">
        <f>O6</f>
        <v>709.04371903513163</v>
      </c>
      <c r="AW21" s="193">
        <f>O12</f>
        <v>937.58913976666486</v>
      </c>
      <c r="AX21" s="25">
        <v>4</v>
      </c>
      <c r="AY21" s="193">
        <f>O21</f>
        <v>202.20349294157091</v>
      </c>
      <c r="BE21" t="s">
        <v>112</v>
      </c>
      <c r="BF21" t="s">
        <v>487</v>
      </c>
      <c r="BG21" s="147">
        <v>0.59000000000000008</v>
      </c>
      <c r="BH21">
        <v>0</v>
      </c>
      <c r="BI21">
        <v>0.21</v>
      </c>
      <c r="BJ21">
        <f t="shared" si="0"/>
        <v>10894.500000000002</v>
      </c>
      <c r="BK21" s="147"/>
      <c r="BL21" s="147"/>
    </row>
    <row r="22" spans="1:64" ht="13.5" thickBot="1" x14ac:dyDescent="0.25">
      <c r="A22" s="467" t="s">
        <v>137</v>
      </c>
      <c r="B22" s="478"/>
      <c r="C22" s="478"/>
      <c r="D22" s="468"/>
      <c r="H22" s="233"/>
      <c r="K22" s="234" t="s">
        <v>236</v>
      </c>
      <c r="L22" s="238">
        <v>145.66717457938384</v>
      </c>
      <c r="N22" s="270" t="s">
        <v>363</v>
      </c>
      <c r="O22" s="225">
        <v>96.397142081091516</v>
      </c>
      <c r="Q22" s="270" t="s">
        <v>380</v>
      </c>
      <c r="R22" s="225">
        <v>388.43465121378074</v>
      </c>
      <c r="AQ22" s="311" t="s">
        <v>113</v>
      </c>
      <c r="AR22" s="311"/>
      <c r="AS22" s="25" t="s">
        <v>201</v>
      </c>
      <c r="AT22" s="25" t="s">
        <v>207</v>
      </c>
      <c r="AU22" s="305" t="s">
        <v>249</v>
      </c>
      <c r="AV22" s="313">
        <f>O6</f>
        <v>709.04371903513163</v>
      </c>
      <c r="AW22" s="193">
        <f>O12</f>
        <v>937.58913976666486</v>
      </c>
      <c r="AX22" s="25">
        <v>4.5</v>
      </c>
      <c r="AY22" s="193">
        <f>O22</f>
        <v>96.397142081091516</v>
      </c>
      <c r="BE22" t="s">
        <v>113</v>
      </c>
      <c r="BF22" t="s">
        <v>487</v>
      </c>
      <c r="BG22" s="18">
        <v>0</v>
      </c>
      <c r="BH22">
        <v>0</v>
      </c>
      <c r="BI22">
        <v>0.32</v>
      </c>
      <c r="BJ22">
        <f t="shared" si="0"/>
        <v>12960</v>
      </c>
      <c r="BK22" s="147"/>
      <c r="BL22" s="147"/>
    </row>
    <row r="23" spans="1:64" ht="13.5" thickBot="1" x14ac:dyDescent="0.25">
      <c r="A23" s="160" t="s">
        <v>345</v>
      </c>
      <c r="B23" s="156" t="s">
        <v>197</v>
      </c>
      <c r="C23" s="228">
        <v>632.30217045958136</v>
      </c>
      <c r="D23" s="229">
        <v>997.11023754984888</v>
      </c>
      <c r="H23" s="233"/>
      <c r="K23" s="234" t="s">
        <v>294</v>
      </c>
      <c r="L23" s="238">
        <v>400.54966984852535</v>
      </c>
      <c r="N23" s="270" t="s">
        <v>364</v>
      </c>
      <c r="O23" s="225">
        <v>916.33257725982196</v>
      </c>
      <c r="Q23" s="271" t="s">
        <v>381</v>
      </c>
      <c r="R23" s="227">
        <v>439.45766004479378</v>
      </c>
      <c r="AQ23" s="311" t="s">
        <v>114</v>
      </c>
      <c r="AR23" s="311"/>
      <c r="AS23" s="25" t="s">
        <v>202</v>
      </c>
      <c r="AT23" s="25" t="s">
        <v>207</v>
      </c>
      <c r="AU23" s="305" t="s">
        <v>250</v>
      </c>
      <c r="AV23" s="313">
        <f>O6</f>
        <v>709.04371903513163</v>
      </c>
      <c r="AW23" s="193">
        <f>O12</f>
        <v>937.58913976666486</v>
      </c>
      <c r="AX23" s="25">
        <v>5</v>
      </c>
      <c r="AY23" s="193">
        <f>O23</f>
        <v>916.33257725982196</v>
      </c>
      <c r="BE23" t="s">
        <v>114</v>
      </c>
      <c r="BF23" t="s">
        <v>487</v>
      </c>
      <c r="BG23" s="147">
        <v>2.02</v>
      </c>
      <c r="BH23">
        <v>0</v>
      </c>
      <c r="BI23">
        <v>0.32</v>
      </c>
      <c r="BJ23">
        <f t="shared" si="0"/>
        <v>21141.000000000004</v>
      </c>
      <c r="BK23" s="147"/>
      <c r="BL23" s="147"/>
    </row>
    <row r="24" spans="1:64" ht="13.5" thickBot="1" x14ac:dyDescent="0.25">
      <c r="A24" s="161" t="s">
        <v>346</v>
      </c>
      <c r="B24" s="157" t="s">
        <v>201</v>
      </c>
      <c r="C24" s="226">
        <v>473.76615649418738</v>
      </c>
      <c r="D24" s="227">
        <v>507.57977949347708</v>
      </c>
      <c r="K24" s="234" t="s">
        <v>295</v>
      </c>
      <c r="L24" s="238">
        <v>630.10492796895835</v>
      </c>
      <c r="N24" s="270" t="s">
        <v>365</v>
      </c>
      <c r="O24" s="225">
        <v>351.15884620816485</v>
      </c>
      <c r="AQ24" s="316" t="s">
        <v>135</v>
      </c>
      <c r="AR24" s="317"/>
      <c r="AS24" s="25" t="s">
        <v>203</v>
      </c>
      <c r="AT24" s="25" t="s">
        <v>207</v>
      </c>
      <c r="BE24" t="s">
        <v>135</v>
      </c>
      <c r="BF24" t="s">
        <v>487</v>
      </c>
      <c r="BG24" s="147">
        <v>2.83</v>
      </c>
      <c r="BH24">
        <v>0</v>
      </c>
      <c r="BI24">
        <v>0.38</v>
      </c>
      <c r="BJ24">
        <f t="shared" si="0"/>
        <v>26851.5</v>
      </c>
      <c r="BK24" s="147"/>
    </row>
    <row r="25" spans="1:64" ht="13.5" thickBot="1" x14ac:dyDescent="0.25">
      <c r="K25" s="467" t="s">
        <v>300</v>
      </c>
      <c r="L25" s="468"/>
      <c r="N25" s="270" t="s">
        <v>366</v>
      </c>
      <c r="O25" s="225">
        <v>375.58361253391149</v>
      </c>
      <c r="AS25" s="25" t="s">
        <v>204</v>
      </c>
      <c r="AT25" s="25" t="s">
        <v>207</v>
      </c>
      <c r="AX25" s="25">
        <v>4</v>
      </c>
      <c r="AY25" s="193">
        <f>O24</f>
        <v>351.15884620816485</v>
      </c>
    </row>
    <row r="26" spans="1:64" x14ac:dyDescent="0.2">
      <c r="K26" s="235" t="s">
        <v>296</v>
      </c>
      <c r="L26" s="237">
        <v>592.38175188083312</v>
      </c>
      <c r="N26" s="270" t="s">
        <v>409</v>
      </c>
      <c r="O26" s="225">
        <v>463.24121343634317</v>
      </c>
      <c r="AS26" s="25" t="s">
        <v>205</v>
      </c>
      <c r="AT26" s="25" t="s">
        <v>207</v>
      </c>
      <c r="AX26" s="25">
        <v>4.5</v>
      </c>
      <c r="AY26" s="193">
        <f>O25</f>
        <v>375.58361253391149</v>
      </c>
      <c r="BE26" s="150" t="s">
        <v>317</v>
      </c>
      <c r="BF26" s="150" t="s">
        <v>488</v>
      </c>
      <c r="BG26">
        <v>2800</v>
      </c>
    </row>
    <row r="27" spans="1:64" x14ac:dyDescent="0.2">
      <c r="A27" s="258" t="s">
        <v>340</v>
      </c>
      <c r="B27" s="366" t="s">
        <v>341</v>
      </c>
      <c r="K27" s="234" t="s">
        <v>297</v>
      </c>
      <c r="L27" s="238">
        <v>917.51289516004954</v>
      </c>
      <c r="N27" s="270" t="s">
        <v>410</v>
      </c>
      <c r="O27" s="225">
        <v>714.48249253684412</v>
      </c>
      <c r="AM27" s="305"/>
      <c r="AS27" s="25" t="s">
        <v>197</v>
      </c>
      <c r="AT27" s="25" t="s">
        <v>207</v>
      </c>
      <c r="BE27" t="s">
        <v>318</v>
      </c>
      <c r="BF27" t="s">
        <v>488</v>
      </c>
      <c r="BG27">
        <v>4000</v>
      </c>
    </row>
    <row r="28" spans="1:64" x14ac:dyDescent="0.2">
      <c r="A28" s="258" t="s">
        <v>493</v>
      </c>
      <c r="B28" s="258">
        <v>38000</v>
      </c>
      <c r="K28" s="234" t="s">
        <v>298</v>
      </c>
      <c r="L28" s="238">
        <v>523.13823766999099</v>
      </c>
      <c r="N28" s="270" t="s">
        <v>411</v>
      </c>
      <c r="O28" s="225">
        <v>665.582146412273</v>
      </c>
      <c r="AS28" s="25" t="s">
        <v>216</v>
      </c>
      <c r="AT28" s="25" t="s">
        <v>206</v>
      </c>
      <c r="AX28" s="25">
        <v>2</v>
      </c>
      <c r="AY28" s="193">
        <f>R14</f>
        <v>914.43901629668255</v>
      </c>
      <c r="BE28" t="s">
        <v>319</v>
      </c>
      <c r="BF28" t="s">
        <v>488</v>
      </c>
      <c r="BG28">
        <v>4000</v>
      </c>
    </row>
    <row r="29" spans="1:64" ht="13.5" thickBot="1" x14ac:dyDescent="0.25">
      <c r="K29" s="236" t="s">
        <v>299</v>
      </c>
      <c r="L29" s="239">
        <v>77.345761831580148</v>
      </c>
      <c r="N29" s="270" t="s">
        <v>412</v>
      </c>
      <c r="O29" s="225">
        <v>511.60184653230425</v>
      </c>
      <c r="AS29" s="25" t="s">
        <v>201</v>
      </c>
      <c r="AT29" s="25" t="s">
        <v>207</v>
      </c>
      <c r="AX29" s="25">
        <v>24</v>
      </c>
      <c r="AY29" s="193">
        <f>R17</f>
        <v>693.13860634738114</v>
      </c>
      <c r="BE29" t="s">
        <v>320</v>
      </c>
      <c r="BF29" t="s">
        <v>488</v>
      </c>
      <c r="BG29">
        <v>5200</v>
      </c>
    </row>
    <row r="30" spans="1:64" ht="13.5" thickBot="1" x14ac:dyDescent="0.25">
      <c r="K30" s="467" t="s">
        <v>301</v>
      </c>
      <c r="L30" s="468"/>
      <c r="N30" s="270" t="s">
        <v>413</v>
      </c>
      <c r="O30" s="225">
        <v>692.3536181779217</v>
      </c>
      <c r="AS30" s="25" t="s">
        <v>217</v>
      </c>
      <c r="AT30" s="25" t="s">
        <v>206</v>
      </c>
      <c r="AX30" s="25">
        <v>3</v>
      </c>
      <c r="AY30" s="193">
        <f>R15</f>
        <v>526.70830708483163</v>
      </c>
      <c r="BE30" t="s">
        <v>321</v>
      </c>
      <c r="BF30" t="s">
        <v>488</v>
      </c>
      <c r="BG30">
        <v>6000</v>
      </c>
    </row>
    <row r="31" spans="1:64" ht="13.5" thickBot="1" x14ac:dyDescent="0.25">
      <c r="K31" s="235" t="s">
        <v>233</v>
      </c>
      <c r="L31" s="237">
        <v>126.35987790508185</v>
      </c>
      <c r="N31" s="270" t="s">
        <v>414</v>
      </c>
      <c r="O31" s="225">
        <v>189.32220583721448</v>
      </c>
      <c r="AS31" s="25" t="s">
        <v>218</v>
      </c>
      <c r="AT31" s="25" t="s">
        <v>206</v>
      </c>
      <c r="AX31" s="25">
        <v>4</v>
      </c>
      <c r="AY31" s="193">
        <f>R16</f>
        <v>297.85756719550818</v>
      </c>
      <c r="BE31" t="s">
        <v>322</v>
      </c>
      <c r="BF31" t="s">
        <v>488</v>
      </c>
      <c r="BG31">
        <v>8000</v>
      </c>
    </row>
    <row r="32" spans="1:64" ht="26.25" thickBot="1" x14ac:dyDescent="0.25">
      <c r="A32" s="152" t="s">
        <v>130</v>
      </c>
      <c r="B32" s="163" t="s">
        <v>129</v>
      </c>
      <c r="C32" s="164" t="s">
        <v>150</v>
      </c>
      <c r="K32" s="234" t="s">
        <v>234</v>
      </c>
      <c r="L32" s="238">
        <v>622.05027220606337</v>
      </c>
      <c r="N32" s="271" t="s">
        <v>415</v>
      </c>
      <c r="O32" s="227">
        <v>562.85252294080613</v>
      </c>
      <c r="AS32" s="318" t="s">
        <v>198</v>
      </c>
      <c r="AT32" s="305" t="s">
        <v>207</v>
      </c>
      <c r="BE32" t="s">
        <v>323</v>
      </c>
      <c r="BF32" t="s">
        <v>488</v>
      </c>
      <c r="BG32">
        <v>9200</v>
      </c>
    </row>
    <row r="33" spans="1:59" ht="13.5" thickBot="1" x14ac:dyDescent="0.25">
      <c r="A33" s="160" t="s">
        <v>138</v>
      </c>
      <c r="B33" s="169">
        <v>4</v>
      </c>
      <c r="C33" s="166">
        <v>434.20417427171799</v>
      </c>
      <c r="K33" s="236" t="s">
        <v>235</v>
      </c>
      <c r="L33" s="239">
        <v>550.32806057401058</v>
      </c>
      <c r="AS33" s="25" t="s">
        <v>186</v>
      </c>
      <c r="AT33" s="305" t="s">
        <v>206</v>
      </c>
      <c r="AX33" s="25">
        <v>1</v>
      </c>
      <c r="AY33" s="193">
        <f>R20</f>
        <v>326.24865060777864</v>
      </c>
      <c r="BE33" t="s">
        <v>324</v>
      </c>
      <c r="BF33" t="s">
        <v>488</v>
      </c>
      <c r="BG33">
        <v>12400</v>
      </c>
    </row>
    <row r="34" spans="1:59" x14ac:dyDescent="0.2">
      <c r="A34" s="165" t="s">
        <v>139</v>
      </c>
      <c r="B34" s="170">
        <v>6</v>
      </c>
      <c r="C34" s="167">
        <v>786.55910418056226</v>
      </c>
      <c r="AS34" s="25" t="s">
        <v>251</v>
      </c>
      <c r="AT34" s="305" t="s">
        <v>239</v>
      </c>
      <c r="AX34" s="25">
        <v>2</v>
      </c>
      <c r="AY34" s="193">
        <f>R21</f>
        <v>550.14870426925506</v>
      </c>
      <c r="BE34" t="s">
        <v>325</v>
      </c>
      <c r="BF34" t="s">
        <v>488</v>
      </c>
      <c r="BG34">
        <v>13600</v>
      </c>
    </row>
    <row r="35" spans="1:59" x14ac:dyDescent="0.2">
      <c r="A35" s="165" t="s">
        <v>140</v>
      </c>
      <c r="B35" s="170">
        <v>8</v>
      </c>
      <c r="C35" s="167">
        <v>613.71020734262572</v>
      </c>
      <c r="AS35" s="25" t="s">
        <v>252</v>
      </c>
      <c r="AT35" s="305" t="s">
        <v>239</v>
      </c>
      <c r="AX35" s="25">
        <v>3</v>
      </c>
      <c r="AY35" s="193">
        <f>R22</f>
        <v>388.43465121378074</v>
      </c>
      <c r="BE35" t="s">
        <v>326</v>
      </c>
      <c r="BF35" t="s">
        <v>488</v>
      </c>
      <c r="BG35">
        <v>18000</v>
      </c>
    </row>
    <row r="36" spans="1:59" x14ac:dyDescent="0.2">
      <c r="A36" s="165" t="s">
        <v>141</v>
      </c>
      <c r="B36" s="170">
        <v>10</v>
      </c>
      <c r="C36" s="167">
        <v>134.20075331329784</v>
      </c>
      <c r="AS36" s="25" t="s">
        <v>253</v>
      </c>
      <c r="AT36" s="305" t="s">
        <v>239</v>
      </c>
      <c r="AX36" s="25">
        <v>4</v>
      </c>
      <c r="AY36" s="193">
        <f>R23</f>
        <v>439.45766004479378</v>
      </c>
      <c r="BE36" t="s">
        <v>327</v>
      </c>
      <c r="BF36" t="s">
        <v>488</v>
      </c>
      <c r="BG36">
        <v>18000</v>
      </c>
    </row>
    <row r="37" spans="1:59" x14ac:dyDescent="0.2">
      <c r="A37" s="165" t="s">
        <v>142</v>
      </c>
      <c r="B37" s="170">
        <v>12</v>
      </c>
      <c r="C37" s="167">
        <v>104.73054732523856</v>
      </c>
      <c r="AS37" s="25" t="s">
        <v>254</v>
      </c>
      <c r="AT37" s="305" t="s">
        <v>239</v>
      </c>
      <c r="BE37" t="s">
        <v>328</v>
      </c>
      <c r="BF37" t="s">
        <v>488</v>
      </c>
      <c r="BG37">
        <v>24000</v>
      </c>
    </row>
    <row r="38" spans="1:59" x14ac:dyDescent="0.2">
      <c r="A38" s="165" t="s">
        <v>143</v>
      </c>
      <c r="B38" s="170">
        <v>15</v>
      </c>
      <c r="C38" s="167">
        <v>210.29234462144396</v>
      </c>
      <c r="AS38" s="25" t="s">
        <v>255</v>
      </c>
      <c r="AT38" s="305" t="s">
        <v>239</v>
      </c>
      <c r="AX38" s="25">
        <v>3</v>
      </c>
      <c r="AY38" s="308">
        <f>AT1</f>
        <v>399.24886048943864</v>
      </c>
      <c r="BE38" t="s">
        <v>329</v>
      </c>
      <c r="BF38" t="s">
        <v>488</v>
      </c>
      <c r="BG38">
        <v>24000</v>
      </c>
    </row>
    <row r="39" spans="1:59" x14ac:dyDescent="0.2">
      <c r="A39" s="165" t="s">
        <v>144</v>
      </c>
      <c r="B39" s="170">
        <v>16</v>
      </c>
      <c r="C39" s="167">
        <v>189.29954569890728</v>
      </c>
      <c r="AS39" s="25" t="s">
        <v>256</v>
      </c>
      <c r="AT39" s="305" t="s">
        <v>239</v>
      </c>
      <c r="AX39" s="25">
        <v>24</v>
      </c>
      <c r="AY39" s="308">
        <f>AT2</f>
        <v>399.24886048943864</v>
      </c>
      <c r="BE39" t="s">
        <v>330</v>
      </c>
      <c r="BF39" t="s">
        <v>488</v>
      </c>
      <c r="BG39">
        <v>32000</v>
      </c>
    </row>
    <row r="40" spans="1:59" x14ac:dyDescent="0.2">
      <c r="A40" s="165" t="s">
        <v>145</v>
      </c>
      <c r="B40" s="170">
        <v>18</v>
      </c>
      <c r="C40" s="167">
        <v>572.85936701898993</v>
      </c>
      <c r="AS40" s="25" t="s">
        <v>257</v>
      </c>
      <c r="AT40" s="305" t="s">
        <v>239</v>
      </c>
      <c r="AX40" s="25">
        <v>4</v>
      </c>
      <c r="AY40" s="308">
        <f>AT2</f>
        <v>399.24886048943864</v>
      </c>
    </row>
    <row r="41" spans="1:59" x14ac:dyDescent="0.2">
      <c r="A41" s="165" t="s">
        <v>146</v>
      </c>
      <c r="B41" s="170">
        <v>20</v>
      </c>
      <c r="C41" s="167">
        <v>7.4813219357428018</v>
      </c>
      <c r="AS41" s="25" t="s">
        <v>258</v>
      </c>
      <c r="AT41" s="305" t="s">
        <v>239</v>
      </c>
      <c r="BE41" t="s">
        <v>289</v>
      </c>
      <c r="BF41" t="s">
        <v>488</v>
      </c>
      <c r="BG41">
        <v>1800</v>
      </c>
    </row>
    <row r="42" spans="1:59" x14ac:dyDescent="0.2">
      <c r="A42" s="165" t="s">
        <v>147</v>
      </c>
      <c r="B42" s="170">
        <v>24</v>
      </c>
      <c r="C42" s="167">
        <v>501.81976207579726</v>
      </c>
      <c r="AS42" s="25" t="s">
        <v>259</v>
      </c>
      <c r="AT42" s="305" t="s">
        <v>239</v>
      </c>
      <c r="AX42" s="25">
        <v>3</v>
      </c>
      <c r="AY42" s="193">
        <f t="shared" ref="AY42:AY43" si="1">O26</f>
        <v>463.24121343634317</v>
      </c>
      <c r="BE42" t="s">
        <v>290</v>
      </c>
      <c r="BF42" t="s">
        <v>488</v>
      </c>
      <c r="BG42">
        <v>11700</v>
      </c>
    </row>
    <row r="43" spans="1:59" x14ac:dyDescent="0.2">
      <c r="A43" s="165" t="s">
        <v>148</v>
      </c>
      <c r="B43" s="170">
        <v>30</v>
      </c>
      <c r="C43" s="167">
        <v>430.91105681802776</v>
      </c>
      <c r="AS43" s="25" t="s">
        <v>260</v>
      </c>
      <c r="AT43" s="305" t="s">
        <v>239</v>
      </c>
      <c r="AX43" s="25">
        <v>3.5</v>
      </c>
      <c r="AY43" s="193">
        <f t="shared" si="1"/>
        <v>714.48249253684412</v>
      </c>
      <c r="BE43" t="s">
        <v>291</v>
      </c>
      <c r="BF43" t="s">
        <v>488</v>
      </c>
      <c r="BG43">
        <v>13800</v>
      </c>
    </row>
    <row r="44" spans="1:59" x14ac:dyDescent="0.2">
      <c r="A44" s="400" t="s">
        <v>566</v>
      </c>
      <c r="B44" s="170"/>
      <c r="C44" s="401">
        <v>497.79860103121234</v>
      </c>
      <c r="D44" s="402" t="s">
        <v>565</v>
      </c>
      <c r="AT44" s="305"/>
      <c r="AY44" s="193"/>
    </row>
    <row r="45" spans="1:59" ht="13.5" thickBot="1" x14ac:dyDescent="0.25">
      <c r="A45" s="161" t="s">
        <v>149</v>
      </c>
      <c r="B45" s="171">
        <v>42</v>
      </c>
      <c r="C45" s="168">
        <v>737.24501165513811</v>
      </c>
      <c r="AS45" s="25" t="s">
        <v>261</v>
      </c>
      <c r="AT45" s="305" t="s">
        <v>239</v>
      </c>
      <c r="AX45" s="25">
        <v>4</v>
      </c>
      <c r="AY45" s="193">
        <f>O28</f>
        <v>665.582146412273</v>
      </c>
      <c r="BE45" t="s">
        <v>292</v>
      </c>
      <c r="BF45" t="s">
        <v>488</v>
      </c>
      <c r="BG45">
        <v>15800</v>
      </c>
    </row>
    <row r="46" spans="1:59" x14ac:dyDescent="0.2">
      <c r="A46" s="403" t="s">
        <v>569</v>
      </c>
      <c r="C46" s="404">
        <f t="shared" ref="C33:C47" ca="1" si="2">RAND()*1000</f>
        <v>561.01250445662538</v>
      </c>
      <c r="D46" s="402" t="s">
        <v>565</v>
      </c>
      <c r="AS46" s="25" t="s">
        <v>262</v>
      </c>
      <c r="AT46" s="305" t="s">
        <v>239</v>
      </c>
      <c r="AX46" s="25">
        <v>4.5</v>
      </c>
      <c r="AY46" s="193">
        <f>O29</f>
        <v>511.60184653230425</v>
      </c>
      <c r="BE46" t="s">
        <v>293</v>
      </c>
      <c r="BF46" t="s">
        <v>488</v>
      </c>
      <c r="BG46">
        <v>14800</v>
      </c>
    </row>
    <row r="47" spans="1:59" x14ac:dyDescent="0.2">
      <c r="A47" s="403" t="s">
        <v>570</v>
      </c>
      <c r="C47" s="404">
        <f t="shared" ca="1" si="2"/>
        <v>849.26211666386564</v>
      </c>
      <c r="D47" s="402" t="s">
        <v>565</v>
      </c>
      <c r="AS47" s="25" t="s">
        <v>263</v>
      </c>
      <c r="AT47" s="305" t="s">
        <v>239</v>
      </c>
      <c r="AX47" s="25">
        <v>5</v>
      </c>
      <c r="AY47" s="193">
        <f>O30</f>
        <v>692.3536181779217</v>
      </c>
      <c r="BE47" t="s">
        <v>236</v>
      </c>
      <c r="BF47" t="s">
        <v>488</v>
      </c>
      <c r="BG47">
        <v>17800</v>
      </c>
    </row>
    <row r="48" spans="1:59" x14ac:dyDescent="0.2">
      <c r="AS48" s="25" t="s">
        <v>264</v>
      </c>
      <c r="AT48" s="305" t="s">
        <v>239</v>
      </c>
      <c r="AX48" s="25">
        <v>5.5</v>
      </c>
      <c r="AY48" s="193">
        <f>O31</f>
        <v>189.32220583721448</v>
      </c>
      <c r="BE48" t="s">
        <v>294</v>
      </c>
      <c r="BF48" t="s">
        <v>488</v>
      </c>
      <c r="BG48">
        <v>20500</v>
      </c>
    </row>
    <row r="49" spans="45:59" x14ac:dyDescent="0.2">
      <c r="AS49" s="25" t="s">
        <v>265</v>
      </c>
      <c r="AT49" s="305" t="s">
        <v>288</v>
      </c>
      <c r="AX49" s="25">
        <v>6</v>
      </c>
      <c r="AY49" s="193">
        <f>O32</f>
        <v>562.85252294080613</v>
      </c>
      <c r="BE49" t="s">
        <v>295</v>
      </c>
      <c r="BF49" t="s">
        <v>488</v>
      </c>
      <c r="BG49">
        <v>22700</v>
      </c>
    </row>
    <row r="50" spans="45:59" x14ac:dyDescent="0.2">
      <c r="AS50" s="25" t="s">
        <v>266</v>
      </c>
      <c r="AT50" s="305" t="s">
        <v>288</v>
      </c>
    </row>
    <row r="51" spans="45:59" x14ac:dyDescent="0.2">
      <c r="AS51" s="25" t="s">
        <v>267</v>
      </c>
      <c r="AT51" s="305" t="s">
        <v>288</v>
      </c>
      <c r="BE51" s="150" t="s">
        <v>296</v>
      </c>
      <c r="BF51" s="150" t="s">
        <v>488</v>
      </c>
      <c r="BG51" s="150">
        <v>4320</v>
      </c>
    </row>
    <row r="52" spans="45:59" x14ac:dyDescent="0.2">
      <c r="AS52" s="25" t="s">
        <v>268</v>
      </c>
      <c r="AT52" s="305" t="s">
        <v>288</v>
      </c>
      <c r="BE52" s="150" t="s">
        <v>297</v>
      </c>
      <c r="BF52" s="150" t="s">
        <v>488</v>
      </c>
      <c r="BG52" s="150">
        <v>5000</v>
      </c>
    </row>
    <row r="53" spans="45:59" x14ac:dyDescent="0.2">
      <c r="AS53" s="25" t="s">
        <v>269</v>
      </c>
      <c r="AT53" s="305" t="s">
        <v>288</v>
      </c>
      <c r="BE53" s="150" t="s">
        <v>298</v>
      </c>
      <c r="BF53" s="150" t="s">
        <v>488</v>
      </c>
      <c r="BG53" s="150">
        <v>5760</v>
      </c>
    </row>
    <row r="54" spans="45:59" x14ac:dyDescent="0.2">
      <c r="AS54" s="25" t="s">
        <v>270</v>
      </c>
      <c r="AT54" s="305" t="s">
        <v>288</v>
      </c>
      <c r="BE54" s="150" t="s">
        <v>299</v>
      </c>
      <c r="BF54" s="150" t="s">
        <v>488</v>
      </c>
      <c r="BG54" s="150">
        <v>6480</v>
      </c>
    </row>
    <row r="55" spans="45:59" x14ac:dyDescent="0.2">
      <c r="AS55" s="25" t="s">
        <v>271</v>
      </c>
      <c r="AT55" s="305" t="s">
        <v>288</v>
      </c>
    </row>
    <row r="56" spans="45:59" x14ac:dyDescent="0.2">
      <c r="AS56" s="25" t="s">
        <v>272</v>
      </c>
      <c r="AT56" s="305" t="s">
        <v>288</v>
      </c>
      <c r="BE56" t="s">
        <v>233</v>
      </c>
      <c r="BF56" t="s">
        <v>488</v>
      </c>
      <c r="BG56">
        <v>20250</v>
      </c>
    </row>
    <row r="57" spans="45:59" x14ac:dyDescent="0.2">
      <c r="AS57" s="25" t="s">
        <v>273</v>
      </c>
      <c r="AT57" s="305" t="s">
        <v>288</v>
      </c>
      <c r="BE57" t="s">
        <v>234</v>
      </c>
      <c r="BF57" t="s">
        <v>488</v>
      </c>
      <c r="BG57">
        <v>24300</v>
      </c>
    </row>
    <row r="58" spans="45:59" x14ac:dyDescent="0.2">
      <c r="AS58" s="25" t="s">
        <v>274</v>
      </c>
      <c r="AT58" s="305" t="s">
        <v>288</v>
      </c>
      <c r="BE58" t="s">
        <v>235</v>
      </c>
      <c r="BF58" t="s">
        <v>488</v>
      </c>
      <c r="BG58">
        <v>32400</v>
      </c>
    </row>
    <row r="59" spans="45:59" x14ac:dyDescent="0.2">
      <c r="AS59" s="25" t="s">
        <v>275</v>
      </c>
      <c r="AT59" s="305" t="s">
        <v>288</v>
      </c>
    </row>
    <row r="60" spans="45:59" x14ac:dyDescent="0.2">
      <c r="AS60" s="25" t="s">
        <v>276</v>
      </c>
      <c r="AT60" s="305" t="s">
        <v>239</v>
      </c>
      <c r="BE60" s="150" t="s">
        <v>507</v>
      </c>
      <c r="BF60" t="s">
        <v>488</v>
      </c>
      <c r="BG60">
        <v>5063</v>
      </c>
    </row>
    <row r="61" spans="45:59" x14ac:dyDescent="0.2">
      <c r="AS61" s="25" t="s">
        <v>277</v>
      </c>
      <c r="AT61" s="305" t="s">
        <v>239</v>
      </c>
      <c r="BE61" s="150" t="s">
        <v>508</v>
      </c>
      <c r="BF61" t="s">
        <v>488</v>
      </c>
      <c r="BG61">
        <v>5063</v>
      </c>
    </row>
    <row r="62" spans="45:59" x14ac:dyDescent="0.2">
      <c r="AS62" s="25" t="s">
        <v>278</v>
      </c>
      <c r="AT62" s="305" t="s">
        <v>239</v>
      </c>
      <c r="BE62" s="150" t="s">
        <v>509</v>
      </c>
      <c r="BF62" t="s">
        <v>488</v>
      </c>
      <c r="BG62">
        <v>8200</v>
      </c>
    </row>
    <row r="63" spans="45:59" x14ac:dyDescent="0.2">
      <c r="AS63" s="25" t="s">
        <v>279</v>
      </c>
      <c r="AT63" s="305" t="s">
        <v>239</v>
      </c>
      <c r="BE63" s="150" t="s">
        <v>510</v>
      </c>
      <c r="BF63" t="s">
        <v>488</v>
      </c>
      <c r="BG63">
        <v>9113</v>
      </c>
    </row>
    <row r="64" spans="45:59" x14ac:dyDescent="0.2">
      <c r="AS64" s="25" t="s">
        <v>280</v>
      </c>
      <c r="AT64" s="305" t="s">
        <v>239</v>
      </c>
      <c r="BE64" s="150" t="s">
        <v>511</v>
      </c>
      <c r="BF64" t="s">
        <v>488</v>
      </c>
      <c r="BG64">
        <v>9110</v>
      </c>
    </row>
    <row r="65" spans="45:59" x14ac:dyDescent="0.2">
      <c r="AS65" s="25" t="s">
        <v>281</v>
      </c>
      <c r="AT65" s="305" t="s">
        <v>239</v>
      </c>
      <c r="BE65" s="150" t="s">
        <v>512</v>
      </c>
      <c r="BF65" t="s">
        <v>488</v>
      </c>
      <c r="BG65">
        <v>13163</v>
      </c>
    </row>
    <row r="66" spans="45:59" x14ac:dyDescent="0.2">
      <c r="AS66" s="25" t="s">
        <v>282</v>
      </c>
      <c r="AT66" s="305" t="s">
        <v>239</v>
      </c>
      <c r="BE66" s="150" t="s">
        <v>513</v>
      </c>
      <c r="BF66" t="s">
        <v>488</v>
      </c>
      <c r="BG66">
        <v>12150</v>
      </c>
    </row>
    <row r="67" spans="45:59" x14ac:dyDescent="0.2">
      <c r="AS67" s="25" t="s">
        <v>283</v>
      </c>
      <c r="AT67" s="305" t="s">
        <v>239</v>
      </c>
      <c r="BE67" s="150" t="s">
        <v>514</v>
      </c>
      <c r="BF67" t="s">
        <v>488</v>
      </c>
      <c r="BG67">
        <v>16200</v>
      </c>
    </row>
    <row r="68" spans="45:59" x14ac:dyDescent="0.2">
      <c r="AS68" s="25" t="s">
        <v>284</v>
      </c>
      <c r="AT68" s="305" t="s">
        <v>239</v>
      </c>
      <c r="BE68" s="150" t="s">
        <v>515</v>
      </c>
      <c r="BF68" t="s">
        <v>488</v>
      </c>
      <c r="BG68">
        <v>16200</v>
      </c>
    </row>
    <row r="69" spans="45:59" x14ac:dyDescent="0.2">
      <c r="AS69" s="25" t="s">
        <v>285</v>
      </c>
      <c r="AT69" s="305" t="s">
        <v>239</v>
      </c>
      <c r="BE69" s="150" t="s">
        <v>516</v>
      </c>
      <c r="BF69" t="s">
        <v>488</v>
      </c>
      <c r="BG69">
        <v>15188</v>
      </c>
    </row>
    <row r="70" spans="45:59" x14ac:dyDescent="0.2">
      <c r="AS70" s="25" t="s">
        <v>286</v>
      </c>
      <c r="AT70" s="305" t="s">
        <v>239</v>
      </c>
      <c r="BE70" s="150" t="s">
        <v>517</v>
      </c>
      <c r="BF70" t="s">
        <v>488</v>
      </c>
      <c r="BG70">
        <v>14175</v>
      </c>
    </row>
    <row r="71" spans="45:59" x14ac:dyDescent="0.2">
      <c r="AS71" s="25" t="s">
        <v>287</v>
      </c>
      <c r="AT71" s="305" t="s">
        <v>239</v>
      </c>
      <c r="BE71" s="150" t="s">
        <v>496</v>
      </c>
      <c r="BF71" s="150" t="s">
        <v>488</v>
      </c>
      <c r="BG71" s="150">
        <v>1000</v>
      </c>
    </row>
    <row r="72" spans="45:59" x14ac:dyDescent="0.2">
      <c r="AS72" s="25" t="s">
        <v>387</v>
      </c>
      <c r="AT72" s="25" t="s">
        <v>386</v>
      </c>
      <c r="BE72" s="150" t="s">
        <v>518</v>
      </c>
      <c r="BF72" s="150" t="s">
        <v>488</v>
      </c>
      <c r="BG72" s="150">
        <v>1000</v>
      </c>
    </row>
    <row r="73" spans="45:59" x14ac:dyDescent="0.2">
      <c r="AS73" s="25" t="s">
        <v>388</v>
      </c>
      <c r="AT73" s="25" t="s">
        <v>386</v>
      </c>
      <c r="BE73" s="150" t="s">
        <v>519</v>
      </c>
      <c r="BF73" s="150" t="s">
        <v>488</v>
      </c>
      <c r="BG73" s="150">
        <v>2000</v>
      </c>
    </row>
    <row r="74" spans="45:59" x14ac:dyDescent="0.2">
      <c r="AS74" s="25" t="s">
        <v>389</v>
      </c>
      <c r="AT74" s="25" t="s">
        <v>386</v>
      </c>
      <c r="BE74" s="150" t="s">
        <v>520</v>
      </c>
      <c r="BF74" s="150" t="s">
        <v>488</v>
      </c>
      <c r="BG74" s="150">
        <v>6000</v>
      </c>
    </row>
    <row r="75" spans="45:59" x14ac:dyDescent="0.2">
      <c r="AS75" s="25" t="s">
        <v>390</v>
      </c>
      <c r="AT75" s="305" t="s">
        <v>386</v>
      </c>
      <c r="BE75" s="150" t="s">
        <v>521</v>
      </c>
      <c r="BF75" s="150" t="s">
        <v>488</v>
      </c>
      <c r="BG75" s="150">
        <v>6000</v>
      </c>
    </row>
    <row r="76" spans="45:59" x14ac:dyDescent="0.2">
      <c r="AS76" s="25" t="s">
        <v>391</v>
      </c>
      <c r="AT76" s="305" t="s">
        <v>386</v>
      </c>
      <c r="BE76" s="150" t="s">
        <v>522</v>
      </c>
      <c r="BF76" s="150" t="s">
        <v>488</v>
      </c>
      <c r="BG76" s="150">
        <v>10000</v>
      </c>
    </row>
    <row r="77" spans="45:59" x14ac:dyDescent="0.2">
      <c r="AS77" s="25" t="s">
        <v>392</v>
      </c>
      <c r="AT77" s="305" t="s">
        <v>386</v>
      </c>
      <c r="BE77" s="150" t="s">
        <v>523</v>
      </c>
      <c r="BF77" s="150" t="s">
        <v>488</v>
      </c>
      <c r="BG77" s="150">
        <v>10000</v>
      </c>
    </row>
    <row r="78" spans="45:59" x14ac:dyDescent="0.2">
      <c r="AS78" s="25" t="s">
        <v>393</v>
      </c>
      <c r="AT78" s="305" t="s">
        <v>386</v>
      </c>
      <c r="BE78" s="150" t="s">
        <v>524</v>
      </c>
      <c r="BF78" s="150" t="s">
        <v>488</v>
      </c>
      <c r="BG78" s="150">
        <v>14000</v>
      </c>
    </row>
    <row r="79" spans="45:59" x14ac:dyDescent="0.2">
      <c r="AS79" s="25" t="s">
        <v>394</v>
      </c>
      <c r="AT79" s="305" t="s">
        <v>386</v>
      </c>
      <c r="BE79" s="150" t="s">
        <v>525</v>
      </c>
      <c r="BF79" s="150" t="s">
        <v>488</v>
      </c>
      <c r="BG79" s="150">
        <v>14000</v>
      </c>
    </row>
    <row r="80" spans="45:59" x14ac:dyDescent="0.2">
      <c r="AS80" s="25" t="s">
        <v>395</v>
      </c>
      <c r="AT80" s="305" t="s">
        <v>386</v>
      </c>
      <c r="BE80" s="150" t="s">
        <v>526</v>
      </c>
      <c r="BF80" s="150" t="s">
        <v>488</v>
      </c>
      <c r="BG80" s="150">
        <v>12000</v>
      </c>
    </row>
    <row r="81" spans="45:61" x14ac:dyDescent="0.2">
      <c r="AS81" s="25" t="s">
        <v>396</v>
      </c>
      <c r="AT81" s="305" t="s">
        <v>386</v>
      </c>
      <c r="BE81" s="150" t="s">
        <v>527</v>
      </c>
      <c r="BF81" s="150" t="s">
        <v>488</v>
      </c>
      <c r="BG81" s="150">
        <v>12000</v>
      </c>
    </row>
    <row r="82" spans="45:61" x14ac:dyDescent="0.2">
      <c r="AS82" s="25" t="s">
        <v>397</v>
      </c>
      <c r="AT82" s="305" t="s">
        <v>386</v>
      </c>
    </row>
    <row r="83" spans="45:61" x14ac:dyDescent="0.2">
      <c r="AS83" s="318" t="s">
        <v>216</v>
      </c>
      <c r="AT83" s="305" t="s">
        <v>206</v>
      </c>
      <c r="BE83" t="s">
        <v>372</v>
      </c>
      <c r="BF83" s="150" t="s">
        <v>487</v>
      </c>
      <c r="BG83">
        <v>0.3</v>
      </c>
      <c r="BH83">
        <v>0.3</v>
      </c>
      <c r="BI83">
        <v>0.26</v>
      </c>
    </row>
    <row r="84" spans="45:61" x14ac:dyDescent="0.2">
      <c r="AS84" s="318" t="s">
        <v>217</v>
      </c>
      <c r="AT84" s="305" t="s">
        <v>206</v>
      </c>
      <c r="BE84" t="s">
        <v>373</v>
      </c>
      <c r="BF84" s="150" t="s">
        <v>487</v>
      </c>
      <c r="BG84">
        <v>0.46</v>
      </c>
      <c r="BH84">
        <v>0.46</v>
      </c>
      <c r="BI84">
        <v>0.32</v>
      </c>
    </row>
    <row r="85" spans="45:61" ht="13.5" thickBot="1" x14ac:dyDescent="0.25">
      <c r="AS85" s="319" t="s">
        <v>218</v>
      </c>
      <c r="AT85" s="305" t="s">
        <v>206</v>
      </c>
      <c r="BE85" t="s">
        <v>483</v>
      </c>
      <c r="BF85" s="150" t="s">
        <v>487</v>
      </c>
      <c r="BG85">
        <v>0.24</v>
      </c>
      <c r="BH85">
        <v>0</v>
      </c>
      <c r="BI85">
        <v>0.22</v>
      </c>
    </row>
    <row r="86" spans="45:61" x14ac:dyDescent="0.2">
      <c r="AS86" s="25" t="s">
        <v>372</v>
      </c>
      <c r="BE86" t="s">
        <v>482</v>
      </c>
      <c r="BF86" s="150" t="s">
        <v>487</v>
      </c>
      <c r="BG86">
        <v>0.26</v>
      </c>
      <c r="BH86">
        <v>0</v>
      </c>
      <c r="BI86">
        <v>0.25</v>
      </c>
    </row>
    <row r="87" spans="45:61" x14ac:dyDescent="0.2">
      <c r="AS87" s="25" t="s">
        <v>373</v>
      </c>
      <c r="BE87" s="25" t="s">
        <v>367</v>
      </c>
      <c r="BF87" s="25" t="s">
        <v>488</v>
      </c>
      <c r="BG87" s="25">
        <v>3765.4875000000002</v>
      </c>
    </row>
    <row r="88" spans="45:61" x14ac:dyDescent="0.2">
      <c r="AS88" s="25" t="s">
        <v>483</v>
      </c>
      <c r="BE88" s="25" t="s">
        <v>368</v>
      </c>
      <c r="BF88" s="25" t="s">
        <v>488</v>
      </c>
      <c r="BG88" s="25">
        <v>4258.0687499999995</v>
      </c>
    </row>
    <row r="89" spans="45:61" x14ac:dyDescent="0.2">
      <c r="AS89" s="305" t="s">
        <v>482</v>
      </c>
      <c r="BE89" s="25" t="s">
        <v>369</v>
      </c>
      <c r="BF89" s="25" t="s">
        <v>488</v>
      </c>
      <c r="BG89" s="25">
        <v>4750.6500000000005</v>
      </c>
    </row>
    <row r="90" spans="45:61" x14ac:dyDescent="0.2">
      <c r="AS90" s="25" t="s">
        <v>367</v>
      </c>
      <c r="BE90" s="25" t="s">
        <v>370</v>
      </c>
      <c r="BF90" s="25" t="s">
        <v>488</v>
      </c>
      <c r="BG90" s="25">
        <v>5162.2312499999998</v>
      </c>
    </row>
    <row r="91" spans="45:61" x14ac:dyDescent="0.2">
      <c r="AS91" s="25" t="s">
        <v>368</v>
      </c>
      <c r="BE91" s="25" t="s">
        <v>371</v>
      </c>
      <c r="BF91" s="25" t="s">
        <v>488</v>
      </c>
      <c r="BG91" s="25">
        <v>5654.8125</v>
      </c>
    </row>
    <row r="92" spans="45:61" x14ac:dyDescent="0.2">
      <c r="AS92" s="25" t="s">
        <v>369</v>
      </c>
      <c r="BE92" s="25" t="s">
        <v>360</v>
      </c>
      <c r="BF92" s="25" t="s">
        <v>488</v>
      </c>
      <c r="BG92" s="25">
        <v>4345.6499999999996</v>
      </c>
    </row>
    <row r="93" spans="45:61" x14ac:dyDescent="0.2">
      <c r="AS93" s="25" t="s">
        <v>370</v>
      </c>
      <c r="BE93" s="25" t="s">
        <v>361</v>
      </c>
      <c r="BF93" s="25" t="s">
        <v>488</v>
      </c>
      <c r="BG93" s="25">
        <v>4894.4249999999993</v>
      </c>
    </row>
    <row r="94" spans="45:61" x14ac:dyDescent="0.2">
      <c r="AS94" s="25" t="s">
        <v>371</v>
      </c>
      <c r="BE94" s="25" t="s">
        <v>362</v>
      </c>
      <c r="BF94" s="25" t="s">
        <v>488</v>
      </c>
      <c r="BG94" s="25">
        <v>5443.2</v>
      </c>
    </row>
    <row r="95" spans="45:61" x14ac:dyDescent="0.2">
      <c r="AS95" s="25" t="s">
        <v>360</v>
      </c>
      <c r="BE95" s="25" t="s">
        <v>363</v>
      </c>
      <c r="BF95" s="25" t="s">
        <v>488</v>
      </c>
      <c r="BG95" s="25">
        <v>5910.9750000000004</v>
      </c>
    </row>
    <row r="96" spans="45:61" x14ac:dyDescent="0.2">
      <c r="AS96" s="25" t="s">
        <v>361</v>
      </c>
      <c r="BE96" s="25" t="s">
        <v>364</v>
      </c>
      <c r="BF96" s="25" t="s">
        <v>488</v>
      </c>
      <c r="BG96" s="25">
        <v>6459.75</v>
      </c>
    </row>
    <row r="97" spans="45:61" x14ac:dyDescent="0.2">
      <c r="AS97" s="25" t="s">
        <v>362</v>
      </c>
      <c r="BE97" s="25" t="s">
        <v>365</v>
      </c>
      <c r="BF97" s="25" t="s">
        <v>488</v>
      </c>
      <c r="BG97" s="25">
        <v>7257.6</v>
      </c>
    </row>
    <row r="98" spans="45:61" x14ac:dyDescent="0.2">
      <c r="AS98" s="25" t="s">
        <v>363</v>
      </c>
      <c r="BE98" s="25" t="s">
        <v>366</v>
      </c>
      <c r="BF98" s="25" t="s">
        <v>488</v>
      </c>
      <c r="BG98" s="25">
        <v>7962.2999999999993</v>
      </c>
    </row>
    <row r="99" spans="45:61" x14ac:dyDescent="0.2">
      <c r="AS99" s="25" t="s">
        <v>364</v>
      </c>
      <c r="BE99" s="25" t="s">
        <v>409</v>
      </c>
      <c r="BF99" s="25" t="s">
        <v>488</v>
      </c>
      <c r="BG99" s="25">
        <v>4058.1</v>
      </c>
    </row>
    <row r="100" spans="45:61" x14ac:dyDescent="0.2">
      <c r="AS100" s="25" t="s">
        <v>365</v>
      </c>
      <c r="BE100" s="25" t="s">
        <v>410</v>
      </c>
      <c r="BF100" s="25" t="s">
        <v>488</v>
      </c>
      <c r="BG100" s="25">
        <v>4531.95</v>
      </c>
    </row>
    <row r="101" spans="45:61" x14ac:dyDescent="0.2">
      <c r="AS101" s="25" t="s">
        <v>366</v>
      </c>
      <c r="BE101" s="25" t="s">
        <v>411</v>
      </c>
      <c r="BF101" s="25" t="s">
        <v>488</v>
      </c>
      <c r="BG101" s="25">
        <v>5086.8</v>
      </c>
    </row>
    <row r="102" spans="45:61" x14ac:dyDescent="0.2">
      <c r="AS102" s="305" t="s">
        <v>409</v>
      </c>
      <c r="BE102" s="25" t="s">
        <v>412</v>
      </c>
      <c r="BF102" s="25" t="s">
        <v>488</v>
      </c>
      <c r="BG102" s="25">
        <v>5560.65</v>
      </c>
    </row>
    <row r="103" spans="45:61" x14ac:dyDescent="0.2">
      <c r="AS103" s="305" t="s">
        <v>410</v>
      </c>
      <c r="BE103" s="25" t="s">
        <v>413</v>
      </c>
      <c r="BF103" s="25" t="s">
        <v>488</v>
      </c>
      <c r="BG103" s="25">
        <v>6034.5</v>
      </c>
    </row>
    <row r="104" spans="45:61" x14ac:dyDescent="0.2">
      <c r="AS104" s="305" t="s">
        <v>411</v>
      </c>
      <c r="BE104" s="25" t="s">
        <v>414</v>
      </c>
      <c r="BF104" s="25" t="s">
        <v>488</v>
      </c>
      <c r="BG104" s="25">
        <v>6508.35</v>
      </c>
    </row>
    <row r="105" spans="45:61" x14ac:dyDescent="0.2">
      <c r="AS105" s="305" t="s">
        <v>412</v>
      </c>
      <c r="BE105" s="25" t="s">
        <v>415</v>
      </c>
      <c r="BF105" s="25" t="s">
        <v>488</v>
      </c>
      <c r="BG105" s="25">
        <v>7063.2</v>
      </c>
    </row>
    <row r="106" spans="45:61" x14ac:dyDescent="0.2">
      <c r="AS106" s="305" t="s">
        <v>413</v>
      </c>
      <c r="BE106" t="s">
        <v>417</v>
      </c>
      <c r="BF106" t="s">
        <v>488</v>
      </c>
      <c r="BG106">
        <v>4058.1</v>
      </c>
    </row>
    <row r="107" spans="45:61" x14ac:dyDescent="0.2">
      <c r="AS107" s="305" t="s">
        <v>414</v>
      </c>
      <c r="BE107" t="s">
        <v>484</v>
      </c>
      <c r="BF107" s="150" t="s">
        <v>487</v>
      </c>
      <c r="BG107">
        <v>0.26</v>
      </c>
      <c r="BH107">
        <v>0</v>
      </c>
      <c r="BI107">
        <v>0.25</v>
      </c>
    </row>
    <row r="108" spans="45:61" x14ac:dyDescent="0.2">
      <c r="AS108" s="305" t="s">
        <v>415</v>
      </c>
      <c r="BE108" t="s">
        <v>418</v>
      </c>
      <c r="BF108" t="s">
        <v>488</v>
      </c>
      <c r="BG108">
        <v>4531.95</v>
      </c>
    </row>
    <row r="109" spans="45:61" x14ac:dyDescent="0.2">
      <c r="AS109" s="305" t="s">
        <v>417</v>
      </c>
      <c r="BE109" t="s">
        <v>419</v>
      </c>
      <c r="BF109" t="s">
        <v>488</v>
      </c>
      <c r="BG109">
        <v>5086.8</v>
      </c>
    </row>
    <row r="110" spans="45:61" x14ac:dyDescent="0.2">
      <c r="AS110" s="305" t="s">
        <v>484</v>
      </c>
      <c r="BE110" t="s">
        <v>420</v>
      </c>
      <c r="BF110" t="s">
        <v>488</v>
      </c>
      <c r="BG110">
        <v>5560.65</v>
      </c>
    </row>
    <row r="111" spans="45:61" x14ac:dyDescent="0.2">
      <c r="AS111" s="305" t="s">
        <v>418</v>
      </c>
      <c r="BE111" t="s">
        <v>421</v>
      </c>
      <c r="BF111" t="s">
        <v>488</v>
      </c>
      <c r="BG111">
        <v>6034.5</v>
      </c>
    </row>
    <row r="112" spans="45:61" x14ac:dyDescent="0.2">
      <c r="AS112" s="305" t="s">
        <v>419</v>
      </c>
      <c r="BE112" t="s">
        <v>422</v>
      </c>
      <c r="BF112" t="s">
        <v>488</v>
      </c>
      <c r="BG112">
        <v>6508.35</v>
      </c>
    </row>
    <row r="113" spans="45:59" x14ac:dyDescent="0.2">
      <c r="AS113" s="305" t="s">
        <v>420</v>
      </c>
      <c r="BE113" t="s">
        <v>423</v>
      </c>
      <c r="BF113" t="s">
        <v>488</v>
      </c>
      <c r="BG113">
        <v>7063.2</v>
      </c>
    </row>
    <row r="114" spans="45:59" x14ac:dyDescent="0.2">
      <c r="AS114" s="305" t="s">
        <v>421</v>
      </c>
    </row>
    <row r="115" spans="45:59" x14ac:dyDescent="0.2">
      <c r="AS115" s="305" t="s">
        <v>422</v>
      </c>
    </row>
    <row r="116" spans="45:59" x14ac:dyDescent="0.2">
      <c r="AS116" s="305" t="s">
        <v>423</v>
      </c>
    </row>
  </sheetData>
  <sortState xmlns:xlrd2="http://schemas.microsoft.com/office/spreadsheetml/2017/richdata2" ref="AV1:AV7">
    <sortCondition ref="AV1:AV7"/>
  </sortState>
  <mergeCells count="17">
    <mergeCell ref="A1:B1"/>
    <mergeCell ref="A12:D12"/>
    <mergeCell ref="A22:D22"/>
    <mergeCell ref="F12:I12"/>
    <mergeCell ref="F16:I16"/>
    <mergeCell ref="Q13:R13"/>
    <mergeCell ref="Q18:R18"/>
    <mergeCell ref="Q1:R1"/>
    <mergeCell ref="Q9:R9"/>
    <mergeCell ref="AK1:AL1"/>
    <mergeCell ref="K30:L30"/>
    <mergeCell ref="K1:L1"/>
    <mergeCell ref="K16:L16"/>
    <mergeCell ref="K25:L25"/>
    <mergeCell ref="N7:O7"/>
    <mergeCell ref="N13:O13"/>
    <mergeCell ref="N1:O1"/>
  </mergeCells>
  <phoneticPr fontId="46"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S51"/>
  <sheetViews>
    <sheetView topLeftCell="A17" zoomScale="90" zoomScaleNormal="90" workbookViewId="0">
      <selection activeCell="Q3" sqref="Q3"/>
    </sheetView>
  </sheetViews>
  <sheetFormatPr defaultRowHeight="12.75" x14ac:dyDescent="0.2"/>
  <cols>
    <col min="1" max="1" width="23.85546875" bestFit="1" customWidth="1"/>
    <col min="4" max="4" width="13.5703125" customWidth="1"/>
    <col min="5" max="5" width="11.85546875" hidden="1" customWidth="1"/>
    <col min="6" max="6" width="11.5703125" customWidth="1"/>
    <col min="7" max="7" width="10.85546875" customWidth="1"/>
    <col min="8" max="8" width="21.7109375" customWidth="1"/>
    <col min="9" max="9" width="12.140625" bestFit="1" customWidth="1"/>
    <col min="10" max="10" width="12.28515625" customWidth="1"/>
    <col min="12" max="12" width="9.42578125" customWidth="1"/>
    <col min="13" max="13" width="12" customWidth="1"/>
  </cols>
  <sheetData>
    <row r="1" spans="1:19" ht="16.5" thickBot="1" x14ac:dyDescent="0.3">
      <c r="A1" s="258" t="s">
        <v>442</v>
      </c>
      <c r="B1" s="1" t="s">
        <v>443</v>
      </c>
      <c r="C1" s="258"/>
      <c r="D1" s="258"/>
      <c r="E1" s="258"/>
      <c r="F1" s="258"/>
      <c r="G1" s="258"/>
    </row>
    <row r="2" spans="1:19" ht="17.25" thickTop="1" thickBot="1" x14ac:dyDescent="0.3">
      <c r="A2" s="337" t="s">
        <v>18</v>
      </c>
      <c r="B2" s="338" t="s">
        <v>13</v>
      </c>
      <c r="C2" s="338" t="s">
        <v>14</v>
      </c>
      <c r="D2" s="338" t="s">
        <v>15</v>
      </c>
      <c r="E2" s="338"/>
      <c r="F2" s="339"/>
      <c r="G2" s="338" t="s">
        <v>449</v>
      </c>
      <c r="H2" s="347" t="str">
        <f>_xlfn.CONCAT("$", Info!$B$2," / CY")</f>
        <v>$399.248860489439 / CY</v>
      </c>
      <c r="I2" s="340"/>
      <c r="J2" s="340"/>
      <c r="K2" s="358" t="s">
        <v>28</v>
      </c>
      <c r="L2" s="358"/>
      <c r="M2" s="359"/>
      <c r="S2" s="147"/>
    </row>
    <row r="3" spans="1:19" ht="15.75" x14ac:dyDescent="0.25">
      <c r="A3" s="258" t="s">
        <v>16</v>
      </c>
      <c r="B3" s="341">
        <v>4</v>
      </c>
      <c r="C3" s="341">
        <v>4</v>
      </c>
      <c r="D3" s="341">
        <v>4.5</v>
      </c>
      <c r="E3" s="21"/>
      <c r="F3">
        <f>PRODUCT(B3*C3*D3)/27</f>
        <v>2.6666666666666665</v>
      </c>
      <c r="G3" s="25"/>
      <c r="I3" s="22"/>
      <c r="K3" s="1" t="s">
        <v>29</v>
      </c>
      <c r="L3" s="1"/>
      <c r="M3" s="258"/>
      <c r="S3" s="147"/>
    </row>
    <row r="4" spans="1:19" ht="15.75" x14ac:dyDescent="0.25">
      <c r="A4" s="258" t="s">
        <v>17</v>
      </c>
      <c r="B4" s="20">
        <v>3</v>
      </c>
      <c r="C4" s="20">
        <v>3</v>
      </c>
      <c r="D4" s="20">
        <v>4</v>
      </c>
      <c r="E4" s="116">
        <f>D4</f>
        <v>4</v>
      </c>
      <c r="F4">
        <f>PRODUCT(B4*C4*D4)/27</f>
        <v>1.3333333333333333</v>
      </c>
      <c r="G4" s="25"/>
      <c r="I4" s="22" t="s">
        <v>20</v>
      </c>
      <c r="K4" s="1" t="s">
        <v>30</v>
      </c>
      <c r="L4" s="1"/>
      <c r="M4" s="258"/>
      <c r="S4" s="147"/>
    </row>
    <row r="5" spans="1:19" ht="15.75" x14ac:dyDescent="0.25">
      <c r="A5" s="258" t="s">
        <v>441</v>
      </c>
      <c r="B5" s="335"/>
      <c r="C5" s="335"/>
      <c r="D5" s="335"/>
      <c r="E5" s="336"/>
      <c r="F5">
        <f>PRODUCT(B5*C5*D5)/27</f>
        <v>0</v>
      </c>
      <c r="G5" s="25"/>
      <c r="I5" s="22" t="s">
        <v>21</v>
      </c>
      <c r="J5" s="348" t="s">
        <v>22</v>
      </c>
      <c r="K5" s="1"/>
      <c r="L5" s="1"/>
      <c r="M5" s="258"/>
      <c r="S5" s="147"/>
    </row>
    <row r="6" spans="1:19" ht="15.75" x14ac:dyDescent="0.25">
      <c r="A6" s="258" t="s">
        <v>444</v>
      </c>
      <c r="B6" s="336">
        <v>0</v>
      </c>
      <c r="C6" s="336">
        <v>0</v>
      </c>
      <c r="D6" s="336">
        <v>0</v>
      </c>
      <c r="E6" s="336"/>
      <c r="F6">
        <f>SUM(B6*C6*D6)/27</f>
        <v>0</v>
      </c>
      <c r="G6" s="25"/>
      <c r="I6" s="22"/>
      <c r="J6" s="348"/>
      <c r="K6" s="1"/>
      <c r="L6" s="1"/>
      <c r="M6" s="258"/>
      <c r="S6" s="147"/>
    </row>
    <row r="7" spans="1:19" ht="15.75" x14ac:dyDescent="0.25">
      <c r="A7" s="150"/>
      <c r="B7" s="10"/>
      <c r="C7" s="10"/>
      <c r="D7" s="10"/>
      <c r="E7" s="10"/>
      <c r="F7" s="352">
        <f>SUM(F3-F4+F5+F6)</f>
        <v>1.3333333333333333</v>
      </c>
      <c r="G7" s="360">
        <f>ROUNDUP(F7,1)</f>
        <v>1.4000000000000001</v>
      </c>
      <c r="H7" s="355">
        <f>PRODUCT(G7*Info!$B$2)</f>
        <v>558.9484046852142</v>
      </c>
      <c r="I7" s="346">
        <f>PRODUCT(H7+Info!$B$7+Info!$B$8)</f>
        <v>1149.3230414481295</v>
      </c>
      <c r="J7" s="357">
        <f>PRODUCT(H7*2)</f>
        <v>1117.8968093704284</v>
      </c>
      <c r="K7" s="1"/>
      <c r="L7" s="1"/>
      <c r="M7" s="258"/>
      <c r="S7" s="147"/>
    </row>
    <row r="8" spans="1:19" ht="16.5" thickBot="1" x14ac:dyDescent="0.3">
      <c r="B8" s="10"/>
      <c r="C8" s="10"/>
      <c r="D8" s="10"/>
      <c r="E8" s="10"/>
      <c r="F8" s="25"/>
      <c r="G8" s="378" t="s">
        <v>485</v>
      </c>
      <c r="H8">
        <f>G7*WeightPerCY</f>
        <v>5670.0000000000009</v>
      </c>
      <c r="J8" s="349"/>
      <c r="K8" s="1"/>
      <c r="L8" s="1"/>
      <c r="M8" s="258"/>
    </row>
    <row r="9" spans="1:19" ht="17.25" thickTop="1" thickBot="1" x14ac:dyDescent="0.3">
      <c r="A9" s="337" t="s">
        <v>18</v>
      </c>
      <c r="B9" s="338" t="s">
        <v>13</v>
      </c>
      <c r="C9" s="338" t="s">
        <v>14</v>
      </c>
      <c r="D9" s="338" t="s">
        <v>15</v>
      </c>
      <c r="E9" s="338"/>
      <c r="F9" s="353"/>
      <c r="G9" s="354"/>
      <c r="H9" s="347" t="str">
        <f>_xlfn.CONCAT("$", Info!$B$3," / CY")</f>
        <v>$940.159552872321 / CY</v>
      </c>
      <c r="I9" s="340"/>
      <c r="J9" s="350"/>
      <c r="K9" s="358" t="s">
        <v>88</v>
      </c>
      <c r="L9" s="358"/>
      <c r="M9" s="359"/>
    </row>
    <row r="10" spans="1:19" ht="15.75" x14ac:dyDescent="0.25">
      <c r="A10" s="258" t="s">
        <v>16</v>
      </c>
      <c r="B10" s="341"/>
      <c r="C10" s="341"/>
      <c r="D10" s="341"/>
      <c r="E10" s="21"/>
      <c r="F10" s="25">
        <f>PRODUCT(B10*C10*D10)/27</f>
        <v>0</v>
      </c>
      <c r="G10" s="25"/>
      <c r="I10" s="22"/>
      <c r="J10" s="349"/>
      <c r="K10" s="1"/>
      <c r="L10" s="1"/>
      <c r="M10" s="258"/>
    </row>
    <row r="11" spans="1:19" ht="15.75" x14ac:dyDescent="0.25">
      <c r="A11" s="258" t="s">
        <v>17</v>
      </c>
      <c r="B11" s="20"/>
      <c r="C11" s="20"/>
      <c r="D11" s="20"/>
      <c r="E11" s="116">
        <f>D11</f>
        <v>0</v>
      </c>
      <c r="F11" s="25">
        <f>PRODUCT(B11*C11*D11)/27</f>
        <v>0</v>
      </c>
      <c r="G11" s="25"/>
      <c r="I11" s="22" t="s">
        <v>20</v>
      </c>
      <c r="J11" s="349"/>
      <c r="K11" s="1"/>
      <c r="L11" s="1"/>
      <c r="M11" s="258"/>
    </row>
    <row r="12" spans="1:19" ht="15.75" x14ac:dyDescent="0.25">
      <c r="A12" s="258" t="s">
        <v>441</v>
      </c>
      <c r="B12" s="335"/>
      <c r="C12" s="335"/>
      <c r="D12" s="335"/>
      <c r="E12" s="336"/>
      <c r="F12" s="25">
        <f>PRODUCT(B12*C12*D12)/27</f>
        <v>0</v>
      </c>
      <c r="G12" s="25"/>
      <c r="I12" s="22" t="s">
        <v>21</v>
      </c>
      <c r="J12" s="348" t="s">
        <v>22</v>
      </c>
      <c r="K12" s="1"/>
      <c r="L12" s="1"/>
      <c r="M12" s="258"/>
    </row>
    <row r="13" spans="1:19" ht="15.75" x14ac:dyDescent="0.25">
      <c r="A13" s="258" t="s">
        <v>444</v>
      </c>
      <c r="B13" s="336">
        <v>0</v>
      </c>
      <c r="C13" s="336">
        <v>0</v>
      </c>
      <c r="D13" s="336">
        <v>0</v>
      </c>
      <c r="E13" s="336"/>
      <c r="F13" s="25">
        <f>SUM(B13*C13*D13)/27</f>
        <v>0</v>
      </c>
      <c r="G13" s="25"/>
      <c r="I13" s="22"/>
      <c r="J13" s="348"/>
      <c r="K13" s="1"/>
      <c r="L13" s="1"/>
      <c r="M13" s="258"/>
    </row>
    <row r="14" spans="1:19" ht="15.75" x14ac:dyDescent="0.25">
      <c r="A14" s="150"/>
      <c r="B14" s="10"/>
      <c r="C14" s="10"/>
      <c r="D14" s="10"/>
      <c r="E14" s="10"/>
      <c r="F14" s="352">
        <f>SUM(F10-F11+F12+F13)</f>
        <v>0</v>
      </c>
      <c r="G14" s="360">
        <f>ROUNDUP(F14,1)</f>
        <v>0</v>
      </c>
      <c r="H14" s="355">
        <f>PRODUCT(G14*Info!$B$3)</f>
        <v>0</v>
      </c>
      <c r="I14" s="346">
        <f>PRODUCT(H14+Info!$B$7+Info!$B$8)</f>
        <v>590.37463676291532</v>
      </c>
      <c r="J14" s="357">
        <f>PRODUCT(H14*2)</f>
        <v>0</v>
      </c>
      <c r="K14" s="1"/>
      <c r="L14" s="1"/>
      <c r="M14" s="258"/>
    </row>
    <row r="15" spans="1:19" ht="16.5" thickBot="1" x14ac:dyDescent="0.3">
      <c r="B15" s="192"/>
      <c r="C15" s="192"/>
      <c r="D15" s="192"/>
      <c r="E15" s="192"/>
      <c r="F15" s="25"/>
      <c r="G15" s="378" t="s">
        <v>485</v>
      </c>
      <c r="H15">
        <f>G14*WeightPerCY</f>
        <v>0</v>
      </c>
      <c r="I15" s="193"/>
      <c r="J15" s="351"/>
      <c r="K15" s="1"/>
      <c r="L15" s="1"/>
      <c r="M15" s="258"/>
    </row>
    <row r="16" spans="1:19" ht="17.25" thickTop="1" thickBot="1" x14ac:dyDescent="0.3">
      <c r="A16" s="337" t="s">
        <v>18</v>
      </c>
      <c r="B16" s="338" t="s">
        <v>13</v>
      </c>
      <c r="C16" s="338" t="s">
        <v>14</v>
      </c>
      <c r="D16" s="338" t="s">
        <v>15</v>
      </c>
      <c r="E16" s="338"/>
      <c r="F16" s="353"/>
      <c r="G16" s="354"/>
      <c r="H16" s="347" t="str">
        <f>_xlfn.CONCAT("$", Info!$B$4," / CY")</f>
        <v>$635.093374375382 / CY</v>
      </c>
      <c r="I16" s="340"/>
      <c r="J16" s="350"/>
      <c r="K16" s="358" t="s">
        <v>89</v>
      </c>
      <c r="L16" s="358"/>
      <c r="M16" s="359"/>
    </row>
    <row r="17" spans="1:13" ht="15.75" x14ac:dyDescent="0.25">
      <c r="A17" s="258" t="s">
        <v>16</v>
      </c>
      <c r="B17" s="341"/>
      <c r="C17" s="341"/>
      <c r="D17" s="341"/>
      <c r="E17" s="21"/>
      <c r="F17" s="25">
        <f>PRODUCT(B17*C17*D17)/27</f>
        <v>0</v>
      </c>
      <c r="G17" s="25"/>
      <c r="I17" s="22"/>
      <c r="J17" s="349"/>
      <c r="K17" s="1"/>
      <c r="L17" s="1"/>
      <c r="M17" s="258"/>
    </row>
    <row r="18" spans="1:13" ht="15.75" x14ac:dyDescent="0.25">
      <c r="A18" s="258" t="s">
        <v>17</v>
      </c>
      <c r="B18" s="20"/>
      <c r="C18" s="20"/>
      <c r="D18" s="20"/>
      <c r="E18" s="116">
        <f>D18</f>
        <v>0</v>
      </c>
      <c r="F18" s="25">
        <f>PRODUCT(B18*C18*D18)/27</f>
        <v>0</v>
      </c>
      <c r="G18" s="25"/>
      <c r="I18" s="22" t="s">
        <v>20</v>
      </c>
      <c r="J18" s="349"/>
      <c r="K18" s="1"/>
      <c r="L18" s="1"/>
      <c r="M18" s="258"/>
    </row>
    <row r="19" spans="1:13" ht="15.75" x14ac:dyDescent="0.25">
      <c r="A19" s="258" t="s">
        <v>441</v>
      </c>
      <c r="B19" s="335"/>
      <c r="C19" s="335"/>
      <c r="D19" s="335"/>
      <c r="E19" s="336"/>
      <c r="F19" s="25">
        <f>PRODUCT(B19*C19*D19)/27</f>
        <v>0</v>
      </c>
      <c r="G19" s="25"/>
      <c r="I19" s="22" t="s">
        <v>21</v>
      </c>
      <c r="J19" s="348" t="s">
        <v>22</v>
      </c>
      <c r="K19" s="1"/>
      <c r="L19" s="1"/>
      <c r="M19" s="258"/>
    </row>
    <row r="20" spans="1:13" ht="15.75" x14ac:dyDescent="0.25">
      <c r="A20" s="258" t="s">
        <v>444</v>
      </c>
      <c r="B20" s="336">
        <v>0</v>
      </c>
      <c r="C20" s="336">
        <v>0</v>
      </c>
      <c r="D20" s="336">
        <v>0</v>
      </c>
      <c r="E20" s="336"/>
      <c r="F20" s="25">
        <f>SUM(B20*C20*D20)/27</f>
        <v>0</v>
      </c>
      <c r="G20" s="25"/>
      <c r="I20" s="22"/>
      <c r="J20" s="348"/>
      <c r="K20" s="1"/>
      <c r="L20" s="1"/>
      <c r="M20" s="258"/>
    </row>
    <row r="21" spans="1:13" ht="15.75" x14ac:dyDescent="0.25">
      <c r="A21" s="150"/>
      <c r="B21" s="192"/>
      <c r="C21" s="192"/>
      <c r="D21" s="192"/>
      <c r="E21" s="192"/>
      <c r="F21" s="352">
        <f>SUM(F17-F18+F19+F20)</f>
        <v>0</v>
      </c>
      <c r="G21" s="360">
        <f>ROUNDUP(F21,1)</f>
        <v>0</v>
      </c>
      <c r="H21" s="355">
        <f>PRODUCT(G21*Info!$B$4)</f>
        <v>0</v>
      </c>
      <c r="I21" s="346">
        <f>PRODUCT(H21+Info!$B$7+Info!$B$8)</f>
        <v>590.37463676291532</v>
      </c>
      <c r="J21" s="357">
        <f>PRODUCT(H21*2)</f>
        <v>0</v>
      </c>
      <c r="K21" s="1"/>
      <c r="L21" s="1"/>
      <c r="M21" s="258"/>
    </row>
    <row r="22" spans="1:13" ht="16.5" thickBot="1" x14ac:dyDescent="0.3">
      <c r="A22" s="150"/>
      <c r="B22" s="192"/>
      <c r="C22" s="192"/>
      <c r="D22" s="192"/>
      <c r="E22" s="192"/>
      <c r="F22" s="25"/>
      <c r="G22" s="378" t="s">
        <v>485</v>
      </c>
      <c r="H22">
        <f>G21*WeightPerCY</f>
        <v>0</v>
      </c>
      <c r="I22" s="193"/>
      <c r="J22" s="351"/>
      <c r="K22" s="1"/>
      <c r="L22" s="1"/>
      <c r="M22" s="258"/>
    </row>
    <row r="23" spans="1:13" ht="17.25" thickTop="1" thickBot="1" x14ac:dyDescent="0.3">
      <c r="A23" s="337" t="s">
        <v>18</v>
      </c>
      <c r="B23" s="338" t="s">
        <v>13</v>
      </c>
      <c r="C23" s="338" t="s">
        <v>14</v>
      </c>
      <c r="D23" s="338" t="s">
        <v>15</v>
      </c>
      <c r="E23" s="338"/>
      <c r="F23" s="353"/>
      <c r="G23" s="354"/>
      <c r="H23" s="347" t="str">
        <f>_xlfn.CONCAT("$", Info!$B$5," / CY")</f>
        <v>$569.622188788345 / CY</v>
      </c>
      <c r="I23" s="340"/>
      <c r="J23" s="350"/>
      <c r="K23" s="358" t="s">
        <v>90</v>
      </c>
      <c r="L23" s="358"/>
      <c r="M23" s="359"/>
    </row>
    <row r="24" spans="1:13" ht="15.75" x14ac:dyDescent="0.25">
      <c r="A24" s="258" t="s">
        <v>16</v>
      </c>
      <c r="B24" s="341"/>
      <c r="C24" s="341"/>
      <c r="D24" s="341"/>
      <c r="E24" s="21"/>
      <c r="F24" s="25">
        <f>PRODUCT(B24*C24*D24)/27</f>
        <v>0</v>
      </c>
      <c r="G24" s="25"/>
      <c r="I24" s="22"/>
      <c r="J24" s="349"/>
      <c r="K24" s="1" t="s">
        <v>91</v>
      </c>
      <c r="L24" s="1"/>
      <c r="M24" s="258"/>
    </row>
    <row r="25" spans="1:13" ht="15.75" x14ac:dyDescent="0.25">
      <c r="A25" s="258" t="s">
        <v>17</v>
      </c>
      <c r="B25" s="20"/>
      <c r="C25" s="20"/>
      <c r="D25" s="20"/>
      <c r="E25" s="116">
        <f>D25</f>
        <v>0</v>
      </c>
      <c r="F25" s="25">
        <f>PRODUCT(B25*C25*D25)/27</f>
        <v>0</v>
      </c>
      <c r="G25" s="25"/>
      <c r="I25" s="22" t="s">
        <v>20</v>
      </c>
      <c r="J25" s="349"/>
      <c r="K25" s="1" t="s">
        <v>557</v>
      </c>
      <c r="L25" s="118"/>
      <c r="M25" s="1" t="s">
        <v>558</v>
      </c>
    </row>
    <row r="26" spans="1:13" ht="15.75" x14ac:dyDescent="0.25">
      <c r="A26" s="258" t="s">
        <v>441</v>
      </c>
      <c r="B26" s="335"/>
      <c r="C26" s="335"/>
      <c r="D26" s="335"/>
      <c r="E26" s="336"/>
      <c r="F26" s="25">
        <f>PRODUCT(B26*C26*D26)/27</f>
        <v>0</v>
      </c>
      <c r="G26" s="25"/>
      <c r="I26" s="22" t="s">
        <v>21</v>
      </c>
      <c r="J26" s="348" t="s">
        <v>22</v>
      </c>
      <c r="K26" s="118"/>
      <c r="L26" s="118"/>
    </row>
    <row r="27" spans="1:13" ht="15.75" x14ac:dyDescent="0.25">
      <c r="A27" s="258" t="s">
        <v>444</v>
      </c>
      <c r="B27" s="336">
        <v>0</v>
      </c>
      <c r="C27" s="336">
        <v>0</v>
      </c>
      <c r="D27" s="336">
        <v>0</v>
      </c>
      <c r="E27" s="336"/>
      <c r="F27" s="25">
        <f>SUM(B27*C27*D27)/27</f>
        <v>0</v>
      </c>
      <c r="G27" s="25"/>
      <c r="I27" s="22"/>
      <c r="J27" s="348"/>
      <c r="K27" s="118"/>
      <c r="L27" s="118"/>
    </row>
    <row r="28" spans="1:13" ht="15" x14ac:dyDescent="0.2">
      <c r="A28" s="150"/>
      <c r="B28" s="10"/>
      <c r="C28" s="10"/>
      <c r="D28" s="10"/>
      <c r="E28" s="10"/>
      <c r="F28" s="352">
        <f>SUM(F24-F25+F26+F27)</f>
        <v>0</v>
      </c>
      <c r="G28" s="360">
        <f>ROUNDUP(F28,1)</f>
        <v>0</v>
      </c>
      <c r="H28" s="356">
        <f>PRODUCT(G28*Info!$B$5)</f>
        <v>0</v>
      </c>
      <c r="I28" s="346">
        <f>PRODUCT(H28+Info!$B$7+Info!$B$8)</f>
        <v>590.37463676291532</v>
      </c>
      <c r="J28" s="357">
        <f>PRODUCT(H28*2)</f>
        <v>0</v>
      </c>
      <c r="K28" s="118"/>
      <c r="L28" s="118"/>
    </row>
    <row r="29" spans="1:13" ht="15.75" thickBot="1" x14ac:dyDescent="0.25">
      <c r="B29" s="10"/>
      <c r="C29" s="10"/>
      <c r="D29" s="10"/>
      <c r="E29" s="10"/>
      <c r="F29" s="25"/>
      <c r="G29" s="378" t="s">
        <v>485</v>
      </c>
      <c r="H29">
        <f>G28*WeightPerCY</f>
        <v>0</v>
      </c>
      <c r="J29" s="349"/>
      <c r="K29" s="118"/>
      <c r="L29" s="118"/>
    </row>
    <row r="30" spans="1:13" ht="17.25" thickTop="1" thickBot="1" x14ac:dyDescent="0.3">
      <c r="A30" s="337" t="s">
        <v>19</v>
      </c>
      <c r="B30" s="338" t="s">
        <v>13</v>
      </c>
      <c r="C30" s="338" t="s">
        <v>14</v>
      </c>
      <c r="D30" s="338" t="s">
        <v>15</v>
      </c>
      <c r="E30" s="338"/>
      <c r="F30" s="353"/>
      <c r="G30" s="354"/>
      <c r="H30" s="347" t="str">
        <f>_xlfn.CONCAT("$", Info!$B$6," / CY")</f>
        <v>$256.492369218092 / CY</v>
      </c>
      <c r="I30" s="340"/>
      <c r="J30" s="350"/>
      <c r="K30" s="358" t="s">
        <v>445</v>
      </c>
      <c r="L30" s="358"/>
      <c r="M30" s="359"/>
    </row>
    <row r="31" spans="1:13" ht="15.75" x14ac:dyDescent="0.25">
      <c r="A31" s="258" t="s">
        <v>16</v>
      </c>
      <c r="B31" s="21">
        <v>8.34</v>
      </c>
      <c r="C31" s="21">
        <v>9.34</v>
      </c>
      <c r="D31" s="21">
        <v>8.67</v>
      </c>
      <c r="E31" s="21"/>
      <c r="F31" s="25">
        <f>PRODUCT(B31*C31*D31)/27</f>
        <v>25.013142666666667</v>
      </c>
      <c r="G31" s="25"/>
      <c r="J31" s="349"/>
      <c r="K31" s="1" t="s">
        <v>92</v>
      </c>
      <c r="L31" s="1"/>
      <c r="M31" s="258"/>
    </row>
    <row r="32" spans="1:13" ht="15.75" x14ac:dyDescent="0.25">
      <c r="A32" s="258" t="s">
        <v>17</v>
      </c>
      <c r="B32" s="20">
        <v>7</v>
      </c>
      <c r="C32" s="20">
        <v>8</v>
      </c>
      <c r="D32" s="20">
        <v>8</v>
      </c>
      <c r="E32" s="116">
        <f>D32</f>
        <v>8</v>
      </c>
      <c r="F32" s="25">
        <f>PRODUCT(B32*C32*D32)/27</f>
        <v>16.592592592592592</v>
      </c>
      <c r="G32" s="25"/>
      <c r="I32" s="22" t="s">
        <v>20</v>
      </c>
      <c r="J32" s="349"/>
      <c r="K32" s="118"/>
      <c r="L32" s="118"/>
    </row>
    <row r="33" spans="1:13" ht="15.75" x14ac:dyDescent="0.25">
      <c r="A33" s="258" t="s">
        <v>441</v>
      </c>
      <c r="B33" s="335">
        <v>8.34</v>
      </c>
      <c r="C33" s="335">
        <v>9.34</v>
      </c>
      <c r="D33" s="335">
        <v>0.67</v>
      </c>
      <c r="E33" s="336"/>
      <c r="F33" s="25">
        <f>PRODUCT(B33*C33*D33)/27</f>
        <v>1.9329648888888888</v>
      </c>
      <c r="G33" s="25"/>
      <c r="I33" s="22" t="s">
        <v>21</v>
      </c>
      <c r="J33" s="348" t="s">
        <v>22</v>
      </c>
      <c r="K33" s="118"/>
      <c r="L33" s="118"/>
    </row>
    <row r="34" spans="1:13" ht="15" x14ac:dyDescent="0.2">
      <c r="A34" s="258" t="s">
        <v>444</v>
      </c>
      <c r="B34" s="336">
        <v>0</v>
      </c>
      <c r="C34" s="336">
        <v>0</v>
      </c>
      <c r="D34" s="336">
        <v>0</v>
      </c>
      <c r="E34" s="336"/>
      <c r="F34" s="25">
        <f>SUM(B34*C34*D34)/27</f>
        <v>0</v>
      </c>
      <c r="G34" s="25"/>
      <c r="J34" s="349"/>
      <c r="K34" s="118"/>
      <c r="L34" s="118"/>
    </row>
    <row r="35" spans="1:13" ht="15" x14ac:dyDescent="0.2">
      <c r="A35" s="150"/>
      <c r="B35" s="10"/>
      <c r="C35" s="10"/>
      <c r="D35" s="10"/>
      <c r="E35" s="10"/>
      <c r="F35" s="352">
        <f>SUM(F31-F32+F33+F34)</f>
        <v>10.353514962962965</v>
      </c>
      <c r="G35" s="360">
        <f>ROUNDUP(F35,1)</f>
        <v>10.4</v>
      </c>
      <c r="H35" s="355">
        <f>PRODUCT(G35*Info!$B$6)</f>
        <v>2667.5206398681612</v>
      </c>
      <c r="I35" s="346">
        <f>PRODUCT(H35+Info!$B$7+Info!$B$8)</f>
        <v>3257.8952766310767</v>
      </c>
      <c r="J35" s="357">
        <f>PRODUCT(H35*2)</f>
        <v>5335.0412797363224</v>
      </c>
      <c r="K35" s="118"/>
      <c r="L35" s="118"/>
    </row>
    <row r="36" spans="1:13" ht="15" x14ac:dyDescent="0.2">
      <c r="B36" s="10"/>
      <c r="C36" s="10"/>
      <c r="D36" s="10"/>
      <c r="E36" s="10"/>
      <c r="G36" s="378" t="s">
        <v>485</v>
      </c>
      <c r="H36">
        <f>G35*WeightPerCY</f>
        <v>42120</v>
      </c>
      <c r="K36" s="118"/>
      <c r="L36" s="118"/>
    </row>
    <row r="37" spans="1:13" ht="15" x14ac:dyDescent="0.2">
      <c r="A37" s="342"/>
      <c r="B37" s="343"/>
      <c r="C37" s="343"/>
      <c r="D37" s="343"/>
      <c r="E37" s="343"/>
      <c r="F37" s="342"/>
      <c r="G37" s="342"/>
      <c r="H37" s="344"/>
      <c r="I37" s="342"/>
      <c r="J37" s="342"/>
      <c r="K37" s="345"/>
      <c r="L37" s="345"/>
      <c r="M37" s="342"/>
    </row>
    <row r="38" spans="1:13" ht="15.75" thickBot="1" x14ac:dyDescent="0.25">
      <c r="B38" s="162"/>
      <c r="C38" s="162"/>
      <c r="D38" s="162"/>
      <c r="E38" s="162"/>
      <c r="H38" s="19"/>
      <c r="K38" s="118"/>
      <c r="L38" s="118"/>
    </row>
    <row r="39" spans="1:13" ht="21" thickBot="1" x14ac:dyDescent="0.6">
      <c r="A39" s="479" t="s">
        <v>164</v>
      </c>
      <c r="B39" s="480"/>
      <c r="C39" s="481"/>
      <c r="D39" s="481"/>
      <c r="E39" s="481"/>
      <c r="F39" s="482"/>
      <c r="H39" s="483" t="s">
        <v>166</v>
      </c>
      <c r="I39" s="484"/>
      <c r="J39" s="484"/>
      <c r="K39" s="484"/>
      <c r="L39" s="484"/>
      <c r="M39" s="485"/>
    </row>
    <row r="40" spans="1:13" ht="15.75" x14ac:dyDescent="0.25">
      <c r="A40" s="178" t="s">
        <v>153</v>
      </c>
      <c r="B40" s="179"/>
      <c r="C40" s="172"/>
      <c r="D40" s="185" t="s">
        <v>158</v>
      </c>
      <c r="E40" s="173"/>
      <c r="F40" s="184">
        <f>C48+C49+C50*2+C51*2</f>
        <v>0</v>
      </c>
      <c r="H40" s="178" t="s">
        <v>153</v>
      </c>
      <c r="I40" s="179"/>
      <c r="J40" s="172"/>
      <c r="K40" s="185" t="s">
        <v>158</v>
      </c>
      <c r="L40" s="173"/>
      <c r="M40" s="184">
        <f>J48+J49+J50*2+J51*2</f>
        <v>0</v>
      </c>
    </row>
    <row r="41" spans="1:13" ht="15.75" x14ac:dyDescent="0.25">
      <c r="A41" s="180" t="s">
        <v>154</v>
      </c>
      <c r="B41" s="181"/>
      <c r="C41" s="175"/>
      <c r="D41" s="186" t="s">
        <v>165</v>
      </c>
      <c r="E41" s="176"/>
      <c r="F41" s="187"/>
      <c r="H41" s="180" t="s">
        <v>154</v>
      </c>
      <c r="I41" s="181"/>
      <c r="J41" s="175"/>
      <c r="K41" s="186" t="s">
        <v>165</v>
      </c>
      <c r="L41" s="176"/>
      <c r="M41" s="187"/>
    </row>
    <row r="42" spans="1:13" ht="15.75" x14ac:dyDescent="0.25">
      <c r="A42" s="180" t="s">
        <v>155</v>
      </c>
      <c r="B42" s="181"/>
      <c r="C42" s="175"/>
      <c r="D42" s="186" t="str">
        <f>_xlfn.CONCAT("COST ($",IF(B43&lt;8,Info!$B$5,Info!$B$6), ")")</f>
        <v>COST ($569.622188788345)</v>
      </c>
      <c r="E42" s="176"/>
      <c r="F42" s="376">
        <f>ROUNDUP(IF(B43&lt;8,Info!$B$5,Info!$B$6)*F40+F41,0)</f>
        <v>0</v>
      </c>
      <c r="H42" s="180" t="s">
        <v>155</v>
      </c>
      <c r="I42" s="181"/>
      <c r="J42" s="175"/>
      <c r="K42" s="186" t="str">
        <f>_xlfn.CONCAT("COST ($", Info!$B$6, ")")</f>
        <v>COST ($256.492369218092)</v>
      </c>
      <c r="L42" s="176"/>
      <c r="M42" s="376">
        <f>ROUNDUP(Info!$B$6*M40+M41,0)</f>
        <v>0</v>
      </c>
    </row>
    <row r="43" spans="1:13" ht="16.5" thickBot="1" x14ac:dyDescent="0.3">
      <c r="A43" s="182" t="s">
        <v>156</v>
      </c>
      <c r="B43" s="183"/>
      <c r="C43" s="175"/>
      <c r="D43" s="186" t="s">
        <v>494</v>
      </c>
      <c r="E43" s="176"/>
      <c r="F43" s="377">
        <f>F40*WeightPerCY</f>
        <v>0</v>
      </c>
      <c r="H43" s="182" t="s">
        <v>156</v>
      </c>
      <c r="I43" s="183"/>
      <c r="J43" s="175"/>
      <c r="K43" s="186" t="s">
        <v>494</v>
      </c>
      <c r="L43" s="176"/>
      <c r="M43" s="377">
        <f>M40*WeightPerCY</f>
        <v>0</v>
      </c>
    </row>
    <row r="44" spans="1:13" ht="16.5" thickBot="1" x14ac:dyDescent="0.3">
      <c r="A44" s="174"/>
      <c r="B44" s="175"/>
      <c r="C44" s="175"/>
      <c r="D44" s="175"/>
      <c r="E44" s="175"/>
      <c r="F44" s="177"/>
      <c r="H44" s="174"/>
      <c r="I44" s="175"/>
      <c r="J44" s="175"/>
      <c r="K44" s="175"/>
      <c r="L44" s="175"/>
      <c r="M44" s="177"/>
    </row>
    <row r="45" spans="1:13" ht="15.75" x14ac:dyDescent="0.25">
      <c r="A45" s="373" t="s">
        <v>157</v>
      </c>
      <c r="B45" s="156">
        <f>B40+IF(B43&lt;8,1,1.3333)</f>
        <v>1</v>
      </c>
      <c r="C45" s="155"/>
      <c r="D45" s="155"/>
      <c r="E45" s="367"/>
      <c r="F45" s="368"/>
      <c r="H45" s="178" t="s">
        <v>157</v>
      </c>
      <c r="I45" s="179"/>
      <c r="J45" s="155"/>
      <c r="K45" s="155"/>
      <c r="L45" s="367"/>
      <c r="M45" s="368"/>
    </row>
    <row r="46" spans="1:13" ht="15.75" x14ac:dyDescent="0.25">
      <c r="A46" s="373" t="s">
        <v>159</v>
      </c>
      <c r="B46" s="156">
        <f>B41+IF(B43&lt;8,1,1.3333)</f>
        <v>1</v>
      </c>
      <c r="C46" s="155"/>
      <c r="D46" s="155"/>
      <c r="E46" s="367"/>
      <c r="F46" s="368"/>
      <c r="H46" s="180" t="s">
        <v>159</v>
      </c>
      <c r="I46" s="181"/>
      <c r="J46" s="155"/>
      <c r="K46" s="155"/>
      <c r="L46" s="367"/>
      <c r="M46" s="368"/>
    </row>
    <row r="47" spans="1:13" ht="16.5" thickBot="1" x14ac:dyDescent="0.3">
      <c r="A47" s="373" t="s">
        <v>160</v>
      </c>
      <c r="B47" s="156">
        <f>B43</f>
        <v>0</v>
      </c>
      <c r="C47" s="155"/>
      <c r="D47" s="155"/>
      <c r="E47" s="367"/>
      <c r="F47" s="368"/>
      <c r="H47" s="182" t="s">
        <v>160</v>
      </c>
      <c r="I47" s="183"/>
      <c r="J47" s="155"/>
      <c r="K47" s="155"/>
      <c r="L47" s="367"/>
      <c r="M47" s="368"/>
    </row>
    <row r="48" spans="1:13" ht="16.5" thickBot="1" x14ac:dyDescent="0.3">
      <c r="A48" s="373"/>
      <c r="B48" s="155"/>
      <c r="C48" s="369">
        <f>ROUND(($B$49*$B$50) * ($B$51/12) *0.037, 2)</f>
        <v>0</v>
      </c>
      <c r="D48" s="155"/>
      <c r="E48" s="155"/>
      <c r="F48" s="368"/>
      <c r="H48" s="174"/>
      <c r="I48" s="175"/>
      <c r="J48" s="369">
        <f>ROUND(($I$49*$I$50) * ($I$51/12) *0.037, 2)</f>
        <v>0</v>
      </c>
      <c r="K48" s="155"/>
      <c r="L48" s="155"/>
      <c r="M48" s="368"/>
    </row>
    <row r="49" spans="1:13" ht="15.75" x14ac:dyDescent="0.25">
      <c r="A49" s="373" t="s">
        <v>161</v>
      </c>
      <c r="B49" s="156">
        <f>B40+IF(B43&lt;8,1,1.3333)</f>
        <v>1</v>
      </c>
      <c r="C49" s="370">
        <f>ROUND(($B$45*$B$46) * ($B$47/12) * 0.037, 2)</f>
        <v>0</v>
      </c>
      <c r="D49" s="155"/>
      <c r="E49" s="155"/>
      <c r="F49" s="368"/>
      <c r="H49" s="178" t="s">
        <v>161</v>
      </c>
      <c r="I49" s="179"/>
      <c r="J49" s="370">
        <f>ROUND(($I$45*$I$46) * ($I$47/12) * 0.037, 2)</f>
        <v>0</v>
      </c>
      <c r="K49" s="155"/>
      <c r="L49" s="155"/>
      <c r="M49" s="368"/>
    </row>
    <row r="50" spans="1:13" ht="15.75" x14ac:dyDescent="0.25">
      <c r="A50" s="373" t="s">
        <v>162</v>
      </c>
      <c r="B50" s="156">
        <f>B41+IF(B43&lt;8,1,1.3333)</f>
        <v>1</v>
      </c>
      <c r="C50" s="370">
        <f>ROUND(($B$40*$B$42) * ($B$43/12) * 0.037, 2)</f>
        <v>0</v>
      </c>
      <c r="D50" s="155"/>
      <c r="E50" s="155"/>
      <c r="F50" s="368"/>
      <c r="H50" s="180" t="s">
        <v>162</v>
      </c>
      <c r="I50" s="181"/>
      <c r="J50" s="370">
        <f>($I$40*$I$42) * ($I$43/12) * 0.037</f>
        <v>0</v>
      </c>
      <c r="K50" s="155"/>
      <c r="L50" s="155"/>
      <c r="M50" s="368"/>
    </row>
    <row r="51" spans="1:13" ht="16.5" thickBot="1" x14ac:dyDescent="0.3">
      <c r="A51" s="374" t="s">
        <v>163</v>
      </c>
      <c r="B51" s="375">
        <f>B43</f>
        <v>0</v>
      </c>
      <c r="C51" s="371">
        <f>ROUND((($B$41+IF(B43&lt;8,1,1.3333))*$B$42) * ($B$43/12) * 0.037,2)</f>
        <v>0</v>
      </c>
      <c r="D51" s="157"/>
      <c r="E51" s="157"/>
      <c r="F51" s="372"/>
      <c r="H51" s="182" t="s">
        <v>163</v>
      </c>
      <c r="I51" s="183"/>
      <c r="J51" s="371">
        <f>ROUND((($I$41+IF(I43&lt;8,1,1.3333))*$I$42) * ($I$43/12) * 0.037,2)</f>
        <v>0</v>
      </c>
      <c r="K51" s="157"/>
      <c r="L51" s="157"/>
      <c r="M51" s="372"/>
    </row>
  </sheetData>
  <mergeCells count="2">
    <mergeCell ref="A39:F39"/>
    <mergeCell ref="H39:M39"/>
  </mergeCells>
  <phoneticPr fontId="48" type="noConversion"/>
  <dataValidations count="3">
    <dataValidation allowBlank="1" showInputMessage="1" showErrorMessage="1" prompt="This is for complete custom structures with standard base, standard walls and standard lid." sqref="A39:F39 B40:B43" xr:uid="{0E003C47-8B1C-4F66-8CB0-F1F259ED6EB9}"/>
    <dataValidation allowBlank="1" showInputMessage="1" showErrorMessage="1" prompt="Any other cost added (wier/oririfce adders, cast in R+C, etc)" sqref="F41 M41" xr:uid="{8C74A5E1-7BAC-413D-8D51-DF6C851C9891}"/>
    <dataValidation allowBlank="1" showInputMessage="1" showErrorMessage="1" prompt="For custom risers, structures with extended bases, structures without a riser, etc._x000a__x000a_Leave parts blank that you don't need." sqref="H39:M39 I40:I43 I45:I47 I49:I51" xr:uid="{238994A7-DA44-47F7-B1A5-86DA5ECB10A6}"/>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693BC-F6B5-410A-83B9-39133E0FAB9A}">
  <sheetPr codeName="Sheet6"/>
  <dimension ref="A1:L106"/>
  <sheetViews>
    <sheetView topLeftCell="A77" workbookViewId="0">
      <selection activeCell="A106" sqref="A106"/>
    </sheetView>
  </sheetViews>
  <sheetFormatPr defaultRowHeight="12.75" x14ac:dyDescent="0.2"/>
  <cols>
    <col min="1" max="1" width="116.28515625" bestFit="1" customWidth="1"/>
    <col min="2" max="2" width="2.140625" customWidth="1"/>
    <col min="3" max="3" width="1.140625" customWidth="1"/>
    <col min="4" max="4" width="9.140625" hidden="1" customWidth="1"/>
    <col min="5" max="5" width="19.42578125" hidden="1" customWidth="1"/>
    <col min="6" max="6" width="12.7109375" bestFit="1" customWidth="1"/>
  </cols>
  <sheetData>
    <row r="1" spans="1:6" ht="15.75" x14ac:dyDescent="0.25">
      <c r="A1" s="1" t="s">
        <v>182</v>
      </c>
      <c r="B1" s="118"/>
      <c r="C1" s="118"/>
      <c r="D1" s="118"/>
      <c r="E1" s="118"/>
      <c r="F1" s="1" t="s">
        <v>336</v>
      </c>
    </row>
    <row r="2" spans="1:6" ht="15.75" x14ac:dyDescent="0.25">
      <c r="A2" s="1" t="s">
        <v>303</v>
      </c>
      <c r="B2" s="118"/>
      <c r="C2" s="118"/>
      <c r="D2" s="118"/>
      <c r="E2" s="118"/>
      <c r="F2" s="220">
        <v>44439</v>
      </c>
    </row>
    <row r="3" spans="1:6" ht="15" x14ac:dyDescent="0.2">
      <c r="A3" s="118" t="s">
        <v>358</v>
      </c>
      <c r="B3" s="118"/>
      <c r="C3" s="118"/>
      <c r="D3" s="118"/>
      <c r="E3" s="118"/>
      <c r="F3" s="118"/>
    </row>
    <row r="4" spans="1:6" ht="15" x14ac:dyDescent="0.2">
      <c r="A4" s="118" t="s">
        <v>124</v>
      </c>
      <c r="B4" s="118"/>
      <c r="C4" s="118"/>
      <c r="D4" s="118"/>
      <c r="E4" s="118"/>
      <c r="F4" s="118"/>
    </row>
    <row r="5" spans="1:6" ht="15" x14ac:dyDescent="0.2">
      <c r="A5" s="118" t="s">
        <v>180</v>
      </c>
      <c r="B5" s="118"/>
      <c r="C5" s="118"/>
      <c r="D5" s="118"/>
      <c r="E5" s="118"/>
      <c r="F5" s="220"/>
    </row>
    <row r="6" spans="1:6" ht="15" x14ac:dyDescent="0.2">
      <c r="A6" s="118" t="s">
        <v>181</v>
      </c>
      <c r="B6" s="118"/>
      <c r="C6" s="118"/>
      <c r="D6" s="118"/>
      <c r="E6" s="118"/>
      <c r="F6" s="220"/>
    </row>
    <row r="7" spans="1:6" ht="15.75" x14ac:dyDescent="0.25">
      <c r="A7" s="1" t="s">
        <v>304</v>
      </c>
      <c r="B7" s="118"/>
      <c r="C7" s="118"/>
      <c r="D7" s="118"/>
      <c r="E7" s="118"/>
      <c r="F7" s="220">
        <v>44469</v>
      </c>
    </row>
    <row r="8" spans="1:6" ht="15" x14ac:dyDescent="0.2">
      <c r="A8" s="118" t="s">
        <v>305</v>
      </c>
      <c r="B8" s="118"/>
      <c r="C8" s="118"/>
      <c r="D8" s="118"/>
      <c r="E8" s="118"/>
      <c r="F8" s="118"/>
    </row>
    <row r="9" spans="1:6" ht="15" x14ac:dyDescent="0.2">
      <c r="A9" s="118" t="s">
        <v>306</v>
      </c>
      <c r="B9" s="118"/>
      <c r="C9" s="118"/>
      <c r="D9" s="118"/>
      <c r="E9" s="118"/>
      <c r="F9" s="118"/>
    </row>
    <row r="10" spans="1:6" ht="15" x14ac:dyDescent="0.2">
      <c r="A10" s="118" t="s">
        <v>307</v>
      </c>
      <c r="B10" s="118"/>
      <c r="C10" s="118"/>
      <c r="D10" s="118"/>
      <c r="E10" s="118"/>
      <c r="F10" s="118"/>
    </row>
    <row r="11" spans="1:6" ht="15" x14ac:dyDescent="0.2">
      <c r="A11" s="118" t="s">
        <v>312</v>
      </c>
      <c r="B11" s="118"/>
      <c r="C11" s="118"/>
      <c r="D11" s="118"/>
      <c r="E11" s="118"/>
      <c r="F11" s="118"/>
    </row>
    <row r="12" spans="1:6" ht="15" x14ac:dyDescent="0.2">
      <c r="A12" s="118" t="s">
        <v>308</v>
      </c>
      <c r="B12" s="118"/>
      <c r="C12" s="118"/>
      <c r="D12" s="118"/>
      <c r="E12" s="118"/>
      <c r="F12" s="118"/>
    </row>
    <row r="13" spans="1:6" ht="15" x14ac:dyDescent="0.2">
      <c r="A13" s="118" t="s">
        <v>309</v>
      </c>
      <c r="B13" s="118"/>
      <c r="C13" s="118"/>
      <c r="D13" s="118"/>
      <c r="E13" s="118"/>
      <c r="F13" s="118"/>
    </row>
    <row r="14" spans="1:6" ht="15" x14ac:dyDescent="0.2">
      <c r="A14" s="118" t="s">
        <v>310</v>
      </c>
      <c r="B14" s="118"/>
      <c r="C14" s="118"/>
      <c r="D14" s="118"/>
      <c r="E14" s="118"/>
      <c r="F14" s="118"/>
    </row>
    <row r="15" spans="1:6" ht="15" x14ac:dyDescent="0.2">
      <c r="A15" s="118" t="s">
        <v>311</v>
      </c>
      <c r="B15" s="118"/>
      <c r="C15" s="118"/>
      <c r="D15" s="118"/>
      <c r="E15" s="118"/>
      <c r="F15" s="118"/>
    </row>
    <row r="16" spans="1:6" ht="15" x14ac:dyDescent="0.2">
      <c r="A16" s="118" t="s">
        <v>343</v>
      </c>
      <c r="B16" s="118"/>
      <c r="C16" s="118"/>
      <c r="D16" s="118"/>
      <c r="E16" s="118"/>
      <c r="F16" s="118"/>
    </row>
    <row r="17" spans="1:6" ht="15" x14ac:dyDescent="0.2">
      <c r="A17" s="118" t="s">
        <v>313</v>
      </c>
      <c r="B17" s="118"/>
      <c r="C17" s="118"/>
      <c r="D17" s="118"/>
      <c r="E17" s="118"/>
      <c r="F17" s="118"/>
    </row>
    <row r="18" spans="1:6" ht="15" x14ac:dyDescent="0.2">
      <c r="A18" s="118" t="s">
        <v>333</v>
      </c>
      <c r="B18" s="118"/>
      <c r="C18" s="118"/>
      <c r="D18" s="118"/>
      <c r="E18" s="118"/>
      <c r="F18" s="118"/>
    </row>
    <row r="19" spans="1:6" ht="15" x14ac:dyDescent="0.2">
      <c r="A19" s="118" t="s">
        <v>342</v>
      </c>
      <c r="B19" s="118"/>
      <c r="C19" s="118"/>
      <c r="D19" s="118"/>
      <c r="E19" s="118"/>
      <c r="F19" s="118"/>
    </row>
    <row r="20" spans="1:6" ht="15" x14ac:dyDescent="0.2">
      <c r="A20" s="118" t="s">
        <v>334</v>
      </c>
      <c r="B20" s="118"/>
      <c r="C20" s="118"/>
      <c r="D20" s="118"/>
      <c r="E20" s="118"/>
      <c r="F20" s="220">
        <v>44482</v>
      </c>
    </row>
    <row r="21" spans="1:6" ht="15" x14ac:dyDescent="0.2">
      <c r="A21" s="118" t="s">
        <v>335</v>
      </c>
      <c r="B21" s="118"/>
      <c r="C21" s="118"/>
      <c r="D21" s="118"/>
      <c r="E21" s="118"/>
      <c r="F21" s="220">
        <v>44496</v>
      </c>
    </row>
    <row r="22" spans="1:6" ht="15.75" x14ac:dyDescent="0.25">
      <c r="A22" s="1" t="s">
        <v>337</v>
      </c>
      <c r="B22" s="118"/>
      <c r="C22" s="118"/>
      <c r="D22" s="118"/>
      <c r="E22" s="118"/>
      <c r="F22" s="220">
        <v>44565</v>
      </c>
    </row>
    <row r="23" spans="1:6" ht="15" x14ac:dyDescent="0.2">
      <c r="A23" s="118" t="s">
        <v>339</v>
      </c>
      <c r="B23" s="118"/>
      <c r="C23" s="118"/>
      <c r="D23" s="118"/>
      <c r="E23" s="118"/>
      <c r="F23" s="118"/>
    </row>
    <row r="24" spans="1:6" ht="15" x14ac:dyDescent="0.2">
      <c r="A24" s="118" t="s">
        <v>350</v>
      </c>
      <c r="B24" s="118"/>
      <c r="C24" s="118"/>
      <c r="D24" s="118"/>
      <c r="E24" s="118"/>
      <c r="F24" s="118"/>
    </row>
    <row r="25" spans="1:6" ht="15" x14ac:dyDescent="0.2">
      <c r="A25" s="118" t="s">
        <v>338</v>
      </c>
      <c r="B25" s="118"/>
      <c r="C25" s="118"/>
      <c r="D25" s="118"/>
      <c r="E25" s="118"/>
      <c r="F25" s="118"/>
    </row>
    <row r="26" spans="1:6" ht="15" x14ac:dyDescent="0.2">
      <c r="A26" s="118" t="s">
        <v>351</v>
      </c>
      <c r="B26" s="118"/>
      <c r="C26" s="118"/>
      <c r="D26" s="118"/>
      <c r="E26" s="118"/>
      <c r="F26" s="118"/>
    </row>
    <row r="27" spans="1:6" ht="15" x14ac:dyDescent="0.2">
      <c r="A27" s="118" t="s">
        <v>352</v>
      </c>
      <c r="B27" s="118"/>
      <c r="C27" s="118"/>
      <c r="D27" s="118"/>
      <c r="E27" s="118"/>
      <c r="F27" s="220">
        <v>44566</v>
      </c>
    </row>
    <row r="28" spans="1:6" ht="15" x14ac:dyDescent="0.2">
      <c r="A28" s="118" t="s">
        <v>353</v>
      </c>
      <c r="B28" s="118"/>
      <c r="C28" s="118"/>
      <c r="D28" s="118"/>
      <c r="E28" s="118"/>
      <c r="F28" s="220"/>
    </row>
    <row r="29" spans="1:6" ht="15" x14ac:dyDescent="0.2">
      <c r="A29" s="118" t="s">
        <v>354</v>
      </c>
      <c r="B29" s="118"/>
      <c r="C29" s="118"/>
      <c r="D29" s="118"/>
      <c r="E29" s="118"/>
      <c r="F29" s="220"/>
    </row>
    <row r="30" spans="1:6" ht="15" x14ac:dyDescent="0.2">
      <c r="A30" s="118" t="s">
        <v>355</v>
      </c>
      <c r="B30" s="118"/>
      <c r="C30" s="118"/>
      <c r="D30" s="118"/>
      <c r="E30" s="118"/>
      <c r="F30" s="220"/>
    </row>
    <row r="31" spans="1:6" ht="15" x14ac:dyDescent="0.2">
      <c r="A31" s="118" t="s">
        <v>356</v>
      </c>
      <c r="B31" s="118"/>
      <c r="C31" s="118"/>
      <c r="D31" s="118"/>
      <c r="E31" s="118"/>
      <c r="F31" s="220">
        <v>44567</v>
      </c>
    </row>
    <row r="32" spans="1:6" ht="15" x14ac:dyDescent="0.2">
      <c r="A32" s="118" t="s">
        <v>359</v>
      </c>
      <c r="B32" s="118"/>
      <c r="C32" s="118"/>
      <c r="D32" s="118"/>
      <c r="E32" s="118"/>
      <c r="F32" s="220">
        <v>44572</v>
      </c>
    </row>
    <row r="33" spans="1:6" ht="15.75" x14ac:dyDescent="0.25">
      <c r="A33" s="1" t="s">
        <v>424</v>
      </c>
      <c r="B33" s="118"/>
      <c r="C33" s="118"/>
      <c r="D33" s="118"/>
      <c r="E33" s="118"/>
      <c r="F33" s="220"/>
    </row>
    <row r="34" spans="1:6" ht="15" x14ac:dyDescent="0.2">
      <c r="A34" s="118" t="s">
        <v>425</v>
      </c>
      <c r="B34" s="118"/>
      <c r="C34" s="118"/>
      <c r="D34" s="118"/>
      <c r="E34" s="118"/>
      <c r="F34" s="220">
        <v>44582</v>
      </c>
    </row>
    <row r="35" spans="1:6" ht="15" x14ac:dyDescent="0.2">
      <c r="A35" s="118" t="s">
        <v>426</v>
      </c>
      <c r="B35" s="118"/>
      <c r="C35" s="118"/>
      <c r="D35" s="118"/>
      <c r="E35" s="118"/>
      <c r="F35" s="220"/>
    </row>
    <row r="36" spans="1:6" ht="15" x14ac:dyDescent="0.2">
      <c r="A36" s="118" t="s">
        <v>436</v>
      </c>
      <c r="B36" s="118"/>
      <c r="C36" s="118"/>
      <c r="D36" s="118"/>
      <c r="E36" s="118"/>
      <c r="F36" s="220">
        <v>44586</v>
      </c>
    </row>
    <row r="37" spans="1:6" ht="15" x14ac:dyDescent="0.2">
      <c r="A37" s="118" t="s">
        <v>427</v>
      </c>
      <c r="B37" s="118"/>
      <c r="C37" s="118"/>
      <c r="D37" s="118"/>
      <c r="E37" s="118"/>
      <c r="F37" s="220"/>
    </row>
    <row r="38" spans="1:6" ht="15.75" x14ac:dyDescent="0.25">
      <c r="A38" s="1" t="s">
        <v>434</v>
      </c>
      <c r="B38" s="118"/>
      <c r="C38" s="118"/>
      <c r="D38" s="118"/>
      <c r="E38" s="118"/>
      <c r="F38" s="118"/>
    </row>
    <row r="39" spans="1:6" ht="15" x14ac:dyDescent="0.2">
      <c r="A39" s="118" t="s">
        <v>438</v>
      </c>
      <c r="B39" s="118"/>
      <c r="C39" s="118"/>
      <c r="D39" s="118"/>
      <c r="E39" s="118"/>
      <c r="F39" s="220">
        <v>44604</v>
      </c>
    </row>
    <row r="40" spans="1:6" ht="15" x14ac:dyDescent="0.2">
      <c r="A40" s="118" t="s">
        <v>430</v>
      </c>
      <c r="B40" s="118"/>
      <c r="C40" s="118"/>
      <c r="D40" s="118"/>
      <c r="E40" s="118"/>
      <c r="F40" s="220"/>
    </row>
    <row r="41" spans="1:6" ht="15" x14ac:dyDescent="0.2">
      <c r="A41" s="118" t="s">
        <v>431</v>
      </c>
      <c r="B41" s="118"/>
      <c r="C41" s="118"/>
      <c r="D41" s="118"/>
      <c r="E41" s="118"/>
      <c r="F41" s="220"/>
    </row>
    <row r="42" spans="1:6" ht="15" x14ac:dyDescent="0.2">
      <c r="A42" s="118" t="s">
        <v>432</v>
      </c>
      <c r="B42" s="118"/>
      <c r="C42" s="118"/>
      <c r="D42" s="118"/>
      <c r="E42" s="118"/>
      <c r="F42" s="220"/>
    </row>
    <row r="43" spans="1:6" ht="15" x14ac:dyDescent="0.2">
      <c r="A43" s="118" t="s">
        <v>437</v>
      </c>
      <c r="B43" s="118"/>
      <c r="C43" s="118"/>
      <c r="D43" s="118"/>
      <c r="E43" s="118"/>
      <c r="F43" s="220"/>
    </row>
    <row r="44" spans="1:6" ht="15.75" x14ac:dyDescent="0.25">
      <c r="A44" s="1" t="s">
        <v>440</v>
      </c>
      <c r="B44" s="118"/>
      <c r="C44" s="118"/>
      <c r="D44" s="118"/>
      <c r="E44" s="118"/>
      <c r="F44" s="220"/>
    </row>
    <row r="45" spans="1:6" ht="15" x14ac:dyDescent="0.2">
      <c r="A45" s="118" t="s">
        <v>452</v>
      </c>
      <c r="F45" s="220">
        <v>44615</v>
      </c>
    </row>
    <row r="46" spans="1:6" ht="15" x14ac:dyDescent="0.2">
      <c r="A46" s="118" t="s">
        <v>453</v>
      </c>
    </row>
    <row r="47" spans="1:6" ht="15" x14ac:dyDescent="0.2">
      <c r="A47" s="118" t="s">
        <v>448</v>
      </c>
    </row>
    <row r="48" spans="1:6" ht="15" x14ac:dyDescent="0.2">
      <c r="A48" s="118" t="s">
        <v>446</v>
      </c>
    </row>
    <row r="49" spans="1:6" ht="15" x14ac:dyDescent="0.2">
      <c r="A49" s="118" t="s">
        <v>447</v>
      </c>
    </row>
    <row r="50" spans="1:6" ht="15" x14ac:dyDescent="0.2">
      <c r="A50" s="118" t="s">
        <v>455</v>
      </c>
    </row>
    <row r="51" spans="1:6" ht="15" x14ac:dyDescent="0.2">
      <c r="A51" s="118" t="s">
        <v>460</v>
      </c>
    </row>
    <row r="52" spans="1:6" ht="15" x14ac:dyDescent="0.2">
      <c r="A52" s="118" t="s">
        <v>459</v>
      </c>
    </row>
    <row r="53" spans="1:6" ht="15" x14ac:dyDescent="0.2">
      <c r="A53" s="118" t="s">
        <v>458</v>
      </c>
    </row>
    <row r="54" spans="1:6" ht="15" x14ac:dyDescent="0.2">
      <c r="A54" s="118" t="s">
        <v>450</v>
      </c>
    </row>
    <row r="55" spans="1:6" ht="15" x14ac:dyDescent="0.2">
      <c r="A55" s="118" t="s">
        <v>457</v>
      </c>
    </row>
    <row r="56" spans="1:6" ht="15" x14ac:dyDescent="0.2">
      <c r="A56" s="118" t="s">
        <v>451</v>
      </c>
    </row>
    <row r="57" spans="1:6" ht="15" x14ac:dyDescent="0.2">
      <c r="A57" s="118" t="s">
        <v>454</v>
      </c>
      <c r="F57" s="262"/>
    </row>
    <row r="58" spans="1:6" ht="15.75" x14ac:dyDescent="0.25">
      <c r="A58" s="1" t="s">
        <v>464</v>
      </c>
      <c r="F58" s="220">
        <v>44620</v>
      </c>
    </row>
    <row r="59" spans="1:6" ht="15" x14ac:dyDescent="0.2">
      <c r="A59" s="118" t="s">
        <v>461</v>
      </c>
    </row>
    <row r="60" spans="1:6" ht="15" x14ac:dyDescent="0.2">
      <c r="A60" s="118" t="s">
        <v>462</v>
      </c>
    </row>
    <row r="61" spans="1:6" ht="15.75" x14ac:dyDescent="0.25">
      <c r="A61" s="1" t="s">
        <v>463</v>
      </c>
      <c r="F61" s="220">
        <v>44638</v>
      </c>
    </row>
    <row r="62" spans="1:6" ht="15" x14ac:dyDescent="0.2">
      <c r="A62" s="118" t="s">
        <v>479</v>
      </c>
    </row>
    <row r="63" spans="1:6" ht="15" x14ac:dyDescent="0.2">
      <c r="A63" s="118" t="s">
        <v>478</v>
      </c>
    </row>
    <row r="64" spans="1:6" ht="15" x14ac:dyDescent="0.2">
      <c r="A64" s="118" t="s">
        <v>465</v>
      </c>
    </row>
    <row r="65" spans="1:6" ht="15" x14ac:dyDescent="0.2">
      <c r="A65" s="118" t="s">
        <v>466</v>
      </c>
    </row>
    <row r="66" spans="1:6" ht="15" x14ac:dyDescent="0.2">
      <c r="A66" s="118" t="s">
        <v>476</v>
      </c>
    </row>
    <row r="67" spans="1:6" ht="15" x14ac:dyDescent="0.2">
      <c r="A67" s="118" t="s">
        <v>481</v>
      </c>
    </row>
    <row r="68" spans="1:6" ht="15" x14ac:dyDescent="0.2">
      <c r="A68" s="386" t="s">
        <v>477</v>
      </c>
    </row>
    <row r="69" spans="1:6" ht="15" x14ac:dyDescent="0.2">
      <c r="A69" s="118" t="s">
        <v>480</v>
      </c>
    </row>
    <row r="70" spans="1:6" ht="15" x14ac:dyDescent="0.2">
      <c r="A70" s="118" t="s">
        <v>498</v>
      </c>
    </row>
    <row r="71" spans="1:6" ht="15.75" x14ac:dyDescent="0.25">
      <c r="A71" s="1" t="s">
        <v>499</v>
      </c>
      <c r="F71" s="220">
        <v>44692</v>
      </c>
    </row>
    <row r="72" spans="1:6" ht="15" x14ac:dyDescent="0.2">
      <c r="A72" s="118" t="s">
        <v>500</v>
      </c>
      <c r="F72" s="220"/>
    </row>
    <row r="73" spans="1:6" ht="15" x14ac:dyDescent="0.2">
      <c r="A73" s="118" t="s">
        <v>501</v>
      </c>
    </row>
    <row r="74" spans="1:6" ht="15" x14ac:dyDescent="0.2">
      <c r="A74" s="118" t="s">
        <v>502</v>
      </c>
    </row>
    <row r="75" spans="1:6" ht="15" x14ac:dyDescent="0.2">
      <c r="A75" s="118" t="s">
        <v>503</v>
      </c>
    </row>
    <row r="76" spans="1:6" ht="15" x14ac:dyDescent="0.2">
      <c r="A76" s="118" t="s">
        <v>562</v>
      </c>
    </row>
    <row r="77" spans="1:6" ht="15" x14ac:dyDescent="0.2">
      <c r="A77" s="118" t="s">
        <v>504</v>
      </c>
    </row>
    <row r="78" spans="1:6" ht="15" x14ac:dyDescent="0.2">
      <c r="A78" s="118" t="s">
        <v>505</v>
      </c>
    </row>
    <row r="79" spans="1:6" ht="15" x14ac:dyDescent="0.2">
      <c r="A79" s="118" t="s">
        <v>506</v>
      </c>
      <c r="F79" s="220"/>
    </row>
    <row r="80" spans="1:6" ht="15.75" x14ac:dyDescent="0.25">
      <c r="A80" s="1" t="s">
        <v>532</v>
      </c>
      <c r="F80" s="220"/>
    </row>
    <row r="81" spans="1:8" ht="15" x14ac:dyDescent="0.2">
      <c r="A81" s="118" t="s">
        <v>561</v>
      </c>
      <c r="F81" s="220">
        <v>44701</v>
      </c>
    </row>
    <row r="82" spans="1:8" ht="15" x14ac:dyDescent="0.2">
      <c r="A82" s="118" t="s">
        <v>564</v>
      </c>
      <c r="F82" s="220">
        <v>44712</v>
      </c>
    </row>
    <row r="83" spans="1:8" ht="15" x14ac:dyDescent="0.2">
      <c r="A83" s="118" t="s">
        <v>535</v>
      </c>
      <c r="F83" s="220">
        <v>44704</v>
      </c>
    </row>
    <row r="84" spans="1:8" ht="15" x14ac:dyDescent="0.2">
      <c r="A84" s="118" t="s">
        <v>541</v>
      </c>
    </row>
    <row r="85" spans="1:8" ht="15" x14ac:dyDescent="0.2">
      <c r="A85" s="118" t="s">
        <v>542</v>
      </c>
    </row>
    <row r="86" spans="1:8" ht="15" x14ac:dyDescent="0.2">
      <c r="A86" s="118" t="s">
        <v>555</v>
      </c>
      <c r="F86" s="220">
        <v>44708</v>
      </c>
    </row>
    <row r="87" spans="1:8" ht="15" x14ac:dyDescent="0.2">
      <c r="A87" s="118" t="s">
        <v>545</v>
      </c>
    </row>
    <row r="88" spans="1:8" ht="15" x14ac:dyDescent="0.2">
      <c r="A88" s="118" t="s">
        <v>554</v>
      </c>
    </row>
    <row r="89" spans="1:8" ht="15" x14ac:dyDescent="0.2">
      <c r="A89" s="118" t="s">
        <v>556</v>
      </c>
      <c r="F89" s="220">
        <v>44712</v>
      </c>
    </row>
    <row r="90" spans="1:8" ht="15" x14ac:dyDescent="0.2">
      <c r="A90" s="118" t="s">
        <v>563</v>
      </c>
      <c r="F90" s="220"/>
    </row>
    <row r="91" spans="1:8" ht="15.75" x14ac:dyDescent="0.25">
      <c r="A91" s="1" t="s">
        <v>586</v>
      </c>
    </row>
    <row r="92" spans="1:8" ht="15" x14ac:dyDescent="0.2">
      <c r="A92" s="118" t="s">
        <v>587</v>
      </c>
      <c r="F92" s="220">
        <v>44774</v>
      </c>
      <c r="H92" s="150" t="s">
        <v>588</v>
      </c>
    </row>
    <row r="93" spans="1:8" ht="15" x14ac:dyDescent="0.2">
      <c r="A93" s="118" t="s">
        <v>649</v>
      </c>
      <c r="F93" s="220">
        <v>44785</v>
      </c>
    </row>
    <row r="94" spans="1:8" ht="15" x14ac:dyDescent="0.2">
      <c r="A94" s="118" t="s">
        <v>613</v>
      </c>
      <c r="F94" s="220">
        <v>44782</v>
      </c>
    </row>
    <row r="95" spans="1:8" ht="15" x14ac:dyDescent="0.2">
      <c r="A95" s="118" t="s">
        <v>614</v>
      </c>
      <c r="F95" s="220">
        <v>44785</v>
      </c>
    </row>
    <row r="96" spans="1:8" ht="15" x14ac:dyDescent="0.2">
      <c r="A96" s="118" t="s">
        <v>653</v>
      </c>
      <c r="F96" s="220">
        <v>44785</v>
      </c>
    </row>
    <row r="97" spans="1:12" ht="15" x14ac:dyDescent="0.2">
      <c r="A97" s="118" t="s">
        <v>654</v>
      </c>
      <c r="F97" s="220">
        <v>44785</v>
      </c>
    </row>
    <row r="98" spans="1:12" ht="15" x14ac:dyDescent="0.2">
      <c r="A98" s="118" t="s">
        <v>650</v>
      </c>
      <c r="F98" s="220">
        <v>44785</v>
      </c>
    </row>
    <row r="99" spans="1:12" ht="15" x14ac:dyDescent="0.2">
      <c r="A99" s="118" t="s">
        <v>655</v>
      </c>
      <c r="F99" s="220">
        <v>44785</v>
      </c>
    </row>
    <row r="100" spans="1:12" ht="15" x14ac:dyDescent="0.2">
      <c r="A100" s="118" t="s">
        <v>651</v>
      </c>
      <c r="F100" s="220">
        <v>44785</v>
      </c>
    </row>
    <row r="101" spans="1:12" ht="15" x14ac:dyDescent="0.2">
      <c r="A101" s="118" t="s">
        <v>652</v>
      </c>
      <c r="F101" s="220">
        <v>44785</v>
      </c>
    </row>
    <row r="102" spans="1:12" ht="15.75" x14ac:dyDescent="0.25">
      <c r="A102" s="1" t="s">
        <v>672</v>
      </c>
    </row>
    <row r="103" spans="1:12" ht="15" x14ac:dyDescent="0.2">
      <c r="A103" s="118" t="s">
        <v>673</v>
      </c>
      <c r="F103" s="220">
        <v>44798</v>
      </c>
      <c r="H103" s="150" t="s">
        <v>674</v>
      </c>
      <c r="L103" s="150"/>
    </row>
    <row r="104" spans="1:12" ht="15" x14ac:dyDescent="0.2">
      <c r="A104" s="118" t="s">
        <v>683</v>
      </c>
      <c r="F104" s="220">
        <v>44798</v>
      </c>
    </row>
    <row r="105" spans="1:12" ht="15" x14ac:dyDescent="0.2">
      <c r="A105" s="118" t="s">
        <v>682</v>
      </c>
      <c r="F105" s="220">
        <v>44798</v>
      </c>
      <c r="H105" s="150" t="s">
        <v>681</v>
      </c>
    </row>
    <row r="106" spans="1:12" ht="15" x14ac:dyDescent="0.2">
      <c r="A106" s="118" t="s">
        <v>680</v>
      </c>
      <c r="F106" s="220">
        <v>44798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60623361CAF4E4EB97B457A5E3110DD" ma:contentTypeVersion="2" ma:contentTypeDescription="Create a new document." ma:contentTypeScope="" ma:versionID="887cb7e9b23e89cb9be87223e8ab5428">
  <xsd:schema xmlns:xsd="http://www.w3.org/2001/XMLSchema" xmlns:xs="http://www.w3.org/2001/XMLSchema" xmlns:p="http://schemas.microsoft.com/office/2006/metadata/properties" xmlns:ns3="2a3c4c33-5e5b-4f9f-81ab-262c991d6ff9" targetNamespace="http://schemas.microsoft.com/office/2006/metadata/properties" ma:root="true" ma:fieldsID="48e84773234f1dd7625364a72b8a9137" ns3:_="">
    <xsd:import namespace="2a3c4c33-5e5b-4f9f-81ab-262c991d6ff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3c4c33-5e5b-4f9f-81ab-262c991d6ff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A2C768-7C34-4764-8D23-FEA7CC87E7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3c4c33-5e5b-4f9f-81ab-262c991d6ff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D6370E1-634B-49D6-A822-B4248F334D79}">
  <ds:schemaRefs>
    <ds:schemaRef ds:uri="http://schemas.microsoft.com/office/2006/documentManagement/types"/>
    <ds:schemaRef ds:uri="http://purl.org/dc/terms/"/>
    <ds:schemaRef ds:uri="http://purl.org/dc/elements/1.1/"/>
    <ds:schemaRef ds:uri="http://schemas.microsoft.com/office/2006/metadata/properties"/>
    <ds:schemaRef ds:uri="2a3c4c33-5e5b-4f9f-81ab-262c991d6ff9"/>
    <ds:schemaRef ds:uri="http://www.w3.org/XML/1998/namespace"/>
    <ds:schemaRef ds:uri="http://schemas.microsoft.com/office/infopath/2007/PartnerControl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D5201B2D-CA49-4F67-A566-9A554AB827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Itemized</vt:lpstr>
      <vt:lpstr>Buttons</vt:lpstr>
      <vt:lpstr>Unit Quote</vt:lpstr>
      <vt:lpstr>Freight Rates</vt:lpstr>
      <vt:lpstr>Info</vt:lpstr>
      <vt:lpstr>Calculations</vt:lpstr>
      <vt:lpstr>Version Control</vt:lpstr>
      <vt:lpstr>BootTable</vt:lpstr>
      <vt:lpstr>BoxLookups</vt:lpstr>
      <vt:lpstr>ColA</vt:lpstr>
      <vt:lpstr>DeleteColumns</vt:lpstr>
      <vt:lpstr>DeleteColumnsA</vt:lpstr>
      <vt:lpstr>DeleteColumnsB</vt:lpstr>
      <vt:lpstr>DoubleHeadwallLookups</vt:lpstr>
      <vt:lpstr>EndwallNames</vt:lpstr>
      <vt:lpstr>FWaffleBases</vt:lpstr>
      <vt:lpstr>GreaseTrapLookups</vt:lpstr>
      <vt:lpstr>GreaseTrapNames</vt:lpstr>
      <vt:lpstr>HeadwallLookups</vt:lpstr>
      <vt:lpstr>HeadwallNames</vt:lpstr>
      <vt:lpstr>JW</vt:lpstr>
      <vt:lpstr>LETH4</vt:lpstr>
      <vt:lpstr>LETH5</vt:lpstr>
      <vt:lpstr>LETH6</vt:lpstr>
      <vt:lpstr>LETH7</vt:lpstr>
      <vt:lpstr>LETH8</vt:lpstr>
      <vt:lpstr>LETH9</vt:lpstr>
      <vt:lpstr>Lids</vt:lpstr>
      <vt:lpstr>ManifoldVaultNames</vt:lpstr>
      <vt:lpstr>NPSewerLookups</vt:lpstr>
      <vt:lpstr>NPStormLookups</vt:lpstr>
      <vt:lpstr>Itemized!Print_Area</vt:lpstr>
      <vt:lpstr>'Unit Quote'!Print_Titles</vt:lpstr>
      <vt:lpstr>Risers</vt:lpstr>
      <vt:lpstr>Sewer</vt:lpstr>
      <vt:lpstr>SewerLookups</vt:lpstr>
      <vt:lpstr>SewerTable</vt:lpstr>
      <vt:lpstr>SPLookups</vt:lpstr>
      <vt:lpstr>Storm</vt:lpstr>
      <vt:lpstr>StormDescriptions</vt:lpstr>
      <vt:lpstr>StormLookups</vt:lpstr>
      <vt:lpstr>TFLookps</vt:lpstr>
      <vt:lpstr>TFLookups</vt:lpstr>
      <vt:lpstr>TFPriceLookups</vt:lpstr>
      <vt:lpstr>TFWaffleBases</vt:lpstr>
      <vt:lpstr>TotalStormWeight</vt:lpstr>
      <vt:lpstr>TSWaffleBases</vt:lpstr>
      <vt:lpstr>TWaffleBases</vt:lpstr>
      <vt:lpstr>TypeLookups</vt:lpstr>
      <vt:lpstr>VaultNames</vt:lpstr>
      <vt:lpstr>WaffleBases</vt:lpstr>
      <vt:lpstr>WaffleBoxNames</vt:lpstr>
      <vt:lpstr>WaffleRiserLookup</vt:lpstr>
      <vt:lpstr>WaffleStructures</vt:lpstr>
      <vt:lpstr>WeightInfoLookups</vt:lpstr>
      <vt:lpstr>WeightPerCY</vt:lpstr>
    </vt:vector>
  </TitlesOfParts>
  <Company>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office</dc:creator>
  <cp:lastModifiedBy>Tyler Mathis</cp:lastModifiedBy>
  <cp:lastPrinted>2022-03-18T20:59:30Z</cp:lastPrinted>
  <dcterms:created xsi:type="dcterms:W3CDTF">2004-07-23T11:16:20Z</dcterms:created>
  <dcterms:modified xsi:type="dcterms:W3CDTF">2023-01-19T02:57:23Z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0x010100960623361CAF4E4EB97B457A5E3110DD</vt:lpwstr>
  </property>
</Properties>
</file>