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pfajard\Downloads\"/>
    </mc:Choice>
  </mc:AlternateContent>
  <bookViews>
    <workbookView xWindow="0" yWindow="0" windowWidth="28800" windowHeight="12330" activeTab="1"/>
  </bookViews>
  <sheets>
    <sheet name="Q5" sheetId="1" r:id="rId1"/>
    <sheet name="Q7" sheetId="2" r:id="rId2"/>
    <sheet name="Q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" l="1"/>
  <c r="I67" i="2" s="1"/>
  <c r="H66" i="2"/>
  <c r="I66" i="2" s="1"/>
  <c r="R39" i="1" l="1"/>
  <c r="P39" i="1"/>
  <c r="N39" i="1"/>
  <c r="M39" i="1"/>
  <c r="O35" i="1"/>
  <c r="P30" i="1"/>
  <c r="M30" i="1"/>
  <c r="M29" i="1"/>
  <c r="M28" i="1"/>
  <c r="M2" i="3"/>
  <c r="E26" i="3"/>
  <c r="E25" i="3"/>
  <c r="B20" i="3"/>
  <c r="G24" i="3"/>
  <c r="E24" i="3"/>
  <c r="D20" i="3"/>
  <c r="A22" i="3"/>
  <c r="E23" i="3"/>
  <c r="C14" i="3"/>
  <c r="C12" i="3"/>
  <c r="C15" i="3"/>
  <c r="C13" i="3"/>
  <c r="J17" i="3"/>
  <c r="I17" i="3"/>
  <c r="J16" i="3"/>
  <c r="I16" i="3"/>
  <c r="J15" i="3"/>
  <c r="I15" i="3"/>
  <c r="M11" i="3"/>
  <c r="J14" i="3"/>
  <c r="I14" i="3"/>
  <c r="J13" i="3"/>
  <c r="I13" i="3"/>
  <c r="I12" i="3"/>
  <c r="J12" i="3"/>
  <c r="E6" i="3"/>
  <c r="E12" i="3"/>
  <c r="F12" i="3" s="1"/>
  <c r="J7" i="3"/>
  <c r="B60" i="2" l="1"/>
  <c r="C60" i="2" s="1"/>
  <c r="B61" i="2"/>
  <c r="C61" i="2" s="1"/>
  <c r="B62" i="2"/>
  <c r="B63" i="2"/>
  <c r="C63" i="2" s="1"/>
  <c r="B59" i="2"/>
  <c r="C59" i="2" s="1"/>
  <c r="I60" i="2"/>
  <c r="I61" i="2"/>
  <c r="I62" i="2"/>
  <c r="I63" i="2"/>
  <c r="I64" i="2"/>
  <c r="I65" i="2"/>
  <c r="I59" i="2"/>
  <c r="H60" i="2"/>
  <c r="H61" i="2"/>
  <c r="H62" i="2"/>
  <c r="H63" i="2"/>
  <c r="H64" i="2"/>
  <c r="H65" i="2"/>
  <c r="H59" i="2"/>
  <c r="C62" i="2"/>
  <c r="F43" i="2" l="1"/>
  <c r="C44" i="2"/>
  <c r="C43" i="2"/>
  <c r="B44" i="2"/>
  <c r="B45" i="2"/>
  <c r="C45" i="2" s="1"/>
  <c r="B46" i="2"/>
  <c r="C46" i="2" s="1"/>
  <c r="B47" i="2"/>
  <c r="C47" i="2" s="1"/>
  <c r="B43" i="2"/>
  <c r="B26" i="2"/>
  <c r="B27" i="2"/>
  <c r="L17" i="2"/>
  <c r="L19" i="2"/>
  <c r="L18" i="2"/>
  <c r="K17" i="2"/>
  <c r="K18" i="2"/>
  <c r="K19" i="2"/>
  <c r="J18" i="2"/>
  <c r="J19" i="2"/>
  <c r="J17" i="2"/>
  <c r="F16" i="2"/>
  <c r="C7" i="2"/>
  <c r="B17" i="2"/>
  <c r="C17" i="2" s="1"/>
  <c r="C18" i="2"/>
  <c r="C19" i="2"/>
  <c r="C20" i="2"/>
  <c r="C16" i="2"/>
  <c r="B18" i="2"/>
  <c r="B19" i="2"/>
  <c r="B20" i="2"/>
  <c r="B16" i="2"/>
  <c r="K7" i="2"/>
  <c r="K8" i="2"/>
  <c r="K6" i="2"/>
  <c r="J7" i="2"/>
  <c r="J8" i="2"/>
  <c r="J6" i="2"/>
  <c r="F5" i="2"/>
  <c r="C6" i="2"/>
  <c r="C8" i="2"/>
  <c r="C9" i="2"/>
  <c r="C5" i="2"/>
  <c r="B6" i="2"/>
  <c r="B7" i="2"/>
  <c r="B8" i="2"/>
  <c r="B9" i="2"/>
  <c r="B5" i="2"/>
  <c r="N24" i="1"/>
  <c r="Q6" i="1"/>
  <c r="P23" i="1"/>
  <c r="O23" i="1"/>
  <c r="N23" i="1"/>
  <c r="P6" i="1"/>
  <c r="O19" i="1"/>
  <c r="N19" i="1"/>
  <c r="P18" i="1"/>
  <c r="O18" i="1"/>
  <c r="N18" i="1"/>
  <c r="M13" i="1"/>
  <c r="N11" i="1"/>
  <c r="M11" i="1"/>
  <c r="M6" i="1"/>
  <c r="M5" i="1"/>
  <c r="H43" i="1"/>
  <c r="H42" i="1"/>
  <c r="H38" i="1"/>
  <c r="H37" i="1"/>
  <c r="H34" i="1"/>
  <c r="I31" i="1"/>
  <c r="H31" i="1"/>
  <c r="H24" i="1"/>
  <c r="J27" i="1"/>
  <c r="I27" i="1"/>
  <c r="H27" i="1"/>
  <c r="H26" i="1"/>
  <c r="I26" i="1" s="1"/>
  <c r="J26" i="1" s="1"/>
  <c r="I24" i="1"/>
  <c r="H5" i="1"/>
  <c r="H21" i="1"/>
  <c r="I17" i="1"/>
  <c r="H17" i="1"/>
  <c r="I10" i="1"/>
  <c r="I13" i="1"/>
  <c r="H13" i="1"/>
  <c r="I12" i="1"/>
  <c r="H12" i="1"/>
  <c r="B67" i="1"/>
  <c r="C67" i="1" s="1"/>
  <c r="B66" i="1"/>
  <c r="C66" i="1" s="1"/>
  <c r="B58" i="1"/>
  <c r="B55" i="1"/>
  <c r="B61" i="1" s="1"/>
  <c r="C61" i="1" s="1"/>
  <c r="H10" i="1"/>
  <c r="H9" i="1"/>
  <c r="H8" i="1"/>
  <c r="B60" i="1"/>
  <c r="B57" i="1"/>
  <c r="G55" i="1"/>
  <c r="F55" i="1"/>
  <c r="B53" i="1"/>
  <c r="L2" i="1"/>
  <c r="D43" i="1"/>
  <c r="B47" i="1"/>
  <c r="C47" i="1" s="1"/>
  <c r="C39" i="1"/>
  <c r="B39" i="1"/>
  <c r="C37" i="1"/>
  <c r="B37" i="1"/>
  <c r="C31" i="1"/>
  <c r="B31" i="1"/>
  <c r="C30" i="1"/>
  <c r="B30" i="1"/>
  <c r="C25" i="1"/>
  <c r="B25" i="1"/>
  <c r="B24" i="1"/>
  <c r="B20" i="1"/>
  <c r="C20" i="1"/>
  <c r="B17" i="1"/>
  <c r="B16" i="1"/>
  <c r="B13" i="1"/>
  <c r="B10" i="1"/>
  <c r="B9" i="1"/>
  <c r="B6" i="1"/>
  <c r="B5" i="1"/>
  <c r="C58" i="1" l="1"/>
  <c r="B45" i="1"/>
  <c r="C45" i="1" s="1"/>
</calcChain>
</file>

<file path=xl/sharedStrings.xml><?xml version="1.0" encoding="utf-8"?>
<sst xmlns="http://schemas.openxmlformats.org/spreadsheetml/2006/main" count="193" uniqueCount="142">
  <si>
    <t xml:space="preserve">I. Physics </t>
  </si>
  <si>
    <t>Fn Skid</t>
  </si>
  <si>
    <t>Fn Wheels</t>
  </si>
  <si>
    <t>a</t>
  </si>
  <si>
    <t>b</t>
  </si>
  <si>
    <t>Static Friction</t>
  </si>
  <si>
    <t>skid</t>
  </si>
  <si>
    <t>wheel</t>
  </si>
  <si>
    <t>c</t>
  </si>
  <si>
    <t>Max Fwheels</t>
  </si>
  <si>
    <t>d</t>
  </si>
  <si>
    <t>Max Acceleration</t>
  </si>
  <si>
    <t>Fx</t>
  </si>
  <si>
    <t>e</t>
  </si>
  <si>
    <t xml:space="preserve">Torque Needed </t>
  </si>
  <si>
    <t>Nm-&gt;OzIn</t>
  </si>
  <si>
    <t>per wheel</t>
  </si>
  <si>
    <t>f</t>
  </si>
  <si>
    <t>Torque when a = 0</t>
  </si>
  <si>
    <t>Fwheel, a = 0</t>
  </si>
  <si>
    <t>rWheel</t>
  </si>
  <si>
    <t>g</t>
  </si>
  <si>
    <t>gear ratio</t>
  </si>
  <si>
    <t xml:space="preserve">T -e </t>
  </si>
  <si>
    <t>T - f</t>
  </si>
  <si>
    <t>h</t>
  </si>
  <si>
    <t xml:space="preserve">angular velocity </t>
  </si>
  <si>
    <t>v [m/s]</t>
  </si>
  <si>
    <t>w</t>
  </si>
  <si>
    <t>rad/s -&gt; rmp</t>
  </si>
  <si>
    <t>v[m/s]</t>
  </si>
  <si>
    <t>i</t>
  </si>
  <si>
    <t>Velocity Ratio</t>
  </si>
  <si>
    <t>vMotor</t>
  </si>
  <si>
    <t>II. DC Motor</t>
  </si>
  <si>
    <t>Armature R</t>
  </si>
  <si>
    <t>V</t>
  </si>
  <si>
    <t>I</t>
  </si>
  <si>
    <t>Gear Ratio</t>
  </si>
  <si>
    <t>Vel. Ratio</t>
  </si>
  <si>
    <t>I try #2</t>
  </si>
  <si>
    <t>shaft/wheel</t>
  </si>
  <si>
    <t>Vwheel</t>
  </si>
  <si>
    <t>Rmotor</t>
  </si>
  <si>
    <t>Rshaft</t>
  </si>
  <si>
    <t>GR</t>
  </si>
  <si>
    <t>Vmotor</t>
  </si>
  <si>
    <t>GR2</t>
  </si>
  <si>
    <t>VR1</t>
  </si>
  <si>
    <t>VR2</t>
  </si>
  <si>
    <t>wMotor</t>
  </si>
  <si>
    <t>tkg cm</t>
  </si>
  <si>
    <t>t Nm</t>
  </si>
  <si>
    <t>iStall</t>
  </si>
  <si>
    <t>Kt</t>
  </si>
  <si>
    <t>Stall</t>
  </si>
  <si>
    <t>WnL</t>
  </si>
  <si>
    <t>Try#3</t>
  </si>
  <si>
    <t>wmotor</t>
  </si>
  <si>
    <t>wnLgiven</t>
  </si>
  <si>
    <t>ke</t>
  </si>
  <si>
    <t>wln</t>
  </si>
  <si>
    <t>Wshaft</t>
  </si>
  <si>
    <t>TnL</t>
  </si>
  <si>
    <t>Tstall</t>
  </si>
  <si>
    <t>Ttot</t>
  </si>
  <si>
    <t>Kt OzIn</t>
  </si>
  <si>
    <t>j</t>
  </si>
  <si>
    <t>ttot</t>
  </si>
  <si>
    <t>k</t>
  </si>
  <si>
    <t>v</t>
  </si>
  <si>
    <t>L</t>
  </si>
  <si>
    <t>Rm</t>
  </si>
  <si>
    <t>T</t>
  </si>
  <si>
    <t>HPF #1</t>
  </si>
  <si>
    <t>C</t>
  </si>
  <si>
    <t>Fc</t>
  </si>
  <si>
    <t>R</t>
  </si>
  <si>
    <t>Rreal</t>
  </si>
  <si>
    <t>Rstandard</t>
  </si>
  <si>
    <t>fc</t>
  </si>
  <si>
    <t>Multi Sim</t>
  </si>
  <si>
    <t>Vin</t>
  </si>
  <si>
    <t>Attenuartion</t>
  </si>
  <si>
    <t>dB</t>
  </si>
  <si>
    <t>Vin(mV)</t>
  </si>
  <si>
    <t>HPF #2</t>
  </si>
  <si>
    <t>Atten.</t>
  </si>
  <si>
    <t>db</t>
  </si>
  <si>
    <t>Loss</t>
  </si>
  <si>
    <t>Vout</t>
  </si>
  <si>
    <t>vout(mv)</t>
  </si>
  <si>
    <t>After HPF</t>
  </si>
  <si>
    <t>Vin = 3.3</t>
  </si>
  <si>
    <t>V(mV)</t>
  </si>
  <si>
    <t>LPF1</t>
  </si>
  <si>
    <t>Rerror</t>
  </si>
  <si>
    <t>`</t>
  </si>
  <si>
    <t>Multisim</t>
  </si>
  <si>
    <t>Vin = 1v</t>
  </si>
  <si>
    <t>Vin = 1V, 1.65 offset</t>
  </si>
  <si>
    <t>2nd Order Butterwoth LPF</t>
  </si>
  <si>
    <t>C1,C2</t>
  </si>
  <si>
    <t>Fmul</t>
  </si>
  <si>
    <t>R1,R2</t>
  </si>
  <si>
    <t>G</t>
  </si>
  <si>
    <t>R3</t>
  </si>
  <si>
    <t>R4</t>
  </si>
  <si>
    <t>R4Error</t>
  </si>
  <si>
    <t>multiSim</t>
  </si>
  <si>
    <t>DON'T FORGEET AC COUPLING</t>
  </si>
  <si>
    <t xml:space="preserve">Darlington </t>
  </si>
  <si>
    <t>Output</t>
  </si>
  <si>
    <t xml:space="preserve">Input </t>
  </si>
  <si>
    <t>mA</t>
  </si>
  <si>
    <t xml:space="preserve">UNO 32 </t>
  </si>
  <si>
    <t xml:space="preserve">Output </t>
  </si>
  <si>
    <t>Total (x5)</t>
  </si>
  <si>
    <t>I to burn</t>
  </si>
  <si>
    <t xml:space="preserve">Tape Sensor </t>
  </si>
  <si>
    <t>total x5</t>
  </si>
  <si>
    <t>Input -mA</t>
  </si>
  <si>
    <t>Rburn</t>
  </si>
  <si>
    <t>Rinternal</t>
  </si>
  <si>
    <t>Input Real</t>
  </si>
  <si>
    <t>r standard</t>
  </si>
  <si>
    <t>Iburn Real</t>
  </si>
  <si>
    <t>Id2</t>
  </si>
  <si>
    <t>Vd21.77</t>
  </si>
  <si>
    <t>Iburn2</t>
  </si>
  <si>
    <t>rBurn2</t>
  </si>
  <si>
    <t>per tapeSe</t>
  </si>
  <si>
    <t>m</t>
  </si>
  <si>
    <t>V1</t>
  </si>
  <si>
    <t>PWM</t>
  </si>
  <si>
    <t>n</t>
  </si>
  <si>
    <t>Batt Voltage</t>
  </si>
  <si>
    <t>Actual</t>
  </si>
  <si>
    <t>speed</t>
  </si>
  <si>
    <t>w15</t>
  </si>
  <si>
    <t>rmp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</si>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</sst>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1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HPF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HPF1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'Q7'!$H$6:$H$8</c:f>
              <c:numCache>
                <c:formatCode>0.00E+00</c:formatCode>
                <c:ptCount val="3"/>
                <c:pt idx="0">
                  <c:v>1000</c:v>
                </c:pt>
                <c:pt idx="1">
                  <c:v>18500</c:v>
                </c:pt>
                <c:pt idx="2">
                  <c:v>25000</c:v>
                </c:pt>
              </c:numCache>
            </c:numRef>
          </c:xVal>
          <c:yVal>
            <c:numRef>
              <c:f>'Q7'!$I$6:$I$8</c:f>
              <c:numCache>
                <c:formatCode>General</c:formatCode>
                <c:ptCount val="3"/>
                <c:pt idx="0">
                  <c:v>53.81</c:v>
                </c:pt>
                <c:pt idx="1">
                  <c:v>706.08</c:v>
                </c:pt>
                <c:pt idx="2">
                  <c:v>803.22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8-45CF-9331-89255F2CA328}"/>
            </c:ext>
          </c:extLst>
        </c:ser>
        <c:ser>
          <c:idx val="1"/>
          <c:order val="1"/>
          <c:tx>
            <c:v>HPF2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'Q7'!$H$17:$H$19</c:f>
              <c:numCache>
                <c:formatCode>0.00E+00</c:formatCode>
                <c:ptCount val="3"/>
                <c:pt idx="0">
                  <c:v>1000</c:v>
                </c:pt>
                <c:pt idx="1">
                  <c:v>13300</c:v>
                </c:pt>
                <c:pt idx="2">
                  <c:v>25000</c:v>
                </c:pt>
              </c:numCache>
            </c:numRef>
          </c:xVal>
          <c:yVal>
            <c:numRef>
              <c:f>'Q7'!$I$17:$I$19</c:f>
              <c:numCache>
                <c:formatCode>General</c:formatCode>
                <c:ptCount val="3"/>
                <c:pt idx="0">
                  <c:v>75.42</c:v>
                </c:pt>
                <c:pt idx="1">
                  <c:v>714.1</c:v>
                </c:pt>
                <c:pt idx="2">
                  <c:v>883.8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8-45CF-9331-89255F2C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8208"/>
        <c:axId val="450504928"/>
      </c:scatterChart>
      <c:valAx>
        <c:axId val="4505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4928"/>
        <c:crosses val="autoZero"/>
        <c:crossBetween val="midCat"/>
      </c:valAx>
      <c:valAx>
        <c:axId val="4505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HPF 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HPF1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'Q7'!$H$6:$H$8</c:f>
              <c:numCache>
                <c:formatCode>0.00E+00</c:formatCode>
                <c:ptCount val="3"/>
                <c:pt idx="0">
                  <c:v>1000</c:v>
                </c:pt>
                <c:pt idx="1">
                  <c:v>18500</c:v>
                </c:pt>
                <c:pt idx="2">
                  <c:v>25000</c:v>
                </c:pt>
              </c:numCache>
            </c:numRef>
          </c:xVal>
          <c:yVal>
            <c:numRef>
              <c:f>'Q7'!$K$6:$K$8</c:f>
              <c:numCache>
                <c:formatCode>General</c:formatCode>
                <c:ptCount val="3"/>
                <c:pt idx="0">
                  <c:v>-25.382740159070121</c:v>
                </c:pt>
                <c:pt idx="1">
                  <c:v>-3.0229217979376526</c:v>
                </c:pt>
                <c:pt idx="2">
                  <c:v>-1.9033097245613262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98-40E9-B044-036E037A1942}"/>
            </c:ext>
          </c:extLst>
        </c:ser>
        <c:ser>
          <c:idx val="1"/>
          <c:order val="1"/>
          <c:tx>
            <c:v>HPF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'Q7'!$H$17:$H$19</c:f>
              <c:numCache>
                <c:formatCode>0.00E+00</c:formatCode>
                <c:ptCount val="3"/>
                <c:pt idx="0">
                  <c:v>1000</c:v>
                </c:pt>
                <c:pt idx="1">
                  <c:v>13300</c:v>
                </c:pt>
                <c:pt idx="2">
                  <c:v>25000</c:v>
                </c:pt>
              </c:numCache>
            </c:numRef>
          </c:xVal>
          <c:yVal>
            <c:numRef>
              <c:f>'Q7'!$K$17:$K$19</c:f>
              <c:numCache>
                <c:formatCode>0.00E+00</c:formatCode>
                <c:ptCount val="3"/>
                <c:pt idx="0">
                  <c:v>-22.450269438607972</c:v>
                </c:pt>
                <c:pt idx="1">
                  <c:v>-2.9248193385046237</c:v>
                </c:pt>
                <c:pt idx="2">
                  <c:v>-1.07292005547451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98-40E9-B044-036E037A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22856"/>
        <c:axId val="557576656"/>
      </c:scatterChart>
      <c:valAx>
        <c:axId val="562222856"/>
        <c:scaling>
          <c:logBase val="10"/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6656"/>
        <c:crosses val="autoZero"/>
        <c:crossBetween val="midCat"/>
      </c:valAx>
      <c:valAx>
        <c:axId val="557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2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HPF-Theoretical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'Q7'!$A$26:$A$28</c:f>
              <c:numCache>
                <c:formatCode>0.00E+00</c:formatCode>
                <c:ptCount val="3"/>
                <c:pt idx="0">
                  <c:v>1000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xVal>
          <c:yVal>
            <c:numRef>
              <c:f>'Q7'!$B$26:$B$28</c:f>
              <c:numCache>
                <c:formatCode>0.00E+00</c:formatCode>
                <c:ptCount val="3"/>
                <c:pt idx="0">
                  <c:v>248.886</c:v>
                </c:pt>
                <c:pt idx="1">
                  <c:v>2916.5399999999995</c:v>
                </c:pt>
                <c:pt idx="2" formatCode="General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B-4FB9-865B-20528855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42320"/>
        <c:axId val="561348568"/>
      </c:scatterChart>
      <c:valAx>
        <c:axId val="5596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48568"/>
        <c:crosses val="autoZero"/>
        <c:crossBetween val="midCat"/>
      </c:valAx>
      <c:valAx>
        <c:axId val="5613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HPF</a:t>
            </a:r>
            <a:r>
              <a:rPr lang="en-US" baseline="0"/>
              <a:t> Actual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'Q7'!$A$30:$A$32</c:f>
              <c:numCache>
                <c:formatCode>0.00E+00</c:formatCode>
                <c:ptCount val="3"/>
                <c:pt idx="0">
                  <c:v>1000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xVal>
          <c:yVal>
            <c:numRef>
              <c:f>'Q7'!$B$30:$B$32</c:f>
              <c:numCache>
                <c:formatCode>0.00E+00</c:formatCode>
                <c:ptCount val="3"/>
                <c:pt idx="0">
                  <c:v>1</c:v>
                </c:pt>
                <c:pt idx="1">
                  <c:v>10</c:v>
                </c:pt>
                <c:pt idx="2" formatCode="General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D-4B7A-8D08-6A472C3F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98912"/>
        <c:axId val="566197928"/>
      </c:scatterChart>
      <c:valAx>
        <c:axId val="5661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97928"/>
        <c:crosses val="autoZero"/>
        <c:crossBetween val="midCat"/>
      </c:valAx>
      <c:valAx>
        <c:axId val="56619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HPF</a:t>
            </a:r>
            <a:r>
              <a:rPr lang="en-US" baseline="0"/>
              <a:t> -&gt; Buffer -&gt; HPF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'Q7'!$L$45:$L$48</c:f>
              <c:numCache>
                <c:formatCode>0.00E+00</c:formatCode>
                <c:ptCount val="4"/>
                <c:pt idx="0">
                  <c:v>1000</c:v>
                </c:pt>
                <c:pt idx="1">
                  <c:v>25000</c:v>
                </c:pt>
                <c:pt idx="2">
                  <c:v>28400</c:v>
                </c:pt>
                <c:pt idx="3">
                  <c:v>50000</c:v>
                </c:pt>
              </c:numCache>
            </c:numRef>
          </c:xVal>
          <c:yVal>
            <c:numRef>
              <c:f>'Q7'!$M$45:$M$48</c:f>
              <c:numCache>
                <c:formatCode>General</c:formatCode>
                <c:ptCount val="4"/>
                <c:pt idx="0">
                  <c:v>75.222999999999999</c:v>
                </c:pt>
                <c:pt idx="1">
                  <c:v>689.38</c:v>
                </c:pt>
                <c:pt idx="2">
                  <c:v>679.58</c:v>
                </c:pt>
                <c:pt idx="3">
                  <c:v>578.57000000000005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5-4C31-A732-640BD8C6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75016"/>
        <c:axId val="557575672"/>
      </c:scatterChart>
      <c:valAx>
        <c:axId val="55757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5672"/>
        <c:crosses val="autoZero"/>
        <c:crossBetween val="midCat"/>
      </c:valAx>
      <c:valAx>
        <c:axId val="5575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LPF -&gt; Buffer -&gt; HPF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'Q7'!$K$59:$K$62</c:f>
              <c:numCache>
                <c:formatCode>0.00E+00</c:formatCode>
                <c:ptCount val="4"/>
                <c:pt idx="0">
                  <c:v>1000</c:v>
                </c:pt>
                <c:pt idx="1">
                  <c:v>25000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'Q7'!$L$59:$L$62</c:f>
              <c:numCache>
                <c:formatCode>General</c:formatCode>
                <c:ptCount val="4"/>
                <c:pt idx="0">
                  <c:v>75.36</c:v>
                </c:pt>
                <c:pt idx="1">
                  <c:v>717.35</c:v>
                </c:pt>
                <c:pt idx="2">
                  <c:v>642.79999999999995</c:v>
                </c:pt>
                <c:pt idx="3">
                  <c:v>393.8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A-4563-A56B-7F784501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07496"/>
        <c:axId val="558912744"/>
      </c:scatterChart>
      <c:valAx>
        <c:axId val="55890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12744"/>
        <c:crosses val="autoZero"/>
        <c:crossBetween val="midCat"/>
      </c:valAx>
      <c:valAx>
        <c:axId val="5589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38100</xdr:rowOff>
    </xdr:from>
    <xdr:to>
      <xdr:col>19</xdr:col>
      <xdr:colOff>333375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76E43-12BB-4CF9-BE3F-9ED431BCC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509587</xdr:colOff>
      <xdr:row>0</xdr:row>
      <xdr:rowOff>85725</xdr:rowOff>
    </xdr:from>
    <xdr:to>
      <xdr:col>25</xdr:col>
      <xdr:colOff>204787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AA45E2-5189-4964-8E4A-83DFA24B3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414337</xdr:colOff>
      <xdr:row>20</xdr:row>
      <xdr:rowOff>85725</xdr:rowOff>
    </xdr:from>
    <xdr:to>
      <xdr:col>28</xdr:col>
      <xdr:colOff>109537</xdr:colOff>
      <xdr:row>34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B12580-306D-4FD3-9897-709855B8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452437</xdr:colOff>
      <xdr:row>20</xdr:row>
      <xdr:rowOff>38100</xdr:rowOff>
    </xdr:from>
    <xdr:to>
      <xdr:col>20</xdr:col>
      <xdr:colOff>147637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F723A-03E0-466C-A16C-BB168094A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23812</xdr:colOff>
      <xdr:row>35</xdr:row>
      <xdr:rowOff>38100</xdr:rowOff>
    </xdr:from>
    <xdr:to>
      <xdr:col>25</xdr:col>
      <xdr:colOff>328612</xdr:colOff>
      <xdr:row>49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3BF752-6A42-43A6-87B5-DF775E242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319087</xdr:colOff>
      <xdr:row>54</xdr:row>
      <xdr:rowOff>38100</xdr:rowOff>
    </xdr:from>
    <xdr:to>
      <xdr:col>23</xdr:col>
      <xdr:colOff>14287</xdr:colOff>
      <xdr:row>68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F03EE4-742F-4587-BBDF-6FB7BCB38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R40" sqref="R40"/>
    </sheetView>
  </sheetViews>
  <sheetFormatPr defaultRowHeight="15" x14ac:dyDescent="0.25"/>
  <cols>
    <col min="1" max="1" width="17.28515625" bestFit="1" customWidth="1"/>
    <col min="2" max="2" width="12" bestFit="1" customWidth="1"/>
    <col min="7" max="7" width="11.42578125" bestFit="1" customWidth="1"/>
    <col min="11" max="11" width="10.140625" bestFit="1" customWidth="1"/>
  </cols>
  <sheetData>
    <row r="1" spans="1:17" x14ac:dyDescent="0.25">
      <c r="A1" t="s">
        <v>0</v>
      </c>
      <c r="G1" t="s">
        <v>34</v>
      </c>
      <c r="I1" t="s">
        <v>36</v>
      </c>
      <c r="J1" t="s">
        <v>37</v>
      </c>
      <c r="K1" t="s">
        <v>38</v>
      </c>
      <c r="L1" t="s">
        <v>39</v>
      </c>
      <c r="N1" t="s">
        <v>51</v>
      </c>
      <c r="O1" t="s">
        <v>53</v>
      </c>
      <c r="Q1" t="s">
        <v>59</v>
      </c>
    </row>
    <row r="2" spans="1:17" x14ac:dyDescent="0.25">
      <c r="I2">
        <v>12</v>
      </c>
      <c r="J2">
        <v>0.1</v>
      </c>
      <c r="K2">
        <v>51.1</v>
      </c>
      <c r="L2">
        <f>1/K2</f>
        <v>1.9569471624266144E-2</v>
      </c>
      <c r="N2">
        <v>8</v>
      </c>
      <c r="O2">
        <v>1.8</v>
      </c>
      <c r="Q2">
        <v>120</v>
      </c>
    </row>
    <row r="3" spans="1:17" x14ac:dyDescent="0.25">
      <c r="A3" t="s">
        <v>3</v>
      </c>
      <c r="G3" t="s">
        <v>3</v>
      </c>
    </row>
    <row r="4" spans="1:17" x14ac:dyDescent="0.25">
      <c r="L4" t="s">
        <v>67</v>
      </c>
    </row>
    <row r="5" spans="1:17" x14ac:dyDescent="0.25">
      <c r="A5" t="s">
        <v>1</v>
      </c>
      <c r="B5">
        <f>(2/3)*2*10</f>
        <v>13.333333333333332</v>
      </c>
      <c r="G5" t="s">
        <v>35</v>
      </c>
      <c r="H5">
        <f>I2/O2</f>
        <v>6.6666666666666661</v>
      </c>
      <c r="L5" t="s">
        <v>68</v>
      </c>
      <c r="M5">
        <f>C25+H34</f>
        <v>24.870800000000003</v>
      </c>
      <c r="P5" t="s">
        <v>72</v>
      </c>
    </row>
    <row r="6" spans="1:17" x14ac:dyDescent="0.25">
      <c r="A6" t="s">
        <v>2</v>
      </c>
      <c r="B6">
        <f>(1/6)*2*10</f>
        <v>3.333333333333333</v>
      </c>
      <c r="L6" t="s">
        <v>37</v>
      </c>
      <c r="M6">
        <f>M5/H21</f>
        <v>0.18365677152562399</v>
      </c>
      <c r="P6">
        <f>H5/(H24*H21)</f>
        <v>5.2125413745471587E-4</v>
      </c>
      <c r="Q6">
        <f>I26/H37</f>
        <v>0.52125413745471594</v>
      </c>
    </row>
    <row r="7" spans="1:17" x14ac:dyDescent="0.25">
      <c r="G7" t="s">
        <v>4</v>
      </c>
    </row>
    <row r="8" spans="1:17" x14ac:dyDescent="0.25">
      <c r="A8" t="s">
        <v>4</v>
      </c>
      <c r="G8" t="s">
        <v>52</v>
      </c>
      <c r="H8">
        <f>(N2*9.81)/100</f>
        <v>0.78480000000000005</v>
      </c>
      <c r="I8" t="s">
        <v>55</v>
      </c>
    </row>
    <row r="9" spans="1:17" x14ac:dyDescent="0.25">
      <c r="A9" t="s">
        <v>5</v>
      </c>
      <c r="B9">
        <f>B5*0.3</f>
        <v>3.9999999999999996</v>
      </c>
      <c r="C9" t="s">
        <v>6</v>
      </c>
      <c r="G9" t="s">
        <v>54</v>
      </c>
      <c r="H9">
        <f>H8/O2</f>
        <v>0.436</v>
      </c>
      <c r="L9" t="s">
        <v>69</v>
      </c>
    </row>
    <row r="10" spans="1:17" x14ac:dyDescent="0.25">
      <c r="B10">
        <f>B6*0.1</f>
        <v>0.33333333333333331</v>
      </c>
      <c r="C10" t="s">
        <v>7</v>
      </c>
      <c r="G10" t="s">
        <v>56</v>
      </c>
      <c r="H10">
        <f>I2/H9</f>
        <v>27.522935779816514</v>
      </c>
      <c r="I10">
        <f>H10*D36</f>
        <v>262.82477064220183</v>
      </c>
      <c r="L10" t="s">
        <v>70</v>
      </c>
      <c r="M10">
        <v>0.12</v>
      </c>
    </row>
    <row r="11" spans="1:17" x14ac:dyDescent="0.25">
      <c r="L11" t="s">
        <v>28</v>
      </c>
      <c r="M11">
        <f>M10/D24</f>
        <v>3</v>
      </c>
      <c r="N11">
        <f>M11*D36</f>
        <v>28.6479</v>
      </c>
    </row>
    <row r="12" spans="1:17" x14ac:dyDescent="0.25">
      <c r="A12" t="s">
        <v>8</v>
      </c>
      <c r="G12" t="s">
        <v>58</v>
      </c>
      <c r="H12">
        <f>Q2*K2</f>
        <v>6132</v>
      </c>
      <c r="I12">
        <f>H12/D36</f>
        <v>642.14130878703145</v>
      </c>
    </row>
    <row r="13" spans="1:17" x14ac:dyDescent="0.25">
      <c r="A13" t="s">
        <v>9</v>
      </c>
      <c r="B13">
        <f>B6*1</f>
        <v>3.333333333333333</v>
      </c>
      <c r="H13">
        <f>H10*K2</f>
        <v>1406.4220183486239</v>
      </c>
      <c r="I13">
        <f>H13*D36</f>
        <v>13430.345779816515</v>
      </c>
      <c r="L13" t="s">
        <v>70</v>
      </c>
      <c r="M13">
        <f>(M6*H5)+(H24*(N11/1000))</f>
        <v>3.9300134768374937</v>
      </c>
    </row>
    <row r="15" spans="1:17" x14ac:dyDescent="0.25">
      <c r="A15" t="s">
        <v>10</v>
      </c>
    </row>
    <row r="16" spans="1:17" x14ac:dyDescent="0.25">
      <c r="A16" t="s">
        <v>12</v>
      </c>
      <c r="B16">
        <f>B9+(2*B13)</f>
        <v>10.666666666666666</v>
      </c>
      <c r="G16" t="s">
        <v>8</v>
      </c>
      <c r="L16" t="s">
        <v>71</v>
      </c>
    </row>
    <row r="17" spans="1:16" x14ac:dyDescent="0.25">
      <c r="A17" t="s">
        <v>11</v>
      </c>
      <c r="B17">
        <f>B16/2</f>
        <v>5.333333333333333</v>
      </c>
      <c r="H17">
        <f>H9/(D36/1000)</f>
        <v>45.657796906579541</v>
      </c>
      <c r="I17">
        <f>12/(120/1000)</f>
        <v>100</v>
      </c>
      <c r="M17" t="s">
        <v>36</v>
      </c>
      <c r="N17">
        <v>9.9</v>
      </c>
    </row>
    <row r="18" spans="1:16" x14ac:dyDescent="0.25">
      <c r="M18" t="s">
        <v>28</v>
      </c>
      <c r="N18">
        <f>(N17-(H43*H5))/H24</f>
        <v>8.7922732761691283E-2</v>
      </c>
      <c r="O18">
        <f>N18*1000</f>
        <v>87.922732761691279</v>
      </c>
      <c r="P18">
        <f>O18/D36</f>
        <v>9.2072437520751542</v>
      </c>
    </row>
    <row r="19" spans="1:16" x14ac:dyDescent="0.25">
      <c r="A19" t="s">
        <v>13</v>
      </c>
      <c r="D19" t="s">
        <v>15</v>
      </c>
      <c r="M19" t="s">
        <v>70</v>
      </c>
      <c r="N19">
        <f>P18*D24</f>
        <v>0.36828975008300618</v>
      </c>
      <c r="O19">
        <f>N19*100</f>
        <v>36.828975008300617</v>
      </c>
    </row>
    <row r="20" spans="1:16" x14ac:dyDescent="0.25">
      <c r="A20" t="s">
        <v>14</v>
      </c>
      <c r="B20">
        <f>B13*0.04</f>
        <v>0.13333333333333333</v>
      </c>
      <c r="C20">
        <f>B20*D20</f>
        <v>18.881333333333334</v>
      </c>
      <c r="D20">
        <v>141.61000000000001</v>
      </c>
      <c r="G20" t="s">
        <v>10</v>
      </c>
    </row>
    <row r="21" spans="1:16" x14ac:dyDescent="0.25">
      <c r="A21" t="s">
        <v>16</v>
      </c>
      <c r="G21" t="s">
        <v>66</v>
      </c>
      <c r="H21">
        <f>I17*1.3542</f>
        <v>135.42000000000002</v>
      </c>
    </row>
    <row r="23" spans="1:16" x14ac:dyDescent="0.25">
      <c r="A23" t="s">
        <v>17</v>
      </c>
      <c r="D23" t="s">
        <v>20</v>
      </c>
      <c r="G23" t="s">
        <v>13</v>
      </c>
      <c r="M23" t="s">
        <v>73</v>
      </c>
      <c r="N23">
        <f>C37-I26</f>
        <v>-103.18557352941176</v>
      </c>
      <c r="O23">
        <f>N23/-P6</f>
        <v>197956.36353750006</v>
      </c>
      <c r="P23">
        <f>O23/1000</f>
        <v>197.95636353750007</v>
      </c>
    </row>
    <row r="24" spans="1:16" x14ac:dyDescent="0.25">
      <c r="A24" t="s">
        <v>19</v>
      </c>
      <c r="B24">
        <f>B9/2</f>
        <v>1.9999999999999998</v>
      </c>
      <c r="D24">
        <v>0.04</v>
      </c>
      <c r="G24" t="s">
        <v>60</v>
      </c>
      <c r="H24">
        <f>(I2-(J2*H5))/(Q2/1000)</f>
        <v>94.444444444444457</v>
      </c>
      <c r="I24">
        <f>H24</f>
        <v>94.444444444444457</v>
      </c>
      <c r="N24">
        <f>N23/-Q6</f>
        <v>197.95636353750001</v>
      </c>
    </row>
    <row r="25" spans="1:16" x14ac:dyDescent="0.25">
      <c r="A25" t="s">
        <v>18</v>
      </c>
      <c r="B25">
        <f>B24*D24</f>
        <v>7.9999999999999988E-2</v>
      </c>
      <c r="C25">
        <f>B25*D20</f>
        <v>11.328799999999999</v>
      </c>
    </row>
    <row r="26" spans="1:16" x14ac:dyDescent="0.25">
      <c r="G26" t="s">
        <v>61</v>
      </c>
      <c r="H26">
        <f>12/H24</f>
        <v>0.12705882352941175</v>
      </c>
      <c r="I26">
        <f>H26*1000</f>
        <v>127.05882352941175</v>
      </c>
      <c r="J26">
        <f>I26/D36</f>
        <v>13.305564128199109</v>
      </c>
    </row>
    <row r="27" spans="1:16" x14ac:dyDescent="0.25">
      <c r="H27">
        <f>12/H17</f>
        <v>0.26282477064220183</v>
      </c>
      <c r="I27">
        <f>H27*1000</f>
        <v>262.82477064220183</v>
      </c>
      <c r="J27">
        <f>I27/D36</f>
        <v>27.52293577981651</v>
      </c>
      <c r="L27" t="s">
        <v>132</v>
      </c>
    </row>
    <row r="28" spans="1:16" x14ac:dyDescent="0.25">
      <c r="A28" t="s">
        <v>21</v>
      </c>
      <c r="L28" t="s">
        <v>133</v>
      </c>
      <c r="M28">
        <f>(M6*H5)+(H24*(C39)/1000)</f>
        <v>3.0281351435041604</v>
      </c>
    </row>
    <row r="29" spans="1:16" x14ac:dyDescent="0.25">
      <c r="A29" t="s">
        <v>22</v>
      </c>
      <c r="B29">
        <v>51.1</v>
      </c>
      <c r="M29">
        <f>M28+0.7</f>
        <v>3.7281351435041605</v>
      </c>
    </row>
    <row r="30" spans="1:16" x14ac:dyDescent="0.25">
      <c r="A30" t="s">
        <v>23</v>
      </c>
      <c r="B30">
        <f>B20/B29</f>
        <v>2.6092628832354858E-3</v>
      </c>
      <c r="C30">
        <f>C20/B29</f>
        <v>0.36949771689497718</v>
      </c>
      <c r="G30" t="s">
        <v>17</v>
      </c>
      <c r="L30" t="s">
        <v>134</v>
      </c>
      <c r="M30">
        <f>M29/12</f>
        <v>0.31067792862534671</v>
      </c>
      <c r="P30">
        <f>272*(32/1000)</f>
        <v>8.7040000000000006</v>
      </c>
    </row>
    <row r="31" spans="1:16" x14ac:dyDescent="0.25">
      <c r="A31" t="s">
        <v>24</v>
      </c>
      <c r="B31">
        <f>B25/B29</f>
        <v>1.5655577299412912E-3</v>
      </c>
      <c r="C31">
        <f>C25/B29</f>
        <v>0.22169863013698629</v>
      </c>
      <c r="G31" t="s">
        <v>62</v>
      </c>
      <c r="H31">
        <f>I26/K2</f>
        <v>2.486474041671463</v>
      </c>
      <c r="I31">
        <f>H31/D36</f>
        <v>0.26038285965164598</v>
      </c>
    </row>
    <row r="33" spans="1:18" x14ac:dyDescent="0.25">
      <c r="G33" t="s">
        <v>21</v>
      </c>
      <c r="L33" t="s">
        <v>135</v>
      </c>
    </row>
    <row r="34" spans="1:18" x14ac:dyDescent="0.25">
      <c r="A34" t="s">
        <v>25</v>
      </c>
      <c r="G34" t="s">
        <v>63</v>
      </c>
      <c r="H34">
        <f>H21*J2</f>
        <v>13.542000000000002</v>
      </c>
      <c r="M34" t="s">
        <v>136</v>
      </c>
      <c r="O34" t="s">
        <v>137</v>
      </c>
      <c r="Q34" t="s">
        <v>138</v>
      </c>
    </row>
    <row r="35" spans="1:18" x14ac:dyDescent="0.25">
      <c r="A35" t="s">
        <v>26</v>
      </c>
      <c r="D35" t="s">
        <v>29</v>
      </c>
      <c r="M35">
        <v>260</v>
      </c>
      <c r="O35">
        <f>M35*(32/1000)</f>
        <v>8.32</v>
      </c>
      <c r="Q35">
        <v>15</v>
      </c>
    </row>
    <row r="36" spans="1:18" x14ac:dyDescent="0.25">
      <c r="A36" t="s">
        <v>27</v>
      </c>
      <c r="B36">
        <v>0.1</v>
      </c>
      <c r="D36">
        <v>9.5493000000000006</v>
      </c>
      <c r="G36" t="s">
        <v>25</v>
      </c>
    </row>
    <row r="37" spans="1:18" x14ac:dyDescent="0.25">
      <c r="A37" t="s">
        <v>28</v>
      </c>
      <c r="B37">
        <f>B36/D24</f>
        <v>2.5</v>
      </c>
      <c r="C37">
        <f>D36*B37</f>
        <v>23.873250000000002</v>
      </c>
      <c r="G37" t="s">
        <v>64</v>
      </c>
      <c r="H37">
        <f>H21*O2</f>
        <v>243.75600000000003</v>
      </c>
    </row>
    <row r="38" spans="1:18" x14ac:dyDescent="0.25">
      <c r="A38" t="s">
        <v>30</v>
      </c>
      <c r="B38">
        <v>0.08</v>
      </c>
      <c r="H38">
        <f>H37*K2</f>
        <v>12455.931600000002</v>
      </c>
      <c r="M38" t="s">
        <v>139</v>
      </c>
      <c r="N38" t="s">
        <v>140</v>
      </c>
      <c r="P38" t="s">
        <v>70</v>
      </c>
      <c r="R38" t="s">
        <v>141</v>
      </c>
    </row>
    <row r="39" spans="1:18" x14ac:dyDescent="0.25">
      <c r="A39" t="s">
        <v>28</v>
      </c>
      <c r="B39">
        <f>B38/D24</f>
        <v>2</v>
      </c>
      <c r="C39">
        <f>B39*D36</f>
        <v>19.098600000000001</v>
      </c>
      <c r="M39">
        <f>0.15/0.04</f>
        <v>3.75</v>
      </c>
      <c r="N39">
        <f>M39*D36</f>
        <v>35.809875000000005</v>
      </c>
      <c r="P39">
        <f>(M6*H5)+(H24*(N39/1000))</f>
        <v>4.6064222268374948</v>
      </c>
      <c r="R39">
        <f>(P39+0.7)/O35</f>
        <v>0.63779113303335278</v>
      </c>
    </row>
    <row r="41" spans="1:18" x14ac:dyDescent="0.25">
      <c r="G41" t="s">
        <v>31</v>
      </c>
    </row>
    <row r="42" spans="1:18" x14ac:dyDescent="0.25">
      <c r="A42" t="s">
        <v>31</v>
      </c>
      <c r="D42" t="s">
        <v>32</v>
      </c>
      <c r="G42" t="s">
        <v>65</v>
      </c>
      <c r="H42">
        <f>C20+H34</f>
        <v>32.423333333333332</v>
      </c>
    </row>
    <row r="43" spans="1:18" x14ac:dyDescent="0.25">
      <c r="D43">
        <f>1/B29</f>
        <v>1.9569471624266144E-2</v>
      </c>
      <c r="G43" t="s">
        <v>37</v>
      </c>
      <c r="H43">
        <f xml:space="preserve"> H42/H21</f>
        <v>0.2394279525427066</v>
      </c>
    </row>
    <row r="44" spans="1:18" x14ac:dyDescent="0.25">
      <c r="A44" t="s">
        <v>27</v>
      </c>
      <c r="B44">
        <v>0.1</v>
      </c>
    </row>
    <row r="45" spans="1:18" x14ac:dyDescent="0.25">
      <c r="A45" t="s">
        <v>33</v>
      </c>
      <c r="B45">
        <f>B37/D43</f>
        <v>127.75</v>
      </c>
      <c r="C45">
        <f>B45*D36</f>
        <v>1219.9230750000002</v>
      </c>
    </row>
    <row r="46" spans="1:18" x14ac:dyDescent="0.25">
      <c r="A46" t="s">
        <v>30</v>
      </c>
      <c r="B46">
        <v>0.08</v>
      </c>
    </row>
    <row r="47" spans="1:18" x14ac:dyDescent="0.25">
      <c r="A47" t="s">
        <v>33</v>
      </c>
      <c r="B47">
        <f>B39/D43</f>
        <v>102.2</v>
      </c>
      <c r="C47">
        <f>B47*D36</f>
        <v>975.93846000000008</v>
      </c>
    </row>
    <row r="50" spans="1:7" x14ac:dyDescent="0.25">
      <c r="A50" t="s">
        <v>40</v>
      </c>
    </row>
    <row r="51" spans="1:7" x14ac:dyDescent="0.25">
      <c r="D51" t="s">
        <v>42</v>
      </c>
      <c r="F51" t="s">
        <v>45</v>
      </c>
      <c r="G51" t="s">
        <v>47</v>
      </c>
    </row>
    <row r="52" spans="1:7" x14ac:dyDescent="0.25">
      <c r="A52" t="s">
        <v>41</v>
      </c>
      <c r="D52">
        <v>0.1</v>
      </c>
      <c r="E52">
        <v>0.08</v>
      </c>
      <c r="F52">
        <v>51.1</v>
      </c>
      <c r="G52">
        <v>20</v>
      </c>
    </row>
    <row r="53" spans="1:7" x14ac:dyDescent="0.25">
      <c r="A53" t="s">
        <v>22</v>
      </c>
      <c r="B53">
        <f>0.04/0.002</f>
        <v>20</v>
      </c>
    </row>
    <row r="54" spans="1:7" x14ac:dyDescent="0.25">
      <c r="A54" t="s">
        <v>44</v>
      </c>
      <c r="B54">
        <v>2E-3</v>
      </c>
      <c r="F54" t="s">
        <v>48</v>
      </c>
      <c r="G54" t="s">
        <v>49</v>
      </c>
    </row>
    <row r="55" spans="1:7" x14ac:dyDescent="0.25">
      <c r="A55" t="s">
        <v>43</v>
      </c>
      <c r="B55">
        <f>B54/F52</f>
        <v>3.9138943248532291E-5</v>
      </c>
      <c r="F55">
        <f>1/F52</f>
        <v>1.9569471624266144E-2</v>
      </c>
      <c r="G55">
        <f>1/G52</f>
        <v>0.05</v>
      </c>
    </row>
    <row r="57" spans="1:7" x14ac:dyDescent="0.25">
      <c r="A57" t="s">
        <v>46</v>
      </c>
      <c r="B57">
        <f>D52/(F55*G55)</f>
        <v>102.20000000000002</v>
      </c>
    </row>
    <row r="58" spans="1:7" x14ac:dyDescent="0.25">
      <c r="A58" t="s">
        <v>50</v>
      </c>
      <c r="B58">
        <f>B57/B55</f>
        <v>2611210.0000000005</v>
      </c>
      <c r="C58">
        <f>B58*D36</f>
        <v>24935227.653000005</v>
      </c>
    </row>
    <row r="60" spans="1:7" x14ac:dyDescent="0.25">
      <c r="A60" t="s">
        <v>46</v>
      </c>
      <c r="B60">
        <f>E52/(F55*G55)</f>
        <v>81.760000000000005</v>
      </c>
    </row>
    <row r="61" spans="1:7" x14ac:dyDescent="0.25">
      <c r="A61" t="s">
        <v>50</v>
      </c>
      <c r="B61">
        <f>B60/B55</f>
        <v>2088968</v>
      </c>
      <c r="C61">
        <f>B61*D36</f>
        <v>19948182.122400001</v>
      </c>
    </row>
    <row r="65" spans="1:3" x14ac:dyDescent="0.25">
      <c r="A65" t="s">
        <v>57</v>
      </c>
    </row>
    <row r="66" spans="1:3" x14ac:dyDescent="0.25">
      <c r="A66" t="s">
        <v>58</v>
      </c>
      <c r="B66">
        <f>B37*F52</f>
        <v>127.75</v>
      </c>
      <c r="C66">
        <f>B66*D36</f>
        <v>1219.9230750000002</v>
      </c>
    </row>
    <row r="67" spans="1:3" x14ac:dyDescent="0.25">
      <c r="B67">
        <f>B39*F52</f>
        <v>102.2</v>
      </c>
      <c r="C67">
        <f>B67*D36</f>
        <v>975.93846000000008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34" workbookViewId="0">
      <selection activeCell="H67" sqref="H67"/>
    </sheetView>
  </sheetViews>
  <sheetFormatPr defaultRowHeight="15" x14ac:dyDescent="0.25"/>
  <cols>
    <col min="5" max="5" width="9.85546875" bestFit="1" customWidth="1"/>
    <col min="10" max="10" width="12.42578125" bestFit="1" customWidth="1"/>
  </cols>
  <sheetData>
    <row r="1" spans="1:12" x14ac:dyDescent="0.25">
      <c r="A1" t="s">
        <v>74</v>
      </c>
      <c r="C1" t="s">
        <v>76</v>
      </c>
    </row>
    <row r="2" spans="1:12" x14ac:dyDescent="0.25">
      <c r="C2" s="1">
        <v>20000</v>
      </c>
    </row>
    <row r="3" spans="1:12" x14ac:dyDescent="0.25">
      <c r="C3" s="1"/>
      <c r="I3" t="s">
        <v>85</v>
      </c>
    </row>
    <row r="4" spans="1:12" x14ac:dyDescent="0.25">
      <c r="A4" t="s">
        <v>75</v>
      </c>
      <c r="B4" t="s">
        <v>77</v>
      </c>
      <c r="C4" t="s">
        <v>78</v>
      </c>
      <c r="E4" t="s">
        <v>79</v>
      </c>
      <c r="F4" t="s">
        <v>80</v>
      </c>
      <c r="H4" t="s">
        <v>81</v>
      </c>
      <c r="I4" s="1">
        <v>1000</v>
      </c>
    </row>
    <row r="5" spans="1:12" x14ac:dyDescent="0.25">
      <c r="A5" s="1">
        <v>9.9999999999999995E-8</v>
      </c>
      <c r="B5" s="1">
        <f>1/(2*PI()*A5*$C$2)</f>
        <v>79.57747154594766</v>
      </c>
      <c r="C5" s="1">
        <f>B5*1.05</f>
        <v>83.556345123245052</v>
      </c>
      <c r="F5" s="1">
        <f>1/(2*PI()*A7*E7)</f>
        <v>18549.527166887568</v>
      </c>
      <c r="H5" t="s">
        <v>17</v>
      </c>
      <c r="I5" t="s">
        <v>91</v>
      </c>
      <c r="J5" t="s">
        <v>83</v>
      </c>
      <c r="K5" t="s">
        <v>84</v>
      </c>
    </row>
    <row r="6" spans="1:12" x14ac:dyDescent="0.25">
      <c r="A6" s="1">
        <v>1E-8</v>
      </c>
      <c r="B6" s="1">
        <f t="shared" ref="B6:B9" si="0">1/(2*PI()*A6*$C$2)</f>
        <v>795.77471545947674</v>
      </c>
      <c r="C6" s="1">
        <f t="shared" ref="C6:C9" si="1">B6*1.05</f>
        <v>835.56345123245057</v>
      </c>
      <c r="H6" s="1">
        <v>1000</v>
      </c>
      <c r="I6">
        <v>53.81</v>
      </c>
      <c r="J6">
        <f>I6/$I$4</f>
        <v>5.3810000000000004E-2</v>
      </c>
      <c r="K6">
        <f>20*LOG10(J6)</f>
        <v>-25.382740159070121</v>
      </c>
    </row>
    <row r="7" spans="1:12" x14ac:dyDescent="0.25">
      <c r="A7" s="2">
        <v>2.1999999999999998E-8</v>
      </c>
      <c r="B7" s="1">
        <f t="shared" si="0"/>
        <v>361.71577975430762</v>
      </c>
      <c r="C7" s="1">
        <f>B7*1.05</f>
        <v>379.80156874202299</v>
      </c>
      <c r="E7" s="3">
        <v>390</v>
      </c>
      <c r="H7" s="1">
        <v>18500</v>
      </c>
      <c r="I7">
        <v>706.08</v>
      </c>
      <c r="J7">
        <f t="shared" ref="J7:J8" si="2">I7/$I$4</f>
        <v>0.70608000000000004</v>
      </c>
      <c r="K7">
        <f t="shared" ref="K7:K8" si="3">20*LOG10(J7)</f>
        <v>-3.0229217979376526</v>
      </c>
    </row>
    <row r="8" spans="1:12" x14ac:dyDescent="0.25">
      <c r="A8" s="1">
        <v>4.6999999999999997E-8</v>
      </c>
      <c r="B8" s="1">
        <f t="shared" si="0"/>
        <v>169.31376924669718</v>
      </c>
      <c r="C8" s="1">
        <f t="shared" si="1"/>
        <v>177.77945770903204</v>
      </c>
      <c r="H8" s="1">
        <v>25000</v>
      </c>
      <c r="I8">
        <v>803.22</v>
      </c>
      <c r="J8">
        <f t="shared" si="2"/>
        <v>0.80322000000000005</v>
      </c>
      <c r="K8">
        <f t="shared" si="3"/>
        <v>-1.9033097245613262</v>
      </c>
    </row>
    <row r="9" spans="1:12" x14ac:dyDescent="0.25">
      <c r="A9" s="1">
        <v>1.0000000000000001E-5</v>
      </c>
      <c r="B9" s="1">
        <f t="shared" si="0"/>
        <v>0.79577471545947653</v>
      </c>
      <c r="C9" s="1">
        <f t="shared" si="1"/>
        <v>0.83556345123245035</v>
      </c>
    </row>
    <row r="10" spans="1:12" x14ac:dyDescent="0.25">
      <c r="C10" s="1"/>
    </row>
    <row r="13" spans="1:12" x14ac:dyDescent="0.25">
      <c r="A13" t="s">
        <v>86</v>
      </c>
      <c r="B13" t="s">
        <v>76</v>
      </c>
    </row>
    <row r="14" spans="1:12" x14ac:dyDescent="0.25">
      <c r="B14" s="1">
        <v>15000</v>
      </c>
      <c r="I14" t="s">
        <v>82</v>
      </c>
    </row>
    <row r="15" spans="1:12" x14ac:dyDescent="0.25">
      <c r="A15" t="s">
        <v>75</v>
      </c>
      <c r="B15" t="s">
        <v>77</v>
      </c>
      <c r="C15" t="s">
        <v>78</v>
      </c>
      <c r="E15" t="s">
        <v>79</v>
      </c>
      <c r="F15" t="s">
        <v>80</v>
      </c>
      <c r="H15" t="s">
        <v>81</v>
      </c>
      <c r="I15" s="1">
        <v>1000</v>
      </c>
      <c r="J15" t="s">
        <v>87</v>
      </c>
      <c r="K15" t="s">
        <v>88</v>
      </c>
      <c r="L15" t="s">
        <v>89</v>
      </c>
    </row>
    <row r="16" spans="1:12" x14ac:dyDescent="0.25">
      <c r="A16" s="1">
        <v>9.9999999999999995E-8</v>
      </c>
      <c r="B16" s="1">
        <f>1/(2*PI()*A16*$B$14)</f>
        <v>106.1032953945969</v>
      </c>
      <c r="C16" s="1">
        <f>B16*1.05</f>
        <v>111.40846016432675</v>
      </c>
      <c r="F16" s="1">
        <f>1/(2*PI()*E17*A17)</f>
        <v>13262.911924324611</v>
      </c>
      <c r="H16" t="s">
        <v>17</v>
      </c>
      <c r="I16" t="s">
        <v>90</v>
      </c>
    </row>
    <row r="17" spans="1:12" x14ac:dyDescent="0.25">
      <c r="A17" s="2">
        <v>1E-8</v>
      </c>
      <c r="B17" s="1">
        <f>1/(2*PI()*A17*$B$14)</f>
        <v>1061.032953945969</v>
      </c>
      <c r="C17" s="1">
        <f t="shared" ref="C17:C20" si="4">B17*1.05</f>
        <v>1114.0846016432674</v>
      </c>
      <c r="E17" s="2">
        <v>1200</v>
      </c>
      <c r="H17" s="1">
        <v>1000</v>
      </c>
      <c r="I17">
        <v>75.42</v>
      </c>
      <c r="J17" s="1">
        <f>I17/$I$15</f>
        <v>7.5420000000000001E-2</v>
      </c>
      <c r="K17" s="1">
        <f>20*LOG10(J17)</f>
        <v>-22.450269438607972</v>
      </c>
      <c r="L17" s="1">
        <f>1-J17</f>
        <v>0.92457999999999996</v>
      </c>
    </row>
    <row r="18" spans="1:12" x14ac:dyDescent="0.25">
      <c r="A18" s="4">
        <v>2.1999999999999998E-8</v>
      </c>
      <c r="B18" s="1">
        <f t="shared" ref="B18:B20" si="5">1/(2*PI()*A18*$B$14)</f>
        <v>482.28770633907681</v>
      </c>
      <c r="C18" s="1">
        <f t="shared" si="4"/>
        <v>506.40209165603068</v>
      </c>
      <c r="H18" s="1">
        <v>13300</v>
      </c>
      <c r="I18">
        <v>714.1</v>
      </c>
      <c r="J18" s="1">
        <f t="shared" ref="J18:J19" si="6">I18/$I$15</f>
        <v>0.71410000000000007</v>
      </c>
      <c r="K18" s="1">
        <f t="shared" ref="K18:K19" si="7">20*LOG10(J18)</f>
        <v>-2.9248193385046237</v>
      </c>
      <c r="L18" s="1">
        <f t="shared" ref="L18" si="8">1-J18</f>
        <v>0.28589999999999993</v>
      </c>
    </row>
    <row r="19" spans="1:12" x14ac:dyDescent="0.25">
      <c r="A19" s="1">
        <v>4.6999999999999997E-8</v>
      </c>
      <c r="B19" s="1">
        <f t="shared" si="5"/>
        <v>225.75169232892958</v>
      </c>
      <c r="C19" s="1">
        <f t="shared" si="4"/>
        <v>237.03927694537606</v>
      </c>
      <c r="H19" s="1">
        <v>25000</v>
      </c>
      <c r="I19">
        <v>883.8</v>
      </c>
      <c r="J19" s="1">
        <f t="shared" si="6"/>
        <v>0.88379999999999992</v>
      </c>
      <c r="K19" s="1">
        <f t="shared" si="7"/>
        <v>-1.07292005547451</v>
      </c>
      <c r="L19" s="1">
        <f>1-J19</f>
        <v>0.11620000000000008</v>
      </c>
    </row>
    <row r="20" spans="1:12" x14ac:dyDescent="0.25">
      <c r="A20" s="1">
        <v>1.0000000000000001E-5</v>
      </c>
      <c r="B20" s="1">
        <f t="shared" si="5"/>
        <v>1.0610329539459689</v>
      </c>
      <c r="C20" s="1">
        <f t="shared" si="4"/>
        <v>1.1140846016432673</v>
      </c>
    </row>
    <row r="23" spans="1:12" x14ac:dyDescent="0.25">
      <c r="A23" t="s">
        <v>92</v>
      </c>
      <c r="C23" t="s">
        <v>93</v>
      </c>
    </row>
    <row r="24" spans="1:12" x14ac:dyDescent="0.25">
      <c r="C24">
        <v>3.3</v>
      </c>
    </row>
    <row r="25" spans="1:12" x14ac:dyDescent="0.25">
      <c r="A25" t="s">
        <v>17</v>
      </c>
      <c r="B25" t="s">
        <v>94</v>
      </c>
    </row>
    <row r="26" spans="1:12" x14ac:dyDescent="0.25">
      <c r="A26" s="1">
        <v>1000</v>
      </c>
      <c r="B26" s="1">
        <f>(C24*J17)*1000</f>
        <v>248.886</v>
      </c>
    </row>
    <row r="27" spans="1:12" x14ac:dyDescent="0.25">
      <c r="A27" s="1">
        <v>25000</v>
      </c>
      <c r="B27" s="1">
        <f>(C24*J19)*1000</f>
        <v>2916.5399999999995</v>
      </c>
    </row>
    <row r="28" spans="1:12" x14ac:dyDescent="0.25">
      <c r="A28" s="1">
        <v>50000</v>
      </c>
      <c r="B28">
        <v>5</v>
      </c>
    </row>
    <row r="30" spans="1:12" x14ac:dyDescent="0.25">
      <c r="A30" s="1">
        <v>1000</v>
      </c>
      <c r="B30" s="1">
        <v>1</v>
      </c>
    </row>
    <row r="31" spans="1:12" x14ac:dyDescent="0.25">
      <c r="A31" s="1">
        <v>25000</v>
      </c>
      <c r="B31" s="1">
        <v>10</v>
      </c>
    </row>
    <row r="32" spans="1:12" x14ac:dyDescent="0.25">
      <c r="A32" s="1">
        <v>50000</v>
      </c>
      <c r="B32">
        <v>5</v>
      </c>
    </row>
    <row r="38" spans="1:13" s="5" customFormat="1" x14ac:dyDescent="0.25"/>
    <row r="39" spans="1:13" x14ac:dyDescent="0.25">
      <c r="A39" t="s">
        <v>97</v>
      </c>
    </row>
    <row r="40" spans="1:13" x14ac:dyDescent="0.25">
      <c r="A40" t="s">
        <v>95</v>
      </c>
      <c r="B40" t="s">
        <v>76</v>
      </c>
    </row>
    <row r="41" spans="1:13" x14ac:dyDescent="0.25">
      <c r="B41" s="1">
        <v>220</v>
      </c>
    </row>
    <row r="42" spans="1:13" x14ac:dyDescent="0.25">
      <c r="A42" t="s">
        <v>75</v>
      </c>
      <c r="B42" t="s">
        <v>77</v>
      </c>
      <c r="C42" t="s">
        <v>96</v>
      </c>
      <c r="F42" t="s">
        <v>76</v>
      </c>
      <c r="H42" t="s">
        <v>98</v>
      </c>
      <c r="J42" t="s">
        <v>99</v>
      </c>
      <c r="L42" t="s">
        <v>100</v>
      </c>
    </row>
    <row r="43" spans="1:13" x14ac:dyDescent="0.25">
      <c r="A43" s="1">
        <v>9.9999999999999995E-8</v>
      </c>
      <c r="B43" s="1">
        <f>1/(2*PI()*A43*$B$41)</f>
        <v>7234.3155950861519</v>
      </c>
      <c r="C43" s="1">
        <f>B43*1.05</f>
        <v>7596.0313748404596</v>
      </c>
      <c r="E43" t="s">
        <v>79</v>
      </c>
      <c r="F43" s="1">
        <f>1/(2*PI()*E44*A44)</f>
        <v>28420.525552124171</v>
      </c>
    </row>
    <row r="44" spans="1:13" x14ac:dyDescent="0.25">
      <c r="A44" s="2">
        <v>1E-8</v>
      </c>
      <c r="B44" s="1">
        <f t="shared" ref="B44:B47" si="9">1/(2*PI()*A44*$B$41)</f>
        <v>72343.155950861517</v>
      </c>
      <c r="C44" s="1">
        <f t="shared" ref="C44:C47" si="10">B44*1.05</f>
        <v>75960.313748404602</v>
      </c>
      <c r="E44" s="3">
        <v>560</v>
      </c>
      <c r="H44" t="s">
        <v>17</v>
      </c>
      <c r="I44" t="s">
        <v>36</v>
      </c>
      <c r="L44" t="s">
        <v>17</v>
      </c>
      <c r="M44" t="s">
        <v>36</v>
      </c>
    </row>
    <row r="45" spans="1:13" x14ac:dyDescent="0.25">
      <c r="A45" s="4">
        <v>2.1999999999999998E-8</v>
      </c>
      <c r="B45" s="1">
        <f t="shared" si="9"/>
        <v>32883.252704937055</v>
      </c>
      <c r="C45" s="1">
        <f t="shared" si="10"/>
        <v>34527.415340183907</v>
      </c>
      <c r="H45" s="1">
        <v>25000</v>
      </c>
      <c r="I45">
        <v>474.63</v>
      </c>
      <c r="L45" s="1">
        <v>1000</v>
      </c>
      <c r="M45">
        <v>75.222999999999999</v>
      </c>
    </row>
    <row r="46" spans="1:13" x14ac:dyDescent="0.25">
      <c r="A46" s="1">
        <v>4.6999999999999997E-8</v>
      </c>
      <c r="B46" s="1">
        <f t="shared" si="9"/>
        <v>15392.160840608833</v>
      </c>
      <c r="C46" s="1">
        <f t="shared" si="10"/>
        <v>16161.768882639275</v>
      </c>
      <c r="H46" s="1">
        <v>28400</v>
      </c>
      <c r="I46">
        <v>705.17</v>
      </c>
      <c r="L46" s="1">
        <v>25000</v>
      </c>
      <c r="M46">
        <v>689.38</v>
      </c>
    </row>
    <row r="47" spans="1:13" x14ac:dyDescent="0.25">
      <c r="A47" s="1">
        <v>1.0000000000000001E-5</v>
      </c>
      <c r="B47" s="1">
        <f t="shared" si="9"/>
        <v>72.343155950861515</v>
      </c>
      <c r="C47" s="1">
        <f t="shared" si="10"/>
        <v>75.960313748404587</v>
      </c>
      <c r="H47" s="1">
        <v>50000</v>
      </c>
      <c r="I47">
        <v>491.17</v>
      </c>
      <c r="L47" s="1">
        <v>28400</v>
      </c>
      <c r="M47">
        <v>679.58</v>
      </c>
    </row>
    <row r="48" spans="1:13" x14ac:dyDescent="0.25">
      <c r="L48" s="1">
        <v>50000</v>
      </c>
      <c r="M48">
        <v>578.57000000000005</v>
      </c>
    </row>
    <row r="52" spans="1:12" s="5" customFormat="1" x14ac:dyDescent="0.25"/>
    <row r="54" spans="1:12" x14ac:dyDescent="0.25">
      <c r="K54" t="s">
        <v>110</v>
      </c>
    </row>
    <row r="55" spans="1:12" x14ac:dyDescent="0.25">
      <c r="A55" t="s">
        <v>101</v>
      </c>
      <c r="E55" t="s">
        <v>76</v>
      </c>
      <c r="F55" t="s">
        <v>103</v>
      </c>
      <c r="G55" t="s">
        <v>105</v>
      </c>
    </row>
    <row r="56" spans="1:12" x14ac:dyDescent="0.25">
      <c r="E56" s="1">
        <v>220</v>
      </c>
      <c r="F56">
        <v>1</v>
      </c>
      <c r="G56">
        <v>1.5860000000000001</v>
      </c>
    </row>
    <row r="57" spans="1:12" x14ac:dyDescent="0.25">
      <c r="K57" t="s">
        <v>109</v>
      </c>
    </row>
    <row r="58" spans="1:12" x14ac:dyDescent="0.25">
      <c r="A58" t="s">
        <v>102</v>
      </c>
      <c r="B58" t="s">
        <v>104</v>
      </c>
      <c r="C58" t="s">
        <v>96</v>
      </c>
      <c r="G58" t="s">
        <v>106</v>
      </c>
      <c r="H58" t="s">
        <v>107</v>
      </c>
      <c r="I58" t="s">
        <v>108</v>
      </c>
    </row>
    <row r="59" spans="1:12" x14ac:dyDescent="0.25">
      <c r="A59" s="1">
        <v>9.9999999999999995E-8</v>
      </c>
      <c r="B59" s="1">
        <f>1/(2*PI()*A59*($E$56))</f>
        <v>7234.3155950861519</v>
      </c>
      <c r="C59" s="1">
        <f>B59*1.05</f>
        <v>7596.0313748404596</v>
      </c>
      <c r="E59" t="s">
        <v>79</v>
      </c>
      <c r="G59" s="1">
        <v>1000</v>
      </c>
      <c r="H59">
        <f>G59/($G$56-1)</f>
        <v>1706.484641638225</v>
      </c>
      <c r="I59">
        <f>H59*1.05</f>
        <v>1791.8088737201363</v>
      </c>
      <c r="K59" s="1">
        <v>1000</v>
      </c>
      <c r="L59">
        <v>75.36</v>
      </c>
    </row>
    <row r="60" spans="1:12" x14ac:dyDescent="0.25">
      <c r="A60" s="2">
        <v>1E-8</v>
      </c>
      <c r="B60" s="1">
        <f t="shared" ref="B60:B63" si="11">1/(2*PI()*A60*($E$56))</f>
        <v>72343.155950861517</v>
      </c>
      <c r="C60" s="4">
        <f t="shared" ref="C60:C63" si="12">B60*1.05</f>
        <v>75960.313748404602</v>
      </c>
      <c r="E60" s="3">
        <v>560</v>
      </c>
      <c r="G60" s="1">
        <v>1500</v>
      </c>
      <c r="H60">
        <f t="shared" ref="H60:H67" si="13">G60/($G$56-1)</f>
        <v>2559.7269624573378</v>
      </c>
      <c r="I60">
        <f t="shared" ref="I60:I67" si="14">H60*1.05</f>
        <v>2687.713310580205</v>
      </c>
      <c r="K60" s="1">
        <v>25000</v>
      </c>
      <c r="L60">
        <v>717.35</v>
      </c>
    </row>
    <row r="61" spans="1:12" x14ac:dyDescent="0.25">
      <c r="A61" s="4">
        <v>2.1999999999999998E-8</v>
      </c>
      <c r="B61" s="1">
        <f t="shared" si="11"/>
        <v>32883.252704937055</v>
      </c>
      <c r="C61" s="1">
        <f t="shared" si="12"/>
        <v>34527.415340183907</v>
      </c>
      <c r="G61" s="1">
        <v>2000</v>
      </c>
      <c r="H61">
        <f t="shared" si="13"/>
        <v>3412.9692832764499</v>
      </c>
      <c r="I61">
        <f t="shared" si="14"/>
        <v>3583.6177474402725</v>
      </c>
      <c r="K61" s="1">
        <v>30000</v>
      </c>
      <c r="L61">
        <v>642.79999999999995</v>
      </c>
    </row>
    <row r="62" spans="1:12" x14ac:dyDescent="0.25">
      <c r="A62" s="1">
        <v>4.6999999999999997E-8</v>
      </c>
      <c r="B62" s="1">
        <f t="shared" si="11"/>
        <v>15392.160840608833</v>
      </c>
      <c r="C62" s="1">
        <f t="shared" si="12"/>
        <v>16161.768882639275</v>
      </c>
      <c r="G62" s="2">
        <v>2200</v>
      </c>
      <c r="H62" s="3">
        <f t="shared" si="13"/>
        <v>3754.2662116040951</v>
      </c>
      <c r="I62" s="3">
        <f t="shared" si="14"/>
        <v>3941.9795221843001</v>
      </c>
      <c r="K62" s="1">
        <v>50000</v>
      </c>
      <c r="L62">
        <v>393.8</v>
      </c>
    </row>
    <row r="63" spans="1:12" x14ac:dyDescent="0.25">
      <c r="A63" s="1">
        <v>1.0000000000000001E-5</v>
      </c>
      <c r="B63" s="1">
        <f t="shared" si="11"/>
        <v>72.343155950861515</v>
      </c>
      <c r="C63" s="1">
        <f t="shared" si="12"/>
        <v>75.960313748404587</v>
      </c>
      <c r="G63" s="1">
        <v>4700</v>
      </c>
      <c r="H63">
        <f t="shared" si="13"/>
        <v>8020.4778156996581</v>
      </c>
      <c r="I63">
        <f t="shared" si="14"/>
        <v>8421.5017064846415</v>
      </c>
    </row>
    <row r="64" spans="1:12" x14ac:dyDescent="0.25">
      <c r="G64" s="1">
        <v>5100</v>
      </c>
      <c r="H64">
        <f t="shared" si="13"/>
        <v>8703.0716723549485</v>
      </c>
      <c r="I64">
        <f t="shared" si="14"/>
        <v>9138.2252559726967</v>
      </c>
    </row>
    <row r="65" spans="7:9" x14ac:dyDescent="0.25">
      <c r="G65" s="1">
        <v>8200</v>
      </c>
      <c r="H65">
        <f t="shared" si="13"/>
        <v>13993.174061433445</v>
      </c>
      <c r="I65">
        <f t="shared" si="14"/>
        <v>14692.832764505118</v>
      </c>
    </row>
    <row r="66" spans="7:9" x14ac:dyDescent="0.25">
      <c r="G66" s="1">
        <v>6800</v>
      </c>
      <c r="H66">
        <f t="shared" si="13"/>
        <v>11604.09556313993</v>
      </c>
      <c r="I66">
        <f t="shared" si="14"/>
        <v>12184.300341296926</v>
      </c>
    </row>
    <row r="67" spans="7:9" x14ac:dyDescent="0.25">
      <c r="G67" s="1">
        <v>15000</v>
      </c>
      <c r="H67">
        <f t="shared" si="13"/>
        <v>25597.269624573375</v>
      </c>
      <c r="I67">
        <f t="shared" si="14"/>
        <v>26877.133105802044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opLeftCell="C1" workbookViewId="0">
      <selection activeCell="M3" sqref="M3"/>
    </sheetView>
  </sheetViews>
  <sheetFormatPr defaultRowHeight="15" x14ac:dyDescent="0.25"/>
  <cols>
    <col min="1" max="1" width="10.7109375" bestFit="1" customWidth="1"/>
  </cols>
  <sheetData>
    <row r="2" spans="1:13" x14ac:dyDescent="0.25">
      <c r="A2" t="s">
        <v>111</v>
      </c>
      <c r="F2" t="s">
        <v>115</v>
      </c>
      <c r="J2" t="s">
        <v>119</v>
      </c>
      <c r="M2">
        <f>100*(20/1000)</f>
        <v>2</v>
      </c>
    </row>
    <row r="4" spans="1:13" x14ac:dyDescent="0.25">
      <c r="A4" t="s">
        <v>112</v>
      </c>
      <c r="C4" t="s">
        <v>113</v>
      </c>
      <c r="F4" t="s">
        <v>116</v>
      </c>
      <c r="J4" t="s">
        <v>121</v>
      </c>
    </row>
    <row r="5" spans="1:13" x14ac:dyDescent="0.25">
      <c r="A5" t="s">
        <v>114</v>
      </c>
      <c r="C5" t="s">
        <v>114</v>
      </c>
      <c r="E5" t="s">
        <v>36</v>
      </c>
      <c r="F5" t="s">
        <v>114</v>
      </c>
      <c r="G5" t="s">
        <v>118</v>
      </c>
      <c r="H5" t="s">
        <v>123</v>
      </c>
      <c r="J5">
        <v>20</v>
      </c>
    </row>
    <row r="6" spans="1:13" x14ac:dyDescent="0.25">
      <c r="A6">
        <v>300</v>
      </c>
      <c r="C6">
        <v>7.4999999999999997E-2</v>
      </c>
      <c r="E6">
        <f>(F6/1000)*H6</f>
        <v>1.8900000000000001</v>
      </c>
      <c r="F6">
        <v>7</v>
      </c>
      <c r="G6">
        <v>6</v>
      </c>
      <c r="H6">
        <v>270</v>
      </c>
      <c r="J6" t="s">
        <v>120</v>
      </c>
    </row>
    <row r="7" spans="1:13" x14ac:dyDescent="0.25">
      <c r="C7" t="s">
        <v>117</v>
      </c>
      <c r="J7">
        <f>J5*5</f>
        <v>100</v>
      </c>
    </row>
    <row r="10" spans="1:13" x14ac:dyDescent="0.25">
      <c r="C10" t="s">
        <v>124</v>
      </c>
    </row>
    <row r="11" spans="1:13" x14ac:dyDescent="0.25">
      <c r="E11" t="s">
        <v>122</v>
      </c>
      <c r="G11" t="s">
        <v>125</v>
      </c>
      <c r="I11" t="s">
        <v>126</v>
      </c>
      <c r="J11" t="s">
        <v>114</v>
      </c>
      <c r="M11">
        <f>280*2</f>
        <v>560</v>
      </c>
    </row>
    <row r="12" spans="1:13" x14ac:dyDescent="0.25">
      <c r="C12">
        <f>F6-J12</f>
        <v>0.70000000000000018</v>
      </c>
      <c r="E12">
        <f>E6/(G6/1000)</f>
        <v>315</v>
      </c>
      <c r="F12">
        <f>E12*1.05</f>
        <v>330.75</v>
      </c>
      <c r="G12">
        <v>300</v>
      </c>
      <c r="I12">
        <f>E6/G12</f>
        <v>6.3E-3</v>
      </c>
      <c r="J12">
        <f t="shared" ref="J12:J17" si="0">I12*1000</f>
        <v>6.3</v>
      </c>
    </row>
    <row r="13" spans="1:13" x14ac:dyDescent="0.25">
      <c r="C13">
        <f>F6-J15</f>
        <v>0.24999999999999911</v>
      </c>
      <c r="G13">
        <v>400</v>
      </c>
      <c r="I13">
        <f>E6/G13</f>
        <v>4.725E-3</v>
      </c>
      <c r="J13">
        <f t="shared" si="0"/>
        <v>4.7249999999999996</v>
      </c>
    </row>
    <row r="14" spans="1:13" x14ac:dyDescent="0.25">
      <c r="C14">
        <f>F6-J16</f>
        <v>1.2727272727272725</v>
      </c>
      <c r="G14">
        <v>270</v>
      </c>
      <c r="I14">
        <f>E6/G14</f>
        <v>7.0000000000000001E-3</v>
      </c>
      <c r="J14">
        <f t="shared" si="0"/>
        <v>7</v>
      </c>
    </row>
    <row r="15" spans="1:13" x14ac:dyDescent="0.25">
      <c r="C15">
        <f>F6-J17</f>
        <v>1.75</v>
      </c>
      <c r="G15">
        <v>280</v>
      </c>
      <c r="I15">
        <f>E6/G15</f>
        <v>6.7500000000000008E-3</v>
      </c>
      <c r="J15">
        <f t="shared" si="0"/>
        <v>6.7500000000000009</v>
      </c>
    </row>
    <row r="16" spans="1:13" x14ac:dyDescent="0.25">
      <c r="G16">
        <v>330</v>
      </c>
      <c r="I16">
        <f>E6/G16</f>
        <v>5.7272727272727275E-3</v>
      </c>
      <c r="J16">
        <f t="shared" si="0"/>
        <v>5.7272727272727275</v>
      </c>
    </row>
    <row r="17" spans="1:10" x14ac:dyDescent="0.25">
      <c r="G17">
        <v>360</v>
      </c>
      <c r="I17">
        <f>E6/G17</f>
        <v>5.2500000000000003E-3</v>
      </c>
      <c r="J17">
        <f t="shared" si="0"/>
        <v>5.25</v>
      </c>
    </row>
    <row r="18" spans="1:10" x14ac:dyDescent="0.25">
      <c r="A18" t="s">
        <v>127</v>
      </c>
      <c r="B18" t="s">
        <v>128</v>
      </c>
      <c r="D18" t="s">
        <v>129</v>
      </c>
    </row>
    <row r="19" spans="1:10" x14ac:dyDescent="0.25">
      <c r="A19">
        <v>500</v>
      </c>
      <c r="B19">
        <v>1.77</v>
      </c>
      <c r="D19">
        <v>400</v>
      </c>
    </row>
    <row r="20" spans="1:10" x14ac:dyDescent="0.25">
      <c r="B20">
        <f>1.77/2</f>
        <v>0.88500000000000001</v>
      </c>
      <c r="D20">
        <f>A22-20</f>
        <v>80</v>
      </c>
    </row>
    <row r="21" spans="1:10" x14ac:dyDescent="0.25">
      <c r="A21" t="s">
        <v>131</v>
      </c>
    </row>
    <row r="22" spans="1:10" x14ac:dyDescent="0.25">
      <c r="A22">
        <f>A19/5</f>
        <v>100</v>
      </c>
      <c r="E22" t="s">
        <v>130</v>
      </c>
    </row>
    <row r="23" spans="1:10" x14ac:dyDescent="0.25">
      <c r="E23">
        <f>B19/(D19/1000)</f>
        <v>4.4249999999999998</v>
      </c>
    </row>
    <row r="24" spans="1:10" x14ac:dyDescent="0.25">
      <c r="E24">
        <f>B19/(D20/1000)</f>
        <v>22.125</v>
      </c>
      <c r="G24">
        <f>E24*0.95</f>
        <v>21.018750000000001</v>
      </c>
    </row>
    <row r="25" spans="1:10" x14ac:dyDescent="0.25">
      <c r="E25">
        <f>B20/(D19/1000)</f>
        <v>2.2124999999999999</v>
      </c>
    </row>
    <row r="26" spans="1:10" x14ac:dyDescent="0.25">
      <c r="E26">
        <f>B19/(480/1000)</f>
        <v>3.6875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Q5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</dc:creator>
  <cp:lastModifiedBy>Windows User</cp:lastModifiedBy>
  <dcterms:created xsi:type="dcterms:W3CDTF">2017-11-03T18:38:32Z</dcterms:created>
  <dcterms:modified xsi:type="dcterms:W3CDTF">2018-03-28T03:17:53Z</dcterms:modified>
</cp:coreProperties>
</file>