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180" windowWidth="27795" windowHeight="12525" tabRatio="551" activeTab="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C37" i="5" l="1"/>
  <c r="C34" i="5"/>
  <c r="K32" i="5" l="1"/>
  <c r="K31" i="5"/>
  <c r="C36" i="1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D29" i="5" l="1"/>
  <c r="C29" i="5"/>
  <c r="D26" i="5"/>
  <c r="C26" i="5"/>
  <c r="E53" i="4"/>
  <c r="D53" i="4"/>
  <c r="C53" i="4"/>
  <c r="E50" i="4"/>
  <c r="D50" i="4"/>
  <c r="C50" i="4"/>
  <c r="E47" i="4"/>
  <c r="D47" i="4"/>
  <c r="C47" i="4"/>
  <c r="E44" i="4"/>
  <c r="D44" i="4"/>
  <c r="C44" i="4"/>
  <c r="C7" i="2" l="1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N33" i="5"/>
  <c r="C12" i="5"/>
  <c r="N32" i="5"/>
  <c r="N31" i="5"/>
  <c r="N30" i="5"/>
  <c r="E6" i="2"/>
  <c r="D6" i="2"/>
  <c r="C6" i="2"/>
  <c r="E3" i="2"/>
  <c r="D3" i="2"/>
  <c r="C3" i="2"/>
  <c r="N34" i="5" l="1"/>
  <c r="B14" i="1" s="1"/>
  <c r="C16" i="5"/>
  <c r="C14" i="5"/>
  <c r="C10" i="5" l="1"/>
  <c r="C8" i="5"/>
  <c r="C6" i="5"/>
  <c r="C31" i="1" l="1"/>
  <c r="E31" i="1" s="1"/>
  <c r="B10" i="1"/>
  <c r="J10" i="5"/>
  <c r="E30" i="4" l="1"/>
  <c r="D30" i="4"/>
  <c r="C30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8" i="1"/>
  <c r="D38" i="1"/>
  <c r="C38" i="1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<sst xmlns="http://schemas.openxmlformats.org/spreadsheetml/2006/main" count="256" uniqueCount="122">
  <si>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</si>
  <si>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</si>
  <si>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</si>
  <si>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</si>
  <si>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</si>
  <si>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</si>
  <si>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</si>
  <si>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</si>
  <si>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</si>
  <si>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</si>
  <si>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</si>
  <si>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</si>
  <si>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</si>
  <si>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</si>
  <si>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</si>
  <si>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</si>
  <si>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</si>
  <si>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</si>
  <si>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</si>
  <si>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</si>
  <si>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</si>
  <si>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</si>
  <si>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</si>
  <si>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</si>
  <si>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</si>
  <si>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</si>
  <si>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</si>
  <si>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</si>
  <si>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</si>
  <si>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</si>
  <si>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</si>
  <si>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</si>
  <si>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Mixture ratio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</si>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</sst>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7" sqref="C7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98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21</v>
      </c>
      <c r="B4" s="1" t="s">
        <v>9</v>
      </c>
      <c r="C4" s="1">
        <v>295</v>
      </c>
      <c r="D4" s="1"/>
      <c r="E4" s="1"/>
      <c r="F4" t="s">
        <v>23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22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24</v>
      </c>
      <c r="G7" t="s">
        <v>80</v>
      </c>
    </row>
    <row r="9" spans="1:7" x14ac:dyDescent="0.25">
      <c r="C9" t="s">
        <v>63</v>
      </c>
    </row>
    <row r="10" spans="1:7" x14ac:dyDescent="0.25">
      <c r="A10" s="1" t="s">
        <v>64</v>
      </c>
      <c r="B10" s="1" t="s">
        <v>9</v>
      </c>
      <c r="C10" s="1">
        <v>0</v>
      </c>
      <c r="D10" s="1"/>
      <c r="E10" s="1"/>
      <c r="F10" t="s">
        <v>65</v>
      </c>
    </row>
    <row r="12" spans="1:7" x14ac:dyDescent="0.25">
      <c r="C12" t="s">
        <v>63</v>
      </c>
    </row>
    <row r="13" spans="1:7" x14ac:dyDescent="0.25">
      <c r="A13" s="1" t="s">
        <v>66</v>
      </c>
      <c r="B13" s="1" t="s">
        <v>9</v>
      </c>
      <c r="C13" s="1">
        <f>4595/3.28</f>
        <v>1400.9146341463415</v>
      </c>
      <c r="D13" s="1"/>
      <c r="E13" s="1"/>
      <c r="F13" t="s">
        <v>33</v>
      </c>
    </row>
    <row r="16" spans="1:7" x14ac:dyDescent="0.25">
      <c r="C16" t="s">
        <v>63</v>
      </c>
    </row>
    <row r="17" spans="1:5" x14ac:dyDescent="0.25">
      <c r="A17" s="1" t="s">
        <v>121</v>
      </c>
      <c r="B17" s="1" t="s">
        <v>9</v>
      </c>
      <c r="C17" s="1">
        <v>1</v>
      </c>
      <c r="D17" s="1"/>
      <c r="E17" s="1"/>
    </row>
  </sheetData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B4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  <x14:dataValidation type="list" allowBlank="1" showInputMessage="1" showErrorMessage="1">
          <x14:formula1>
            <xm:f>Validation!$A$2:$A$4</xm:f>
          </x14:formula1>
          <xm:sqref>B13 B10 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7" zoomScaleNormal="100" workbookViewId="0">
      <selection activeCell="B31" sqref="B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81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49</v>
      </c>
      <c r="N1" s="12" t="s">
        <v>88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49</v>
      </c>
    </row>
    <row r="2" spans="1:19" x14ac:dyDescent="0.25">
      <c r="A2" s="5" t="s">
        <v>56</v>
      </c>
      <c r="B2" s="5" t="s">
        <v>55</v>
      </c>
      <c r="C2" s="5" t="s">
        <v>49</v>
      </c>
      <c r="G2" s="1" t="s">
        <v>55</v>
      </c>
      <c r="H2" s="1" t="s">
        <v>9</v>
      </c>
      <c r="I2" s="15">
        <v>1</v>
      </c>
      <c r="J2" s="1"/>
      <c r="K2" s="1"/>
      <c r="L2" t="s">
        <v>3</v>
      </c>
      <c r="N2" s="1" t="s">
        <v>55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38</v>
      </c>
      <c r="B3" s="2">
        <f>I6*I7</f>
        <v>1</v>
      </c>
      <c r="C3" t="s">
        <v>3</v>
      </c>
      <c r="G3" s="1" t="s">
        <v>72</v>
      </c>
      <c r="H3" s="1" t="s">
        <v>9</v>
      </c>
      <c r="I3" s="15">
        <v>4</v>
      </c>
      <c r="J3" s="1"/>
      <c r="K3" s="1"/>
      <c r="L3" t="s">
        <v>87</v>
      </c>
    </row>
    <row r="4" spans="1:19" x14ac:dyDescent="0.25">
      <c r="A4" t="s">
        <v>41</v>
      </c>
      <c r="B4" s="2">
        <f>I14*I15</f>
        <v>1</v>
      </c>
      <c r="C4" t="s">
        <v>3</v>
      </c>
      <c r="N4" s="12" t="s">
        <v>89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49</v>
      </c>
    </row>
    <row r="5" spans="1:19" x14ac:dyDescent="0.25">
      <c r="A5" t="s">
        <v>40</v>
      </c>
      <c r="B5" s="2">
        <v>0.5</v>
      </c>
      <c r="C5" t="s">
        <v>3</v>
      </c>
      <c r="G5" s="12" t="s">
        <v>86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49</v>
      </c>
      <c r="N5" s="1" t="s">
        <v>55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39</v>
      </c>
      <c r="B6" s="2">
        <v>1</v>
      </c>
      <c r="C6" t="s">
        <v>3</v>
      </c>
      <c r="G6" s="1" t="s">
        <v>55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37</v>
      </c>
      <c r="B7" s="2">
        <f>I10*I11</f>
        <v>1</v>
      </c>
      <c r="C7" t="s">
        <v>3</v>
      </c>
      <c r="G7" s="1" t="s">
        <v>72</v>
      </c>
      <c r="H7" s="1" t="s">
        <v>9</v>
      </c>
      <c r="I7" s="15">
        <v>1</v>
      </c>
      <c r="J7" s="1"/>
      <c r="K7" s="1"/>
      <c r="L7" t="s">
        <v>87</v>
      </c>
      <c r="N7" s="12" t="s">
        <v>85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49</v>
      </c>
    </row>
    <row r="8" spans="1:19" x14ac:dyDescent="0.25">
      <c r="A8" t="s">
        <v>36</v>
      </c>
      <c r="B8" s="2">
        <f>P2</f>
        <v>1</v>
      </c>
      <c r="C8" t="s">
        <v>3</v>
      </c>
      <c r="N8" s="1" t="s">
        <v>90</v>
      </c>
      <c r="O8" s="1" t="s">
        <v>9</v>
      </c>
      <c r="P8" s="15">
        <f>5.909/12/3.28</f>
        <v>0.15012703252032522</v>
      </c>
      <c r="Q8" s="1"/>
      <c r="R8" s="1"/>
      <c r="S8" t="s">
        <v>33</v>
      </c>
    </row>
    <row r="9" spans="1:19" x14ac:dyDescent="0.25">
      <c r="A9" t="s">
        <v>35</v>
      </c>
      <c r="B9" s="2">
        <v>4</v>
      </c>
      <c r="C9" t="s">
        <v>3</v>
      </c>
      <c r="G9" s="12" t="s">
        <v>92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49</v>
      </c>
      <c r="N9" s="1" t="s">
        <v>91</v>
      </c>
      <c r="O9" s="1" t="s">
        <v>9</v>
      </c>
      <c r="P9" s="15">
        <f>5.625/12/3.28</f>
        <v>0.14291158536585366</v>
      </c>
      <c r="Q9" s="1"/>
      <c r="R9" s="1"/>
      <c r="S9" t="s">
        <v>33</v>
      </c>
    </row>
    <row r="10" spans="1:19" x14ac:dyDescent="0.25">
      <c r="A10" t="s">
        <v>34</v>
      </c>
      <c r="B10" s="2">
        <f>11.151/2.205</f>
        <v>5.0571428571428569</v>
      </c>
      <c r="C10" t="s">
        <v>3</v>
      </c>
      <c r="G10" s="1" t="s">
        <v>55</v>
      </c>
      <c r="H10" s="1" t="s">
        <v>9</v>
      </c>
      <c r="I10" s="15">
        <v>1</v>
      </c>
      <c r="J10" s="1"/>
      <c r="K10" s="1"/>
      <c r="L10" t="s">
        <v>3</v>
      </c>
      <c r="N10" s="1" t="s">
        <v>82</v>
      </c>
      <c r="O10" s="1" t="s">
        <v>9</v>
      </c>
      <c r="P10" s="15">
        <v>3</v>
      </c>
      <c r="Q10" s="1"/>
      <c r="R10" s="1"/>
      <c r="S10" t="s">
        <v>33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72</v>
      </c>
      <c r="H11" s="1" t="s">
        <v>9</v>
      </c>
      <c r="I11" s="15">
        <v>1</v>
      </c>
      <c r="J11" s="1"/>
      <c r="K11" s="1"/>
      <c r="L11" t="s">
        <v>87</v>
      </c>
      <c r="N11" s="1" t="s">
        <v>83</v>
      </c>
      <c r="O11" s="1" t="s">
        <v>9</v>
      </c>
      <c r="P11" s="15">
        <v>2700</v>
      </c>
      <c r="Q11" s="1"/>
      <c r="R11" s="1"/>
      <c r="S11" t="s">
        <v>84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94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49</v>
      </c>
      <c r="N13" s="12" t="s">
        <v>93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49</v>
      </c>
    </row>
    <row r="14" spans="1:19" x14ac:dyDescent="0.25">
      <c r="A14" t="s">
        <v>67</v>
      </c>
      <c r="B14" s="2">
        <f>'Propellant Parameters (Tanks)'!N34*0.453592</f>
        <v>12.871986458369594</v>
      </c>
      <c r="C14" t="s">
        <v>3</v>
      </c>
      <c r="G14" s="1" t="s">
        <v>95</v>
      </c>
      <c r="H14" s="1" t="s">
        <v>9</v>
      </c>
      <c r="I14" s="15">
        <v>1</v>
      </c>
      <c r="J14" s="1"/>
      <c r="K14" s="1"/>
      <c r="L14" t="s">
        <v>96</v>
      </c>
      <c r="N14" s="1" t="s">
        <v>55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97</v>
      </c>
      <c r="H15" s="1" t="s">
        <v>9</v>
      </c>
      <c r="I15" s="15">
        <v>1</v>
      </c>
      <c r="J15" s="1"/>
      <c r="K15" s="1"/>
      <c r="L15" t="s">
        <v>33</v>
      </c>
      <c r="N15" s="1" t="s">
        <v>72</v>
      </c>
      <c r="O15" s="1" t="s">
        <v>9</v>
      </c>
      <c r="P15" s="15">
        <v>1</v>
      </c>
      <c r="Q15" s="1"/>
      <c r="R15" s="1"/>
      <c r="S15" t="s">
        <v>87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49</v>
      </c>
    </row>
    <row r="31" spans="1:6" x14ac:dyDescent="0.25">
      <c r="A31" s="1" t="s">
        <v>0</v>
      </c>
      <c r="B31" s="1" t="s">
        <v>9</v>
      </c>
      <c r="C31" s="3">
        <f>SUM(B:B)</f>
        <v>33.75396309284659</v>
      </c>
      <c r="D31" s="1">
        <v>2.5</v>
      </c>
      <c r="E31" s="3">
        <f>C31+5</f>
        <v>38.75396309284659</v>
      </c>
      <c r="F31" t="s">
        <v>3</v>
      </c>
    </row>
    <row r="34" spans="1:6" x14ac:dyDescent="0.25">
      <c r="B34" t="s">
        <v>119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9</v>
      </c>
      <c r="C36" s="1">
        <f>C34*2.54/100</f>
        <v>0.15557500000000002</v>
      </c>
      <c r="D36" s="1"/>
      <c r="E36" s="1"/>
      <c r="F36" t="s">
        <v>33</v>
      </c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7</v>
      </c>
      <c r="B39" s="1" t="s">
        <v>9</v>
      </c>
      <c r="C39" s="1">
        <v>5</v>
      </c>
      <c r="D39" s="1">
        <v>1</v>
      </c>
      <c r="E39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B39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F37" sqref="F37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4.49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118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15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16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17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18</v>
      </c>
      <c r="B21" s="1" t="s">
        <v>9</v>
      </c>
      <c r="C21" s="1">
        <v>45</v>
      </c>
      <c r="D21" s="1"/>
      <c r="E21" s="1"/>
      <c r="F21" t="s">
        <v>19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20</v>
      </c>
      <c r="B24" s="1" t="s">
        <v>9</v>
      </c>
      <c r="C24" s="1">
        <v>15</v>
      </c>
      <c r="D24" s="1"/>
      <c r="E24" s="1"/>
      <c r="F24" t="s">
        <v>19</v>
      </c>
    </row>
    <row r="26" spans="1:6" x14ac:dyDescent="0.25">
      <c r="B26" t="s">
        <v>116</v>
      </c>
      <c r="C26">
        <v>1.4</v>
      </c>
      <c r="D26" t="s">
        <v>117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115</v>
      </c>
      <c r="B28" s="1" t="s">
        <v>9</v>
      </c>
      <c r="C28" s="1">
        <f>C26*2.54^2/100^2</f>
        <v>9.03224E-4</v>
      </c>
      <c r="D28" s="1"/>
      <c r="E28" s="1"/>
      <c r="F28" t="s">
        <v>100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</row>
    <row r="31" spans="1:6" x14ac:dyDescent="0.25">
      <c r="A31" s="1" t="s">
        <v>32</v>
      </c>
      <c r="B31" s="1" t="s">
        <v>9</v>
      </c>
      <c r="C31" s="1">
        <v>8</v>
      </c>
      <c r="D31" s="1"/>
      <c r="E31" s="1"/>
    </row>
    <row r="34" spans="1:6" x14ac:dyDescent="0.25">
      <c r="A34" t="s">
        <v>108</v>
      </c>
      <c r="B34">
        <v>24</v>
      </c>
    </row>
    <row r="35" spans="1:6" x14ac:dyDescent="0.25">
      <c r="A35" t="s">
        <v>109</v>
      </c>
      <c r="B35">
        <v>2.5000000000000001E-2</v>
      </c>
      <c r="C35" t="s">
        <v>5</v>
      </c>
    </row>
    <row r="36" spans="1:6" x14ac:dyDescent="0.25">
      <c r="A36" t="s">
        <v>109</v>
      </c>
      <c r="B36">
        <f>B35 * 2.54/100</f>
        <v>6.3500000000000004E-4</v>
      </c>
      <c r="C36" t="s">
        <v>33</v>
      </c>
    </row>
    <row r="37" spans="1:6" x14ac:dyDescent="0.25">
      <c r="A37" t="s">
        <v>110</v>
      </c>
      <c r="B37">
        <f>(PI() / 4) *B36^2</f>
        <v>3.1669217443593616E-7</v>
      </c>
      <c r="C37" t="s">
        <v>100</v>
      </c>
    </row>
    <row r="39" spans="1:6" x14ac:dyDescent="0.25">
      <c r="A39" t="s">
        <v>105</v>
      </c>
      <c r="B39">
        <v>24</v>
      </c>
    </row>
    <row r="40" spans="1:6" x14ac:dyDescent="0.25">
      <c r="A40" t="s">
        <v>107</v>
      </c>
      <c r="B40">
        <v>5.0999999999999997E-2</v>
      </c>
      <c r="C40" t="s">
        <v>5</v>
      </c>
    </row>
    <row r="41" spans="1:6" x14ac:dyDescent="0.25">
      <c r="A41" t="s">
        <v>107</v>
      </c>
      <c r="B41">
        <f>B40 * 2.54/100</f>
        <v>1.2953999999999999E-3</v>
      </c>
      <c r="C41" t="s">
        <v>33</v>
      </c>
    </row>
    <row r="42" spans="1:6" x14ac:dyDescent="0.25">
      <c r="A42" t="s">
        <v>106</v>
      </c>
      <c r="B42">
        <f>(PI() / 4) *B41^2</f>
        <v>1.3179461531325915E-6</v>
      </c>
      <c r="C42" t="s">
        <v>100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99</v>
      </c>
      <c r="B45" s="1" t="s">
        <v>9</v>
      </c>
      <c r="C45" s="9">
        <f>B34*B37</f>
        <v>7.6006121864624678E-6</v>
      </c>
      <c r="D45" s="1"/>
      <c r="E45" s="1"/>
      <c r="F45" t="s">
        <v>100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101</v>
      </c>
      <c r="B48" s="1" t="s">
        <v>9</v>
      </c>
      <c r="C48" s="9">
        <f>B42*B39</f>
        <v>3.1630707675182194E-5</v>
      </c>
      <c r="D48" s="1"/>
      <c r="E48" s="1"/>
      <c r="F48" t="s">
        <v>100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111</v>
      </c>
      <c r="B51" s="1" t="s">
        <v>9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112</v>
      </c>
      <c r="B54" s="1" t="s">
        <v>9</v>
      </c>
      <c r="C54" s="1">
        <v>1</v>
      </c>
      <c r="D54" s="1"/>
      <c r="E54" s="1"/>
      <c r="F54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B31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E19" sqref="E1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31</v>
      </c>
    </row>
    <row r="2" spans="1:14" x14ac:dyDescent="0.25">
      <c r="A2" t="s">
        <v>25</v>
      </c>
      <c r="B2" t="s">
        <v>27</v>
      </c>
      <c r="C2" t="s">
        <v>28</v>
      </c>
    </row>
    <row r="3" spans="1:14" x14ac:dyDescent="0.25">
      <c r="A3" t="s">
        <v>26</v>
      </c>
      <c r="B3" t="s">
        <v>29</v>
      </c>
      <c r="C3" t="s">
        <v>59</v>
      </c>
    </row>
    <row r="4" spans="1:14" x14ac:dyDescent="0.25">
      <c r="A4" t="s">
        <v>45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49</v>
      </c>
      <c r="K5" t="s">
        <v>49</v>
      </c>
      <c r="N5" t="s">
        <v>61</v>
      </c>
    </row>
    <row r="6" spans="1:14" x14ac:dyDescent="0.25">
      <c r="A6" s="1" t="s">
        <v>30</v>
      </c>
      <c r="B6" s="1" t="s">
        <v>9</v>
      </c>
      <c r="C6" s="9">
        <f>$N$6*J6</f>
        <v>2.6104650300000001E-2</v>
      </c>
      <c r="D6" s="1"/>
      <c r="E6" s="1"/>
      <c r="F6" t="s">
        <v>60</v>
      </c>
      <c r="J6" s="1">
        <v>1593</v>
      </c>
      <c r="K6" t="s">
        <v>44</v>
      </c>
      <c r="N6" s="6">
        <v>1.6387100000000001E-5</v>
      </c>
    </row>
    <row r="8" spans="1:14" x14ac:dyDescent="0.25">
      <c r="A8" s="1" t="s">
        <v>42</v>
      </c>
      <c r="B8" s="1" t="s">
        <v>9</v>
      </c>
      <c r="C8" s="9">
        <f>$N$6*J8</f>
        <v>7.6281950500000006E-3</v>
      </c>
      <c r="D8" s="1"/>
      <c r="E8" s="1"/>
      <c r="F8" t="s">
        <v>60</v>
      </c>
      <c r="J8" s="1">
        <v>465.5</v>
      </c>
      <c r="K8" t="s">
        <v>44</v>
      </c>
    </row>
    <row r="10" spans="1:14" x14ac:dyDescent="0.25">
      <c r="A10" s="1" t="s">
        <v>47</v>
      </c>
      <c r="B10" s="1" t="s">
        <v>9</v>
      </c>
      <c r="C10" s="9">
        <f>$N$6*J10</f>
        <v>1.5271138490000002E-3</v>
      </c>
      <c r="D10" s="4"/>
      <c r="E10" s="1"/>
      <c r="F10" t="s">
        <v>60</v>
      </c>
      <c r="J10" s="4">
        <f>93.19</f>
        <v>93.19</v>
      </c>
      <c r="K10" t="s">
        <v>44</v>
      </c>
    </row>
    <row r="11" spans="1:14" x14ac:dyDescent="0.25">
      <c r="N11" t="s">
        <v>62</v>
      </c>
    </row>
    <row r="12" spans="1:14" x14ac:dyDescent="0.25">
      <c r="A12" s="1" t="s">
        <v>48</v>
      </c>
      <c r="B12" s="1" t="s">
        <v>9</v>
      </c>
      <c r="C12" s="9">
        <f>$N$12*J12</f>
        <v>0.142875</v>
      </c>
      <c r="D12" s="1"/>
      <c r="E12" s="1"/>
      <c r="F12" t="s">
        <v>33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52</v>
      </c>
      <c r="B14" s="1" t="s">
        <v>9</v>
      </c>
      <c r="C14" s="9">
        <f>$N$12*J14</f>
        <v>0.15008859999999999</v>
      </c>
      <c r="D14" s="1"/>
      <c r="E14" s="1"/>
      <c r="F14" t="s">
        <v>33</v>
      </c>
      <c r="G14" s="6"/>
      <c r="J14" s="1">
        <v>5.9089999999999998</v>
      </c>
      <c r="K14" t="s">
        <v>5</v>
      </c>
    </row>
    <row r="16" spans="1:14" x14ac:dyDescent="0.25">
      <c r="A16" s="1" t="s">
        <v>51</v>
      </c>
      <c r="B16" s="1" t="s">
        <v>9</v>
      </c>
      <c r="C16" s="9">
        <f>$N$12*J16</f>
        <v>7.2135999999999988E-3</v>
      </c>
      <c r="D16" s="1"/>
      <c r="E16" s="1"/>
      <c r="F16" t="s">
        <v>33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114</v>
      </c>
      <c r="B19" s="1" t="s">
        <v>9</v>
      </c>
      <c r="C19" s="1">
        <v>295</v>
      </c>
      <c r="D19" s="1"/>
      <c r="E19" s="1"/>
      <c r="F19" t="s">
        <v>23</v>
      </c>
    </row>
    <row r="21" spans="1:14" x14ac:dyDescent="0.25">
      <c r="C21" t="str">
        <f>IF(B22="Single value","Value",IF(B22="Range of values","Start",IF(B22="Monte Carlo","Mean","ERROR")))</f>
        <v>Start</v>
      </c>
      <c r="D21" t="str">
        <f>IF(B22="Single value","",IF(B22="Range of values","Step",IF(B22="Monte Carlo","Standard deviation","ERROR")))</f>
        <v>Step</v>
      </c>
      <c r="E21" t="str">
        <f>IF(B22="Single value","",IF(B22="Range of values","End",IF(B22="Monte Carlo","","ERROR")))</f>
        <v>End</v>
      </c>
    </row>
    <row r="22" spans="1:14" x14ac:dyDescent="0.25">
      <c r="A22" s="1" t="s">
        <v>113</v>
      </c>
      <c r="B22" s="1" t="s">
        <v>10</v>
      </c>
      <c r="C22" s="1">
        <v>290</v>
      </c>
      <c r="D22" s="1">
        <v>2</v>
      </c>
      <c r="E22" s="1">
        <v>300</v>
      </c>
      <c r="F22" t="s">
        <v>23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</row>
    <row r="27" spans="1:14" x14ac:dyDescent="0.25">
      <c r="A27" s="1" t="s">
        <v>103</v>
      </c>
      <c r="B27" s="1" t="s">
        <v>9</v>
      </c>
      <c r="C27" s="1">
        <v>3</v>
      </c>
      <c r="D27" s="1"/>
    </row>
    <row r="28" spans="1:14" x14ac:dyDescent="0.25">
      <c r="J28" s="12" t="s">
        <v>68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J29" t="s">
        <v>69</v>
      </c>
      <c r="K29" t="s">
        <v>72</v>
      </c>
      <c r="L29" t="s">
        <v>55</v>
      </c>
      <c r="M29" t="s">
        <v>70</v>
      </c>
      <c r="N29" t="s">
        <v>74</v>
      </c>
    </row>
    <row r="30" spans="1:14" x14ac:dyDescent="0.25">
      <c r="A30" s="1" t="s">
        <v>104</v>
      </c>
      <c r="B30" s="1" t="s">
        <v>9</v>
      </c>
      <c r="C30" s="1">
        <v>2</v>
      </c>
      <c r="D30" s="1"/>
      <c r="J30" t="s">
        <v>71</v>
      </c>
      <c r="K30">
        <v>2</v>
      </c>
      <c r="L30">
        <v>2.52</v>
      </c>
      <c r="M30" t="s">
        <v>73</v>
      </c>
      <c r="N30" s="13">
        <f>K30*L30</f>
        <v>5.04</v>
      </c>
    </row>
    <row r="31" spans="1:14" x14ac:dyDescent="0.25">
      <c r="J31" t="s">
        <v>75</v>
      </c>
      <c r="K31" s="8">
        <f>C34</f>
        <v>64.103507771388223</v>
      </c>
      <c r="L31">
        <v>0.249</v>
      </c>
      <c r="M31" t="s">
        <v>77</v>
      </c>
      <c r="N31" s="13">
        <f>K31*L31</f>
        <v>15.961773435075667</v>
      </c>
    </row>
    <row r="32" spans="1:14" x14ac:dyDescent="0.25">
      <c r="A32" t="s">
        <v>46</v>
      </c>
      <c r="J32" t="s">
        <v>76</v>
      </c>
      <c r="K32" s="8">
        <f>C37</f>
        <v>18.732067085738368</v>
      </c>
      <c r="L32">
        <v>0.27200000000000002</v>
      </c>
      <c r="M32" t="s">
        <v>77</v>
      </c>
      <c r="N32" s="13">
        <f>K32*L32</f>
        <v>5.0951222473208366</v>
      </c>
    </row>
    <row r="33" spans="1:15" x14ac:dyDescent="0.25">
      <c r="A33" t="s">
        <v>53</v>
      </c>
      <c r="J33" t="s">
        <v>78</v>
      </c>
      <c r="K33">
        <v>1</v>
      </c>
      <c r="L33">
        <v>2.2810000000000001</v>
      </c>
      <c r="M33" t="s">
        <v>73</v>
      </c>
      <c r="N33">
        <f>K33*L33</f>
        <v>2.2810000000000001</v>
      </c>
    </row>
    <row r="34" spans="1:15" x14ac:dyDescent="0.25">
      <c r="A34" s="1" t="s">
        <v>43</v>
      </c>
      <c r="B34" s="1" t="s">
        <v>9</v>
      </c>
      <c r="C34" s="8">
        <f>C6/((PI()/4)*C12^2)/N12</f>
        <v>64.103507771388223</v>
      </c>
      <c r="D34" s="1"/>
      <c r="E34" s="1"/>
      <c r="F34" t="s">
        <v>5</v>
      </c>
      <c r="J34" s="12" t="s">
        <v>79</v>
      </c>
      <c r="K34" s="12"/>
      <c r="L34" s="12"/>
      <c r="M34" s="12"/>
      <c r="N34" s="14">
        <f>SUM(N30:N33)</f>
        <v>28.377895682396503</v>
      </c>
      <c r="O34" t="s">
        <v>50</v>
      </c>
    </row>
    <row r="36" spans="1:15" x14ac:dyDescent="0.25">
      <c r="A36" t="s">
        <v>54</v>
      </c>
    </row>
    <row r="37" spans="1:15" x14ac:dyDescent="0.25">
      <c r="A37" s="1" t="s">
        <v>43</v>
      </c>
      <c r="B37" s="1" t="s">
        <v>9</v>
      </c>
      <c r="C37" s="8">
        <f>C8/((PI()/4)*C12^2)/N12</f>
        <v>18.732067085738368</v>
      </c>
      <c r="D37" s="1"/>
      <c r="E37" s="1"/>
      <c r="F37" t="s">
        <v>33</v>
      </c>
      <c r="J37" t="s">
        <v>120</v>
      </c>
    </row>
    <row r="39" spans="1:15" x14ac:dyDescent="0.25">
      <c r="A39" s="1" t="s">
        <v>57</v>
      </c>
      <c r="B39" s="1" t="s">
        <v>9</v>
      </c>
      <c r="C39" s="7">
        <v>41.668101</v>
      </c>
      <c r="D39" s="4"/>
      <c r="E39" s="1"/>
      <c r="F39" t="s">
        <v>50</v>
      </c>
    </row>
    <row r="41" spans="1:15" x14ac:dyDescent="0.25">
      <c r="A41" s="1" t="s">
        <v>58</v>
      </c>
      <c r="B41" s="1" t="s">
        <v>9</v>
      </c>
      <c r="C41" s="7">
        <v>5.0911735</v>
      </c>
      <c r="D41" s="4"/>
      <c r="E41" s="1"/>
      <c r="F41" t="s">
        <v>50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B23:B24 B22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Validation!$A$2:$A$4</xm:f>
          </x14:formula1>
          <xm:sqref>B19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2017-10-09T01:37:31Z</dcterms:modified>
</cp:coreProperties>
</file>