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B12" i="1" l="1"/>
  <c r="P8" i="1"/>
  <c r="P9" i="1"/>
  <c r="B7" i="1"/>
  <c r="K12" i="1"/>
  <c r="J12" i="1"/>
  <c r="I12" i="1"/>
  <c r="I1" i="1"/>
  <c r="J1" i="1"/>
  <c r="K1" i="1"/>
  <c r="P1" i="1"/>
  <c r="Q1" i="1"/>
  <c r="R1" i="1"/>
  <c r="P4" i="1"/>
  <c r="Q4" i="1"/>
  <c r="R4" i="1"/>
  <c r="P7" i="1"/>
  <c r="Q7" i="1"/>
  <c r="R7" i="1"/>
  <c r="I8" i="1"/>
  <c r="J8" i="1"/>
  <c r="K8" i="1"/>
  <c r="B11" i="1"/>
  <c r="B13" i="1"/>
  <c r="B8" i="1"/>
  <c r="B3" i="1"/>
  <c r="C13" i="2" l="1"/>
  <c r="C7" i="2" s="1"/>
  <c r="B14" i="1"/>
  <c r="N26" i="5"/>
  <c r="N25" i="5"/>
  <c r="N24" i="5"/>
  <c r="N23" i="5"/>
  <c r="C12" i="5"/>
  <c r="K24" i="5"/>
  <c r="K23" i="5"/>
  <c r="N22" i="5"/>
  <c r="E6" i="2"/>
  <c r="D6" i="2"/>
  <c r="C6" i="2"/>
  <c r="E3" i="2"/>
  <c r="D3" i="2"/>
  <c r="C3" i="2"/>
  <c r="C16" i="5" l="1"/>
  <c r="C14" i="5"/>
  <c r="C10" i="5" l="1"/>
  <c r="C8" i="5"/>
  <c r="C6" i="5"/>
  <c r="C27" i="5" l="1"/>
  <c r="C25" i="5"/>
  <c r="C31" i="1"/>
  <c r="B10" i="1"/>
  <c r="C20" i="5"/>
  <c r="J10" i="5"/>
  <c r="C23" i="5" s="1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<sst xmlns="http://schemas.openxmlformats.org/spreadsheetml/2006/main" count="1130" uniqueCount="188">
  <si>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</si>
  <si>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</si>
  <si>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</si>
  <si>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</si>
  <si>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</si>
  <si>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</si>
  <si>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</si>
  <si>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</si>
  <si>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</si>
  <si>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</si>
  <si>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</si>
  <si>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</si>
  <si>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</si>
  <si>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</si>
  <si>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</si>
  <si>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</si>
  <si>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</si>
  <si>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</si>
  <si>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</si>
  <si>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</si>
  <si>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</si>
  <si>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</si>
  <si>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</si>
  <si>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</si>
  <si>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</si>
  <si>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</si>
  <si>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</si>
  <si>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</si>
  <si>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</si>
  <si>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</si>
  <si>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</si>
  <si>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</si>
  <si>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</si>
  <si>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</si>
  <si>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</si>
  <si>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</si>
  <si>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</si>
  <si>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</si>
  <si>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</si>
  <si>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</si>
  <si>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</si>
  <si>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</si>
  <si>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</si>
  <si>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</si>
  <si>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</si>
  <si>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</si>
  <si>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</si>
  <si>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</si>
  <si>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</si>
  <si>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</si>
  <si>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</si>
  <si>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</si>
  <si>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</si>
  <si>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</si>
  <si>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</si>
  <si>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</si>
  <si>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</si>
  <si>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</si>
  <si>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</si>
  <si>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</si>
  <si>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</si>
  <si>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</si>
  <si>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</si>
  <si>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</si>
  <si>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</si>
  <si>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</si>
  <si>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</si>
  <si>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</si>
  <si>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</si>
  <si>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</si>
  <si>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</si>
  <si>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</si>
  <si>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</si>
  <si>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</si>
  <si>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</si>
  <si>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</si>
  <si>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</si>
  <si>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</si>
  <si>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</si>
  <si>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</si>
  <si>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</si>
  <si>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</si>
  <si>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</si>
  <si>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</si>
  <si>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</si>
  <si>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</si>
  <si>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</si>
  <si>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</si>
  <si>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</si>
  <si>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</si>
  <si>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</si>
  <si>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</si>
  <si>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</si>
  <si>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</si>
  <si>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</si>
  <si>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</si>
  <si>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</si>
  <si>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</si>
  <si>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</si>
  <si>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</si>
  <si>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</si>
  <si>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</si>
  <si>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</si>
  <si>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</si>
  <si>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</si>
  <si>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</si>
  <si>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</si>
  <si>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</si>
  <si>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</si>
  <si>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</si>
  <si>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</si>
  <si>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</si>
  <si>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</si>
  <si>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</si>
  <si>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</si>
  <si>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</si>
  <si>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</si>
  <si>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</si>
  <si>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</si>
  <si>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</si>
  <si>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</si>
  <si>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</si>
  <si>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</si>
  <si>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</si>
  <si>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</si>
  <si>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</si>
  <si>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</si>
  <si>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</si>
  <si>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</si>
  <si>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</si>
  <si>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</si>
  <si>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</si>
  <si>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</si>
  <si>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</si>
  <si>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</si>
  <si>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</si>
  <si>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</si>
  <si>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</si>
  <si>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</si>
  <si>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</si>
  <si>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</si>
  <si>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</si>
  <si>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</si>
  <si>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</si>
  <si>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</si>
  <si>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</si>
  <si>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</si>
  <si>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</si>
  <si>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</si>
  <si>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</si>
  <si>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</si>
  <si>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</si>
  <si>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</si>
  <si>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Las Cruces US Climate Data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</si>
  <si>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</si>
  <si>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</si>
  <si>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</si>
  <si>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</si>
  <si>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</si>
  <si>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</si>
  <si>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</si>
  <si>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</si>
  <si>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</si>
  <si>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</si>
  <si>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</si>
  <si>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</si>
  <si>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</si>
  <si>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</si>
  <si>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</si>
  <si>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</si>
  <si>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</si>
  <si>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</si>
  <si>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Thickness</t>
  </si>
  <si>
    <t>Fins:</t>
  </si>
  <si>
    <t>Length</t>
  </si>
  <si>
    <t>Height</t>
  </si>
  <si>
    <t>Material Density</t>
  </si>
  <si>
    <t>kg/m^3</t>
  </si>
  <si>
    <t>Body Tube:</t>
  </si>
  <si>
    <t>Root chord</t>
  </si>
  <si>
    <t>Tip chord</t>
  </si>
  <si>
    <t>Bulkheads:</t>
  </si>
  <si>
    <t>#</t>
  </si>
  <si>
    <t>Recovery:</t>
  </si>
  <si>
    <t>Nose Cone:</t>
  </si>
  <si>
    <t>Outer Dia.</t>
  </si>
  <si>
    <t>Inner Dia.</t>
  </si>
  <si>
    <t>Couplers: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</si>
</sst>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las-cruces/new-mexico/united-states/usnm049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7" sqref="E17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153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25</v>
      </c>
      <c r="G7" t="s">
        <v>171</v>
      </c>
    </row>
    <row r="9" spans="1:7" x14ac:dyDescent="0.25">
      <c r="C9" t="s">
        <v>154</v>
      </c>
    </row>
    <row r="10" spans="1:7" x14ac:dyDescent="0.25">
      <c r="A10" s="1" t="s">
        <v>155</v>
      </c>
      <c r="B10" s="1" t="s">
        <v>9</v>
      </c>
      <c r="C10" s="1"/>
      <c r="D10" s="1"/>
      <c r="E10" s="1"/>
      <c r="F10" t="s">
        <v>156</v>
      </c>
    </row>
    <row r="12" spans="1:7" x14ac:dyDescent="0.25">
      <c r="C12" t="s">
        <v>154</v>
      </c>
    </row>
    <row r="13" spans="1:7" x14ac:dyDescent="0.25">
      <c r="A13" s="1" t="s">
        <v>157</v>
      </c>
      <c r="B13" s="1" t="s">
        <v>9</v>
      </c>
      <c r="C13" s="1">
        <f>4595/3.28</f>
        <v>1400.9146341463415</v>
      </c>
      <c r="D13" s="1"/>
      <c r="E13" s="1"/>
      <c r="F13" t="s">
        <v>53</v>
      </c>
    </row>
  </sheetData>
  <hyperlinks>
    <hyperlink ref="G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149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selection activeCell="F14" sqref="F14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173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139</v>
      </c>
      <c r="N1" s="12" t="s">
        <v>183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139</v>
      </c>
    </row>
    <row r="2" spans="1:19" x14ac:dyDescent="0.25">
      <c r="A2" s="5" t="s">
        <v>146</v>
      </c>
      <c r="B2" s="5" t="s">
        <v>145</v>
      </c>
      <c r="C2" s="5" t="s">
        <v>139</v>
      </c>
      <c r="G2" s="1" t="s">
        <v>179</v>
      </c>
      <c r="H2" s="1" t="s">
        <v>9</v>
      </c>
      <c r="I2" s="15">
        <v>1</v>
      </c>
      <c r="J2" s="1"/>
      <c r="K2" s="1"/>
      <c r="L2" t="s">
        <v>53</v>
      </c>
      <c r="N2" s="1" t="s">
        <v>145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125</v>
      </c>
      <c r="B3" s="2">
        <f>I9*I10</f>
        <v>1</v>
      </c>
      <c r="C3" t="s">
        <v>3</v>
      </c>
      <c r="G3" s="1" t="s">
        <v>180</v>
      </c>
      <c r="H3" s="1" t="s">
        <v>9</v>
      </c>
      <c r="I3" s="15">
        <v>1</v>
      </c>
      <c r="J3" s="1"/>
      <c r="K3" s="1"/>
      <c r="L3" t="s">
        <v>53</v>
      </c>
    </row>
    <row r="4" spans="1:19" x14ac:dyDescent="0.25">
      <c r="A4" t="s">
        <v>128</v>
      </c>
      <c r="B4" s="2">
        <v>1</v>
      </c>
      <c r="C4" t="s">
        <v>3</v>
      </c>
      <c r="G4" s="1" t="s">
        <v>175</v>
      </c>
      <c r="H4" s="1" t="s">
        <v>9</v>
      </c>
      <c r="I4" s="15">
        <v>1</v>
      </c>
      <c r="J4" s="1"/>
      <c r="K4" s="1"/>
      <c r="L4" t="s">
        <v>53</v>
      </c>
      <c r="N4" s="12" t="s">
        <v>184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139</v>
      </c>
    </row>
    <row r="5" spans="1:19" x14ac:dyDescent="0.25">
      <c r="A5" t="s">
        <v>127</v>
      </c>
      <c r="B5" s="2">
        <v>0.5</v>
      </c>
      <c r="C5" t="s">
        <v>3</v>
      </c>
      <c r="G5" s="1" t="s">
        <v>172</v>
      </c>
      <c r="H5" s="1" t="s">
        <v>9</v>
      </c>
      <c r="I5" s="15">
        <v>1</v>
      </c>
      <c r="J5" s="1"/>
      <c r="K5" s="1"/>
      <c r="L5" t="s">
        <v>53</v>
      </c>
      <c r="N5" s="1" t="s">
        <v>145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126</v>
      </c>
      <c r="B6" s="2">
        <v>1</v>
      </c>
      <c r="C6" t="s">
        <v>3</v>
      </c>
      <c r="G6" s="1" t="s">
        <v>176</v>
      </c>
      <c r="H6" s="1" t="s">
        <v>9</v>
      </c>
      <c r="I6" s="15">
        <v>1</v>
      </c>
      <c r="J6" s="1"/>
      <c r="K6" s="1"/>
      <c r="L6" t="s">
        <v>177</v>
      </c>
    </row>
    <row r="7" spans="1:19" x14ac:dyDescent="0.25">
      <c r="A7" t="s">
        <v>124</v>
      </c>
      <c r="B7" s="2">
        <f>I13*I14</f>
        <v>1</v>
      </c>
      <c r="C7" t="s">
        <v>3</v>
      </c>
      <c r="N7" s="12" t="s">
        <v>178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139</v>
      </c>
    </row>
    <row r="8" spans="1:19" x14ac:dyDescent="0.25">
      <c r="A8" t="s">
        <v>123</v>
      </c>
      <c r="B8" s="2">
        <f>P2</f>
        <v>1</v>
      </c>
      <c r="C8" t="s">
        <v>3</v>
      </c>
      <c r="G8" s="12" t="s">
        <v>181</v>
      </c>
      <c r="I8" t="str">
        <f>IF(H9="Single value","Value",IF(H9="Range of values","Start",IF(H9="Monte Carlo","Mean","ERROR")))</f>
        <v>Value</v>
      </c>
      <c r="J8" t="str">
        <f>IF(H9="Single value","",IF(H9="Range of values","Step",IF(H9="Monte Carlo","Standard deviation","ERROR")))</f>
        <v/>
      </c>
      <c r="K8" t="str">
        <f>IF(H9="Single value","",IF(H9="Range of values","End",IF(H9="Monte Carlo","","ERROR")))</f>
        <v/>
      </c>
      <c r="L8" t="s">
        <v>139</v>
      </c>
      <c r="N8" s="1" t="s">
        <v>185</v>
      </c>
      <c r="O8" s="1" t="s">
        <v>9</v>
      </c>
      <c r="P8" s="15">
        <f>5.909/12/3.28</f>
        <v>0.15012703252032522</v>
      </c>
      <c r="Q8" s="1"/>
      <c r="R8" s="1"/>
      <c r="S8" t="s">
        <v>53</v>
      </c>
    </row>
    <row r="9" spans="1:19" x14ac:dyDescent="0.25">
      <c r="A9" t="s">
        <v>122</v>
      </c>
      <c r="B9" s="2">
        <v>4</v>
      </c>
      <c r="C9" t="s">
        <v>3</v>
      </c>
      <c r="G9" s="1" t="s">
        <v>145</v>
      </c>
      <c r="H9" s="1" t="s">
        <v>9</v>
      </c>
      <c r="I9" s="15">
        <v>1</v>
      </c>
      <c r="J9" s="1"/>
      <c r="K9" s="1"/>
      <c r="L9" t="s">
        <v>3</v>
      </c>
      <c r="N9" s="1" t="s">
        <v>186</v>
      </c>
      <c r="O9" s="1" t="s">
        <v>9</v>
      </c>
      <c r="P9" s="15">
        <f>5.625/12/3.28</f>
        <v>0.14291158536585366</v>
      </c>
      <c r="Q9" s="1"/>
      <c r="R9" s="1"/>
      <c r="S9" t="s">
        <v>53</v>
      </c>
    </row>
    <row r="10" spans="1:19" x14ac:dyDescent="0.25">
      <c r="A10" t="s">
        <v>55</v>
      </c>
      <c r="B10" s="2">
        <f>11.151/2.205</f>
        <v>5.0571428571428569</v>
      </c>
      <c r="C10" t="s">
        <v>3</v>
      </c>
      <c r="G10" s="1" t="s">
        <v>163</v>
      </c>
      <c r="H10" s="1" t="s">
        <v>9</v>
      </c>
      <c r="I10" s="15">
        <v>1</v>
      </c>
      <c r="J10" s="1"/>
      <c r="K10" s="1"/>
      <c r="L10" t="s">
        <v>182</v>
      </c>
      <c r="N10" s="1" t="s">
        <v>174</v>
      </c>
      <c r="O10" s="1" t="s">
        <v>9</v>
      </c>
      <c r="P10" s="15">
        <v>3</v>
      </c>
      <c r="Q10" s="1"/>
      <c r="R10" s="1"/>
      <c r="S10" t="s">
        <v>53</v>
      </c>
    </row>
    <row r="11" spans="1:19" x14ac:dyDescent="0.25">
      <c r="A11" t="s">
        <v>4</v>
      </c>
      <c r="B11" s="2">
        <f>I6*(I2*(I3+I4)/2*I5)</f>
        <v>1</v>
      </c>
      <c r="C11" t="s">
        <v>3</v>
      </c>
      <c r="N11" s="1" t="s">
        <v>176</v>
      </c>
      <c r="O11" s="1" t="s">
        <v>9</v>
      </c>
      <c r="P11" s="15">
        <v>1</v>
      </c>
      <c r="Q11" s="1"/>
      <c r="R11" s="1"/>
      <c r="S11" t="s">
        <v>177</v>
      </c>
    </row>
    <row r="12" spans="1:19" x14ac:dyDescent="0.25">
      <c r="A12" t="s">
        <v>2</v>
      </c>
      <c r="B12" s="2">
        <f>P11*P10*((PI()*(P8-P9)^2))</f>
        <v>4.9067917679042165E-4</v>
      </c>
      <c r="C12" t="s">
        <v>3</v>
      </c>
      <c r="G12" s="12" t="s">
        <v>187</v>
      </c>
      <c r="I12" t="str">
        <f>IF(H13="Single value","Value",IF(H13="Range of values","Start",IF(H13="Monte Carlo","Mean","ERROR")))</f>
        <v>Value</v>
      </c>
      <c r="J12" t="str">
        <f>IF(H13="Single value","",IF(H13="Range of values","Step",IF(H13="Monte Carlo","Standard deviation","ERROR")))</f>
        <v/>
      </c>
      <c r="K12" t="str">
        <f>IF(H13="Single value","",IF(H13="Range of values","End",IF(H13="Monte Carlo","","ERROR")))</f>
        <v/>
      </c>
      <c r="L12" t="s">
        <v>139</v>
      </c>
    </row>
    <row r="13" spans="1:19" x14ac:dyDescent="0.25">
      <c r="A13" t="s">
        <v>1</v>
      </c>
      <c r="B13" s="2">
        <f>P5</f>
        <v>1</v>
      </c>
      <c r="C13" t="s">
        <v>3</v>
      </c>
      <c r="G13" s="1" t="s">
        <v>145</v>
      </c>
      <c r="H13" s="1" t="s">
        <v>9</v>
      </c>
      <c r="I13" s="15">
        <v>1</v>
      </c>
      <c r="J13" s="1"/>
      <c r="K13" s="1"/>
      <c r="L13" t="s">
        <v>3</v>
      </c>
    </row>
    <row r="14" spans="1:19" x14ac:dyDescent="0.25">
      <c r="A14" t="s">
        <v>158</v>
      </c>
      <c r="B14" s="2">
        <f>'Propellant Parameters (Tanks)'!N26*0.453592</f>
        <v>11.562209199342742</v>
      </c>
      <c r="C14" t="s">
        <v>3</v>
      </c>
      <c r="G14" s="1" t="s">
        <v>163</v>
      </c>
      <c r="H14" s="1" t="s">
        <v>9</v>
      </c>
      <c r="I14" s="15">
        <v>1</v>
      </c>
      <c r="J14" s="1"/>
      <c r="K14" s="1"/>
      <c r="L14" t="s">
        <v>182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28.119842735662392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 L16 O2 H9:H10 H2:H6 O5 O8:O11 H13:H14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K24" sqref="K24"/>
    </sheetView>
  </sheetViews>
  <sheetFormatPr defaultRowHeight="15" x14ac:dyDescent="0.25"/>
  <cols>
    <col min="1" max="1" width="15.7109375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149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151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150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150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150</v>
      </c>
      <c r="J10" s="4">
        <f>93.19</f>
        <v>93.19</v>
      </c>
      <c r="K10" t="s">
        <v>134</v>
      </c>
    </row>
    <row r="11" spans="1:14" x14ac:dyDescent="0.25">
      <c r="N11" t="s">
        <v>152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14" x14ac:dyDescent="0.25">
      <c r="A18" t="s">
        <v>136</v>
      </c>
    </row>
    <row r="19" spans="1:14" x14ac:dyDescent="0.25">
      <c r="A19" t="s">
        <v>143</v>
      </c>
    </row>
    <row r="20" spans="1:14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  <c r="J20" s="12" t="s">
        <v>159</v>
      </c>
    </row>
    <row r="21" spans="1:14" x14ac:dyDescent="0.25">
      <c r="J21" t="s">
        <v>160</v>
      </c>
      <c r="K21" t="s">
        <v>163</v>
      </c>
      <c r="L21" t="s">
        <v>145</v>
      </c>
      <c r="M21" t="s">
        <v>161</v>
      </c>
      <c r="N21" t="s">
        <v>165</v>
      </c>
    </row>
    <row r="22" spans="1:14" x14ac:dyDescent="0.25">
      <c r="A22" t="s">
        <v>144</v>
      </c>
      <c r="J22" t="s">
        <v>162</v>
      </c>
      <c r="K22">
        <v>2</v>
      </c>
      <c r="L22">
        <v>2.52</v>
      </c>
      <c r="M22" t="s">
        <v>164</v>
      </c>
      <c r="N22" s="13">
        <f>K22*L22</f>
        <v>5.04</v>
      </c>
    </row>
    <row r="23" spans="1:14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  <c r="J23" t="s">
        <v>166</v>
      </c>
      <c r="K23" s="8">
        <f>C20</f>
        <v>56.603313253621714</v>
      </c>
      <c r="L23">
        <v>0.249</v>
      </c>
      <c r="M23" t="s">
        <v>168</v>
      </c>
      <c r="N23" s="13">
        <f>K23*L23</f>
        <v>14.094225000151807</v>
      </c>
    </row>
    <row r="24" spans="1:14" x14ac:dyDescent="0.25">
      <c r="J24" t="s">
        <v>167</v>
      </c>
      <c r="K24" s="8">
        <f>C23</f>
        <v>14.981999088208545</v>
      </c>
      <c r="L24">
        <v>0.27200000000000002</v>
      </c>
      <c r="M24" t="s">
        <v>168</v>
      </c>
      <c r="N24" s="13">
        <f>K24*L24</f>
        <v>4.0751037519927245</v>
      </c>
    </row>
    <row r="25" spans="1:14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  <c r="J25" t="s">
        <v>169</v>
      </c>
      <c r="K25">
        <v>1</v>
      </c>
      <c r="L25">
        <v>2.2810000000000001</v>
      </c>
      <c r="M25" t="s">
        <v>164</v>
      </c>
      <c r="N25">
        <f>K25*L25</f>
        <v>2.2810000000000001</v>
      </c>
    </row>
    <row r="26" spans="1:14" x14ac:dyDescent="0.25">
      <c r="J26" s="12" t="s">
        <v>170</v>
      </c>
      <c r="K26" s="12"/>
      <c r="L26" s="12"/>
      <c r="M26" s="12"/>
      <c r="N26" s="14">
        <f>SUM(N22:N25)</f>
        <v>25.490328752144531</v>
      </c>
    </row>
    <row r="27" spans="1:14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Brendan Luke</cp:lastModifiedBy>
  <dcterms:created xsi:type="dcterms:W3CDTF">2017-08-26T18:54:19Z</dcterms:created>
  <dcterms:modified xsi:type="dcterms:W3CDTF">2017-09-17T20:58:55Z</dcterms:modified>
</cp:coreProperties>
</file>